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drawings/drawing3.xml" ContentType="application/vnd.openxmlformats-officedocument.drawing+xml"/>
  <Override PartName="/xl/comments3.xml" ContentType="application/vnd.openxmlformats-officedocument.spreadsheetml.comments+xml"/>
  <Override PartName="/xl/threadedComments/threadedComment2.xml" ContentType="application/vnd.ms-excel.threadedcomment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charts/chart17.xml" ContentType="application/vnd.openxmlformats-officedocument.drawingml.chart+xml"/>
  <Override PartName="/xl/charts/style15.xml" ContentType="application/vnd.ms-office.chartstyle+xml"/>
  <Override PartName="/xl/charts/colors15.xml" ContentType="application/vnd.ms-office.chartcolorstyle+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charts/chart19.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5.xml" ContentType="application/vnd.openxmlformats-officedocument.drawing+xml"/>
  <Override PartName="/xl/charts/chart20.xml" ContentType="application/vnd.openxmlformats-officedocument.drawingml.chart+xml"/>
  <Override PartName="/xl/charts/style18.xml" ContentType="application/vnd.ms-office.chartstyle+xml"/>
  <Override PartName="/xl/charts/colors18.xml" ContentType="application/vnd.ms-office.chartcolorstyle+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threadedComments/threadedComment3.xml" ContentType="application/vnd.ms-excel.threadedcomments+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8.xml" ContentType="application/vnd.openxmlformats-officedocument.drawing+xml"/>
  <Override PartName="/xl/charts/chart32.xml" ContentType="application/vnd.openxmlformats-officedocument.drawingml.chart+xml"/>
  <Override PartName="/xl/charts/chart33.xml" ContentType="application/vnd.openxmlformats-officedocument.drawingml.chart+xml"/>
  <Override PartName="/xl/charts/style30.xml" ContentType="application/vnd.ms-office.chartstyle+xml"/>
  <Override PartName="/xl/charts/colors30.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9.xml" ContentType="application/vnd.openxmlformats-officedocument.drawing+xml"/>
  <Override PartName="/xl/charts/chart34.xml" ContentType="application/vnd.openxmlformats-officedocument.drawingml.chart+xml"/>
  <Override PartName="/xl/charts/style31.xml" ContentType="application/vnd.ms-office.chartstyle+xml"/>
  <Override PartName="/xl/charts/colors31.xml" ContentType="application/vnd.ms-office.chartcolorstyle+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Projects\TCO\MCC_KSA\"/>
    </mc:Choice>
  </mc:AlternateContent>
  <xr:revisionPtr revIDLastSave="0" documentId="13_ncr:1_{074E0EFD-042B-4009-AD0A-4DBB23D149D3}" xr6:coauthVersionLast="47" xr6:coauthVersionMax="47" xr10:uidLastSave="{00000000-0000-0000-0000-000000000000}"/>
  <bookViews>
    <workbookView xWindow="-110" yWindow="-110" windowWidth="38620" windowHeight="21100" tabRatio="892" activeTab="9" xr2:uid="{00000000-000D-0000-FFFF-FFFF00000000}"/>
  </bookViews>
  <sheets>
    <sheet name="Main" sheetId="10" r:id="rId1"/>
    <sheet name="BBPTACShadowWks0001" sheetId="17" state="veryHidden" r:id="rId2"/>
    <sheet name="TCO Calculation" sheetId="1" r:id="rId3"/>
    <sheet name="GHG Emissions" sheetId="28" r:id="rId4"/>
    <sheet name="Cash flow Analysis" sheetId="23" r:id="rId5"/>
    <sheet name="Cost Summary DCF" sheetId="27" r:id="rId6"/>
    <sheet name="Cost Summary Nominal" sheetId="9" r:id="rId7"/>
    <sheet name="Sensitivity Analysis" sheetId="14" r:id="rId8"/>
    <sheet name="Cost Projection" sheetId="12" r:id="rId9"/>
    <sheet name="Future Projection" sheetId="29" r:id="rId10"/>
    <sheet name="H2 FCV" sheetId="8" r:id="rId11"/>
    <sheet name="GHG FE &amp; Fuel " sheetId="7" r:id="rId12"/>
    <sheet name="GHG Electricity" sheetId="11" r:id="rId13"/>
    <sheet name="GHG Battery " sheetId="2" r:id="rId14"/>
    <sheet name="GHG Intensity Materials " sheetId="21" r:id="rId15"/>
    <sheet name="MCC Efficiency" sheetId="5" r:id="rId16"/>
    <sheet name="(B) Vehicle Production" sheetId="4" r:id="rId17"/>
    <sheet name="(B) Vehicle Fluid" sheetId="3" r:id="rId18"/>
    <sheet name="Discussions" sheetId="20" r:id="rId19"/>
  </sheets>
  <externalReferences>
    <externalReference r:id="rId20"/>
    <externalReference r:id="rId21"/>
  </externalReferences>
  <definedNames>
    <definedName name="_xleta.ABS" hidden="1" xlm="1">#NAME?</definedName>
    <definedName name="_xleta.COS" hidden="1" xlm="1">#NAME?</definedName>
    <definedName name="_xleta.LOOKUP" hidden="1" xlm="1">#NAME?</definedName>
    <definedName name="_xleta.MAX" hidden="1" xlm="1">#NAME?</definedName>
    <definedName name="_xleta.NOMINAL" hidden="1" xlm="1">#NAME?</definedName>
    <definedName name="_xleta.ROUND" hidden="1" xlm="1">#NAME?</definedName>
    <definedName name="_xleta.YEAR" hidden="1" xlm="1">#NAME?</definedName>
    <definedName name="BBPTAutoColor_Changed" localSheetId="2" hidden="1">TRUE</definedName>
    <definedName name="BBPTAutoColor_ShadowWksName" localSheetId="2" hidden="1">"BBPTACShadowWks0001"</definedName>
    <definedName name="solver_adj" localSheetId="2" hidden="1">'TCO Calculation'!$K$2</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100</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0</definedName>
    <definedName name="solver_nwt" localSheetId="2" hidden="1">1</definedName>
    <definedName name="solver_opt" localSheetId="2" hidden="1">'TCO Calculation'!$N$12</definedName>
    <definedName name="solver_pre" localSheetId="2" hidden="1">0.0001</definedName>
    <definedName name="solver_rbv" localSheetId="2" hidden="1">1</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100</definedName>
    <definedName name="solver_tol" localSheetId="2" hidden="1">0.01</definedName>
    <definedName name="solver_typ" localSheetId="2" hidden="1">3</definedName>
    <definedName name="solver_val" localSheetId="2" hidden="1">0</definedName>
    <definedName name="solver_ver" localSheetId="2" hidden="1">3</definedName>
    <definedName name="TZ" localSheetId="14">#REF!</definedName>
    <definedName name="TZ">#REF!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3" l="1"/>
  <c r="H18" i="28"/>
  <c r="I18" i="28" s="1"/>
  <c r="X14" i="12"/>
  <c r="X13" i="12"/>
  <c r="X10" i="12"/>
  <c r="X11" i="12"/>
  <c r="X12" i="12"/>
  <c r="BM6" i="12"/>
  <c r="BN6" i="12"/>
  <c r="BM7" i="12"/>
  <c r="BN7" i="12"/>
  <c r="BM8" i="12"/>
  <c r="BN8" i="12"/>
  <c r="BM9" i="12"/>
  <c r="BN9" i="12"/>
  <c r="BM10" i="12"/>
  <c r="BN10" i="12"/>
  <c r="BM11" i="12"/>
  <c r="BN11" i="12"/>
  <c r="BM12" i="12"/>
  <c r="BN12" i="12"/>
  <c r="BM13" i="12"/>
  <c r="BN13" i="12"/>
  <c r="BM14" i="12"/>
  <c r="BN14" i="12"/>
  <c r="BM15" i="12"/>
  <c r="BN15" i="12"/>
  <c r="BM16" i="12"/>
  <c r="BN16" i="12"/>
  <c r="BM17" i="12"/>
  <c r="BN17" i="12"/>
  <c r="BM18" i="12"/>
  <c r="BN18" i="12"/>
  <c r="BM19" i="12"/>
  <c r="BN19" i="12"/>
  <c r="BM20" i="12"/>
  <c r="BN20" i="12"/>
  <c r="BM21" i="12"/>
  <c r="BN21" i="12"/>
  <c r="BM22" i="12"/>
  <c r="BN22" i="12"/>
  <c r="BM23" i="12"/>
  <c r="BN23" i="12"/>
  <c r="BM24" i="12"/>
  <c r="BN24" i="12"/>
  <c r="BM25" i="12"/>
  <c r="BN25" i="12"/>
  <c r="BM26" i="12"/>
  <c r="BN26" i="12"/>
  <c r="BM27" i="12"/>
  <c r="BN27" i="12"/>
  <c r="BM28" i="12"/>
  <c r="BN28" i="12"/>
  <c r="BM29" i="12"/>
  <c r="BN29" i="12"/>
  <c r="BM30" i="12"/>
  <c r="BN30" i="12"/>
  <c r="BM31" i="12"/>
  <c r="BN31" i="12"/>
  <c r="BM32" i="12"/>
  <c r="BN32" i="12"/>
  <c r="BM33" i="12"/>
  <c r="BN33" i="12"/>
  <c r="BM34" i="12"/>
  <c r="BN34" i="12"/>
  <c r="BM35" i="12"/>
  <c r="BN35" i="12"/>
  <c r="BM36" i="12"/>
  <c r="BN36" i="12"/>
  <c r="BM37" i="12"/>
  <c r="BN37" i="12"/>
  <c r="BM38" i="12"/>
  <c r="BN38" i="12"/>
  <c r="BM39" i="12"/>
  <c r="BN39" i="12"/>
  <c r="BM40" i="12"/>
  <c r="BN40" i="12"/>
  <c r="BM41" i="12"/>
  <c r="BN41" i="12"/>
  <c r="BM42" i="12"/>
  <c r="BN42" i="12"/>
  <c r="BM43" i="12"/>
  <c r="BN43" i="12"/>
  <c r="BM44" i="12"/>
  <c r="BN44" i="12"/>
  <c r="BM45" i="12"/>
  <c r="BN45" i="12"/>
  <c r="BM46" i="12"/>
  <c r="BN46" i="12"/>
  <c r="BM47" i="12"/>
  <c r="BN47" i="12"/>
  <c r="BM48" i="12"/>
  <c r="BN48" i="12"/>
  <c r="BM49" i="12"/>
  <c r="BN49" i="12"/>
  <c r="BL7" i="12"/>
  <c r="BL8" i="12"/>
  <c r="BL9" i="12"/>
  <c r="BL19" i="12"/>
  <c r="BL34" i="12"/>
  <c r="BL6" i="12"/>
  <c r="E16" i="11"/>
  <c r="E11" i="11" s="1"/>
  <c r="F16" i="11"/>
  <c r="P16" i="11"/>
  <c r="U16" i="11"/>
  <c r="U11" i="11" s="1"/>
  <c r="Z16" i="11"/>
  <c r="Z11" i="11" s="1"/>
  <c r="AE16" i="11"/>
  <c r="AE11" i="11" s="1"/>
  <c r="AI16" i="11"/>
  <c r="AJ16" i="11"/>
  <c r="AJ11" i="11" s="1"/>
  <c r="AK16" i="11"/>
  <c r="D16" i="11"/>
  <c r="D11" i="11" s="1"/>
  <c r="P11" i="11"/>
  <c r="F11" i="11"/>
  <c r="K1" i="11"/>
  <c r="P1" i="11"/>
  <c r="U1" i="11"/>
  <c r="Z1" i="11"/>
  <c r="AJ1" i="11"/>
  <c r="AE1" i="11"/>
  <c r="AK12" i="11"/>
  <c r="AL12" i="11" s="1"/>
  <c r="AM12" i="11" s="1"/>
  <c r="AN12" i="11" s="1"/>
  <c r="AO12" i="11" s="1"/>
  <c r="AP12" i="11" s="1"/>
  <c r="AQ12" i="11" s="1"/>
  <c r="AR12" i="11" s="1"/>
  <c r="AS12" i="11" s="1"/>
  <c r="AT12" i="11" s="1"/>
  <c r="AK13" i="11"/>
  <c r="AL13" i="11"/>
  <c r="AM13" i="11" s="1"/>
  <c r="AN13" i="11" s="1"/>
  <c r="AO13" i="11" s="1"/>
  <c r="AP13" i="11" s="1"/>
  <c r="AQ13" i="11" s="1"/>
  <c r="AR13" i="11" s="1"/>
  <c r="AS13" i="11" s="1"/>
  <c r="AT13" i="11" s="1"/>
  <c r="AK14" i="11"/>
  <c r="AL14" i="11"/>
  <c r="AM14" i="11" s="1"/>
  <c r="AN14" i="11" s="1"/>
  <c r="AO14" i="11" s="1"/>
  <c r="AP14" i="11" s="1"/>
  <c r="AQ14" i="11" s="1"/>
  <c r="AR14" i="11" s="1"/>
  <c r="AS14" i="11" s="1"/>
  <c r="AT14" i="11" s="1"/>
  <c r="AK15" i="11"/>
  <c r="AL15" i="11" s="1"/>
  <c r="AM15" i="11" s="1"/>
  <c r="AN15" i="11" s="1"/>
  <c r="AO15" i="11" s="1"/>
  <c r="AP15" i="11" s="1"/>
  <c r="AQ15" i="11" s="1"/>
  <c r="AR15" i="11" s="1"/>
  <c r="AS15" i="11" s="1"/>
  <c r="AT15" i="11" s="1"/>
  <c r="AT16" i="11" s="1"/>
  <c r="AF12" i="11"/>
  <c r="AG12" i="11"/>
  <c r="AG16" i="11" s="1"/>
  <c r="AH12" i="11"/>
  <c r="AH16" i="11" s="1"/>
  <c r="AI12" i="11"/>
  <c r="AF13" i="11"/>
  <c r="AF16" i="11" s="1"/>
  <c r="AG13" i="11"/>
  <c r="AH13" i="11"/>
  <c r="AI13" i="11"/>
  <c r="AF14" i="11"/>
  <c r="AG14" i="11"/>
  <c r="AH14" i="11"/>
  <c r="AI14" i="11"/>
  <c r="AF15" i="11"/>
  <c r="AG15" i="11"/>
  <c r="AH15" i="11"/>
  <c r="AI15" i="11"/>
  <c r="AA12" i="11"/>
  <c r="AB12" i="11"/>
  <c r="AC12" i="11"/>
  <c r="AD12" i="11"/>
  <c r="AA13" i="11"/>
  <c r="AB13" i="11"/>
  <c r="AC13" i="11"/>
  <c r="AD13" i="11"/>
  <c r="AA14" i="11"/>
  <c r="AB14" i="11"/>
  <c r="AC14" i="11"/>
  <c r="AD14" i="11"/>
  <c r="AA15" i="11"/>
  <c r="AA16" i="11" s="1"/>
  <c r="AB15" i="11"/>
  <c r="AB16" i="11" s="1"/>
  <c r="AC15" i="11"/>
  <c r="AC16" i="11" s="1"/>
  <c r="AD15" i="11"/>
  <c r="AD16" i="11" s="1"/>
  <c r="V12" i="11"/>
  <c r="W12" i="11"/>
  <c r="W16" i="11" s="1"/>
  <c r="X12" i="11"/>
  <c r="X16" i="11" s="1"/>
  <c r="Y12" i="11"/>
  <c r="Y16" i="11" s="1"/>
  <c r="V13" i="11"/>
  <c r="W13" i="11"/>
  <c r="X13" i="11"/>
  <c r="Y13" i="11"/>
  <c r="V14" i="11"/>
  <c r="W14" i="11"/>
  <c r="X14" i="11"/>
  <c r="Y14" i="11"/>
  <c r="V15" i="11"/>
  <c r="V16" i="11" s="1"/>
  <c r="W15" i="11"/>
  <c r="X15" i="11"/>
  <c r="Y15" i="11"/>
  <c r="Q12" i="11"/>
  <c r="R12" i="11"/>
  <c r="S12" i="11"/>
  <c r="T12" i="11"/>
  <c r="Q13" i="11"/>
  <c r="R13" i="11"/>
  <c r="S13" i="11"/>
  <c r="T13" i="11"/>
  <c r="Q14" i="11"/>
  <c r="R14" i="11"/>
  <c r="S14" i="11"/>
  <c r="T14" i="11"/>
  <c r="Q15" i="11"/>
  <c r="Q16" i="11" s="1"/>
  <c r="R15" i="11"/>
  <c r="R16" i="11" s="1"/>
  <c r="S15" i="11"/>
  <c r="S16" i="11" s="1"/>
  <c r="T15" i="11"/>
  <c r="T16" i="11" s="1"/>
  <c r="L12" i="11"/>
  <c r="M12" i="11"/>
  <c r="N12" i="11"/>
  <c r="O12" i="11"/>
  <c r="L13" i="11"/>
  <c r="M13" i="11"/>
  <c r="N13" i="11"/>
  <c r="O13" i="11"/>
  <c r="L14" i="11"/>
  <c r="M14" i="11"/>
  <c r="N14" i="11"/>
  <c r="O14" i="11"/>
  <c r="G12" i="11"/>
  <c r="H12" i="11"/>
  <c r="I12" i="11"/>
  <c r="J12" i="11"/>
  <c r="G13" i="11"/>
  <c r="H13" i="11"/>
  <c r="I13" i="11"/>
  <c r="J13" i="11"/>
  <c r="G14" i="11"/>
  <c r="H14" i="11"/>
  <c r="I14" i="11"/>
  <c r="J14" i="11"/>
  <c r="K15" i="11"/>
  <c r="AW1" i="11"/>
  <c r="A2" i="11"/>
  <c r="C3" i="11" s="1"/>
  <c r="AG3" i="11"/>
  <c r="AH3" i="11"/>
  <c r="AI3" i="11"/>
  <c r="AF3" i="11"/>
  <c r="AB3" i="11"/>
  <c r="AC3" i="11"/>
  <c r="AD3" i="11"/>
  <c r="AA3" i="11"/>
  <c r="AA1" i="11" s="1"/>
  <c r="W3" i="11"/>
  <c r="X3" i="11"/>
  <c r="Y3" i="11"/>
  <c r="T3" i="11"/>
  <c r="R3" i="11"/>
  <c r="S3" i="11"/>
  <c r="Q3" i="11"/>
  <c r="V3" i="11"/>
  <c r="M3" i="11"/>
  <c r="N3" i="11"/>
  <c r="O3" i="11"/>
  <c r="L3" i="11"/>
  <c r="G17" i="28"/>
  <c r="E34" i="12"/>
  <c r="AR16" i="11" l="1"/>
  <c r="O15" i="11"/>
  <c r="O16" i="11" s="1"/>
  <c r="AS16" i="11"/>
  <c r="AQ16" i="11"/>
  <c r="K16" i="11"/>
  <c r="K11" i="11" s="1"/>
  <c r="AP16" i="11"/>
  <c r="AO16" i="11"/>
  <c r="AO11" i="11" s="1"/>
  <c r="AN16" i="11"/>
  <c r="AM16" i="11"/>
  <c r="AL16" i="11"/>
  <c r="AE10" i="11"/>
  <c r="U10" i="11"/>
  <c r="Z10" i="11"/>
  <c r="AJ10" i="11"/>
  <c r="V1" i="11"/>
  <c r="Q1" i="11"/>
  <c r="S1" i="11"/>
  <c r="T1" i="11"/>
  <c r="Y1" i="11"/>
  <c r="X1" i="11"/>
  <c r="W1" i="11"/>
  <c r="AD1" i="11"/>
  <c r="AC1" i="11"/>
  <c r="AG1" i="11"/>
  <c r="AB1" i="11"/>
  <c r="AK1" i="11" s="1"/>
  <c r="AL1" i="11" s="1"/>
  <c r="AM1" i="11" s="1"/>
  <c r="AN1" i="11" s="1"/>
  <c r="AN3" i="11" s="1"/>
  <c r="R1" i="11"/>
  <c r="AH1" i="11"/>
  <c r="AF1" i="11"/>
  <c r="AI1" i="11"/>
  <c r="J15" i="11"/>
  <c r="J16" i="11" s="1"/>
  <c r="I15" i="11"/>
  <c r="I16" i="11" s="1"/>
  <c r="H15" i="11"/>
  <c r="H16" i="11" s="1"/>
  <c r="G15" i="11"/>
  <c r="G16" i="11" s="1"/>
  <c r="N15" i="11"/>
  <c r="N16" i="11" s="1"/>
  <c r="M15" i="11"/>
  <c r="M16" i="11" s="1"/>
  <c r="L15" i="11"/>
  <c r="L16" i="11" s="1"/>
  <c r="AW3" i="11"/>
  <c r="K10" i="11" l="1"/>
  <c r="C11" i="11"/>
  <c r="AO10" i="11"/>
  <c r="AN11" i="11"/>
  <c r="AK11" i="11"/>
  <c r="AL11" i="11"/>
  <c r="AM11" i="11"/>
  <c r="AO1" i="11"/>
  <c r="AP1" i="11" s="1"/>
  <c r="AQ1" i="11" s="1"/>
  <c r="AR1" i="11" s="1"/>
  <c r="AS1" i="11" s="1"/>
  <c r="AT1" i="11" s="1"/>
  <c r="AL3" i="11"/>
  <c r="AM3" i="11"/>
  <c r="AK3" i="11"/>
  <c r="P10" i="11"/>
  <c r="AW4" i="11"/>
  <c r="AX3" i="11"/>
  <c r="M11" i="11"/>
  <c r="N11" i="11"/>
  <c r="L11" i="11"/>
  <c r="O11" i="11"/>
  <c r="Y11" i="11"/>
  <c r="X11" i="11"/>
  <c r="W11" i="11"/>
  <c r="V11" i="11"/>
  <c r="AG11" i="11"/>
  <c r="AF11" i="11"/>
  <c r="AI11" i="11"/>
  <c r="AH11" i="11"/>
  <c r="H11" i="11"/>
  <c r="J11" i="11"/>
  <c r="I11" i="11"/>
  <c r="G11" i="11"/>
  <c r="T11" i="11"/>
  <c r="Q11" i="11"/>
  <c r="Q10" i="11" s="1"/>
  <c r="S11" i="11"/>
  <c r="R11" i="11"/>
  <c r="AC11" i="11"/>
  <c r="AB11" i="11"/>
  <c r="AD11" i="11"/>
  <c r="AA11" i="11"/>
  <c r="S10" i="11" l="1"/>
  <c r="R10" i="11"/>
  <c r="T10" i="11"/>
  <c r="AL10" i="11"/>
  <c r="AD10" i="11"/>
  <c r="AK10" i="11"/>
  <c r="AB10" i="11"/>
  <c r="AN10" i="11"/>
  <c r="AC10" i="11"/>
  <c r="Y10" i="11"/>
  <c r="AR3" i="11"/>
  <c r="AP3" i="11"/>
  <c r="AO3" i="11"/>
  <c r="AA10" i="11"/>
  <c r="AM10" i="11"/>
  <c r="AT3" i="11"/>
  <c r="AS3" i="11"/>
  <c r="AQ3" i="11"/>
  <c r="L10" i="11"/>
  <c r="AH10" i="11"/>
  <c r="AI10" i="11"/>
  <c r="AF10" i="11"/>
  <c r="AG10" i="11"/>
  <c r="V10" i="11"/>
  <c r="W10" i="11"/>
  <c r="X10" i="11"/>
  <c r="O10" i="11"/>
  <c r="N10" i="11"/>
  <c r="M10" i="11"/>
  <c r="AW5" i="11"/>
  <c r="AX4" i="11"/>
  <c r="AP10" i="11" l="1"/>
  <c r="AW6" i="11"/>
  <c r="AX5" i="11"/>
  <c r="AP11" i="11" l="1"/>
  <c r="AQ10" i="11"/>
  <c r="AW7" i="11"/>
  <c r="AX6" i="11"/>
  <c r="AR10" i="11" l="1"/>
  <c r="AQ11" i="11"/>
  <c r="AW8" i="11"/>
  <c r="AX7" i="11"/>
  <c r="AS10" i="11" l="1"/>
  <c r="AR11" i="11"/>
  <c r="AW9" i="11"/>
  <c r="AX8" i="11"/>
  <c r="AT10" i="11" l="1"/>
  <c r="AT11" i="11" s="1"/>
  <c r="AS11" i="11"/>
  <c r="AW10" i="11"/>
  <c r="AX9" i="11"/>
  <c r="AW11" i="11" l="1"/>
  <c r="AX10" i="11"/>
  <c r="AW12" i="11" l="1"/>
  <c r="AX11" i="11"/>
  <c r="AW13" i="11" l="1"/>
  <c r="AX12" i="11"/>
  <c r="AW14" i="11" l="1"/>
  <c r="AX13" i="11"/>
  <c r="AX14" i="11" l="1"/>
  <c r="AW15" i="11"/>
  <c r="AW16" i="11" l="1"/>
  <c r="AX15" i="11"/>
  <c r="AX16" i="11" l="1"/>
  <c r="AW17" i="11"/>
  <c r="AX17" i="11" l="1"/>
  <c r="J247" i="23" s="1"/>
  <c r="AW18" i="11"/>
  <c r="AX18" i="11" l="1"/>
  <c r="AW19" i="11"/>
  <c r="AX19" i="11" l="1"/>
  <c r="AW20" i="11"/>
  <c r="AX20" i="11" l="1"/>
  <c r="AW21" i="11"/>
  <c r="AX21" i="11" l="1"/>
  <c r="AW22" i="11"/>
  <c r="AX22" i="11" l="1"/>
  <c r="AW23" i="11"/>
  <c r="AX23" i="11" l="1"/>
  <c r="AW24" i="11"/>
  <c r="AX24" i="11" l="1"/>
  <c r="AW25" i="11"/>
  <c r="AX25" i="11" l="1"/>
  <c r="AW26" i="11"/>
  <c r="AX26" i="11" l="1"/>
  <c r="AW27" i="11"/>
  <c r="AX27" i="11" l="1"/>
  <c r="AW28" i="11"/>
  <c r="AX28" i="11" l="1"/>
  <c r="AW29" i="11"/>
  <c r="AX29" i="11" l="1"/>
  <c r="AW30" i="11"/>
  <c r="AX30" i="11" l="1"/>
  <c r="AW31" i="11"/>
  <c r="AX31" i="11" l="1"/>
  <c r="AW32" i="11"/>
  <c r="AX32" i="11" l="1"/>
  <c r="AW33" i="11"/>
  <c r="AX33" i="11" s="1"/>
  <c r="N2" i="1" l="1"/>
  <c r="J3" i="29"/>
  <c r="K3" i="29"/>
  <c r="L3" i="29"/>
  <c r="M3" i="29"/>
  <c r="N3" i="29"/>
  <c r="O3" i="29"/>
  <c r="P3" i="29"/>
  <c r="J4" i="29"/>
  <c r="K4" i="29"/>
  <c r="L4" i="29"/>
  <c r="M4" i="29"/>
  <c r="N4" i="29"/>
  <c r="O4" i="29"/>
  <c r="P4" i="29"/>
  <c r="J5" i="29"/>
  <c r="K5" i="29"/>
  <c r="L5" i="29"/>
  <c r="M5" i="29"/>
  <c r="N5" i="29"/>
  <c r="O5" i="29"/>
  <c r="P5" i="29"/>
  <c r="J6" i="29"/>
  <c r="K6" i="29"/>
  <c r="L6" i="29"/>
  <c r="M6" i="29"/>
  <c r="N6" i="29"/>
  <c r="O6" i="29"/>
  <c r="P6" i="29"/>
  <c r="J7" i="29"/>
  <c r="K7" i="29"/>
  <c r="L7" i="29"/>
  <c r="M7" i="29"/>
  <c r="N7" i="29"/>
  <c r="O7" i="29"/>
  <c r="P7" i="29"/>
  <c r="J8" i="29"/>
  <c r="K8" i="29"/>
  <c r="L8" i="29"/>
  <c r="M8" i="29"/>
  <c r="N8" i="29"/>
  <c r="O8" i="29"/>
  <c r="P8" i="29"/>
  <c r="J9" i="29"/>
  <c r="K9" i="29"/>
  <c r="L9" i="29"/>
  <c r="M9" i="29"/>
  <c r="N9" i="29"/>
  <c r="O9" i="29"/>
  <c r="P9" i="29"/>
  <c r="J10" i="29"/>
  <c r="K10" i="29"/>
  <c r="L10" i="29"/>
  <c r="M10" i="29"/>
  <c r="N10" i="29"/>
  <c r="O10" i="29"/>
  <c r="P10" i="29"/>
  <c r="J11" i="29"/>
  <c r="K11" i="29"/>
  <c r="L11" i="29"/>
  <c r="M11" i="29"/>
  <c r="N11" i="29"/>
  <c r="O11" i="29"/>
  <c r="P11" i="29"/>
  <c r="J12" i="29"/>
  <c r="K12" i="29"/>
  <c r="L12" i="29"/>
  <c r="M12" i="29"/>
  <c r="N12" i="29"/>
  <c r="O12" i="29"/>
  <c r="P12" i="29"/>
  <c r="J13" i="29"/>
  <c r="K13" i="29"/>
  <c r="L13" i="29"/>
  <c r="M13" i="29"/>
  <c r="N13" i="29"/>
  <c r="O13" i="29"/>
  <c r="P13" i="29"/>
  <c r="J14" i="29"/>
  <c r="K14" i="29"/>
  <c r="L14" i="29"/>
  <c r="M14" i="29"/>
  <c r="N14" i="29"/>
  <c r="O14" i="29"/>
  <c r="P14" i="29"/>
  <c r="J15" i="29"/>
  <c r="K15" i="29"/>
  <c r="L15" i="29"/>
  <c r="M15" i="29"/>
  <c r="N15" i="29"/>
  <c r="O15" i="29"/>
  <c r="P15" i="29"/>
  <c r="J16" i="29"/>
  <c r="K16" i="29"/>
  <c r="L16" i="29"/>
  <c r="M16" i="29"/>
  <c r="N16" i="29"/>
  <c r="O16" i="29"/>
  <c r="P16" i="29"/>
  <c r="J17" i="29"/>
  <c r="K17" i="29"/>
  <c r="L17" i="29"/>
  <c r="M17" i="29"/>
  <c r="N17" i="29"/>
  <c r="O17" i="29"/>
  <c r="P17" i="29"/>
  <c r="J18" i="29"/>
  <c r="K18" i="29"/>
  <c r="L18" i="29"/>
  <c r="M18" i="29"/>
  <c r="N18" i="29"/>
  <c r="O18" i="29"/>
  <c r="P18" i="29"/>
  <c r="J19" i="29"/>
  <c r="K19" i="29"/>
  <c r="L19" i="29"/>
  <c r="M19" i="29"/>
  <c r="N19" i="29"/>
  <c r="O19" i="29"/>
  <c r="P19" i="29"/>
  <c r="J20" i="29"/>
  <c r="K20" i="29"/>
  <c r="L20" i="29"/>
  <c r="M20" i="29"/>
  <c r="N20" i="29"/>
  <c r="O20" i="29"/>
  <c r="P20" i="29"/>
  <c r="J21" i="29"/>
  <c r="K21" i="29"/>
  <c r="L21" i="29"/>
  <c r="M21" i="29"/>
  <c r="N21" i="29"/>
  <c r="O21" i="29"/>
  <c r="P21" i="29"/>
  <c r="J22" i="29"/>
  <c r="K22" i="29"/>
  <c r="L22" i="29"/>
  <c r="M22" i="29"/>
  <c r="N22" i="29"/>
  <c r="O22" i="29"/>
  <c r="P22" i="29"/>
  <c r="J23" i="29"/>
  <c r="K23" i="29"/>
  <c r="L23" i="29"/>
  <c r="M23" i="29"/>
  <c r="N23" i="29"/>
  <c r="O23" i="29"/>
  <c r="P23" i="29"/>
  <c r="J24" i="29"/>
  <c r="K24" i="29"/>
  <c r="L24" i="29"/>
  <c r="M24" i="29"/>
  <c r="N24" i="29"/>
  <c r="O24" i="29"/>
  <c r="P24" i="29"/>
  <c r="J25" i="29"/>
  <c r="K25" i="29"/>
  <c r="L25" i="29"/>
  <c r="M25" i="29"/>
  <c r="N25" i="29"/>
  <c r="O25" i="29"/>
  <c r="P25" i="29"/>
  <c r="J26" i="29"/>
  <c r="K26" i="29"/>
  <c r="L26" i="29"/>
  <c r="M26" i="29"/>
  <c r="N26" i="29"/>
  <c r="O26" i="29"/>
  <c r="P26" i="29"/>
  <c r="J27" i="29"/>
  <c r="K27" i="29"/>
  <c r="L27" i="29"/>
  <c r="M27" i="29"/>
  <c r="N27" i="29"/>
  <c r="O27" i="29"/>
  <c r="P27" i="29"/>
  <c r="K2" i="29"/>
  <c r="L2" i="29"/>
  <c r="M2" i="29"/>
  <c r="N2" i="29"/>
  <c r="O2" i="29"/>
  <c r="P2" i="29"/>
  <c r="J2" i="29"/>
  <c r="S2" i="29"/>
  <c r="T2" i="29"/>
  <c r="U2" i="29"/>
  <c r="V2" i="29"/>
  <c r="W2" i="29"/>
  <c r="X2" i="29"/>
  <c r="Y2" i="29"/>
  <c r="S3" i="29"/>
  <c r="T3" i="29"/>
  <c r="U3" i="29"/>
  <c r="V3" i="29"/>
  <c r="W3" i="29"/>
  <c r="X3" i="29"/>
  <c r="Y3" i="29"/>
  <c r="S4" i="29"/>
  <c r="T4" i="29"/>
  <c r="U4" i="29"/>
  <c r="V4" i="29"/>
  <c r="W4" i="29"/>
  <c r="X4" i="29"/>
  <c r="Y4" i="29"/>
  <c r="S5" i="29"/>
  <c r="T5" i="29"/>
  <c r="U5" i="29"/>
  <c r="V5" i="29"/>
  <c r="W5" i="29"/>
  <c r="X5" i="29"/>
  <c r="Y5" i="29"/>
  <c r="S6" i="29"/>
  <c r="T6" i="29"/>
  <c r="U6" i="29"/>
  <c r="V6" i="29"/>
  <c r="W6" i="29"/>
  <c r="X6" i="29"/>
  <c r="Y6" i="29"/>
  <c r="S7" i="29"/>
  <c r="T7" i="29"/>
  <c r="U7" i="29"/>
  <c r="V7" i="29"/>
  <c r="W7" i="29"/>
  <c r="X7" i="29"/>
  <c r="Y7" i="29"/>
  <c r="S8" i="29"/>
  <c r="T8" i="29"/>
  <c r="U8" i="29"/>
  <c r="V8" i="29"/>
  <c r="W8" i="29"/>
  <c r="X8" i="29"/>
  <c r="Y8" i="29"/>
  <c r="S9" i="29"/>
  <c r="T9" i="29"/>
  <c r="U9" i="29"/>
  <c r="V9" i="29"/>
  <c r="W9" i="29"/>
  <c r="X9" i="29"/>
  <c r="Y9" i="29"/>
  <c r="S10" i="29"/>
  <c r="T10" i="29"/>
  <c r="U10" i="29"/>
  <c r="V10" i="29"/>
  <c r="W10" i="29"/>
  <c r="X10" i="29"/>
  <c r="Y10" i="29"/>
  <c r="S11" i="29"/>
  <c r="T11" i="29"/>
  <c r="U11" i="29"/>
  <c r="V11" i="29"/>
  <c r="W11" i="29"/>
  <c r="X11" i="29"/>
  <c r="Y11" i="29"/>
  <c r="S12" i="29"/>
  <c r="T12" i="29"/>
  <c r="U12" i="29"/>
  <c r="V12" i="29"/>
  <c r="W12" i="29"/>
  <c r="X12" i="29"/>
  <c r="Y12" i="29"/>
  <c r="S13" i="29"/>
  <c r="T13" i="29"/>
  <c r="U13" i="29"/>
  <c r="V13" i="29"/>
  <c r="W13" i="29"/>
  <c r="X13" i="29"/>
  <c r="Y13" i="29"/>
  <c r="S14" i="29"/>
  <c r="T14" i="29"/>
  <c r="U14" i="29"/>
  <c r="V14" i="29"/>
  <c r="W14" i="29"/>
  <c r="X14" i="29"/>
  <c r="Y14" i="29"/>
  <c r="S15" i="29"/>
  <c r="T15" i="29"/>
  <c r="U15" i="29"/>
  <c r="V15" i="29"/>
  <c r="W15" i="29"/>
  <c r="X15" i="29"/>
  <c r="Y15" i="29"/>
  <c r="S16" i="29"/>
  <c r="T16" i="29"/>
  <c r="U16" i="29"/>
  <c r="V16" i="29"/>
  <c r="W16" i="29"/>
  <c r="X16" i="29"/>
  <c r="Y16" i="29"/>
  <c r="S17" i="29"/>
  <c r="T17" i="29"/>
  <c r="U17" i="29"/>
  <c r="V17" i="29"/>
  <c r="W17" i="29"/>
  <c r="X17" i="29"/>
  <c r="Y17" i="29"/>
  <c r="S18" i="29"/>
  <c r="T18" i="29"/>
  <c r="U18" i="29"/>
  <c r="V18" i="29"/>
  <c r="W18" i="29"/>
  <c r="X18" i="29"/>
  <c r="Y18" i="29"/>
  <c r="S19" i="29"/>
  <c r="T19" i="29"/>
  <c r="U19" i="29"/>
  <c r="V19" i="29"/>
  <c r="W19" i="29"/>
  <c r="X19" i="29"/>
  <c r="Y19" i="29"/>
  <c r="S20" i="29"/>
  <c r="T20" i="29"/>
  <c r="U20" i="29"/>
  <c r="V20" i="29"/>
  <c r="W20" i="29"/>
  <c r="X20" i="29"/>
  <c r="Y20" i="29"/>
  <c r="S21" i="29"/>
  <c r="T21" i="29"/>
  <c r="U21" i="29"/>
  <c r="V21" i="29"/>
  <c r="W21" i="29"/>
  <c r="X21" i="29"/>
  <c r="Y21" i="29"/>
  <c r="S22" i="29"/>
  <c r="T22" i="29"/>
  <c r="U22" i="29"/>
  <c r="V22" i="29"/>
  <c r="W22" i="29"/>
  <c r="X22" i="29"/>
  <c r="Y22" i="29"/>
  <c r="S23" i="29"/>
  <c r="T23" i="29"/>
  <c r="U23" i="29"/>
  <c r="V23" i="29"/>
  <c r="W23" i="29"/>
  <c r="X23" i="29"/>
  <c r="Y23" i="29"/>
  <c r="S24" i="29"/>
  <c r="T24" i="29"/>
  <c r="U24" i="29"/>
  <c r="V24" i="29"/>
  <c r="W24" i="29"/>
  <c r="X24" i="29"/>
  <c r="Y24" i="29"/>
  <c r="S25" i="29"/>
  <c r="T25" i="29"/>
  <c r="U25" i="29"/>
  <c r="V25" i="29"/>
  <c r="W25" i="29"/>
  <c r="X25" i="29"/>
  <c r="Y25" i="29"/>
  <c r="S26" i="29"/>
  <c r="T26" i="29"/>
  <c r="U26" i="29"/>
  <c r="V26" i="29"/>
  <c r="W26" i="29"/>
  <c r="X26" i="29"/>
  <c r="Y26" i="29"/>
  <c r="S27" i="29"/>
  <c r="T27" i="29"/>
  <c r="U27" i="29"/>
  <c r="V27" i="29"/>
  <c r="W27" i="29"/>
  <c r="X27" i="29"/>
  <c r="Y27" i="29"/>
  <c r="J35" i="12"/>
  <c r="J36" i="12"/>
  <c r="J37" i="12"/>
  <c r="J38" i="12"/>
  <c r="J39" i="12" s="1"/>
  <c r="J40" i="12" s="1"/>
  <c r="J41" i="12" s="1"/>
  <c r="J42" i="12" s="1"/>
  <c r="J43" i="12" s="1"/>
  <c r="J44" i="12" s="1"/>
  <c r="J45" i="12" s="1"/>
  <c r="J46" i="12" s="1"/>
  <c r="J47" i="12" s="1"/>
  <c r="J48" i="12" s="1"/>
  <c r="J49" i="12" s="1"/>
  <c r="J20" i="12"/>
  <c r="J21" i="12"/>
  <c r="J22" i="12"/>
  <c r="J23" i="12"/>
  <c r="J24" i="12"/>
  <c r="J25" i="12"/>
  <c r="J26" i="12"/>
  <c r="J27" i="12"/>
  <c r="J28" i="12"/>
  <c r="J29" i="12"/>
  <c r="J30" i="12"/>
  <c r="J31" i="12"/>
  <c r="J32" i="12"/>
  <c r="J33" i="12"/>
  <c r="J10" i="12"/>
  <c r="J11" i="12"/>
  <c r="J12" i="12"/>
  <c r="J13" i="12"/>
  <c r="J14" i="12"/>
  <c r="J15" i="12"/>
  <c r="J16" i="12"/>
  <c r="J17" i="12"/>
  <c r="J18" i="12"/>
  <c r="B8" i="1" l="1"/>
  <c r="E8" i="28"/>
  <c r="E17" i="28"/>
  <c r="E26" i="28"/>
  <c r="E27" i="28" s="1"/>
  <c r="D27" i="28"/>
  <c r="D8" i="28"/>
  <c r="H27" i="28"/>
  <c r="F27" i="28"/>
  <c r="D18" i="28"/>
  <c r="C18" i="28"/>
  <c r="B11" i="28"/>
  <c r="B20" i="28" s="1"/>
  <c r="B29" i="28" s="1"/>
  <c r="B12" i="28"/>
  <c r="B21" i="28" s="1"/>
  <c r="B30" i="28" s="1"/>
  <c r="E136" i="1"/>
  <c r="F136" i="1" s="1"/>
  <c r="H9" i="28"/>
  <c r="C9" i="28"/>
  <c r="I26" i="28"/>
  <c r="I27" i="28" s="1"/>
  <c r="G26" i="28"/>
  <c r="G27" i="28" s="1"/>
  <c r="I17" i="28"/>
  <c r="I8" i="28"/>
  <c r="I9" i="28" s="1"/>
  <c r="G8" i="28"/>
  <c r="I12" i="1"/>
  <c r="K12" i="1"/>
  <c r="H1" i="23"/>
  <c r="I1" i="23"/>
  <c r="J1" i="23"/>
  <c r="K1" i="23"/>
  <c r="L1" i="23"/>
  <c r="M1" i="23"/>
  <c r="N1" i="23"/>
  <c r="O1" i="23"/>
  <c r="P1" i="23"/>
  <c r="Q1" i="23"/>
  <c r="S1" i="23"/>
  <c r="T1" i="23"/>
  <c r="U1" i="23"/>
  <c r="V1" i="23"/>
  <c r="X35" i="12"/>
  <c r="X36" i="12" s="1"/>
  <c r="X37" i="12" s="1"/>
  <c r="X38" i="12" s="1"/>
  <c r="X39" i="12" s="1"/>
  <c r="X40" i="12" s="1"/>
  <c r="X41" i="12" s="1"/>
  <c r="X42" i="12" s="1"/>
  <c r="X43" i="12" s="1"/>
  <c r="X44" i="12" s="1"/>
  <c r="X45" i="12" s="1"/>
  <c r="X46" i="12" s="1"/>
  <c r="X47" i="12" s="1"/>
  <c r="X48" i="12" s="1"/>
  <c r="X49" i="12" s="1"/>
  <c r="Y35" i="12"/>
  <c r="Y36" i="12"/>
  <c r="Y37" i="12"/>
  <c r="Y38" i="12"/>
  <c r="Y39" i="12" s="1"/>
  <c r="Y40" i="12" s="1"/>
  <c r="Y41" i="12" s="1"/>
  <c r="Y42" i="12" s="1"/>
  <c r="Y43" i="12" s="1"/>
  <c r="Y44" i="12" s="1"/>
  <c r="Y45" i="12" s="1"/>
  <c r="Y46" i="12" s="1"/>
  <c r="Y47" i="12" s="1"/>
  <c r="Y48" i="12" s="1"/>
  <c r="Y49" i="12" s="1"/>
  <c r="X20" i="12"/>
  <c r="Y20" i="12"/>
  <c r="X21" i="12"/>
  <c r="Y21" i="12"/>
  <c r="X22" i="12"/>
  <c r="Y22" i="12"/>
  <c r="X23" i="12"/>
  <c r="Y23" i="12"/>
  <c r="X24" i="12"/>
  <c r="Y24" i="12"/>
  <c r="X25" i="12"/>
  <c r="Y25" i="12"/>
  <c r="X26" i="12"/>
  <c r="Y26" i="12"/>
  <c r="X27" i="12"/>
  <c r="Y27" i="12"/>
  <c r="X28" i="12"/>
  <c r="Y28" i="12"/>
  <c r="X29" i="12"/>
  <c r="Y29" i="12"/>
  <c r="X30" i="12"/>
  <c r="Y30" i="12"/>
  <c r="X31" i="12"/>
  <c r="Y31" i="12"/>
  <c r="X32" i="12"/>
  <c r="Y32" i="12"/>
  <c r="X33" i="12"/>
  <c r="Y33" i="12"/>
  <c r="Y10" i="12"/>
  <c r="Y11" i="12"/>
  <c r="Y12" i="12"/>
  <c r="Y13" i="12"/>
  <c r="Y14" i="12"/>
  <c r="X15" i="12"/>
  <c r="Y15" i="12"/>
  <c r="X16" i="12"/>
  <c r="Y16" i="12"/>
  <c r="X17" i="12"/>
  <c r="Y17" i="12"/>
  <c r="X18" i="12"/>
  <c r="Y18" i="12"/>
  <c r="I8" i="1"/>
  <c r="I63" i="1" s="1"/>
  <c r="H63" i="1" s="1"/>
  <c r="BG10" i="12"/>
  <c r="BG11" i="12" s="1"/>
  <c r="BG12" i="12" s="1"/>
  <c r="BG13" i="12" s="1"/>
  <c r="BG14" i="12" s="1"/>
  <c r="BG15" i="12" s="1"/>
  <c r="BG16" i="12" s="1"/>
  <c r="BG17" i="12" s="1"/>
  <c r="BG18" i="12" s="1"/>
  <c r="BG19" i="12" s="1"/>
  <c r="BG20" i="12" s="1"/>
  <c r="BG21" i="12" s="1"/>
  <c r="BG22" i="12" s="1"/>
  <c r="BG23" i="12" s="1"/>
  <c r="BG24" i="12" s="1"/>
  <c r="BG25" i="12" s="1"/>
  <c r="BG26" i="12" s="1"/>
  <c r="BG27" i="12" s="1"/>
  <c r="BG28" i="12" s="1"/>
  <c r="BG29" i="12" s="1"/>
  <c r="BG30" i="12" s="1"/>
  <c r="BG31" i="12" s="1"/>
  <c r="BG32" i="12" s="1"/>
  <c r="BG33" i="12" s="1"/>
  <c r="BG34" i="12" s="1"/>
  <c r="BG35" i="12" s="1"/>
  <c r="BG36" i="12" s="1"/>
  <c r="BG37" i="12" s="1"/>
  <c r="BG38" i="12" s="1"/>
  <c r="BG39" i="12" s="1"/>
  <c r="BG40" i="12" s="1"/>
  <c r="BG41" i="12" s="1"/>
  <c r="BG42" i="12" s="1"/>
  <c r="BG43" i="12" s="1"/>
  <c r="BG44" i="12" s="1"/>
  <c r="BG45" i="12" s="1"/>
  <c r="BG46" i="12" s="1"/>
  <c r="BG47" i="12" s="1"/>
  <c r="BG48" i="12" s="1"/>
  <c r="BG49" i="12" s="1"/>
  <c r="BN61" i="12"/>
  <c r="W35" i="12"/>
  <c r="W36" i="12" s="1"/>
  <c r="W33" i="12"/>
  <c r="W32" i="12"/>
  <c r="W31" i="12"/>
  <c r="W30" i="12"/>
  <c r="W29" i="12"/>
  <c r="W28" i="12"/>
  <c r="W27" i="12"/>
  <c r="W26" i="12"/>
  <c r="W25" i="12"/>
  <c r="W24" i="12"/>
  <c r="W23" i="12"/>
  <c r="W22" i="12"/>
  <c r="W21" i="12"/>
  <c r="W20" i="12"/>
  <c r="W18" i="12"/>
  <c r="W17" i="12"/>
  <c r="W16" i="12"/>
  <c r="W15" i="12"/>
  <c r="W14" i="12"/>
  <c r="W13" i="12"/>
  <c r="W12" i="12"/>
  <c r="W11" i="12"/>
  <c r="W10" i="12"/>
  <c r="AR10" i="12"/>
  <c r="AS10" i="12"/>
  <c r="AT10" i="12"/>
  <c r="AU10" i="12"/>
  <c r="AV10" i="12"/>
  <c r="AW10" i="12"/>
  <c r="AX10" i="12"/>
  <c r="AY10" i="12"/>
  <c r="AZ10" i="12"/>
  <c r="BF10" i="12"/>
  <c r="BH10" i="12"/>
  <c r="BL10" i="12" s="1"/>
  <c r="BJ10" i="12"/>
  <c r="BI10" i="12"/>
  <c r="AR11" i="12"/>
  <c r="AS11" i="12"/>
  <c r="AT11" i="12"/>
  <c r="AU11" i="12"/>
  <c r="AV11" i="12"/>
  <c r="AW11" i="12"/>
  <c r="AX11" i="12"/>
  <c r="AY11" i="12"/>
  <c r="AZ11" i="12"/>
  <c r="BF11" i="12"/>
  <c r="BH11" i="12"/>
  <c r="BL11" i="12" s="1"/>
  <c r="BJ11" i="12"/>
  <c r="BI11" i="12"/>
  <c r="AR12" i="12"/>
  <c r="AS12" i="12"/>
  <c r="AT12" i="12"/>
  <c r="AU12" i="12"/>
  <c r="AV12" i="12"/>
  <c r="AW12" i="12"/>
  <c r="AX12" i="12"/>
  <c r="AY12" i="12"/>
  <c r="AZ12" i="12"/>
  <c r="BF12" i="12"/>
  <c r="BH12" i="12"/>
  <c r="BL12" i="12" s="1"/>
  <c r="BJ12" i="12"/>
  <c r="BI12" i="12"/>
  <c r="AR13" i="12"/>
  <c r="AS13" i="12"/>
  <c r="AT13" i="12"/>
  <c r="AU13" i="12"/>
  <c r="AV13" i="12"/>
  <c r="AW13" i="12"/>
  <c r="AX13" i="12"/>
  <c r="AY13" i="12"/>
  <c r="AZ13" i="12"/>
  <c r="BF13" i="12"/>
  <c r="BH13" i="12"/>
  <c r="BL13" i="12" s="1"/>
  <c r="BJ13" i="12"/>
  <c r="BI13" i="12"/>
  <c r="AR14" i="12"/>
  <c r="AS14" i="12"/>
  <c r="AT14" i="12"/>
  <c r="AU14" i="12"/>
  <c r="AV14" i="12"/>
  <c r="AW14" i="12"/>
  <c r="AX14" i="12"/>
  <c r="AY14" i="12"/>
  <c r="AZ14" i="12"/>
  <c r="BF14" i="12"/>
  <c r="BH14" i="12"/>
  <c r="BL14" i="12" s="1"/>
  <c r="BJ14" i="12"/>
  <c r="BI14" i="12"/>
  <c r="AR15" i="12"/>
  <c r="AS15" i="12"/>
  <c r="AT15" i="12"/>
  <c r="AU15" i="12"/>
  <c r="AV15" i="12"/>
  <c r="AW15" i="12"/>
  <c r="AX15" i="12"/>
  <c r="AY15" i="12"/>
  <c r="AZ15" i="12"/>
  <c r="BF15" i="12"/>
  <c r="BH15" i="12"/>
  <c r="BL15" i="12" s="1"/>
  <c r="BJ15" i="12"/>
  <c r="BI15" i="12"/>
  <c r="AR16" i="12"/>
  <c r="AS16" i="12"/>
  <c r="AT16" i="12"/>
  <c r="AU16" i="12"/>
  <c r="AV16" i="12"/>
  <c r="AW16" i="12"/>
  <c r="AX16" i="12"/>
  <c r="AY16" i="12"/>
  <c r="AZ16" i="12"/>
  <c r="BF16" i="12"/>
  <c r="BH16" i="12"/>
  <c r="BL16" i="12" s="1"/>
  <c r="BJ16" i="12"/>
  <c r="BI16" i="12"/>
  <c r="AR17" i="12"/>
  <c r="AS17" i="12"/>
  <c r="AT17" i="12"/>
  <c r="AU17" i="12"/>
  <c r="AV17" i="12"/>
  <c r="AW17" i="12"/>
  <c r="AX17" i="12"/>
  <c r="AY17" i="12"/>
  <c r="AZ17" i="12"/>
  <c r="BF17" i="12"/>
  <c r="BH17" i="12"/>
  <c r="BL17" i="12" s="1"/>
  <c r="BJ17" i="12"/>
  <c r="BI17" i="12"/>
  <c r="AR18" i="12"/>
  <c r="AS18" i="12"/>
  <c r="AT18" i="12"/>
  <c r="AU18" i="12"/>
  <c r="AV18" i="12"/>
  <c r="AW18" i="12"/>
  <c r="AX18" i="12"/>
  <c r="AY18" i="12"/>
  <c r="AZ18" i="12"/>
  <c r="BF18" i="12"/>
  <c r="BH18" i="12"/>
  <c r="BL18" i="12" s="1"/>
  <c r="BJ18" i="12"/>
  <c r="BI18" i="12"/>
  <c r="AQ18" i="12"/>
  <c r="AQ17" i="12"/>
  <c r="AQ16" i="12"/>
  <c r="AQ15" i="12"/>
  <c r="AQ14" i="12"/>
  <c r="AQ13" i="12"/>
  <c r="AQ12" i="12"/>
  <c r="AQ11" i="12"/>
  <c r="AQ10" i="12"/>
  <c r="AR20" i="12"/>
  <c r="AS20" i="12"/>
  <c r="AT20" i="12"/>
  <c r="AU20" i="12"/>
  <c r="AV20" i="12"/>
  <c r="AW20" i="12"/>
  <c r="AX20" i="12"/>
  <c r="AY20" i="12"/>
  <c r="AZ20" i="12"/>
  <c r="BF20" i="12"/>
  <c r="BH20" i="12"/>
  <c r="BL20" i="12" s="1"/>
  <c r="BJ20" i="12"/>
  <c r="BI20" i="12"/>
  <c r="AR21" i="12"/>
  <c r="AS21" i="12"/>
  <c r="AT21" i="12"/>
  <c r="AU21" i="12"/>
  <c r="AV21" i="12"/>
  <c r="AW21" i="12"/>
  <c r="AX21" i="12"/>
  <c r="AY21" i="12"/>
  <c r="AZ21" i="12"/>
  <c r="BF21" i="12"/>
  <c r="BH21" i="12"/>
  <c r="BL21" i="12" s="1"/>
  <c r="BJ21" i="12"/>
  <c r="BI21" i="12"/>
  <c r="AR22" i="12"/>
  <c r="AS22" i="12"/>
  <c r="AT22" i="12"/>
  <c r="AU22" i="12"/>
  <c r="AV22" i="12"/>
  <c r="AW22" i="12"/>
  <c r="AX22" i="12"/>
  <c r="AY22" i="12"/>
  <c r="AZ22" i="12"/>
  <c r="BF22" i="12"/>
  <c r="BH22" i="12"/>
  <c r="BL22" i="12" s="1"/>
  <c r="BJ22" i="12"/>
  <c r="BI22" i="12"/>
  <c r="AR23" i="12"/>
  <c r="AS23" i="12"/>
  <c r="AT23" i="12"/>
  <c r="AU23" i="12"/>
  <c r="AV23" i="12"/>
  <c r="AW23" i="12"/>
  <c r="AX23" i="12"/>
  <c r="AY23" i="12"/>
  <c r="AZ23" i="12"/>
  <c r="BF23" i="12"/>
  <c r="BH23" i="12"/>
  <c r="BL23" i="12" s="1"/>
  <c r="BJ23" i="12"/>
  <c r="BI23" i="12"/>
  <c r="AR24" i="12"/>
  <c r="AS24" i="12"/>
  <c r="AT24" i="12"/>
  <c r="AU24" i="12"/>
  <c r="AV24" i="12"/>
  <c r="AW24" i="12"/>
  <c r="AX24" i="12"/>
  <c r="AY24" i="12"/>
  <c r="AZ24" i="12"/>
  <c r="BF24" i="12"/>
  <c r="BH24" i="12"/>
  <c r="BL24" i="12" s="1"/>
  <c r="BJ24" i="12"/>
  <c r="BI24" i="12"/>
  <c r="AR25" i="12"/>
  <c r="AS25" i="12"/>
  <c r="AT25" i="12"/>
  <c r="AU25" i="12"/>
  <c r="AV25" i="12"/>
  <c r="AW25" i="12"/>
  <c r="AX25" i="12"/>
  <c r="AY25" i="12"/>
  <c r="AZ25" i="12"/>
  <c r="BF25" i="12"/>
  <c r="BH25" i="12"/>
  <c r="BL25" i="12" s="1"/>
  <c r="BJ25" i="12"/>
  <c r="BI25" i="12"/>
  <c r="AR26" i="12"/>
  <c r="AS26" i="12"/>
  <c r="AT26" i="12"/>
  <c r="AU26" i="12"/>
  <c r="AV26" i="12"/>
  <c r="AW26" i="12"/>
  <c r="AX26" i="12"/>
  <c r="AY26" i="12"/>
  <c r="AZ26" i="12"/>
  <c r="BF26" i="12"/>
  <c r="BH26" i="12"/>
  <c r="BL26" i="12" s="1"/>
  <c r="BJ26" i="12"/>
  <c r="BI26" i="12"/>
  <c r="AR27" i="12"/>
  <c r="AS27" i="12"/>
  <c r="AT27" i="12"/>
  <c r="AU27" i="12"/>
  <c r="AV27" i="12"/>
  <c r="AW27" i="12"/>
  <c r="AX27" i="12"/>
  <c r="AY27" i="12"/>
  <c r="AZ27" i="12"/>
  <c r="BF27" i="12"/>
  <c r="BH27" i="12"/>
  <c r="BL27" i="12" s="1"/>
  <c r="BJ27" i="12"/>
  <c r="BI27" i="12"/>
  <c r="AR28" i="12"/>
  <c r="AS28" i="12"/>
  <c r="AT28" i="12"/>
  <c r="AU28" i="12"/>
  <c r="AV28" i="12"/>
  <c r="AW28" i="12"/>
  <c r="AX28" i="12"/>
  <c r="AY28" i="12"/>
  <c r="AZ28" i="12"/>
  <c r="BF28" i="12"/>
  <c r="BH28" i="12"/>
  <c r="BL28" i="12" s="1"/>
  <c r="BJ28" i="12"/>
  <c r="BI28" i="12"/>
  <c r="AR29" i="12"/>
  <c r="AS29" i="12"/>
  <c r="AT29" i="12"/>
  <c r="AU29" i="12"/>
  <c r="AV29" i="12"/>
  <c r="AW29" i="12"/>
  <c r="AX29" i="12"/>
  <c r="AY29" i="12"/>
  <c r="AZ29" i="12"/>
  <c r="BF29" i="12"/>
  <c r="BH29" i="12"/>
  <c r="BL29" i="12" s="1"/>
  <c r="BJ29" i="12"/>
  <c r="BI29" i="12"/>
  <c r="AR30" i="12"/>
  <c r="AS30" i="12"/>
  <c r="AT30" i="12"/>
  <c r="AU30" i="12"/>
  <c r="AV30" i="12"/>
  <c r="AW30" i="12"/>
  <c r="AX30" i="12"/>
  <c r="AY30" i="12"/>
  <c r="AZ30" i="12"/>
  <c r="BF30" i="12"/>
  <c r="BH30" i="12"/>
  <c r="BL30" i="12" s="1"/>
  <c r="BJ30" i="12"/>
  <c r="BI30" i="12"/>
  <c r="AR31" i="12"/>
  <c r="AS31" i="12"/>
  <c r="AT31" i="12"/>
  <c r="AU31" i="12"/>
  <c r="AV31" i="12"/>
  <c r="AW31" i="12"/>
  <c r="AX31" i="12"/>
  <c r="AY31" i="12"/>
  <c r="AZ31" i="12"/>
  <c r="BF31" i="12"/>
  <c r="BH31" i="12"/>
  <c r="BL31" i="12" s="1"/>
  <c r="BJ31" i="12"/>
  <c r="BI31" i="12"/>
  <c r="AR32" i="12"/>
  <c r="AS32" i="12"/>
  <c r="AT32" i="12"/>
  <c r="AU32" i="12"/>
  <c r="AV32" i="12"/>
  <c r="AW32" i="12"/>
  <c r="AX32" i="12"/>
  <c r="AY32" i="12"/>
  <c r="AZ32" i="12"/>
  <c r="BF32" i="12"/>
  <c r="BH32" i="12"/>
  <c r="BL32" i="12" s="1"/>
  <c r="BJ32" i="12"/>
  <c r="BI32" i="12"/>
  <c r="AR33" i="12"/>
  <c r="AS33" i="12"/>
  <c r="AT33" i="12"/>
  <c r="AU33" i="12"/>
  <c r="AV33" i="12"/>
  <c r="AW33" i="12"/>
  <c r="AX33" i="12"/>
  <c r="AY33" i="12"/>
  <c r="AZ33" i="12"/>
  <c r="BF33" i="12"/>
  <c r="BH33" i="12"/>
  <c r="BL33" i="12" s="1"/>
  <c r="BJ33" i="12"/>
  <c r="BI33" i="12"/>
  <c r="BM70" i="12"/>
  <c r="BI35" i="12"/>
  <c r="BJ35" i="12"/>
  <c r="BH35" i="12"/>
  <c r="BL35" i="12" s="1"/>
  <c r="AR35" i="12"/>
  <c r="AR36" i="12" s="1"/>
  <c r="AR37" i="12" s="1"/>
  <c r="AR38" i="12" s="1"/>
  <c r="AR39" i="12" s="1"/>
  <c r="AR40" i="12" s="1"/>
  <c r="AR41" i="12" s="1"/>
  <c r="AR42" i="12" s="1"/>
  <c r="AR43" i="12" s="1"/>
  <c r="AR44" i="12" s="1"/>
  <c r="AR45" i="12" s="1"/>
  <c r="AR46" i="12" s="1"/>
  <c r="AR47" i="12" s="1"/>
  <c r="AR48" i="12" s="1"/>
  <c r="AR49" i="12" s="1"/>
  <c r="AS35" i="12"/>
  <c r="AS36" i="12" s="1"/>
  <c r="AS37" i="12" s="1"/>
  <c r="AS38" i="12" s="1"/>
  <c r="AS39" i="12" s="1"/>
  <c r="AS40" i="12" s="1"/>
  <c r="AS41" i="12" s="1"/>
  <c r="AS42" i="12" s="1"/>
  <c r="AS43" i="12" s="1"/>
  <c r="AS44" i="12" s="1"/>
  <c r="AS45" i="12" s="1"/>
  <c r="AS46" i="12" s="1"/>
  <c r="AS47" i="12" s="1"/>
  <c r="AS48" i="12" s="1"/>
  <c r="AS49" i="12" s="1"/>
  <c r="AT35" i="12"/>
  <c r="AT36" i="12" s="1"/>
  <c r="AT37" i="12" s="1"/>
  <c r="AT38" i="12" s="1"/>
  <c r="AT39" i="12" s="1"/>
  <c r="AT40" i="12" s="1"/>
  <c r="AT41" i="12" s="1"/>
  <c r="AT42" i="12" s="1"/>
  <c r="AT43" i="12" s="1"/>
  <c r="AT44" i="12" s="1"/>
  <c r="AT45" i="12" s="1"/>
  <c r="AT46" i="12" s="1"/>
  <c r="AT47" i="12" s="1"/>
  <c r="AT48" i="12" s="1"/>
  <c r="AT49" i="12" s="1"/>
  <c r="AU35" i="12"/>
  <c r="AU36" i="12" s="1"/>
  <c r="AU37" i="12" s="1"/>
  <c r="AU38" i="12" s="1"/>
  <c r="AU39" i="12" s="1"/>
  <c r="AU40" i="12" s="1"/>
  <c r="AU41" i="12" s="1"/>
  <c r="AU42" i="12" s="1"/>
  <c r="AU43" i="12" s="1"/>
  <c r="AU44" i="12" s="1"/>
  <c r="AU45" i="12" s="1"/>
  <c r="AU46" i="12" s="1"/>
  <c r="AU47" i="12" s="1"/>
  <c r="AU48" i="12" s="1"/>
  <c r="AU49" i="12" s="1"/>
  <c r="AV35" i="12"/>
  <c r="AV36" i="12" s="1"/>
  <c r="AV37" i="12" s="1"/>
  <c r="AV38" i="12" s="1"/>
  <c r="AV39" i="12" s="1"/>
  <c r="AV40" i="12" s="1"/>
  <c r="AV41" i="12" s="1"/>
  <c r="AV42" i="12" s="1"/>
  <c r="AV43" i="12" s="1"/>
  <c r="AV44" i="12" s="1"/>
  <c r="AV45" i="12" s="1"/>
  <c r="AV46" i="12" s="1"/>
  <c r="AV47" i="12" s="1"/>
  <c r="AV48" i="12" s="1"/>
  <c r="AV49" i="12" s="1"/>
  <c r="AW35" i="12"/>
  <c r="AW36" i="12" s="1"/>
  <c r="AW37" i="12" s="1"/>
  <c r="AW38" i="12" s="1"/>
  <c r="AW39" i="12" s="1"/>
  <c r="AW40" i="12" s="1"/>
  <c r="AW41" i="12" s="1"/>
  <c r="AW42" i="12" s="1"/>
  <c r="AW43" i="12" s="1"/>
  <c r="AW44" i="12" s="1"/>
  <c r="AW45" i="12" s="1"/>
  <c r="AW46" i="12" s="1"/>
  <c r="AW47" i="12" s="1"/>
  <c r="AW48" i="12" s="1"/>
  <c r="AW49" i="12" s="1"/>
  <c r="AX35" i="12"/>
  <c r="AX36" i="12" s="1"/>
  <c r="AX37" i="12" s="1"/>
  <c r="AX38" i="12" s="1"/>
  <c r="AX39" i="12" s="1"/>
  <c r="AX40" i="12" s="1"/>
  <c r="AX41" i="12" s="1"/>
  <c r="AX42" i="12" s="1"/>
  <c r="AX43" i="12" s="1"/>
  <c r="AX44" i="12" s="1"/>
  <c r="AX45" i="12" s="1"/>
  <c r="AX46" i="12" s="1"/>
  <c r="AX47" i="12" s="1"/>
  <c r="AX48" i="12" s="1"/>
  <c r="AX49" i="12" s="1"/>
  <c r="AY35" i="12"/>
  <c r="AY36" i="12" s="1"/>
  <c r="AY37" i="12" s="1"/>
  <c r="AY38" i="12" s="1"/>
  <c r="AY39" i="12" s="1"/>
  <c r="AY40" i="12" s="1"/>
  <c r="AY41" i="12" s="1"/>
  <c r="AY42" i="12" s="1"/>
  <c r="AY43" i="12" s="1"/>
  <c r="AY44" i="12" s="1"/>
  <c r="AY45" i="12" s="1"/>
  <c r="AY46" i="12" s="1"/>
  <c r="AY47" i="12" s="1"/>
  <c r="AY48" i="12" s="1"/>
  <c r="AY49" i="12" s="1"/>
  <c r="AZ35" i="12"/>
  <c r="AZ36" i="12" s="1"/>
  <c r="AZ37" i="12" s="1"/>
  <c r="AZ38" i="12" s="1"/>
  <c r="AZ39" i="12" s="1"/>
  <c r="AZ40" i="12" s="1"/>
  <c r="AZ41" i="12" s="1"/>
  <c r="AZ42" i="12" s="1"/>
  <c r="AZ43" i="12" s="1"/>
  <c r="AZ44" i="12" s="1"/>
  <c r="AZ45" i="12" s="1"/>
  <c r="AZ46" i="12" s="1"/>
  <c r="AZ47" i="12" s="1"/>
  <c r="AZ48" i="12" s="1"/>
  <c r="AZ49" i="12" s="1"/>
  <c r="AQ35" i="12"/>
  <c r="AQ36" i="12" s="1"/>
  <c r="AQ37" i="12" s="1"/>
  <c r="AQ38" i="12" s="1"/>
  <c r="AQ39" i="12" s="1"/>
  <c r="AQ40" i="12" s="1"/>
  <c r="AQ41" i="12" s="1"/>
  <c r="AQ42" i="12" s="1"/>
  <c r="AQ43" i="12" s="1"/>
  <c r="AQ44" i="12" s="1"/>
  <c r="AQ45" i="12" s="1"/>
  <c r="AQ46" i="12" s="1"/>
  <c r="AQ47" i="12" s="1"/>
  <c r="AQ48" i="12" s="1"/>
  <c r="AQ49" i="12" s="1"/>
  <c r="AQ33" i="12"/>
  <c r="AQ32" i="12"/>
  <c r="AQ31" i="12"/>
  <c r="AQ30" i="12"/>
  <c r="AQ29" i="12"/>
  <c r="AQ28" i="12"/>
  <c r="AQ27" i="12"/>
  <c r="AQ26" i="12"/>
  <c r="AQ25" i="12"/>
  <c r="AQ24" i="12"/>
  <c r="AQ23" i="12"/>
  <c r="AQ22" i="12"/>
  <c r="AQ21" i="12"/>
  <c r="AQ20" i="12"/>
  <c r="E20" i="12"/>
  <c r="F20" i="12"/>
  <c r="H20" i="12"/>
  <c r="I20" i="12"/>
  <c r="K20" i="12"/>
  <c r="L20" i="12"/>
  <c r="N20" i="12"/>
  <c r="O20" i="12"/>
  <c r="Q20" i="12"/>
  <c r="R20" i="12"/>
  <c r="S20" i="12"/>
  <c r="T20" i="12"/>
  <c r="E21" i="12"/>
  <c r="F21" i="12"/>
  <c r="H21" i="12"/>
  <c r="I21" i="12"/>
  <c r="K21" i="12"/>
  <c r="L21" i="12"/>
  <c r="N21" i="12"/>
  <c r="O21" i="12"/>
  <c r="Q21" i="12"/>
  <c r="R21" i="12"/>
  <c r="S21" i="12"/>
  <c r="T21" i="12"/>
  <c r="E22" i="12"/>
  <c r="F22" i="12"/>
  <c r="H22" i="12"/>
  <c r="I22" i="12"/>
  <c r="K22" i="12"/>
  <c r="L22" i="12"/>
  <c r="N22" i="12"/>
  <c r="O22" i="12"/>
  <c r="Q22" i="12"/>
  <c r="R22" i="12"/>
  <c r="S22" i="12"/>
  <c r="T22" i="12"/>
  <c r="E23" i="12"/>
  <c r="F23" i="12"/>
  <c r="H23" i="12"/>
  <c r="I23" i="12"/>
  <c r="K23" i="12"/>
  <c r="L23" i="12"/>
  <c r="N23" i="12"/>
  <c r="O23" i="12"/>
  <c r="Q23" i="12"/>
  <c r="R23" i="12"/>
  <c r="S23" i="12"/>
  <c r="T23" i="12"/>
  <c r="E24" i="12"/>
  <c r="F24" i="12"/>
  <c r="H24" i="12"/>
  <c r="I24" i="12"/>
  <c r="K24" i="12"/>
  <c r="L24" i="12"/>
  <c r="N24" i="12"/>
  <c r="O24" i="12"/>
  <c r="Q24" i="12"/>
  <c r="R24" i="12"/>
  <c r="S24" i="12"/>
  <c r="T24" i="12"/>
  <c r="E25" i="12"/>
  <c r="F25" i="12"/>
  <c r="H25" i="12"/>
  <c r="I25" i="12"/>
  <c r="K25" i="12"/>
  <c r="L25" i="12"/>
  <c r="N25" i="12"/>
  <c r="O25" i="12"/>
  <c r="Q25" i="12"/>
  <c r="R25" i="12"/>
  <c r="S25" i="12"/>
  <c r="T25" i="12"/>
  <c r="E26" i="12"/>
  <c r="F26" i="12"/>
  <c r="H26" i="12"/>
  <c r="I26" i="12"/>
  <c r="K26" i="12"/>
  <c r="L26" i="12"/>
  <c r="N26" i="12"/>
  <c r="O26" i="12"/>
  <c r="Q26" i="12"/>
  <c r="R26" i="12"/>
  <c r="S26" i="12"/>
  <c r="T26" i="12"/>
  <c r="E27" i="12"/>
  <c r="F27" i="12"/>
  <c r="H27" i="12"/>
  <c r="I27" i="12"/>
  <c r="K27" i="12"/>
  <c r="L27" i="12"/>
  <c r="N27" i="12"/>
  <c r="O27" i="12"/>
  <c r="Q27" i="12"/>
  <c r="R27" i="12"/>
  <c r="S27" i="12"/>
  <c r="T27" i="12"/>
  <c r="E28" i="12"/>
  <c r="F28" i="12"/>
  <c r="H28" i="12"/>
  <c r="I28" i="12"/>
  <c r="K28" i="12"/>
  <c r="L28" i="12"/>
  <c r="N28" i="12"/>
  <c r="O28" i="12"/>
  <c r="Q28" i="12"/>
  <c r="R28" i="12"/>
  <c r="S28" i="12"/>
  <c r="T28" i="12"/>
  <c r="E29" i="12"/>
  <c r="F29" i="12"/>
  <c r="H29" i="12"/>
  <c r="I29" i="12"/>
  <c r="K29" i="12"/>
  <c r="L29" i="12"/>
  <c r="N29" i="12"/>
  <c r="O29" i="12"/>
  <c r="Q29" i="12"/>
  <c r="R29" i="12"/>
  <c r="S29" i="12"/>
  <c r="T29" i="12"/>
  <c r="E30" i="12"/>
  <c r="F30" i="12"/>
  <c r="H30" i="12"/>
  <c r="I30" i="12"/>
  <c r="K30" i="12"/>
  <c r="L30" i="12"/>
  <c r="N30" i="12"/>
  <c r="O30" i="12"/>
  <c r="Q30" i="12"/>
  <c r="R30" i="12"/>
  <c r="S30" i="12"/>
  <c r="T30" i="12"/>
  <c r="E31" i="12"/>
  <c r="F31" i="12"/>
  <c r="H31" i="12"/>
  <c r="I31" i="12"/>
  <c r="K31" i="12"/>
  <c r="L31" i="12"/>
  <c r="N31" i="12"/>
  <c r="O31" i="12"/>
  <c r="Q31" i="12"/>
  <c r="R31" i="12"/>
  <c r="S31" i="12"/>
  <c r="T31" i="12"/>
  <c r="E32" i="12"/>
  <c r="F32" i="12"/>
  <c r="H32" i="12"/>
  <c r="I32" i="12"/>
  <c r="K32" i="12"/>
  <c r="L32" i="12"/>
  <c r="N32" i="12"/>
  <c r="O32" i="12"/>
  <c r="Q32" i="12"/>
  <c r="R32" i="12"/>
  <c r="S32" i="12"/>
  <c r="T32" i="12"/>
  <c r="E33" i="12"/>
  <c r="F33" i="12"/>
  <c r="H33" i="12"/>
  <c r="I33" i="12"/>
  <c r="K33" i="12"/>
  <c r="L33" i="12"/>
  <c r="N33" i="12"/>
  <c r="O33" i="12"/>
  <c r="Q33" i="12"/>
  <c r="R33" i="12"/>
  <c r="S33" i="12"/>
  <c r="T33" i="12"/>
  <c r="T18" i="12"/>
  <c r="T17" i="12"/>
  <c r="T16" i="12"/>
  <c r="T15" i="12"/>
  <c r="T14" i="12"/>
  <c r="T13" i="12"/>
  <c r="T12" i="12"/>
  <c r="T11" i="12"/>
  <c r="T10" i="12"/>
  <c r="R10" i="12"/>
  <c r="S10" i="12"/>
  <c r="R11" i="12"/>
  <c r="S11" i="12"/>
  <c r="R12" i="12"/>
  <c r="S12" i="12"/>
  <c r="R13" i="12"/>
  <c r="S13" i="12"/>
  <c r="R14" i="12"/>
  <c r="S14" i="12"/>
  <c r="R15" i="12"/>
  <c r="S15" i="12"/>
  <c r="R16" i="12"/>
  <c r="S16" i="12"/>
  <c r="R17" i="12"/>
  <c r="S17" i="12"/>
  <c r="R18" i="12"/>
  <c r="S18" i="12"/>
  <c r="Q18" i="12"/>
  <c r="Q17" i="12"/>
  <c r="Q16" i="12"/>
  <c r="Q15" i="12"/>
  <c r="Q14" i="12"/>
  <c r="Q13" i="12"/>
  <c r="Q12" i="12"/>
  <c r="Q11" i="12"/>
  <c r="Q10" i="12"/>
  <c r="L10" i="12"/>
  <c r="M10" i="12"/>
  <c r="N10" i="12"/>
  <c r="O10" i="12"/>
  <c r="L11" i="12"/>
  <c r="M11" i="12"/>
  <c r="N11" i="12"/>
  <c r="O11" i="12"/>
  <c r="L12" i="12"/>
  <c r="M12" i="12"/>
  <c r="N12" i="12"/>
  <c r="O12" i="12"/>
  <c r="L13" i="12"/>
  <c r="M13" i="12"/>
  <c r="N13" i="12"/>
  <c r="O13" i="12"/>
  <c r="L14" i="12"/>
  <c r="M14" i="12"/>
  <c r="N14" i="12"/>
  <c r="O14" i="12"/>
  <c r="L15" i="12"/>
  <c r="M15" i="12"/>
  <c r="N15" i="12"/>
  <c r="O15" i="12"/>
  <c r="L16" i="12"/>
  <c r="M16" i="12"/>
  <c r="N16" i="12"/>
  <c r="O16" i="12"/>
  <c r="L17" i="12"/>
  <c r="M17" i="12"/>
  <c r="N17" i="12"/>
  <c r="O17" i="12"/>
  <c r="L18" i="12"/>
  <c r="M18" i="12"/>
  <c r="N18" i="12"/>
  <c r="O18" i="12"/>
  <c r="K18" i="12"/>
  <c r="K17" i="12"/>
  <c r="K16" i="12"/>
  <c r="K15" i="12"/>
  <c r="K14" i="12"/>
  <c r="K13" i="12"/>
  <c r="K12" i="12"/>
  <c r="K11" i="12"/>
  <c r="K10" i="12"/>
  <c r="E10" i="12"/>
  <c r="F10" i="12"/>
  <c r="E11" i="12"/>
  <c r="F11" i="12"/>
  <c r="E12" i="12"/>
  <c r="F12" i="12"/>
  <c r="E13" i="12"/>
  <c r="F13" i="12"/>
  <c r="E14" i="12"/>
  <c r="F14" i="12"/>
  <c r="E15" i="12"/>
  <c r="F15" i="12"/>
  <c r="E16" i="12"/>
  <c r="F16" i="12"/>
  <c r="E17" i="12"/>
  <c r="F17" i="12"/>
  <c r="E18" i="12"/>
  <c r="F18" i="12"/>
  <c r="E35" i="12"/>
  <c r="E36" i="12" s="1"/>
  <c r="E37" i="12" s="1"/>
  <c r="E38" i="12" s="1"/>
  <c r="E39" i="12" s="1"/>
  <c r="E40" i="12" s="1"/>
  <c r="E41" i="12" s="1"/>
  <c r="E42" i="12" s="1"/>
  <c r="E43" i="12" s="1"/>
  <c r="E44" i="12" s="1"/>
  <c r="E45" i="12" s="1"/>
  <c r="E46" i="12" s="1"/>
  <c r="E47" i="12" s="1"/>
  <c r="E48" i="12" s="1"/>
  <c r="E49" i="12" s="1"/>
  <c r="F35" i="12"/>
  <c r="F36" i="12" s="1"/>
  <c r="F37" i="12" s="1"/>
  <c r="F38" i="12" s="1"/>
  <c r="F39" i="12" s="1"/>
  <c r="F40" i="12" s="1"/>
  <c r="F41" i="12" s="1"/>
  <c r="F42" i="12" s="1"/>
  <c r="F43" i="12" s="1"/>
  <c r="F44" i="12" s="1"/>
  <c r="F45" i="12" s="1"/>
  <c r="F46" i="12" s="1"/>
  <c r="F47" i="12" s="1"/>
  <c r="F48" i="12" s="1"/>
  <c r="F49" i="12" s="1"/>
  <c r="H35" i="12"/>
  <c r="I35" i="12"/>
  <c r="I36" i="12" s="1"/>
  <c r="I37" i="12" s="1"/>
  <c r="I38" i="12" s="1"/>
  <c r="I39" i="12" s="1"/>
  <c r="I40" i="12" s="1"/>
  <c r="I41" i="12" s="1"/>
  <c r="I42" i="12" s="1"/>
  <c r="I43" i="12" s="1"/>
  <c r="I44" i="12" s="1"/>
  <c r="I45" i="12" s="1"/>
  <c r="I46" i="12" s="1"/>
  <c r="I47" i="12" s="1"/>
  <c r="I48" i="12" s="1"/>
  <c r="I49" i="12" s="1"/>
  <c r="K35" i="12"/>
  <c r="L35" i="12"/>
  <c r="L36" i="12" s="1"/>
  <c r="L37" i="12" s="1"/>
  <c r="L38" i="12" s="1"/>
  <c r="L39" i="12" s="1"/>
  <c r="L40" i="12" s="1"/>
  <c r="L41" i="12" s="1"/>
  <c r="L42" i="12" s="1"/>
  <c r="L43" i="12" s="1"/>
  <c r="L44" i="12" s="1"/>
  <c r="L45" i="12" s="1"/>
  <c r="L46" i="12" s="1"/>
  <c r="L47" i="12" s="1"/>
  <c r="L48" i="12" s="1"/>
  <c r="L49" i="12" s="1"/>
  <c r="N35" i="12"/>
  <c r="N36" i="12" s="1"/>
  <c r="N37" i="12" s="1"/>
  <c r="N38" i="12" s="1"/>
  <c r="N39" i="12" s="1"/>
  <c r="N40" i="12" s="1"/>
  <c r="N41" i="12" s="1"/>
  <c r="N42" i="12" s="1"/>
  <c r="N43" i="12" s="1"/>
  <c r="N44" i="12" s="1"/>
  <c r="N45" i="12" s="1"/>
  <c r="N46" i="12" s="1"/>
  <c r="N47" i="12" s="1"/>
  <c r="N48" i="12" s="1"/>
  <c r="N49" i="12" s="1"/>
  <c r="O35" i="12"/>
  <c r="O36" i="12" s="1"/>
  <c r="O37" i="12" s="1"/>
  <c r="O38" i="12" s="1"/>
  <c r="O39" i="12" s="1"/>
  <c r="O40" i="12" s="1"/>
  <c r="O41" i="12" s="1"/>
  <c r="O42" i="12" s="1"/>
  <c r="O43" i="12" s="1"/>
  <c r="O44" i="12" s="1"/>
  <c r="O45" i="12" s="1"/>
  <c r="O46" i="12" s="1"/>
  <c r="O47" i="12" s="1"/>
  <c r="O48" i="12" s="1"/>
  <c r="O49" i="12" s="1"/>
  <c r="Q35" i="12"/>
  <c r="Q36" i="12" s="1"/>
  <c r="Q37" i="12" s="1"/>
  <c r="Q38" i="12" s="1"/>
  <c r="Q39" i="12" s="1"/>
  <c r="Q40" i="12" s="1"/>
  <c r="Q41" i="12" s="1"/>
  <c r="Q42" i="12" s="1"/>
  <c r="Q43" i="12" s="1"/>
  <c r="Q44" i="12" s="1"/>
  <c r="Q45" i="12" s="1"/>
  <c r="Q46" i="12" s="1"/>
  <c r="Q47" i="12" s="1"/>
  <c r="Q48" i="12" s="1"/>
  <c r="Q49" i="12" s="1"/>
  <c r="R35" i="12"/>
  <c r="R36" i="12" s="1"/>
  <c r="R37" i="12" s="1"/>
  <c r="R38" i="12" s="1"/>
  <c r="R39" i="12" s="1"/>
  <c r="R40" i="12" s="1"/>
  <c r="R41" i="12" s="1"/>
  <c r="R42" i="12" s="1"/>
  <c r="R43" i="12" s="1"/>
  <c r="R44" i="12" s="1"/>
  <c r="R45" i="12" s="1"/>
  <c r="R46" i="12" s="1"/>
  <c r="R47" i="12" s="1"/>
  <c r="R48" i="12" s="1"/>
  <c r="R49" i="12" s="1"/>
  <c r="S35" i="12"/>
  <c r="S36" i="12" s="1"/>
  <c r="S37" i="12" s="1"/>
  <c r="S38" i="12" s="1"/>
  <c r="S39" i="12" s="1"/>
  <c r="S40" i="12" s="1"/>
  <c r="S41" i="12" s="1"/>
  <c r="S42" i="12" s="1"/>
  <c r="S43" i="12" s="1"/>
  <c r="S44" i="12" s="1"/>
  <c r="S45" i="12" s="1"/>
  <c r="S46" i="12" s="1"/>
  <c r="S47" i="12" s="1"/>
  <c r="S48" i="12" s="1"/>
  <c r="S49" i="12" s="1"/>
  <c r="T35" i="12"/>
  <c r="T36" i="12" s="1"/>
  <c r="T37" i="12" s="1"/>
  <c r="T38" i="12" s="1"/>
  <c r="T39" i="12" s="1"/>
  <c r="T40" i="12" s="1"/>
  <c r="T41" i="12" s="1"/>
  <c r="T42" i="12" s="1"/>
  <c r="T43" i="12" s="1"/>
  <c r="T44" i="12" s="1"/>
  <c r="T45" i="12" s="1"/>
  <c r="T46" i="12" s="1"/>
  <c r="T47" i="12" s="1"/>
  <c r="T48" i="12" s="1"/>
  <c r="T49" i="12" s="1"/>
  <c r="H36" i="12"/>
  <c r="H37" i="12" s="1"/>
  <c r="H38" i="12" s="1"/>
  <c r="H39" i="12" s="1"/>
  <c r="H40" i="12" s="1"/>
  <c r="H41" i="12" s="1"/>
  <c r="H42" i="12" s="1"/>
  <c r="H43" i="12" s="1"/>
  <c r="H44" i="12" s="1"/>
  <c r="H45" i="12" s="1"/>
  <c r="H46" i="12" s="1"/>
  <c r="H47" i="12" s="1"/>
  <c r="H48" i="12" s="1"/>
  <c r="H49" i="12" s="1"/>
  <c r="K36" i="12"/>
  <c r="K37" i="12" s="1"/>
  <c r="K38" i="12" s="1"/>
  <c r="K39" i="12" s="1"/>
  <c r="K40" i="12" s="1"/>
  <c r="K41" i="12" s="1"/>
  <c r="K42" i="12" s="1"/>
  <c r="K43" i="12" s="1"/>
  <c r="K44" i="12" s="1"/>
  <c r="K45" i="12" s="1"/>
  <c r="K46" i="12" s="1"/>
  <c r="K47" i="12" s="1"/>
  <c r="K48" i="12" s="1"/>
  <c r="K49" i="12" s="1"/>
  <c r="BI54" i="12"/>
  <c r="BJ54" i="12"/>
  <c r="BK54" i="12"/>
  <c r="BL54" i="12"/>
  <c r="BM54" i="12"/>
  <c r="BN54" i="12"/>
  <c r="BO54" i="12"/>
  <c r="BP54" i="12"/>
  <c r="BQ54" i="12"/>
  <c r="BH54" i="12"/>
  <c r="BQ69" i="12"/>
  <c r="BP69" i="12"/>
  <c r="BO69" i="12"/>
  <c r="BM69" i="12"/>
  <c r="BK69" i="12"/>
  <c r="BQ68" i="12"/>
  <c r="BP68" i="12"/>
  <c r="BO68" i="12"/>
  <c r="BM68" i="12"/>
  <c r="BK68" i="12"/>
  <c r="BQ67" i="12"/>
  <c r="BP67" i="12"/>
  <c r="BO67" i="12"/>
  <c r="BM67" i="12"/>
  <c r="BK67" i="12"/>
  <c r="BQ66" i="12"/>
  <c r="BP66" i="12"/>
  <c r="BO66" i="12"/>
  <c r="BM66" i="12"/>
  <c r="BK66" i="12"/>
  <c r="BQ65" i="12"/>
  <c r="BP65" i="12"/>
  <c r="BO65" i="12"/>
  <c r="BM65" i="12"/>
  <c r="BK65" i="12"/>
  <c r="BQ64" i="12"/>
  <c r="BP64" i="12"/>
  <c r="BO64" i="12"/>
  <c r="BM64" i="12"/>
  <c r="BK64" i="12"/>
  <c r="BQ63" i="12"/>
  <c r="BP63" i="12"/>
  <c r="BO63" i="12"/>
  <c r="BM63" i="12"/>
  <c r="BK63" i="12"/>
  <c r="BQ62" i="12"/>
  <c r="BP62" i="12"/>
  <c r="BO62" i="12"/>
  <c r="BM62" i="12"/>
  <c r="BK62" i="12"/>
  <c r="BQ61" i="12"/>
  <c r="BP61" i="12"/>
  <c r="BO61" i="12"/>
  <c r="BM61" i="12"/>
  <c r="BK61" i="12"/>
  <c r="BQ60" i="12"/>
  <c r="BP60" i="12"/>
  <c r="BO60" i="12"/>
  <c r="BM60" i="12"/>
  <c r="BK60" i="12"/>
  <c r="BQ59" i="12"/>
  <c r="BP59" i="12"/>
  <c r="BO59" i="12"/>
  <c r="BN59" i="12"/>
  <c r="BM59" i="12"/>
  <c r="BK59" i="12"/>
  <c r="BQ58" i="12"/>
  <c r="BP58" i="12"/>
  <c r="BO58" i="12"/>
  <c r="BN58" i="12"/>
  <c r="BM58" i="12"/>
  <c r="BK58" i="12"/>
  <c r="BQ57" i="12"/>
  <c r="BP57" i="12"/>
  <c r="BO57" i="12"/>
  <c r="BN57" i="12"/>
  <c r="BM57" i="12"/>
  <c r="BK57" i="12"/>
  <c r="BQ56" i="12"/>
  <c r="BP56" i="12"/>
  <c r="BO56" i="12"/>
  <c r="BN56" i="12"/>
  <c r="BM56" i="12"/>
  <c r="BK56" i="12"/>
  <c r="BQ55" i="12"/>
  <c r="BP55" i="12"/>
  <c r="BO55" i="12"/>
  <c r="BN55" i="12"/>
  <c r="BM55" i="12"/>
  <c r="BK55" i="12"/>
  <c r="BL64" i="12" l="1"/>
  <c r="BL55" i="12"/>
  <c r="BL66" i="12"/>
  <c r="BL67" i="12"/>
  <c r="BL60" i="12"/>
  <c r="BL65" i="12"/>
  <c r="BL63" i="12"/>
  <c r="BL57" i="12"/>
  <c r="BL59" i="12"/>
  <c r="BL56" i="12"/>
  <c r="BL61" i="12"/>
  <c r="BL62" i="12"/>
  <c r="BL68" i="12"/>
  <c r="BL58" i="12"/>
  <c r="BL69" i="12"/>
  <c r="I42" i="1"/>
  <c r="J42" i="1"/>
  <c r="H42" i="1"/>
  <c r="K42" i="1"/>
  <c r="E18" i="28"/>
  <c r="E9" i="28"/>
  <c r="D9" i="28"/>
  <c r="G136" i="1"/>
  <c r="O2" i="23"/>
  <c r="BN67" i="12"/>
  <c r="BN60" i="12"/>
  <c r="BN63" i="12"/>
  <c r="BN64" i="12"/>
  <c r="BN65" i="12"/>
  <c r="BN62" i="12"/>
  <c r="BN68" i="12"/>
  <c r="BN69" i="12"/>
  <c r="BN66" i="12"/>
  <c r="W37" i="12"/>
  <c r="BH69" i="12"/>
  <c r="BH55" i="12"/>
  <c r="BH66" i="12"/>
  <c r="BJ68" i="12"/>
  <c r="BJ55" i="12"/>
  <c r="BJ58" i="12"/>
  <c r="BI69" i="12"/>
  <c r="BI58" i="12"/>
  <c r="BJ56" i="12"/>
  <c r="BH65" i="12"/>
  <c r="BJ69" i="12"/>
  <c r="BI65" i="12"/>
  <c r="BI55" i="12"/>
  <c r="BH68" i="12"/>
  <c r="BI68" i="12"/>
  <c r="BJ65" i="12"/>
  <c r="BI59" i="12"/>
  <c r="BH62" i="12"/>
  <c r="BI62" i="12"/>
  <c r="BH59" i="12"/>
  <c r="BJ62" i="12"/>
  <c r="BH56" i="12"/>
  <c r="BJ59" i="12"/>
  <c r="BI56" i="12"/>
  <c r="BI66" i="12"/>
  <c r="BH63" i="12"/>
  <c r="BH57" i="12"/>
  <c r="BJ60" i="12"/>
  <c r="BJ57" i="12"/>
  <c r="BI57" i="12"/>
  <c r="BJ66" i="12"/>
  <c r="BI63" i="12"/>
  <c r="BH60" i="12"/>
  <c r="BI60" i="12"/>
  <c r="BJ63" i="12"/>
  <c r="BH67" i="12"/>
  <c r="BI67" i="12"/>
  <c r="BH64" i="12"/>
  <c r="BJ67" i="12"/>
  <c r="BI64" i="12"/>
  <c r="BH61" i="12"/>
  <c r="BJ64" i="12"/>
  <c r="BI61" i="12"/>
  <c r="BH58" i="12"/>
  <c r="BJ61" i="12"/>
  <c r="BO71" i="12"/>
  <c r="BO81" i="12"/>
  <c r="BQ71" i="12"/>
  <c r="BO77" i="12"/>
  <c r="BO80" i="12"/>
  <c r="BO74" i="12"/>
  <c r="BQ77" i="12"/>
  <c r="BQ80" i="12"/>
  <c r="BQ83" i="12"/>
  <c r="BO78" i="12"/>
  <c r="BO75" i="12"/>
  <c r="BQ78" i="12"/>
  <c r="BH36" i="12"/>
  <c r="BL36" i="12" s="1"/>
  <c r="BO79" i="12"/>
  <c r="BI36" i="12"/>
  <c r="BO76" i="12"/>
  <c r="BL70" i="12"/>
  <c r="BO73" i="12"/>
  <c r="BQ76" i="12"/>
  <c r="BN70" i="12"/>
  <c r="BO70" i="12"/>
  <c r="BQ70" i="12"/>
  <c r="BH70" i="12"/>
  <c r="BJ36" i="12"/>
  <c r="BI70" i="12"/>
  <c r="BJ70" i="12"/>
  <c r="BK70" i="12"/>
  <c r="BQ79" i="12"/>
  <c r="BQ73" i="12"/>
  <c r="BP70" i="12"/>
  <c r="W38" i="12" l="1"/>
  <c r="BP71" i="12"/>
  <c r="BP81" i="12"/>
  <c r="BP74" i="12"/>
  <c r="BP80" i="12"/>
  <c r="BP77" i="12"/>
  <c r="BP73" i="12"/>
  <c r="BK71" i="12"/>
  <c r="BQ75" i="12"/>
  <c r="BJ71" i="12"/>
  <c r="BI37" i="12"/>
  <c r="BQ74" i="12"/>
  <c r="BH37" i="12"/>
  <c r="BL37" i="12" s="1"/>
  <c r="BH72" i="12"/>
  <c r="BN71" i="12"/>
  <c r="BP78" i="12"/>
  <c r="BM71" i="12"/>
  <c r="BP76" i="12"/>
  <c r="BP79" i="12"/>
  <c r="BL72" i="12"/>
  <c r="BL71" i="12"/>
  <c r="BQ82" i="12"/>
  <c r="BQ81" i="12"/>
  <c r="BJ37" i="12"/>
  <c r="BI72" i="12" s="1"/>
  <c r="BI71" i="12"/>
  <c r="BP82" i="12"/>
  <c r="BQ72" i="12"/>
  <c r="BP83" i="12"/>
  <c r="BO83" i="12"/>
  <c r="BO72" i="12"/>
  <c r="BH71" i="12"/>
  <c r="BO82" i="12"/>
  <c r="W39" i="12" l="1"/>
  <c r="BI38" i="12"/>
  <c r="BI39" i="12" s="1"/>
  <c r="BI40" i="12" s="1"/>
  <c r="BI41" i="12" s="1"/>
  <c r="BI42" i="12" s="1"/>
  <c r="BI43" i="12" s="1"/>
  <c r="BI44" i="12" s="1"/>
  <c r="BI45" i="12" s="1"/>
  <c r="BI46" i="12" s="1"/>
  <c r="BI47" i="12" s="1"/>
  <c r="BI48" i="12" s="1"/>
  <c r="BI49" i="12" s="1"/>
  <c r="BM72" i="12"/>
  <c r="BN72" i="12"/>
  <c r="BJ38" i="12"/>
  <c r="BH38" i="12"/>
  <c r="BL38" i="12" s="1"/>
  <c r="BH73" i="12"/>
  <c r="BP72" i="12"/>
  <c r="BJ72" i="12"/>
  <c r="BK72" i="12"/>
  <c r="BP75" i="12"/>
  <c r="BL73" i="12"/>
  <c r="BM73" i="12"/>
  <c r="BK73" i="12"/>
  <c r="W40" i="12" l="1"/>
  <c r="BJ76" i="12"/>
  <c r="BJ79" i="12"/>
  <c r="BJ81" i="12"/>
  <c r="BJ74" i="12"/>
  <c r="BJ80" i="12"/>
  <c r="BJ83" i="12"/>
  <c r="BJ82" i="12"/>
  <c r="BJ73" i="12"/>
  <c r="BJ78" i="12"/>
  <c r="BJ75" i="12"/>
  <c r="BJ77" i="12"/>
  <c r="BH39" i="12"/>
  <c r="BN74" i="12"/>
  <c r="BN73" i="12"/>
  <c r="BM74" i="12"/>
  <c r="BJ39" i="12"/>
  <c r="BI73" i="12"/>
  <c r="BI74" i="12"/>
  <c r="BK74" i="12"/>
  <c r="BH74" i="12" l="1"/>
  <c r="BL39" i="12"/>
  <c r="W41" i="12"/>
  <c r="BJ40" i="12"/>
  <c r="BH40" i="12"/>
  <c r="BL40" i="12" s="1"/>
  <c r="BL75" i="12"/>
  <c r="BL74" i="12"/>
  <c r="W42" i="12" l="1"/>
  <c r="BH41" i="12"/>
  <c r="BL41" i="12" s="1"/>
  <c r="BL76" i="12" s="1"/>
  <c r="BH76" i="12"/>
  <c r="BH75" i="12"/>
  <c r="BM79" i="12"/>
  <c r="BM82" i="12"/>
  <c r="BM80" i="12"/>
  <c r="BM78" i="12"/>
  <c r="BM81" i="12"/>
  <c r="BJ41" i="12"/>
  <c r="BI75" i="12"/>
  <c r="BN76" i="12"/>
  <c r="BN75" i="12"/>
  <c r="BM75" i="12"/>
  <c r="BK75" i="12"/>
  <c r="C35" i="12"/>
  <c r="C36" i="12" s="1"/>
  <c r="C37" i="12" s="1"/>
  <c r="C38" i="12" s="1"/>
  <c r="C39" i="12" s="1"/>
  <c r="C40" i="12" s="1"/>
  <c r="C41" i="12" s="1"/>
  <c r="C42" i="12" s="1"/>
  <c r="C43" i="12" s="1"/>
  <c r="C44" i="12" s="1"/>
  <c r="C45" i="12" s="1"/>
  <c r="C46" i="12" s="1"/>
  <c r="C47" i="12" s="1"/>
  <c r="C48" i="12" s="1"/>
  <c r="C49" i="12" s="1"/>
  <c r="B2" i="23"/>
  <c r="W43" i="12" l="1"/>
  <c r="BJ42" i="12"/>
  <c r="BI76" i="12"/>
  <c r="BK76" i="12"/>
  <c r="BM77" i="12"/>
  <c r="BM83" i="12"/>
  <c r="BM76" i="12"/>
  <c r="BH42" i="12"/>
  <c r="BL42" i="12" s="1"/>
  <c r="BH77" i="12"/>
  <c r="BN77" i="12"/>
  <c r="F83"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U9" i="12"/>
  <c r="V9" i="12" s="1"/>
  <c r="U19" i="12"/>
  <c r="V19" i="12" s="1"/>
  <c r="U34" i="12"/>
  <c r="V34" i="12" s="1"/>
  <c r="U6" i="12"/>
  <c r="V6" i="12" s="1"/>
  <c r="G77" i="1"/>
  <c r="F77" i="1"/>
  <c r="W44" i="12" l="1"/>
  <c r="U35" i="12"/>
  <c r="V35" i="12" s="1"/>
  <c r="U30" i="12"/>
  <c r="V30" i="12" s="1"/>
  <c r="U21" i="12"/>
  <c r="V21" i="12" s="1"/>
  <c r="U28" i="12"/>
  <c r="V28" i="12" s="1"/>
  <c r="U26" i="12"/>
  <c r="V26" i="12" s="1"/>
  <c r="U22" i="12"/>
  <c r="V22" i="12" s="1"/>
  <c r="U33" i="12"/>
  <c r="V33" i="12" s="1"/>
  <c r="U31" i="12"/>
  <c r="V31" i="12" s="1"/>
  <c r="U24" i="12"/>
  <c r="V24" i="12" s="1"/>
  <c r="U29" i="12"/>
  <c r="V29" i="12" s="1"/>
  <c r="U23" i="12"/>
  <c r="V23" i="12" s="1"/>
  <c r="U20" i="12"/>
  <c r="V20" i="12" s="1"/>
  <c r="U27" i="12"/>
  <c r="V27" i="12" s="1"/>
  <c r="U25" i="12"/>
  <c r="V25" i="12" s="1"/>
  <c r="U32" i="12"/>
  <c r="V32" i="12" s="1"/>
  <c r="U15" i="12"/>
  <c r="V15" i="12" s="1"/>
  <c r="U18" i="12"/>
  <c r="V18" i="12" s="1"/>
  <c r="U16" i="12"/>
  <c r="V16" i="12" s="1"/>
  <c r="U17" i="12"/>
  <c r="V17" i="12" s="1"/>
  <c r="U14" i="12"/>
  <c r="V14" i="12" s="1"/>
  <c r="U13" i="12"/>
  <c r="V13" i="12" s="1"/>
  <c r="U12" i="12"/>
  <c r="V12" i="12" s="1"/>
  <c r="U11" i="12"/>
  <c r="V11" i="12" s="1"/>
  <c r="U10" i="12"/>
  <c r="V10" i="12" s="1"/>
  <c r="BJ43" i="12"/>
  <c r="BJ44" i="12" s="1"/>
  <c r="BJ45" i="12" s="1"/>
  <c r="BH43" i="12"/>
  <c r="BL43" i="12" s="1"/>
  <c r="BI77" i="12"/>
  <c r="BL77" i="12"/>
  <c r="BL78" i="12"/>
  <c r="BK77" i="12"/>
  <c r="G133" i="1"/>
  <c r="BH78" i="12" l="1"/>
  <c r="W45" i="12"/>
  <c r="U36" i="12"/>
  <c r="V36" i="12" s="1"/>
  <c r="BI79" i="12"/>
  <c r="BI78" i="12"/>
  <c r="BN78" i="12"/>
  <c r="BH44" i="12"/>
  <c r="BJ46" i="12"/>
  <c r="BI80" i="12"/>
  <c r="BK78" i="12"/>
  <c r="H59" i="12"/>
  <c r="B17" i="7"/>
  <c r="L7" i="1"/>
  <c r="R1" i="23" s="1"/>
  <c r="J132" i="23"/>
  <c r="BH45" i="12" l="1"/>
  <c r="BL44" i="12"/>
  <c r="W46" i="12"/>
  <c r="H70" i="12"/>
  <c r="H61" i="12"/>
  <c r="U37" i="12"/>
  <c r="V37" i="12" s="1"/>
  <c r="H67" i="12"/>
  <c r="H60" i="12"/>
  <c r="H69" i="12"/>
  <c r="H58" i="12"/>
  <c r="H68" i="12"/>
  <c r="H65" i="12"/>
  <c r="H64" i="12"/>
  <c r="H63" i="12"/>
  <c r="H66" i="12"/>
  <c r="H62" i="12"/>
  <c r="BJ47" i="12"/>
  <c r="BI81" i="12"/>
  <c r="BH79" i="12"/>
  <c r="BL79" i="12"/>
  <c r="BK79" i="12"/>
  <c r="BN79" i="12"/>
  <c r="R226" i="23"/>
  <c r="R207" i="23"/>
  <c r="R188" i="23"/>
  <c r="R169" i="23"/>
  <c r="Q169" i="23"/>
  <c r="R150" i="23"/>
  <c r="Q150" i="23"/>
  <c r="R131" i="23"/>
  <c r="Q131" i="23"/>
  <c r="R112" i="23"/>
  <c r="Q112" i="23"/>
  <c r="R93" i="23"/>
  <c r="Q93" i="23"/>
  <c r="B52" i="23"/>
  <c r="C52" i="23"/>
  <c r="N52" i="23" s="1"/>
  <c r="Y52" i="23" s="1"/>
  <c r="AJ94" i="23" s="1"/>
  <c r="AJ113" i="23" s="1"/>
  <c r="C53" i="23"/>
  <c r="N53" i="23" s="1"/>
  <c r="Y53" i="23" s="1"/>
  <c r="AJ95" i="23" s="1"/>
  <c r="AJ114" i="23" s="1"/>
  <c r="C54" i="23"/>
  <c r="N54" i="23" s="1"/>
  <c r="Y54" i="23" s="1"/>
  <c r="AJ96" i="23" s="1"/>
  <c r="AJ115" i="23" s="1"/>
  <c r="C55" i="23"/>
  <c r="N55" i="23" s="1"/>
  <c r="Y55" i="23" s="1"/>
  <c r="AJ97" i="23" s="1"/>
  <c r="AJ116" i="23" s="1"/>
  <c r="C56" i="23"/>
  <c r="N56" i="23" s="1"/>
  <c r="Y56" i="23" s="1"/>
  <c r="AJ98" i="23" s="1"/>
  <c r="AJ117" i="23" s="1"/>
  <c r="C57" i="23"/>
  <c r="N57" i="23" s="1"/>
  <c r="Y57" i="23" s="1"/>
  <c r="AJ99" i="23" s="1"/>
  <c r="AJ118" i="23" s="1"/>
  <c r="C58" i="23"/>
  <c r="N58" i="23" s="1"/>
  <c r="Y58" i="23" s="1"/>
  <c r="AJ100" i="23" s="1"/>
  <c r="AJ119" i="23" s="1"/>
  <c r="C59" i="23"/>
  <c r="N59" i="23" s="1"/>
  <c r="Y59" i="23" s="1"/>
  <c r="AJ101" i="23" s="1"/>
  <c r="AJ120" i="23" s="1"/>
  <c r="C60" i="23"/>
  <c r="N60" i="23" s="1"/>
  <c r="Y60" i="23" s="1"/>
  <c r="AJ102" i="23" s="1"/>
  <c r="AJ121" i="23" s="1"/>
  <c r="C61" i="23"/>
  <c r="N61" i="23" s="1"/>
  <c r="Y61" i="23" s="1"/>
  <c r="AJ103" i="23" s="1"/>
  <c r="AJ122" i="23" s="1"/>
  <c r="C62" i="23"/>
  <c r="N62" i="23" s="1"/>
  <c r="Y62" i="23" s="1"/>
  <c r="AJ104" i="23" s="1"/>
  <c r="AJ123" i="23" s="1"/>
  <c r="C63" i="23"/>
  <c r="N63" i="23" s="1"/>
  <c r="Y63" i="23" s="1"/>
  <c r="AJ105" i="23" s="1"/>
  <c r="AJ124" i="23" s="1"/>
  <c r="C64" i="23"/>
  <c r="N64" i="23" s="1"/>
  <c r="Y64" i="23" s="1"/>
  <c r="AJ106" i="23" s="1"/>
  <c r="AJ125" i="23" s="1"/>
  <c r="C65" i="23"/>
  <c r="N65" i="23" s="1"/>
  <c r="Y65" i="23" s="1"/>
  <c r="AJ107" i="23" s="1"/>
  <c r="AJ126" i="23" s="1"/>
  <c r="C66" i="23"/>
  <c r="N66" i="23" s="1"/>
  <c r="Y66" i="23" s="1"/>
  <c r="AJ108" i="23" s="1"/>
  <c r="AJ127" i="23" s="1"/>
  <c r="C67" i="23"/>
  <c r="N67" i="23" s="1"/>
  <c r="Y67" i="23" s="1"/>
  <c r="AJ109" i="23" s="1"/>
  <c r="AJ128" i="23" s="1"/>
  <c r="F93" i="23"/>
  <c r="G93" i="23"/>
  <c r="AV18" i="23"/>
  <c r="F112" i="23"/>
  <c r="G112" i="23"/>
  <c r="F131" i="23"/>
  <c r="G131" i="23"/>
  <c r="F150" i="23"/>
  <c r="G150" i="23"/>
  <c r="F169" i="23"/>
  <c r="G169" i="23"/>
  <c r="G188" i="23"/>
  <c r="G207" i="23"/>
  <c r="G226" i="23"/>
  <c r="G140" i="1"/>
  <c r="F140" i="1"/>
  <c r="G55" i="1"/>
  <c r="F55" i="1"/>
  <c r="F54" i="1"/>
  <c r="F133" i="1" s="1"/>
  <c r="AK15" i="12"/>
  <c r="AK16" i="12" s="1"/>
  <c r="AK17" i="12" s="1"/>
  <c r="AK18" i="12" s="1"/>
  <c r="AK10" i="12"/>
  <c r="AK11" i="12" s="1"/>
  <c r="AK12" i="12" s="1"/>
  <c r="AK13" i="12" s="1"/>
  <c r="G57" i="1"/>
  <c r="F57" i="1"/>
  <c r="G68" i="1"/>
  <c r="F68" i="1"/>
  <c r="G11" i="5"/>
  <c r="G12" i="5"/>
  <c r="G13" i="5"/>
  <c r="G10" i="5"/>
  <c r="F11" i="5"/>
  <c r="F12" i="5"/>
  <c r="F13" i="5"/>
  <c r="F10" i="5"/>
  <c r="C13" i="5"/>
  <c r="G13" i="1"/>
  <c r="J72" i="1"/>
  <c r="K72" i="1"/>
  <c r="G64" i="1"/>
  <c r="F64" i="1"/>
  <c r="C21" i="12"/>
  <c r="C22" i="12"/>
  <c r="C23" i="12"/>
  <c r="C24" i="12"/>
  <c r="C25" i="12"/>
  <c r="C26" i="12"/>
  <c r="C27" i="12"/>
  <c r="C28" i="12"/>
  <c r="C29" i="12"/>
  <c r="C30" i="12"/>
  <c r="C31" i="12"/>
  <c r="C32" i="12"/>
  <c r="C33" i="12"/>
  <c r="C20" i="12"/>
  <c r="F82" i="12"/>
  <c r="I9" i="12"/>
  <c r="C11" i="12"/>
  <c r="BH46" i="12" l="1"/>
  <c r="BL45" i="12"/>
  <c r="BH80" i="12"/>
  <c r="W47" i="12"/>
  <c r="I10" i="12"/>
  <c r="I11" i="12"/>
  <c r="I12" i="12"/>
  <c r="I14" i="12"/>
  <c r="I13" i="12"/>
  <c r="I15" i="12"/>
  <c r="I16" i="12"/>
  <c r="I17" i="12"/>
  <c r="I18" i="12"/>
  <c r="H71" i="12"/>
  <c r="U38" i="12"/>
  <c r="V38" i="12" s="1"/>
  <c r="BN80" i="12"/>
  <c r="BL80" i="12"/>
  <c r="BK80" i="12"/>
  <c r="BJ48" i="12"/>
  <c r="BI82" i="12"/>
  <c r="F67" i="12"/>
  <c r="F81" i="12"/>
  <c r="F66" i="12"/>
  <c r="F64" i="12"/>
  <c r="F63" i="12"/>
  <c r="F62" i="12"/>
  <c r="F68" i="12"/>
  <c r="F69" i="12"/>
  <c r="F75" i="12"/>
  <c r="F60" i="12"/>
  <c r="F74" i="12"/>
  <c r="F79" i="12"/>
  <c r="F76" i="12"/>
  <c r="F73" i="12"/>
  <c r="F55" i="12"/>
  <c r="F57" i="12"/>
  <c r="F59" i="12"/>
  <c r="F58" i="12"/>
  <c r="F56" i="12"/>
  <c r="F61" i="12"/>
  <c r="F80" i="12"/>
  <c r="F77" i="12"/>
  <c r="F72" i="12"/>
  <c r="F78" i="12"/>
  <c r="F71" i="12"/>
  <c r="F65" i="12"/>
  <c r="F70" i="12"/>
  <c r="F226" i="23"/>
  <c r="F188" i="23"/>
  <c r="F207" i="23"/>
  <c r="Q207" i="23"/>
  <c r="Q188" i="23"/>
  <c r="Q226" i="23"/>
  <c r="C107" i="23"/>
  <c r="C126" i="23"/>
  <c r="C145" i="23"/>
  <c r="C164" i="23"/>
  <c r="C183" i="23"/>
  <c r="C202" i="23"/>
  <c r="C221" i="23"/>
  <c r="C240" i="23"/>
  <c r="N240" i="23"/>
  <c r="Y240" i="23" s="1"/>
  <c r="N221" i="23"/>
  <c r="Y221" i="23" s="1"/>
  <c r="N202" i="23"/>
  <c r="Y202" i="23" s="1"/>
  <c r="N183" i="23"/>
  <c r="N164" i="23"/>
  <c r="Y164" i="23" s="1"/>
  <c r="N145" i="23"/>
  <c r="Y145" i="23" s="1"/>
  <c r="N126" i="23"/>
  <c r="Y126" i="23" s="1"/>
  <c r="N107" i="23"/>
  <c r="Y107" i="23" s="1"/>
  <c r="N84" i="23"/>
  <c r="C238" i="23"/>
  <c r="N219" i="23"/>
  <c r="Y219" i="23" s="1"/>
  <c r="N181" i="23"/>
  <c r="N162" i="23"/>
  <c r="Y162" i="23" s="1"/>
  <c r="N143" i="23"/>
  <c r="Y143" i="23" s="1"/>
  <c r="N124" i="23"/>
  <c r="Y124" i="23" s="1"/>
  <c r="N105" i="23"/>
  <c r="Y105" i="23" s="1"/>
  <c r="N82" i="23"/>
  <c r="C105" i="23"/>
  <c r="C124" i="23"/>
  <c r="C143" i="23"/>
  <c r="C162" i="23"/>
  <c r="C181" i="23"/>
  <c r="C200" i="23"/>
  <c r="C219" i="23"/>
  <c r="N238" i="23"/>
  <c r="Y238" i="23" s="1"/>
  <c r="N200" i="23"/>
  <c r="Y200" i="23" s="1"/>
  <c r="N156" i="23"/>
  <c r="Y156" i="23" s="1"/>
  <c r="C194" i="23"/>
  <c r="N99" i="23"/>
  <c r="Y99" i="23" s="1"/>
  <c r="N137" i="23"/>
  <c r="Y137" i="23" s="1"/>
  <c r="C99" i="23"/>
  <c r="D137" i="23" s="1"/>
  <c r="N194" i="23"/>
  <c r="Y194" i="23" s="1"/>
  <c r="C156" i="23"/>
  <c r="N232" i="23"/>
  <c r="Y232" i="23" s="1"/>
  <c r="C118" i="23"/>
  <c r="C213" i="23"/>
  <c r="N175" i="23"/>
  <c r="N76" i="23"/>
  <c r="C175" i="23"/>
  <c r="N213" i="23"/>
  <c r="Y213" i="23" s="1"/>
  <c r="N118" i="23"/>
  <c r="Y118" i="23" s="1"/>
  <c r="C232" i="23"/>
  <c r="C137" i="23"/>
  <c r="C234" i="23"/>
  <c r="N158" i="23"/>
  <c r="Y158" i="23" s="1"/>
  <c r="C196" i="23"/>
  <c r="N196" i="23"/>
  <c r="Y196" i="23" s="1"/>
  <c r="N101" i="23"/>
  <c r="Y101" i="23" s="1"/>
  <c r="C158" i="23"/>
  <c r="N139" i="23"/>
  <c r="Y139" i="23" s="1"/>
  <c r="C139" i="23"/>
  <c r="C101" i="23"/>
  <c r="N234" i="23"/>
  <c r="Y234" i="23" s="1"/>
  <c r="C177" i="23"/>
  <c r="C120" i="23"/>
  <c r="C215" i="23"/>
  <c r="N177" i="23"/>
  <c r="Y177" i="23" s="1"/>
  <c r="N78" i="23"/>
  <c r="N215" i="23"/>
  <c r="Y215" i="23" s="1"/>
  <c r="N120" i="23"/>
  <c r="Y120" i="23" s="1"/>
  <c r="C97" i="23"/>
  <c r="D135" i="23" s="1"/>
  <c r="C116" i="23"/>
  <c r="C135" i="23"/>
  <c r="C154" i="23"/>
  <c r="C173" i="23"/>
  <c r="C192" i="23"/>
  <c r="C211" i="23"/>
  <c r="C230" i="23"/>
  <c r="N230" i="23"/>
  <c r="Y230" i="23" s="1"/>
  <c r="N211" i="23"/>
  <c r="Y211" i="23" s="1"/>
  <c r="N192" i="23"/>
  <c r="Y192" i="23" s="1"/>
  <c r="N173" i="23"/>
  <c r="N154" i="23"/>
  <c r="Y154" i="23" s="1"/>
  <c r="N135" i="23"/>
  <c r="Y135" i="23" s="1"/>
  <c r="N116" i="23"/>
  <c r="Y116" i="23" s="1"/>
  <c r="N97" i="23"/>
  <c r="Y97" i="23" s="1"/>
  <c r="N74" i="23"/>
  <c r="C109" i="23"/>
  <c r="C128" i="23"/>
  <c r="C147" i="23"/>
  <c r="C166" i="23"/>
  <c r="C185" i="23"/>
  <c r="C204" i="23"/>
  <c r="C223" i="23"/>
  <c r="C242" i="23"/>
  <c r="N242" i="23"/>
  <c r="Y242" i="23" s="1"/>
  <c r="N223" i="23"/>
  <c r="Y223" i="23" s="1"/>
  <c r="N204" i="23"/>
  <c r="Y204" i="23" s="1"/>
  <c r="N185" i="23"/>
  <c r="Y185" i="23" s="1"/>
  <c r="N166" i="23"/>
  <c r="Y166" i="23" s="1"/>
  <c r="N147" i="23"/>
  <c r="Y147" i="23" s="1"/>
  <c r="N128" i="23"/>
  <c r="Y128" i="23" s="1"/>
  <c r="N109" i="23"/>
  <c r="Y109" i="23" s="1"/>
  <c r="N86" i="23"/>
  <c r="C190" i="23"/>
  <c r="N190" i="23"/>
  <c r="Y190" i="23" s="1"/>
  <c r="N95" i="23"/>
  <c r="Y95" i="23" s="1"/>
  <c r="C152" i="23"/>
  <c r="N228" i="23"/>
  <c r="Y228" i="23" s="1"/>
  <c r="N133" i="23"/>
  <c r="Y133" i="23" s="1"/>
  <c r="C114" i="23"/>
  <c r="C209" i="23"/>
  <c r="N171" i="23"/>
  <c r="N72" i="23"/>
  <c r="C95" i="23"/>
  <c r="D133" i="23" s="1"/>
  <c r="N114" i="23"/>
  <c r="Y114" i="23" s="1"/>
  <c r="C133" i="23"/>
  <c r="C228" i="23"/>
  <c r="C171" i="23"/>
  <c r="N209" i="23"/>
  <c r="Y209" i="23" s="1"/>
  <c r="N152" i="23"/>
  <c r="Y152" i="23" s="1"/>
  <c r="N121" i="23"/>
  <c r="Y121" i="23" s="1"/>
  <c r="C140" i="23"/>
  <c r="C235" i="23"/>
  <c r="N159" i="23"/>
  <c r="Y159" i="23" s="1"/>
  <c r="C102" i="23"/>
  <c r="C197" i="23"/>
  <c r="N197" i="23"/>
  <c r="Y197" i="23" s="1"/>
  <c r="C159" i="23"/>
  <c r="N235" i="23"/>
  <c r="Y235" i="23" s="1"/>
  <c r="N140" i="23"/>
  <c r="Y140" i="23" s="1"/>
  <c r="N102" i="23"/>
  <c r="Y102" i="23" s="1"/>
  <c r="N79" i="23"/>
  <c r="C121" i="23"/>
  <c r="C216" i="23"/>
  <c r="N178" i="23"/>
  <c r="C178" i="23"/>
  <c r="N216" i="23"/>
  <c r="Y216" i="23" s="1"/>
  <c r="C96" i="23"/>
  <c r="D134" i="23" s="1"/>
  <c r="C115" i="23"/>
  <c r="C134" i="23"/>
  <c r="C153" i="23"/>
  <c r="C172" i="23"/>
  <c r="C191" i="23"/>
  <c r="C210" i="23"/>
  <c r="C229" i="23"/>
  <c r="N229" i="23"/>
  <c r="Y229" i="23" s="1"/>
  <c r="N210" i="23"/>
  <c r="Y210" i="23" s="1"/>
  <c r="N191" i="23"/>
  <c r="Y191" i="23" s="1"/>
  <c r="N172" i="23"/>
  <c r="N153" i="23"/>
  <c r="Y153" i="23" s="1"/>
  <c r="N134" i="23"/>
  <c r="Y134" i="23" s="1"/>
  <c r="N115" i="23"/>
  <c r="Y115" i="23" s="1"/>
  <c r="N96" i="23"/>
  <c r="Y96" i="23" s="1"/>
  <c r="N73" i="23"/>
  <c r="C179" i="23"/>
  <c r="N122" i="23"/>
  <c r="Y122" i="23" s="1"/>
  <c r="N160" i="23"/>
  <c r="Y160" i="23" s="1"/>
  <c r="C103" i="23"/>
  <c r="C198" i="23"/>
  <c r="N217" i="23"/>
  <c r="Y217" i="23" s="1"/>
  <c r="C141" i="23"/>
  <c r="C236" i="23"/>
  <c r="N198" i="23"/>
  <c r="Y198" i="23" s="1"/>
  <c r="N103" i="23"/>
  <c r="Y103" i="23" s="1"/>
  <c r="C160" i="23"/>
  <c r="N236" i="23"/>
  <c r="Y236" i="23" s="1"/>
  <c r="C122" i="23"/>
  <c r="C217" i="23"/>
  <c r="N179" i="23"/>
  <c r="N141" i="23"/>
  <c r="Y141" i="23" s="1"/>
  <c r="N80" i="23"/>
  <c r="C138" i="23"/>
  <c r="N157" i="23"/>
  <c r="Y157" i="23" s="1"/>
  <c r="C100" i="23"/>
  <c r="N195" i="23"/>
  <c r="Y195" i="23" s="1"/>
  <c r="N100" i="23"/>
  <c r="Y100" i="23" s="1"/>
  <c r="C157" i="23"/>
  <c r="N138" i="23"/>
  <c r="Y138" i="23" s="1"/>
  <c r="C119" i="23"/>
  <c r="C233" i="23"/>
  <c r="C195" i="23"/>
  <c r="N233" i="23"/>
  <c r="Y233" i="23" s="1"/>
  <c r="C214" i="23"/>
  <c r="N119" i="23"/>
  <c r="Y119" i="23" s="1"/>
  <c r="N176" i="23"/>
  <c r="N77" i="23"/>
  <c r="C176" i="23"/>
  <c r="N214" i="23"/>
  <c r="Y214" i="23" s="1"/>
  <c r="C108" i="23"/>
  <c r="C127" i="23"/>
  <c r="C146" i="23"/>
  <c r="C165" i="23"/>
  <c r="C184" i="23"/>
  <c r="C203" i="23"/>
  <c r="C222" i="23"/>
  <c r="C241" i="23"/>
  <c r="N241" i="23"/>
  <c r="Y241" i="23" s="1"/>
  <c r="N222" i="23"/>
  <c r="Y222" i="23" s="1"/>
  <c r="N203" i="23"/>
  <c r="Y203" i="23" s="1"/>
  <c r="N184" i="23"/>
  <c r="N165" i="23"/>
  <c r="Y165" i="23" s="1"/>
  <c r="N146" i="23"/>
  <c r="Y146" i="23" s="1"/>
  <c r="N127" i="23"/>
  <c r="Y127" i="23" s="1"/>
  <c r="N108" i="23"/>
  <c r="Y108" i="23" s="1"/>
  <c r="N85" i="23"/>
  <c r="N220" i="23"/>
  <c r="Y220" i="23" s="1"/>
  <c r="N125" i="23"/>
  <c r="Y125" i="23" s="1"/>
  <c r="N106" i="23"/>
  <c r="Y106" i="23" s="1"/>
  <c r="C182" i="23"/>
  <c r="C144" i="23"/>
  <c r="C239" i="23"/>
  <c r="C106" i="23"/>
  <c r="C201" i="23"/>
  <c r="N201" i="23"/>
  <c r="Y201" i="23" s="1"/>
  <c r="N163" i="23"/>
  <c r="Y163" i="23" s="1"/>
  <c r="C163" i="23"/>
  <c r="C125" i="23"/>
  <c r="N182" i="23"/>
  <c r="N239" i="23"/>
  <c r="Y239" i="23" s="1"/>
  <c r="N144" i="23"/>
  <c r="Y144" i="23" s="1"/>
  <c r="C220" i="23"/>
  <c r="N83" i="23"/>
  <c r="C104" i="23"/>
  <c r="C123" i="23"/>
  <c r="C142" i="23"/>
  <c r="C161" i="23"/>
  <c r="C180" i="23"/>
  <c r="C199" i="23"/>
  <c r="C218" i="23"/>
  <c r="C237" i="23"/>
  <c r="N237" i="23"/>
  <c r="Y237" i="23" s="1"/>
  <c r="N218" i="23"/>
  <c r="Y218" i="23" s="1"/>
  <c r="N199" i="23"/>
  <c r="Y199" i="23" s="1"/>
  <c r="N180" i="23"/>
  <c r="N161" i="23"/>
  <c r="Y161" i="23" s="1"/>
  <c r="N142" i="23"/>
  <c r="Y142" i="23" s="1"/>
  <c r="N123" i="23"/>
  <c r="Y123" i="23" s="1"/>
  <c r="N104" i="23"/>
  <c r="Y104" i="23" s="1"/>
  <c r="N81" i="23"/>
  <c r="C98" i="23"/>
  <c r="D136" i="23" s="1"/>
  <c r="C117" i="23"/>
  <c r="C136" i="23"/>
  <c r="C155" i="23"/>
  <c r="C174" i="23"/>
  <c r="C193" i="23"/>
  <c r="C212" i="23"/>
  <c r="C231" i="23"/>
  <c r="N231" i="23"/>
  <c r="Y231" i="23" s="1"/>
  <c r="N212" i="23"/>
  <c r="Y212" i="23" s="1"/>
  <c r="N193" i="23"/>
  <c r="Y193" i="23" s="1"/>
  <c r="N174" i="23"/>
  <c r="N155" i="23"/>
  <c r="Y155" i="23" s="1"/>
  <c r="N136" i="23"/>
  <c r="Y136" i="23" s="1"/>
  <c r="N117" i="23"/>
  <c r="Y117" i="23" s="1"/>
  <c r="N98" i="23"/>
  <c r="Y98" i="23" s="1"/>
  <c r="N75" i="23"/>
  <c r="C94" i="23"/>
  <c r="C113" i="23"/>
  <c r="C132" i="23"/>
  <c r="C151" i="23"/>
  <c r="C170" i="23"/>
  <c r="C189" i="23"/>
  <c r="C208" i="23"/>
  <c r="C227" i="23"/>
  <c r="N227" i="23"/>
  <c r="Y227" i="23" s="1"/>
  <c r="N208" i="23"/>
  <c r="U208" i="23" s="1"/>
  <c r="N189" i="23"/>
  <c r="N170" i="23"/>
  <c r="N151" i="23"/>
  <c r="N132" i="23"/>
  <c r="N113" i="23"/>
  <c r="N94" i="23"/>
  <c r="Y94" i="23" s="1"/>
  <c r="N71" i="23"/>
  <c r="B71" i="23"/>
  <c r="M52" i="23"/>
  <c r="X52" i="23" s="1"/>
  <c r="AI94" i="23" s="1"/>
  <c r="AI113" i="23" s="1"/>
  <c r="G56" i="1"/>
  <c r="F56" i="1"/>
  <c r="C16" i="12"/>
  <c r="C15" i="12"/>
  <c r="C10" i="12"/>
  <c r="C18" i="12"/>
  <c r="C17" i="12"/>
  <c r="C14" i="12"/>
  <c r="C13" i="12"/>
  <c r="C12" i="12"/>
  <c r="BH47" i="12" l="1"/>
  <c r="BL46" i="12"/>
  <c r="BH81" i="12"/>
  <c r="W48" i="12"/>
  <c r="H72" i="12"/>
  <c r="U39" i="12"/>
  <c r="V39" i="12" s="1"/>
  <c r="BJ49" i="12"/>
  <c r="BI83" i="12"/>
  <c r="BK81" i="12"/>
  <c r="BL81" i="12"/>
  <c r="BN81" i="12"/>
  <c r="E100" i="23"/>
  <c r="P100" i="23" s="1"/>
  <c r="F100" i="23"/>
  <c r="Q100" i="23" s="1"/>
  <c r="G100" i="23"/>
  <c r="R100" i="23" s="1"/>
  <c r="H100" i="23"/>
  <c r="S100" i="23" s="1"/>
  <c r="I100" i="23"/>
  <c r="T100" i="23" s="1"/>
  <c r="J100" i="23"/>
  <c r="U100" i="23" s="1"/>
  <c r="D138" i="23"/>
  <c r="O138" i="23" s="1"/>
  <c r="Z138" i="23" s="1"/>
  <c r="F104" i="23"/>
  <c r="Q104" i="23" s="1"/>
  <c r="G104" i="23"/>
  <c r="R104" i="23" s="1"/>
  <c r="H104" i="23"/>
  <c r="S104" i="23" s="1"/>
  <c r="E104" i="23"/>
  <c r="P104" i="23" s="1"/>
  <c r="I104" i="23"/>
  <c r="T104" i="23" s="1"/>
  <c r="J104" i="23"/>
  <c r="U104" i="23" s="1"/>
  <c r="D142" i="23"/>
  <c r="O142" i="23" s="1"/>
  <c r="Z142" i="23" s="1"/>
  <c r="F103" i="23"/>
  <c r="Q103" i="23" s="1"/>
  <c r="G103" i="23"/>
  <c r="R103" i="23" s="1"/>
  <c r="I103" i="23"/>
  <c r="T103" i="23" s="1"/>
  <c r="H103" i="23"/>
  <c r="S103" i="23" s="1"/>
  <c r="J103" i="23"/>
  <c r="U103" i="23" s="1"/>
  <c r="E103" i="23"/>
  <c r="P103" i="23" s="1"/>
  <c r="D141" i="23"/>
  <c r="O141" i="23" s="1"/>
  <c r="Z141" i="23" s="1"/>
  <c r="F102" i="23"/>
  <c r="Q102" i="23" s="1"/>
  <c r="J102" i="23"/>
  <c r="U102" i="23" s="1"/>
  <c r="G102" i="23"/>
  <c r="R102" i="23" s="1"/>
  <c r="H102" i="23"/>
  <c r="S102" i="23" s="1"/>
  <c r="I102" i="23"/>
  <c r="T102" i="23" s="1"/>
  <c r="E102" i="23"/>
  <c r="P102" i="23" s="1"/>
  <c r="D140" i="23"/>
  <c r="O140" i="23" s="1"/>
  <c r="Z140" i="23" s="1"/>
  <c r="F109" i="23"/>
  <c r="Q109" i="23" s="1"/>
  <c r="H109" i="23"/>
  <c r="S109" i="23" s="1"/>
  <c r="I109" i="23"/>
  <c r="T109" i="23" s="1"/>
  <c r="J109" i="23"/>
  <c r="U109" i="23" s="1"/>
  <c r="G109" i="23"/>
  <c r="R109" i="23" s="1"/>
  <c r="E109" i="23"/>
  <c r="P109" i="23" s="1"/>
  <c r="D147" i="23"/>
  <c r="O147" i="23" s="1"/>
  <c r="Z147" i="23" s="1"/>
  <c r="I107" i="23"/>
  <c r="T107" i="23" s="1"/>
  <c r="J107" i="23"/>
  <c r="U107" i="23" s="1"/>
  <c r="E107" i="23"/>
  <c r="P107" i="23" s="1"/>
  <c r="F107" i="23"/>
  <c r="Q107" i="23" s="1"/>
  <c r="G107" i="23"/>
  <c r="R107" i="23" s="1"/>
  <c r="H107" i="23"/>
  <c r="S107" i="23" s="1"/>
  <c r="D145" i="23"/>
  <c r="O145" i="23" s="1"/>
  <c r="Z145" i="23" s="1"/>
  <c r="F108" i="23"/>
  <c r="Q108" i="23" s="1"/>
  <c r="G108" i="23"/>
  <c r="R108" i="23" s="1"/>
  <c r="H108" i="23"/>
  <c r="S108" i="23" s="1"/>
  <c r="I108" i="23"/>
  <c r="T108" i="23" s="1"/>
  <c r="J108" i="23"/>
  <c r="U108" i="23" s="1"/>
  <c r="E108" i="23"/>
  <c r="P108" i="23" s="1"/>
  <c r="D146" i="23"/>
  <c r="O146" i="23" s="1"/>
  <c r="Z146" i="23" s="1"/>
  <c r="E106" i="23"/>
  <c r="P106" i="23" s="1"/>
  <c r="F106" i="23"/>
  <c r="Q106" i="23" s="1"/>
  <c r="G106" i="23"/>
  <c r="R106" i="23" s="1"/>
  <c r="H106" i="23"/>
  <c r="S106" i="23" s="1"/>
  <c r="I106" i="23"/>
  <c r="T106" i="23" s="1"/>
  <c r="J106" i="23"/>
  <c r="U106" i="23" s="1"/>
  <c r="D144" i="23"/>
  <c r="O144" i="23" s="1"/>
  <c r="Z144" i="23" s="1"/>
  <c r="G101" i="23"/>
  <c r="R101" i="23" s="1"/>
  <c r="H101" i="23"/>
  <c r="S101" i="23" s="1"/>
  <c r="I101" i="23"/>
  <c r="T101" i="23" s="1"/>
  <c r="E101" i="23"/>
  <c r="P101" i="23" s="1"/>
  <c r="J101" i="23"/>
  <c r="U101" i="23" s="1"/>
  <c r="F101" i="23"/>
  <c r="Q101" i="23" s="1"/>
  <c r="D139" i="23"/>
  <c r="O139" i="23" s="1"/>
  <c r="Z139" i="23" s="1"/>
  <c r="E105" i="23"/>
  <c r="P105" i="23" s="1"/>
  <c r="F105" i="23"/>
  <c r="Q105" i="23" s="1"/>
  <c r="G105" i="23"/>
  <c r="R105" i="23" s="1"/>
  <c r="H105" i="23"/>
  <c r="S105" i="23" s="1"/>
  <c r="I105" i="23"/>
  <c r="T105" i="23" s="1"/>
  <c r="J105" i="23"/>
  <c r="U105" i="23" s="1"/>
  <c r="D143" i="23"/>
  <c r="O143" i="23" s="1"/>
  <c r="Z143" i="23" s="1"/>
  <c r="Y181" i="23"/>
  <c r="Y182" i="23"/>
  <c r="Y172" i="23"/>
  <c r="O170" i="23"/>
  <c r="Z170" i="23" s="1"/>
  <c r="Y170" i="23"/>
  <c r="Y174" i="23"/>
  <c r="Y176" i="23"/>
  <c r="Y173" i="23"/>
  <c r="S113" i="23"/>
  <c r="Y113" i="23"/>
  <c r="Y171" i="23"/>
  <c r="O132" i="23"/>
  <c r="Z132" i="23" s="1"/>
  <c r="Y132" i="23"/>
  <c r="Q151" i="23"/>
  <c r="Y151" i="23"/>
  <c r="Y175" i="23"/>
  <c r="Y183" i="23"/>
  <c r="P189" i="23"/>
  <c r="Y189" i="23"/>
  <c r="P208" i="23"/>
  <c r="Y208" i="23"/>
  <c r="Y180" i="23"/>
  <c r="Y179" i="23"/>
  <c r="Y184" i="23"/>
  <c r="Y178" i="23"/>
  <c r="R113" i="23"/>
  <c r="Q113" i="23"/>
  <c r="U132" i="23"/>
  <c r="U189" i="23"/>
  <c r="T208" i="23"/>
  <c r="O189" i="23"/>
  <c r="Z189" i="23" s="1"/>
  <c r="S208" i="23"/>
  <c r="O208" i="23"/>
  <c r="Z208" i="23" s="1"/>
  <c r="U151" i="23"/>
  <c r="Q170" i="23"/>
  <c r="R170" i="23"/>
  <c r="T189" i="23"/>
  <c r="S170" i="23"/>
  <c r="U170" i="23"/>
  <c r="Q189" i="23"/>
  <c r="P113" i="23"/>
  <c r="R189" i="23"/>
  <c r="U113" i="23"/>
  <c r="O113" i="23"/>
  <c r="Z113" i="23" s="1"/>
  <c r="P151" i="23"/>
  <c r="S151" i="23"/>
  <c r="S189" i="23"/>
  <c r="O151" i="23"/>
  <c r="Z151" i="23" s="1"/>
  <c r="T170" i="23"/>
  <c r="R151" i="23"/>
  <c r="D109" i="23"/>
  <c r="O109" i="23" s="1"/>
  <c r="Z109" i="23" s="1"/>
  <c r="J147" i="23"/>
  <c r="U147" i="23" s="1"/>
  <c r="G147" i="23"/>
  <c r="R147" i="23" s="1"/>
  <c r="H147" i="23"/>
  <c r="S147" i="23" s="1"/>
  <c r="I147" i="23"/>
  <c r="T147" i="23" s="1"/>
  <c r="J133" i="23"/>
  <c r="T113" i="23"/>
  <c r="J142" i="23"/>
  <c r="U142" i="23" s="1"/>
  <c r="I142" i="23"/>
  <c r="T142" i="23" s="1"/>
  <c r="D104" i="23"/>
  <c r="O104" i="23" s="1"/>
  <c r="Z104" i="23" s="1"/>
  <c r="G142" i="23"/>
  <c r="R142" i="23" s="1"/>
  <c r="H142" i="23"/>
  <c r="S142" i="23" s="1"/>
  <c r="G140" i="23"/>
  <c r="R140" i="23" s="1"/>
  <c r="D102" i="23"/>
  <c r="O102" i="23" s="1"/>
  <c r="Z102" i="23" s="1"/>
  <c r="H140" i="23"/>
  <c r="S140" i="23" s="1"/>
  <c r="I140" i="23"/>
  <c r="T140" i="23" s="1"/>
  <c r="J140" i="23"/>
  <c r="U140" i="23" s="1"/>
  <c r="I143" i="23"/>
  <c r="T143" i="23" s="1"/>
  <c r="J143" i="23"/>
  <c r="U143" i="23" s="1"/>
  <c r="G143" i="23"/>
  <c r="R143" i="23" s="1"/>
  <c r="D105" i="23"/>
  <c r="O105" i="23" s="1"/>
  <c r="Z105" i="23" s="1"/>
  <c r="H143" i="23"/>
  <c r="S143" i="23" s="1"/>
  <c r="O136" i="23"/>
  <c r="Z136" i="23" s="1"/>
  <c r="J136" i="23"/>
  <c r="U136" i="23" s="1"/>
  <c r="R208" i="23"/>
  <c r="O135" i="23"/>
  <c r="Z135" i="23" s="1"/>
  <c r="J135" i="23"/>
  <c r="U135" i="23" s="1"/>
  <c r="J146" i="23"/>
  <c r="U146" i="23" s="1"/>
  <c r="H146" i="23"/>
  <c r="S146" i="23" s="1"/>
  <c r="I146" i="23"/>
  <c r="T146" i="23" s="1"/>
  <c r="D108" i="23"/>
  <c r="O108" i="23" s="1"/>
  <c r="Z108" i="23" s="1"/>
  <c r="G146" i="23"/>
  <c r="R146" i="23" s="1"/>
  <c r="I144" i="23"/>
  <c r="T144" i="23" s="1"/>
  <c r="G144" i="23"/>
  <c r="R144" i="23" s="1"/>
  <c r="D106" i="23"/>
  <c r="O106" i="23" s="1"/>
  <c r="Z106" i="23" s="1"/>
  <c r="J144" i="23"/>
  <c r="U144" i="23" s="1"/>
  <c r="H144" i="23"/>
  <c r="S144" i="23" s="1"/>
  <c r="Q208" i="23"/>
  <c r="T151" i="23"/>
  <c r="O137" i="23"/>
  <c r="Z137" i="23" s="1"/>
  <c r="J137" i="23"/>
  <c r="U137" i="23" s="1"/>
  <c r="P170" i="23"/>
  <c r="B94" i="23"/>
  <c r="B113" i="23"/>
  <c r="B132" i="23"/>
  <c r="B151" i="23"/>
  <c r="B170" i="23"/>
  <c r="B189" i="23"/>
  <c r="B208" i="23"/>
  <c r="B227" i="23"/>
  <c r="M227" i="23"/>
  <c r="X227" i="23" s="1"/>
  <c r="M208" i="23"/>
  <c r="X208" i="23" s="1"/>
  <c r="M189" i="23"/>
  <c r="X189" i="23" s="1"/>
  <c r="M170" i="23"/>
  <c r="X170" i="23" s="1"/>
  <c r="M151" i="23"/>
  <c r="X151" i="23" s="1"/>
  <c r="M132" i="23"/>
  <c r="X132" i="23" s="1"/>
  <c r="M113" i="23"/>
  <c r="X113" i="23" s="1"/>
  <c r="M94" i="23"/>
  <c r="X94" i="23" s="1"/>
  <c r="M71" i="23"/>
  <c r="J138" i="23"/>
  <c r="U138" i="23" s="1"/>
  <c r="G138" i="23"/>
  <c r="R138" i="23" s="1"/>
  <c r="I138" i="23"/>
  <c r="T138" i="23" s="1"/>
  <c r="D100" i="23"/>
  <c r="O100" i="23" s="1"/>
  <c r="Z100" i="23" s="1"/>
  <c r="H138" i="23"/>
  <c r="S138" i="23" s="1"/>
  <c r="O134" i="23"/>
  <c r="Z134" i="23" s="1"/>
  <c r="J134" i="23"/>
  <c r="U134" i="23" s="1"/>
  <c r="H141" i="23"/>
  <c r="S141" i="23" s="1"/>
  <c r="I141" i="23"/>
  <c r="T141" i="23" s="1"/>
  <c r="G141" i="23"/>
  <c r="R141" i="23" s="1"/>
  <c r="J141" i="23"/>
  <c r="U141" i="23" s="1"/>
  <c r="D103" i="23"/>
  <c r="O103" i="23" s="1"/>
  <c r="Z103" i="23" s="1"/>
  <c r="J139" i="23"/>
  <c r="U139" i="23" s="1"/>
  <c r="H139" i="23"/>
  <c r="S139" i="23" s="1"/>
  <c r="I139" i="23"/>
  <c r="T139" i="23" s="1"/>
  <c r="D101" i="23"/>
  <c r="O101" i="23" s="1"/>
  <c r="Z101" i="23" s="1"/>
  <c r="G139" i="23"/>
  <c r="R139" i="23" s="1"/>
  <c r="J145" i="23"/>
  <c r="U145" i="23" s="1"/>
  <c r="H145" i="23"/>
  <c r="S145" i="23" s="1"/>
  <c r="D107" i="23"/>
  <c r="O107" i="23" s="1"/>
  <c r="Z107" i="23" s="1"/>
  <c r="I145" i="23"/>
  <c r="T145" i="23" s="1"/>
  <c r="G145" i="23"/>
  <c r="R145" i="23" s="1"/>
  <c r="C11" i="5"/>
  <c r="C12" i="5"/>
  <c r="G66" i="1" s="1"/>
  <c r="BH48" i="12" l="1"/>
  <c r="BL47" i="12"/>
  <c r="BH82" i="12"/>
  <c r="W49" i="12"/>
  <c r="U40" i="12"/>
  <c r="V40" i="12" s="1"/>
  <c r="H73" i="12"/>
  <c r="BN82" i="12"/>
  <c r="BK82" i="12"/>
  <c r="BL82" i="12"/>
  <c r="AB113" i="23"/>
  <c r="AC113" i="23"/>
  <c r="AF147" i="23"/>
  <c r="AC147" i="23"/>
  <c r="AC139" i="23"/>
  <c r="E115" i="1"/>
  <c r="AB103" i="23"/>
  <c r="AF109" i="23"/>
  <c r="AE109" i="23"/>
  <c r="AA100" i="23"/>
  <c r="AC101" i="23"/>
  <c r="AA102" i="23"/>
  <c r="AE107" i="23"/>
  <c r="AD143" i="23"/>
  <c r="AD108" i="23"/>
  <c r="AA108" i="23"/>
  <c r="AB104" i="23"/>
  <c r="AF138" i="23"/>
  <c r="AF135" i="23"/>
  <c r="AE170" i="23"/>
  <c r="AD105" i="23"/>
  <c r="AB208" i="23"/>
  <c r="AF140" i="23"/>
  <c r="AC142" i="23"/>
  <c r="AF132" i="23"/>
  <c r="AC144" i="23"/>
  <c r="AD104" i="23"/>
  <c r="AD142" i="23"/>
  <c r="AF137" i="23"/>
  <c r="AF107" i="23"/>
  <c r="AB107" i="23"/>
  <c r="AF189" i="23"/>
  <c r="AA189" i="23"/>
  <c r="AD189" i="23"/>
  <c r="AC189" i="23"/>
  <c r="AF208" i="23"/>
  <c r="AD109" i="23"/>
  <c r="AB189" i="23"/>
  <c r="AA208" i="23"/>
  <c r="AD102" i="23"/>
  <c r="AA109" i="23"/>
  <c r="AE189" i="23"/>
  <c r="AF100" i="23"/>
  <c r="AB102" i="23"/>
  <c r="AD147" i="23"/>
  <c r="AD151" i="23"/>
  <c r="AE144" i="23"/>
  <c r="AC104" i="23"/>
  <c r="AC106" i="23"/>
  <c r="AF104" i="23"/>
  <c r="AA151" i="23"/>
  <c r="AA106" i="23"/>
  <c r="AC143" i="23"/>
  <c r="AE142" i="23"/>
  <c r="AB106" i="23"/>
  <c r="AF143" i="23"/>
  <c r="AF142" i="23"/>
  <c r="AF113" i="23"/>
  <c r="AE113" i="23"/>
  <c r="AF141" i="23"/>
  <c r="AE143" i="23"/>
  <c r="AC141" i="23"/>
  <c r="AA113" i="23"/>
  <c r="AE141" i="23"/>
  <c r="AD141" i="23"/>
  <c r="AF170" i="23"/>
  <c r="AD170" i="23"/>
  <c r="AA170" i="23"/>
  <c r="AC170" i="23"/>
  <c r="AB170" i="23"/>
  <c r="AD138" i="23"/>
  <c r="AE151" i="23"/>
  <c r="AB151" i="23"/>
  <c r="AE138" i="23"/>
  <c r="AF151" i="23"/>
  <c r="AC138" i="23"/>
  <c r="AC208" i="23"/>
  <c r="AD208" i="23"/>
  <c r="AD144" i="23"/>
  <c r="AE104" i="23"/>
  <c r="AF144" i="23"/>
  <c r="AF136" i="23"/>
  <c r="AA104" i="23"/>
  <c r="AC151" i="23"/>
  <c r="AE208" i="23"/>
  <c r="AD113" i="23"/>
  <c r="AC109" i="23"/>
  <c r="AC102" i="23"/>
  <c r="AE147" i="23"/>
  <c r="AF134" i="23"/>
  <c r="AF102" i="23"/>
  <c r="AB109" i="23"/>
  <c r="AD145" i="23"/>
  <c r="AA101" i="23"/>
  <c r="AF105" i="23"/>
  <c r="AF103" i="23"/>
  <c r="AB100" i="23"/>
  <c r="AC107" i="23"/>
  <c r="AF106" i="23"/>
  <c r="AC145" i="23"/>
  <c r="AD107" i="23"/>
  <c r="AD146" i="23"/>
  <c r="AC140" i="23"/>
  <c r="AD100" i="23"/>
  <c r="AC100" i="23"/>
  <c r="AB105" i="23"/>
  <c r="AE145" i="23"/>
  <c r="AE146" i="23"/>
  <c r="AE108" i="23"/>
  <c r="AE140" i="23"/>
  <c r="AF146" i="23"/>
  <c r="AD101" i="23"/>
  <c r="AA105" i="23"/>
  <c r="AC146" i="23"/>
  <c r="AE139" i="23"/>
  <c r="AE100" i="23"/>
  <c r="AB101" i="23"/>
  <c r="AF101" i="23"/>
  <c r="AA103" i="23"/>
  <c r="AA107" i="23"/>
  <c r="AF108" i="23"/>
  <c r="AB108" i="23"/>
  <c r="AF145" i="23"/>
  <c r="AC108" i="23"/>
  <c r="AD140" i="23"/>
  <c r="AE101" i="23"/>
  <c r="AD103" i="23"/>
  <c r="AE106" i="23"/>
  <c r="AE105" i="23"/>
  <c r="AE103" i="23"/>
  <c r="AC103" i="23"/>
  <c r="AE102" i="23"/>
  <c r="AD139" i="23"/>
  <c r="AF139" i="23"/>
  <c r="AD106" i="23"/>
  <c r="AC105" i="23"/>
  <c r="U133" i="23"/>
  <c r="J148" i="23"/>
  <c r="I8" i="9" s="1"/>
  <c r="H7" i="3"/>
  <c r="H6" i="3"/>
  <c r="H5" i="3"/>
  <c r="D5" i="3"/>
  <c r="G17" i="4"/>
  <c r="F17" i="4"/>
  <c r="E17" i="4"/>
  <c r="D17" i="4"/>
  <c r="G15" i="4"/>
  <c r="F15" i="4"/>
  <c r="E15" i="4"/>
  <c r="D15" i="4"/>
  <c r="C10" i="5"/>
  <c r="AZ83" i="12"/>
  <c r="AY83" i="12"/>
  <c r="AX83" i="12"/>
  <c r="AW83" i="12"/>
  <c r="AV83" i="12"/>
  <c r="AU83" i="12"/>
  <c r="AT83" i="12"/>
  <c r="AS83" i="12"/>
  <c r="AR83" i="12"/>
  <c r="AQ83" i="12"/>
  <c r="C83" i="12"/>
  <c r="AZ82" i="12"/>
  <c r="AY82" i="12"/>
  <c r="AX82" i="12"/>
  <c r="AW82" i="12"/>
  <c r="AV82" i="12"/>
  <c r="AU82" i="12"/>
  <c r="AT82" i="12"/>
  <c r="AS82" i="12"/>
  <c r="AR82" i="12"/>
  <c r="AQ82" i="12"/>
  <c r="C82" i="12"/>
  <c r="AZ81" i="12"/>
  <c r="AY81" i="12"/>
  <c r="AX81" i="12"/>
  <c r="AW81" i="12"/>
  <c r="AV81" i="12"/>
  <c r="AU81" i="12"/>
  <c r="AT81" i="12"/>
  <c r="AS81" i="12"/>
  <c r="AR81" i="12"/>
  <c r="AQ81" i="12"/>
  <c r="C81" i="12"/>
  <c r="AZ80" i="12"/>
  <c r="AY80" i="12"/>
  <c r="AX80" i="12"/>
  <c r="AW80" i="12"/>
  <c r="AV80" i="12"/>
  <c r="AU80" i="12"/>
  <c r="AT80" i="12"/>
  <c r="AS80" i="12"/>
  <c r="AR80" i="12"/>
  <c r="AQ80" i="12"/>
  <c r="C80" i="12"/>
  <c r="AZ79" i="12"/>
  <c r="AY79" i="12"/>
  <c r="AX79" i="12"/>
  <c r="AW79" i="12"/>
  <c r="AV79" i="12"/>
  <c r="AU79" i="12"/>
  <c r="AT79" i="12"/>
  <c r="AS79" i="12"/>
  <c r="AR79" i="12"/>
  <c r="AQ79" i="12"/>
  <c r="C79" i="12"/>
  <c r="AZ78" i="12"/>
  <c r="AY78" i="12"/>
  <c r="AX78" i="12"/>
  <c r="AW78" i="12"/>
  <c r="AV78" i="12"/>
  <c r="AU78" i="12"/>
  <c r="AT78" i="12"/>
  <c r="AS78" i="12"/>
  <c r="AR78" i="12"/>
  <c r="AQ78" i="12"/>
  <c r="C78" i="12"/>
  <c r="AZ77" i="12"/>
  <c r="AY77" i="12"/>
  <c r="AX77" i="12"/>
  <c r="AW77" i="12"/>
  <c r="AV77" i="12"/>
  <c r="AU77" i="12"/>
  <c r="AT77" i="12"/>
  <c r="AS77" i="12"/>
  <c r="AR77" i="12"/>
  <c r="AQ77" i="12"/>
  <c r="C77" i="12"/>
  <c r="AZ76" i="12"/>
  <c r="AY76" i="12"/>
  <c r="AX76" i="12"/>
  <c r="AW76" i="12"/>
  <c r="AV76" i="12"/>
  <c r="AU76" i="12"/>
  <c r="AT76" i="12"/>
  <c r="AS76" i="12"/>
  <c r="AR76" i="12"/>
  <c r="AQ76" i="12"/>
  <c r="C76" i="12"/>
  <c r="AZ75" i="12"/>
  <c r="AY75" i="12"/>
  <c r="AX75" i="12"/>
  <c r="AW75" i="12"/>
  <c r="AV75" i="12"/>
  <c r="AU75" i="12"/>
  <c r="AT75" i="12"/>
  <c r="AS75" i="12"/>
  <c r="AR75" i="12"/>
  <c r="AQ75" i="12"/>
  <c r="C75" i="12"/>
  <c r="AZ74" i="12"/>
  <c r="AY74" i="12"/>
  <c r="AX74" i="12"/>
  <c r="AW74" i="12"/>
  <c r="AV74" i="12"/>
  <c r="AU74" i="12"/>
  <c r="AT74" i="12"/>
  <c r="AS74" i="12"/>
  <c r="AR74" i="12"/>
  <c r="AQ74" i="12"/>
  <c r="C74" i="12"/>
  <c r="AZ73" i="12"/>
  <c r="AY73" i="12"/>
  <c r="AX73" i="12"/>
  <c r="AW73" i="12"/>
  <c r="AV73" i="12"/>
  <c r="AU73" i="12"/>
  <c r="AT73" i="12"/>
  <c r="AS73" i="12"/>
  <c r="AR73" i="12"/>
  <c r="AQ73" i="12"/>
  <c r="C73" i="12"/>
  <c r="AZ72" i="12"/>
  <c r="AY72" i="12"/>
  <c r="AX72" i="12"/>
  <c r="AW72" i="12"/>
  <c r="AV72" i="12"/>
  <c r="AU72" i="12"/>
  <c r="AT72" i="12"/>
  <c r="AS72" i="12"/>
  <c r="AR72" i="12"/>
  <c r="AQ72" i="12"/>
  <c r="C72" i="12"/>
  <c r="AZ71" i="12"/>
  <c r="AY71" i="12"/>
  <c r="AX71" i="12"/>
  <c r="AW71" i="12"/>
  <c r="AV71" i="12"/>
  <c r="AU71" i="12"/>
  <c r="AT71" i="12"/>
  <c r="AS71" i="12"/>
  <c r="AR71" i="12"/>
  <c r="AQ71" i="12"/>
  <c r="C71" i="12"/>
  <c r="AZ70" i="12"/>
  <c r="AY70" i="12"/>
  <c r="AX70" i="12"/>
  <c r="AW70" i="12"/>
  <c r="AV70" i="12"/>
  <c r="AU70" i="12"/>
  <c r="AT70" i="12"/>
  <c r="AS70" i="12"/>
  <c r="AR70" i="12"/>
  <c r="AQ70" i="12"/>
  <c r="C70" i="12"/>
  <c r="AZ69" i="12"/>
  <c r="AY69" i="12"/>
  <c r="AX69" i="12"/>
  <c r="AW69" i="12"/>
  <c r="AV69" i="12"/>
  <c r="AU69" i="12"/>
  <c r="AT69" i="12"/>
  <c r="AS69" i="12"/>
  <c r="AR69" i="12"/>
  <c r="AQ69" i="12"/>
  <c r="C69" i="12"/>
  <c r="AZ68" i="12"/>
  <c r="AY68" i="12"/>
  <c r="AX68" i="12"/>
  <c r="AW68" i="12"/>
  <c r="AV68" i="12"/>
  <c r="AU68" i="12"/>
  <c r="AT68" i="12"/>
  <c r="AS68" i="12"/>
  <c r="AR68" i="12"/>
  <c r="AQ68" i="12"/>
  <c r="C68" i="12"/>
  <c r="AZ67" i="12"/>
  <c r="AY67" i="12"/>
  <c r="AX67" i="12"/>
  <c r="AW67" i="12"/>
  <c r="AV67" i="12"/>
  <c r="AU67" i="12"/>
  <c r="AT67" i="12"/>
  <c r="AS67" i="12"/>
  <c r="AR67" i="12"/>
  <c r="AQ67" i="12"/>
  <c r="C67" i="12"/>
  <c r="AZ66" i="12"/>
  <c r="AY66" i="12"/>
  <c r="AX66" i="12"/>
  <c r="AW66" i="12"/>
  <c r="AV66" i="12"/>
  <c r="AU66" i="12"/>
  <c r="AT66" i="12"/>
  <c r="AS66" i="12"/>
  <c r="AR66" i="12"/>
  <c r="AQ66" i="12"/>
  <c r="C66" i="12"/>
  <c r="AZ65" i="12"/>
  <c r="AY65" i="12"/>
  <c r="AX65" i="12"/>
  <c r="AW65" i="12"/>
  <c r="AV65" i="12"/>
  <c r="AU65" i="12"/>
  <c r="AT65" i="12"/>
  <c r="AS65" i="12"/>
  <c r="AR65" i="12"/>
  <c r="AQ65" i="12"/>
  <c r="C65" i="12"/>
  <c r="AZ64" i="12"/>
  <c r="AY64" i="12"/>
  <c r="AX64" i="12"/>
  <c r="AW64" i="12"/>
  <c r="AV64" i="12"/>
  <c r="AU64" i="12"/>
  <c r="AT64" i="12"/>
  <c r="AS64" i="12"/>
  <c r="AR64" i="12"/>
  <c r="AQ64" i="12"/>
  <c r="C64" i="12"/>
  <c r="AZ63" i="12"/>
  <c r="AY63" i="12"/>
  <c r="AX63" i="12"/>
  <c r="AW63" i="12"/>
  <c r="AV63" i="12"/>
  <c r="AU63" i="12"/>
  <c r="AT63" i="12"/>
  <c r="AS63" i="12"/>
  <c r="AR63" i="12"/>
  <c r="AQ63" i="12"/>
  <c r="C63" i="12"/>
  <c r="AZ62" i="12"/>
  <c r="AY62" i="12"/>
  <c r="AX62" i="12"/>
  <c r="AW62" i="12"/>
  <c r="AV62" i="12"/>
  <c r="AU62" i="12"/>
  <c r="AT62" i="12"/>
  <c r="AS62" i="12"/>
  <c r="AR62" i="12"/>
  <c r="AQ62" i="12"/>
  <c r="C62" i="12"/>
  <c r="AZ61" i="12"/>
  <c r="AY61" i="12"/>
  <c r="AX61" i="12"/>
  <c r="AW61" i="12"/>
  <c r="AV61" i="12"/>
  <c r="AU61" i="12"/>
  <c r="AT61" i="12"/>
  <c r="AS61" i="12"/>
  <c r="AR61" i="12"/>
  <c r="AQ61" i="12"/>
  <c r="C61" i="12"/>
  <c r="AZ60" i="12"/>
  <c r="AY60" i="12"/>
  <c r="AX60" i="12"/>
  <c r="AW60" i="12"/>
  <c r="AV60" i="12"/>
  <c r="AU60" i="12"/>
  <c r="AT60" i="12"/>
  <c r="AS60" i="12"/>
  <c r="AR60" i="12"/>
  <c r="AQ60" i="12"/>
  <c r="C60" i="12"/>
  <c r="AZ59" i="12"/>
  <c r="AY59" i="12"/>
  <c r="AX59" i="12"/>
  <c r="AW59" i="12"/>
  <c r="AV59" i="12"/>
  <c r="AU59" i="12"/>
  <c r="AT59" i="12"/>
  <c r="AS59" i="12"/>
  <c r="AR59" i="12"/>
  <c r="AQ59" i="12"/>
  <c r="C59" i="12"/>
  <c r="AZ58" i="12"/>
  <c r="AY58" i="12"/>
  <c r="AX58" i="12"/>
  <c r="AW58" i="12"/>
  <c r="AV58" i="12"/>
  <c r="AU58" i="12"/>
  <c r="AT58" i="12"/>
  <c r="AS58" i="12"/>
  <c r="AR58" i="12"/>
  <c r="AQ58" i="12"/>
  <c r="C58" i="12"/>
  <c r="AZ57" i="12"/>
  <c r="AY57" i="12"/>
  <c r="AX57" i="12"/>
  <c r="AW57" i="12"/>
  <c r="AV57" i="12"/>
  <c r="AU57" i="12"/>
  <c r="AT57" i="12"/>
  <c r="AS57" i="12"/>
  <c r="AR57" i="12"/>
  <c r="AQ57" i="12"/>
  <c r="C57" i="12"/>
  <c r="AZ56" i="12"/>
  <c r="AY56" i="12"/>
  <c r="AX56" i="12"/>
  <c r="AW56" i="12"/>
  <c r="AV56" i="12"/>
  <c r="AU56" i="12"/>
  <c r="AT56" i="12"/>
  <c r="AS56" i="12"/>
  <c r="AR56" i="12"/>
  <c r="AQ56" i="12"/>
  <c r="C56" i="12"/>
  <c r="AZ55" i="12"/>
  <c r="AY55" i="12"/>
  <c r="AX55" i="12"/>
  <c r="AW55" i="12"/>
  <c r="AV55" i="12"/>
  <c r="AU55" i="12"/>
  <c r="AT55" i="12"/>
  <c r="AS55" i="12"/>
  <c r="AR55" i="12"/>
  <c r="AQ55" i="12"/>
  <c r="C55" i="12"/>
  <c r="AI15" i="12"/>
  <c r="AI16" i="12" s="1"/>
  <c r="AI17" i="12" s="1"/>
  <c r="AI18" i="12" s="1"/>
  <c r="AH15" i="12"/>
  <c r="AH16" i="12" s="1"/>
  <c r="AH17" i="12" s="1"/>
  <c r="AH18" i="12" s="1"/>
  <c r="AI10" i="12"/>
  <c r="AI11" i="12" s="1"/>
  <c r="AI12" i="12" s="1"/>
  <c r="AI13" i="12" s="1"/>
  <c r="AH10" i="12"/>
  <c r="AH11" i="12" s="1"/>
  <c r="AH12" i="12" s="1"/>
  <c r="AH13" i="12" s="1"/>
  <c r="AF10" i="12"/>
  <c r="AF11" i="12" s="1"/>
  <c r="AF12" i="12" s="1"/>
  <c r="AF13" i="12" s="1"/>
  <c r="AE10" i="12"/>
  <c r="AE11" i="12" s="1"/>
  <c r="AE12" i="12" s="1"/>
  <c r="AE13" i="12" s="1"/>
  <c r="AD10" i="12"/>
  <c r="AD11" i="12" s="1"/>
  <c r="AD12" i="12" s="1"/>
  <c r="AD13" i="12" s="1"/>
  <c r="U19" i="1"/>
  <c r="M7" i="12"/>
  <c r="M8" i="12" s="1"/>
  <c r="E36" i="2"/>
  <c r="K36" i="2" s="1"/>
  <c r="E35" i="2"/>
  <c r="H34" i="2"/>
  <c r="F34" i="2"/>
  <c r="E34" i="2"/>
  <c r="D34" i="2"/>
  <c r="H33" i="2"/>
  <c r="F33" i="2"/>
  <c r="E33" i="2"/>
  <c r="D33" i="2"/>
  <c r="H32" i="2"/>
  <c r="F32" i="2"/>
  <c r="E32" i="2"/>
  <c r="D32" i="2"/>
  <c r="H31" i="2"/>
  <c r="G31" i="2"/>
  <c r="I31" i="2" s="1"/>
  <c r="F31" i="2"/>
  <c r="E31" i="2"/>
  <c r="D31" i="2"/>
  <c r="E22" i="2"/>
  <c r="K22" i="2" s="1"/>
  <c r="H21" i="2"/>
  <c r="E21" i="2"/>
  <c r="H20" i="2"/>
  <c r="E20" i="2"/>
  <c r="D20" i="2"/>
  <c r="H19" i="2"/>
  <c r="E19" i="2"/>
  <c r="D19" i="2"/>
  <c r="H18" i="2"/>
  <c r="E18" i="2"/>
  <c r="D18" i="2"/>
  <c r="H17" i="2"/>
  <c r="G17" i="2"/>
  <c r="G18" i="2" s="1"/>
  <c r="G19" i="2" s="1"/>
  <c r="G20" i="2" s="1"/>
  <c r="E17" i="2"/>
  <c r="D17" i="2"/>
  <c r="D45" i="7"/>
  <c r="D44" i="7"/>
  <c r="D43" i="7"/>
  <c r="D42" i="7"/>
  <c r="D41" i="7"/>
  <c r="D40" i="7"/>
  <c r="D39" i="7"/>
  <c r="D38" i="7"/>
  <c r="D37" i="7"/>
  <c r="D36" i="7"/>
  <c r="D35" i="7"/>
  <c r="D34" i="7"/>
  <c r="D33" i="7"/>
  <c r="D32" i="7"/>
  <c r="F28" i="7"/>
  <c r="H27" i="7"/>
  <c r="M32" i="7" s="1"/>
  <c r="AB20" i="7"/>
  <c r="AB21" i="7" s="1"/>
  <c r="AA20" i="7"/>
  <c r="AA21" i="7" s="1"/>
  <c r="E45" i="7" s="1"/>
  <c r="Z20" i="7"/>
  <c r="Z21" i="7" s="1"/>
  <c r="E44" i="7" s="1"/>
  <c r="Y20" i="7"/>
  <c r="Y21" i="7" s="1"/>
  <c r="X20" i="7"/>
  <c r="X21" i="7" s="1"/>
  <c r="W20" i="7"/>
  <c r="W21" i="7" s="1"/>
  <c r="E43" i="7" s="1"/>
  <c r="V20" i="7"/>
  <c r="V21" i="7" s="1"/>
  <c r="E42" i="7" s="1"/>
  <c r="U20" i="7"/>
  <c r="U21" i="7" s="1"/>
  <c r="E41" i="7" s="1"/>
  <c r="T20" i="7"/>
  <c r="T21" i="7" s="1"/>
  <c r="S20" i="7"/>
  <c r="S21" i="7" s="1"/>
  <c r="R20" i="7"/>
  <c r="R21" i="7" s="1"/>
  <c r="E40" i="7" s="1"/>
  <c r="Q20" i="7"/>
  <c r="Q21" i="7" s="1"/>
  <c r="E39" i="7" s="1"/>
  <c r="P20" i="7"/>
  <c r="P21" i="7" s="1"/>
  <c r="E38" i="7" s="1"/>
  <c r="O20" i="7"/>
  <c r="O21" i="7" s="1"/>
  <c r="N20" i="7"/>
  <c r="N21" i="7" s="1"/>
  <c r="M20" i="7"/>
  <c r="M21" i="7" s="1"/>
  <c r="E37" i="7" s="1"/>
  <c r="L20" i="7"/>
  <c r="L21" i="7" s="1"/>
  <c r="E36" i="7" s="1"/>
  <c r="K20" i="7"/>
  <c r="K21" i="7" s="1"/>
  <c r="E35" i="7" s="1"/>
  <c r="J20" i="7"/>
  <c r="J21" i="7" s="1"/>
  <c r="I20" i="7"/>
  <c r="I21" i="7" s="1"/>
  <c r="H20" i="7"/>
  <c r="H21" i="7" s="1"/>
  <c r="E34" i="7" s="1"/>
  <c r="G20" i="7"/>
  <c r="G21" i="7" s="1"/>
  <c r="E33" i="7" s="1"/>
  <c r="F20" i="7"/>
  <c r="F21" i="7" s="1"/>
  <c r="E32" i="7" s="1"/>
  <c r="E20" i="7"/>
  <c r="E21" i="7" s="1"/>
  <c r="D20" i="7"/>
  <c r="D21" i="7" s="1"/>
  <c r="M14" i="7"/>
  <c r="H14" i="7"/>
  <c r="G14" i="7"/>
  <c r="F14" i="7"/>
  <c r="D14" i="7"/>
  <c r="H12" i="7"/>
  <c r="G12" i="7"/>
  <c r="F12" i="7"/>
  <c r="D12" i="7"/>
  <c r="G28" i="7" s="1"/>
  <c r="S11" i="7"/>
  <c r="U12" i="7" s="1"/>
  <c r="H28" i="7" s="1"/>
  <c r="S9" i="7"/>
  <c r="M9" i="7"/>
  <c r="H9" i="7"/>
  <c r="G9" i="7"/>
  <c r="F9" i="7"/>
  <c r="D9" i="7"/>
  <c r="G40" i="7" s="1"/>
  <c r="S8" i="7"/>
  <c r="M8" i="7"/>
  <c r="H8" i="7"/>
  <c r="G8" i="7"/>
  <c r="F8" i="7"/>
  <c r="D8" i="7"/>
  <c r="G44" i="7" s="1"/>
  <c r="M7" i="7"/>
  <c r="H7" i="7"/>
  <c r="G7" i="7"/>
  <c r="F7" i="7"/>
  <c r="M6" i="7"/>
  <c r="H6" i="7"/>
  <c r="G6" i="7"/>
  <c r="F6" i="7"/>
  <c r="D6" i="7"/>
  <c r="M5" i="7"/>
  <c r="H5" i="7"/>
  <c r="G5" i="7"/>
  <c r="F5" i="7"/>
  <c r="D5" i="7"/>
  <c r="M4" i="7"/>
  <c r="H4" i="7"/>
  <c r="G4" i="7"/>
  <c r="F4" i="7"/>
  <c r="E4" i="7"/>
  <c r="CM29" i="8"/>
  <c r="CL29" i="8"/>
  <c r="CK29" i="8"/>
  <c r="CJ29" i="8"/>
  <c r="CI29" i="8"/>
  <c r="CH29" i="8"/>
  <c r="CG29" i="8"/>
  <c r="CF29" i="8"/>
  <c r="CE29" i="8"/>
  <c r="CD29" i="8"/>
  <c r="CC29" i="8"/>
  <c r="CB29" i="8"/>
  <c r="CA29" i="8"/>
  <c r="BZ29" i="8"/>
  <c r="BY29" i="8"/>
  <c r="BX29" i="8"/>
  <c r="BW29" i="8"/>
  <c r="BV29" i="8"/>
  <c r="BU29" i="8"/>
  <c r="BT29" i="8"/>
  <c r="BS29" i="8"/>
  <c r="BR29" i="8"/>
  <c r="BQ29" i="8"/>
  <c r="BP29" i="8"/>
  <c r="BO29" i="8"/>
  <c r="BN29" i="8"/>
  <c r="BM29" i="8"/>
  <c r="BL29" i="8"/>
  <c r="BK29" i="8"/>
  <c r="BJ29" i="8"/>
  <c r="BI29" i="8"/>
  <c r="BH29" i="8"/>
  <c r="BG29" i="8"/>
  <c r="BF29" i="8"/>
  <c r="BE29" i="8"/>
  <c r="BD29" i="8"/>
  <c r="BC29" i="8"/>
  <c r="BB29" i="8"/>
  <c r="BA29" i="8"/>
  <c r="AZ29" i="8"/>
  <c r="AY29" i="8"/>
  <c r="AX29" i="8"/>
  <c r="AW29" i="8"/>
  <c r="AV29" i="8"/>
  <c r="AU29" i="8"/>
  <c r="AT29" i="8"/>
  <c r="AS29" i="8"/>
  <c r="AR29" i="8"/>
  <c r="AQ29" i="8"/>
  <c r="AP29" i="8"/>
  <c r="AO29" i="8"/>
  <c r="AN29" i="8"/>
  <c r="AM29" i="8"/>
  <c r="AL29" i="8"/>
  <c r="AK29" i="8"/>
  <c r="AJ29" i="8"/>
  <c r="AI29" i="8"/>
  <c r="AH29" i="8"/>
  <c r="AG29" i="8"/>
  <c r="AF29" i="8"/>
  <c r="AE29" i="8"/>
  <c r="AD29" i="8"/>
  <c r="AC29" i="8"/>
  <c r="AB29" i="8"/>
  <c r="AA29" i="8"/>
  <c r="Z29" i="8"/>
  <c r="Y29" i="8"/>
  <c r="X29" i="8"/>
  <c r="W29" i="8"/>
  <c r="V29" i="8"/>
  <c r="U29" i="8"/>
  <c r="T29" i="8"/>
  <c r="S29" i="8"/>
  <c r="R29" i="8"/>
  <c r="Q29" i="8"/>
  <c r="P29" i="8"/>
  <c r="O29" i="8"/>
  <c r="N29" i="8"/>
  <c r="M29" i="8"/>
  <c r="L29" i="8"/>
  <c r="K29" i="8"/>
  <c r="J29" i="8"/>
  <c r="I29" i="8"/>
  <c r="H29" i="8"/>
  <c r="G29" i="8"/>
  <c r="F29" i="8"/>
  <c r="E29" i="8"/>
  <c r="D29" i="8"/>
  <c r="C29" i="8"/>
  <c r="B29" i="8"/>
  <c r="E33" i="8" s="1"/>
  <c r="CM28" i="8"/>
  <c r="CL28" i="8"/>
  <c r="CK28" i="8"/>
  <c r="CJ28" i="8"/>
  <c r="CI28" i="8"/>
  <c r="CH28" i="8"/>
  <c r="CG28" i="8"/>
  <c r="CF28" i="8"/>
  <c r="CE28" i="8"/>
  <c r="CD28" i="8"/>
  <c r="CC28" i="8"/>
  <c r="CB28" i="8"/>
  <c r="CA28" i="8"/>
  <c r="BZ28" i="8"/>
  <c r="BY28" i="8"/>
  <c r="BX28" i="8"/>
  <c r="BW28" i="8"/>
  <c r="BV28" i="8"/>
  <c r="BU28" i="8"/>
  <c r="BT28" i="8"/>
  <c r="BS28" i="8"/>
  <c r="BR28" i="8"/>
  <c r="BQ28" i="8"/>
  <c r="BP28" i="8"/>
  <c r="BO28" i="8"/>
  <c r="BN28" i="8"/>
  <c r="BM28" i="8"/>
  <c r="BL28" i="8"/>
  <c r="BK28" i="8"/>
  <c r="BJ28" i="8"/>
  <c r="BI28" i="8"/>
  <c r="BH28" i="8"/>
  <c r="BG28" i="8"/>
  <c r="BF28" i="8"/>
  <c r="BE28" i="8"/>
  <c r="BD28" i="8"/>
  <c r="BC28" i="8"/>
  <c r="BB28" i="8"/>
  <c r="BA28" i="8"/>
  <c r="AZ28" i="8"/>
  <c r="AY28" i="8"/>
  <c r="AX28" i="8"/>
  <c r="AW28" i="8"/>
  <c r="AV28" i="8"/>
  <c r="AU28" i="8"/>
  <c r="AT28" i="8"/>
  <c r="AS28" i="8"/>
  <c r="AR28" i="8"/>
  <c r="AQ28" i="8"/>
  <c r="AP28" i="8"/>
  <c r="AO28" i="8"/>
  <c r="AN28" i="8"/>
  <c r="AM28" i="8"/>
  <c r="AL28" i="8"/>
  <c r="AK28" i="8"/>
  <c r="AJ28" i="8"/>
  <c r="AI28" i="8"/>
  <c r="AH28" i="8"/>
  <c r="AG28" i="8"/>
  <c r="AF28" i="8"/>
  <c r="AE28" i="8"/>
  <c r="AD28" i="8"/>
  <c r="AC28" i="8"/>
  <c r="AB28" i="8"/>
  <c r="AA28" i="8"/>
  <c r="Z28" i="8"/>
  <c r="Y28" i="8"/>
  <c r="X28" i="8"/>
  <c r="W28" i="8"/>
  <c r="V28" i="8"/>
  <c r="U28" i="8"/>
  <c r="T28" i="8"/>
  <c r="S28" i="8"/>
  <c r="R28" i="8"/>
  <c r="Q28" i="8"/>
  <c r="P28" i="8"/>
  <c r="O28" i="8"/>
  <c r="N28" i="8"/>
  <c r="M28" i="8"/>
  <c r="L28" i="8"/>
  <c r="K28" i="8"/>
  <c r="J28" i="8"/>
  <c r="I28" i="8"/>
  <c r="H28" i="8"/>
  <c r="G28" i="8"/>
  <c r="F28" i="8"/>
  <c r="E28" i="8"/>
  <c r="D28" i="8"/>
  <c r="C28" i="8"/>
  <c r="B28" i="8"/>
  <c r="CM27" i="8"/>
  <c r="CL27" i="8"/>
  <c r="CK27" i="8"/>
  <c r="CJ27" i="8"/>
  <c r="CI27" i="8"/>
  <c r="CH27" i="8"/>
  <c r="CG27" i="8"/>
  <c r="CF27" i="8"/>
  <c r="CE27" i="8"/>
  <c r="CD27" i="8"/>
  <c r="CC27" i="8"/>
  <c r="CB27" i="8"/>
  <c r="CA27" i="8"/>
  <c r="BZ27" i="8"/>
  <c r="BY27" i="8"/>
  <c r="BX27" i="8"/>
  <c r="BW27" i="8"/>
  <c r="BV27" i="8"/>
  <c r="BU27" i="8"/>
  <c r="BT27" i="8"/>
  <c r="BS27" i="8"/>
  <c r="BR27" i="8"/>
  <c r="BQ27" i="8"/>
  <c r="BP27" i="8"/>
  <c r="BO27" i="8"/>
  <c r="BN27" i="8"/>
  <c r="BM27" i="8"/>
  <c r="BL27" i="8"/>
  <c r="BK27" i="8"/>
  <c r="BJ27" i="8"/>
  <c r="BI27" i="8"/>
  <c r="BH27" i="8"/>
  <c r="BG27" i="8"/>
  <c r="BF27" i="8"/>
  <c r="BE27" i="8"/>
  <c r="BD27" i="8"/>
  <c r="BC27" i="8"/>
  <c r="BB27" i="8"/>
  <c r="BA27" i="8"/>
  <c r="AZ27" i="8"/>
  <c r="AY27" i="8"/>
  <c r="AX27" i="8"/>
  <c r="AW27" i="8"/>
  <c r="AV27" i="8"/>
  <c r="AU27" i="8"/>
  <c r="AT27" i="8"/>
  <c r="AS27" i="8"/>
  <c r="AR27" i="8"/>
  <c r="AQ27" i="8"/>
  <c r="AP27" i="8"/>
  <c r="AO27" i="8"/>
  <c r="AN27" i="8"/>
  <c r="AM27" i="8"/>
  <c r="AL27" i="8"/>
  <c r="AK27" i="8"/>
  <c r="AJ27" i="8"/>
  <c r="AI27" i="8"/>
  <c r="AH27" i="8"/>
  <c r="AG27" i="8"/>
  <c r="AF27" i="8"/>
  <c r="AE27" i="8"/>
  <c r="AD27" i="8"/>
  <c r="AC27" i="8"/>
  <c r="AB27" i="8"/>
  <c r="AA27" i="8"/>
  <c r="Z27" i="8"/>
  <c r="Y27" i="8"/>
  <c r="X27" i="8"/>
  <c r="W27" i="8"/>
  <c r="V27" i="8"/>
  <c r="U27" i="8"/>
  <c r="T27" i="8"/>
  <c r="S27" i="8"/>
  <c r="R27" i="8"/>
  <c r="Q27" i="8"/>
  <c r="P27" i="8"/>
  <c r="O27" i="8"/>
  <c r="N27" i="8"/>
  <c r="M27" i="8"/>
  <c r="L27" i="8"/>
  <c r="K27" i="8"/>
  <c r="J27" i="8"/>
  <c r="I27" i="8"/>
  <c r="H27" i="8"/>
  <c r="G27" i="8"/>
  <c r="F27" i="8"/>
  <c r="E27" i="8"/>
  <c r="D27" i="8"/>
  <c r="C27" i="8"/>
  <c r="B27" i="8"/>
  <c r="CM26" i="8"/>
  <c r="CL26" i="8"/>
  <c r="CK26" i="8"/>
  <c r="CJ26" i="8"/>
  <c r="CI26" i="8"/>
  <c r="CH26" i="8"/>
  <c r="CG26" i="8"/>
  <c r="CF26" i="8"/>
  <c r="CE26" i="8"/>
  <c r="CD26" i="8"/>
  <c r="CC26" i="8"/>
  <c r="CB26" i="8"/>
  <c r="CA26" i="8"/>
  <c r="BZ26" i="8"/>
  <c r="BY26" i="8"/>
  <c r="BX26" i="8"/>
  <c r="BW26" i="8"/>
  <c r="BV26" i="8"/>
  <c r="BU26" i="8"/>
  <c r="BT26" i="8"/>
  <c r="BS26" i="8"/>
  <c r="BR26" i="8"/>
  <c r="BQ26" i="8"/>
  <c r="BP26" i="8"/>
  <c r="BO26" i="8"/>
  <c r="BN26" i="8"/>
  <c r="BM26" i="8"/>
  <c r="BL26" i="8"/>
  <c r="BK26" i="8"/>
  <c r="BJ26" i="8"/>
  <c r="BI26" i="8"/>
  <c r="BH26" i="8"/>
  <c r="BG26" i="8"/>
  <c r="BF26" i="8"/>
  <c r="BE26" i="8"/>
  <c r="BD26" i="8"/>
  <c r="BC26" i="8"/>
  <c r="BB26" i="8"/>
  <c r="BA26" i="8"/>
  <c r="AZ26" i="8"/>
  <c r="AY26" i="8"/>
  <c r="AX26" i="8"/>
  <c r="AW26" i="8"/>
  <c r="AV26" i="8"/>
  <c r="AU26" i="8"/>
  <c r="AT26" i="8"/>
  <c r="AS26" i="8"/>
  <c r="AR26" i="8"/>
  <c r="AQ26" i="8"/>
  <c r="AP26" i="8"/>
  <c r="AO26" i="8"/>
  <c r="AN26" i="8"/>
  <c r="AM26" i="8"/>
  <c r="AL26" i="8"/>
  <c r="AK26" i="8"/>
  <c r="AJ26" i="8"/>
  <c r="AI26" i="8"/>
  <c r="AH26" i="8"/>
  <c r="AG26" i="8"/>
  <c r="AF26" i="8"/>
  <c r="AE26" i="8"/>
  <c r="AD26" i="8"/>
  <c r="AC26" i="8"/>
  <c r="AB26" i="8"/>
  <c r="AA26" i="8"/>
  <c r="Z26" i="8"/>
  <c r="Y26" i="8"/>
  <c r="X26" i="8"/>
  <c r="W26" i="8"/>
  <c r="V26" i="8"/>
  <c r="U26" i="8"/>
  <c r="T26" i="8"/>
  <c r="S26" i="8"/>
  <c r="R26" i="8"/>
  <c r="Q26" i="8"/>
  <c r="P26" i="8"/>
  <c r="O26" i="8"/>
  <c r="N26" i="8"/>
  <c r="M26" i="8"/>
  <c r="L26" i="8"/>
  <c r="K26" i="8"/>
  <c r="J26" i="8"/>
  <c r="I26" i="8"/>
  <c r="H26" i="8"/>
  <c r="G26" i="8"/>
  <c r="F26" i="8"/>
  <c r="E26" i="8"/>
  <c r="D26" i="8"/>
  <c r="C26" i="8"/>
  <c r="B26" i="8"/>
  <c r="CM25" i="8"/>
  <c r="CL25" i="8"/>
  <c r="CK25" i="8"/>
  <c r="CJ25" i="8"/>
  <c r="CI25" i="8"/>
  <c r="CH25" i="8"/>
  <c r="CG25" i="8"/>
  <c r="CF25" i="8"/>
  <c r="CE25" i="8"/>
  <c r="CD25" i="8"/>
  <c r="CC25" i="8"/>
  <c r="CB25" i="8"/>
  <c r="CA25" i="8"/>
  <c r="BZ25" i="8"/>
  <c r="BY25" i="8"/>
  <c r="BX25" i="8"/>
  <c r="BW25" i="8"/>
  <c r="BV25" i="8"/>
  <c r="BU25" i="8"/>
  <c r="BT25" i="8"/>
  <c r="BS25" i="8"/>
  <c r="BR25" i="8"/>
  <c r="BQ25" i="8"/>
  <c r="BP25" i="8"/>
  <c r="BO25" i="8"/>
  <c r="BN25" i="8"/>
  <c r="BM25" i="8"/>
  <c r="BL25" i="8"/>
  <c r="BK25" i="8"/>
  <c r="BJ25" i="8"/>
  <c r="BI25" i="8"/>
  <c r="BH25" i="8"/>
  <c r="BG25" i="8"/>
  <c r="BF25" i="8"/>
  <c r="BE25" i="8"/>
  <c r="BD25" i="8"/>
  <c r="BC25" i="8"/>
  <c r="BB25" i="8"/>
  <c r="BA25" i="8"/>
  <c r="AZ25" i="8"/>
  <c r="AY25" i="8"/>
  <c r="AX25" i="8"/>
  <c r="AW25" i="8"/>
  <c r="AV25" i="8"/>
  <c r="AU25" i="8"/>
  <c r="AT25" i="8"/>
  <c r="AS25" i="8"/>
  <c r="AR25" i="8"/>
  <c r="AQ25" i="8"/>
  <c r="AP25" i="8"/>
  <c r="AO25" i="8"/>
  <c r="AN25" i="8"/>
  <c r="AM25" i="8"/>
  <c r="AL25" i="8"/>
  <c r="AK25" i="8"/>
  <c r="AJ25" i="8"/>
  <c r="AI25" i="8"/>
  <c r="AH25" i="8"/>
  <c r="AG25" i="8"/>
  <c r="AF25" i="8"/>
  <c r="AE25" i="8"/>
  <c r="AD25" i="8"/>
  <c r="AC25" i="8"/>
  <c r="AB25" i="8"/>
  <c r="AA25" i="8"/>
  <c r="Z25" i="8"/>
  <c r="Y25" i="8"/>
  <c r="X25" i="8"/>
  <c r="W25" i="8"/>
  <c r="V25" i="8"/>
  <c r="U25" i="8"/>
  <c r="T25" i="8"/>
  <c r="S25" i="8"/>
  <c r="R25" i="8"/>
  <c r="Q25" i="8"/>
  <c r="P25" i="8"/>
  <c r="O25" i="8"/>
  <c r="N25" i="8"/>
  <c r="M25" i="8"/>
  <c r="L25" i="8"/>
  <c r="K25" i="8"/>
  <c r="J25" i="8"/>
  <c r="I25" i="8"/>
  <c r="H25" i="8"/>
  <c r="G25" i="8"/>
  <c r="F25" i="8"/>
  <c r="E25" i="8"/>
  <c r="D25" i="8"/>
  <c r="C25" i="8"/>
  <c r="B25" i="8"/>
  <c r="CM24" i="8"/>
  <c r="CL24" i="8"/>
  <c r="CK24" i="8"/>
  <c r="CJ24" i="8"/>
  <c r="CI24" i="8"/>
  <c r="CH24" i="8"/>
  <c r="CG24" i="8"/>
  <c r="CF24" i="8"/>
  <c r="CE24" i="8"/>
  <c r="CD24" i="8"/>
  <c r="CC24" i="8"/>
  <c r="CB24" i="8"/>
  <c r="CA24" i="8"/>
  <c r="BZ24" i="8"/>
  <c r="BY24" i="8"/>
  <c r="BX24" i="8"/>
  <c r="BW24" i="8"/>
  <c r="BV24" i="8"/>
  <c r="BU24" i="8"/>
  <c r="BT24" i="8"/>
  <c r="BS24" i="8"/>
  <c r="BR24" i="8"/>
  <c r="BQ24" i="8"/>
  <c r="BP24" i="8"/>
  <c r="BO24" i="8"/>
  <c r="BN24" i="8"/>
  <c r="BM24" i="8"/>
  <c r="BL24" i="8"/>
  <c r="BK24" i="8"/>
  <c r="BJ24" i="8"/>
  <c r="BI24" i="8"/>
  <c r="BH24" i="8"/>
  <c r="BG24" i="8"/>
  <c r="BF24" i="8"/>
  <c r="BE24" i="8"/>
  <c r="BD24" i="8"/>
  <c r="BC24" i="8"/>
  <c r="BB24" i="8"/>
  <c r="BA24" i="8"/>
  <c r="AZ24" i="8"/>
  <c r="AY24" i="8"/>
  <c r="AX24" i="8"/>
  <c r="AW24" i="8"/>
  <c r="AV24" i="8"/>
  <c r="AU24" i="8"/>
  <c r="AT24" i="8"/>
  <c r="AS24" i="8"/>
  <c r="AR24" i="8"/>
  <c r="AQ24" i="8"/>
  <c r="AP24" i="8"/>
  <c r="AO24" i="8"/>
  <c r="AN24" i="8"/>
  <c r="AM24" i="8"/>
  <c r="AL24" i="8"/>
  <c r="AK24" i="8"/>
  <c r="AJ24" i="8"/>
  <c r="AI24" i="8"/>
  <c r="AH24" i="8"/>
  <c r="AG24" i="8"/>
  <c r="AF24" i="8"/>
  <c r="AE24" i="8"/>
  <c r="AD24" i="8"/>
  <c r="AC24" i="8"/>
  <c r="AB24" i="8"/>
  <c r="AA24" i="8"/>
  <c r="Z24" i="8"/>
  <c r="Y24" i="8"/>
  <c r="X24" i="8"/>
  <c r="W24" i="8"/>
  <c r="V24" i="8"/>
  <c r="U24" i="8"/>
  <c r="T24" i="8"/>
  <c r="S24" i="8"/>
  <c r="R24" i="8"/>
  <c r="Q24" i="8"/>
  <c r="P24" i="8"/>
  <c r="O24" i="8"/>
  <c r="N24" i="8"/>
  <c r="M24" i="8"/>
  <c r="L24" i="8"/>
  <c r="K24" i="8"/>
  <c r="J24" i="8"/>
  <c r="I24" i="8"/>
  <c r="H24" i="8"/>
  <c r="G24" i="8"/>
  <c r="F24" i="8"/>
  <c r="E24" i="8"/>
  <c r="D24" i="8"/>
  <c r="C24" i="8"/>
  <c r="B24" i="8"/>
  <c r="CM23" i="8"/>
  <c r="CL23" i="8"/>
  <c r="CK23" i="8"/>
  <c r="CJ23" i="8"/>
  <c r="CI23" i="8"/>
  <c r="CH23" i="8"/>
  <c r="CG23" i="8"/>
  <c r="CF23" i="8"/>
  <c r="CE23" i="8"/>
  <c r="CD23" i="8"/>
  <c r="CC23" i="8"/>
  <c r="CB23" i="8"/>
  <c r="CA23" i="8"/>
  <c r="BZ23" i="8"/>
  <c r="BY23" i="8"/>
  <c r="BX23" i="8"/>
  <c r="BW23" i="8"/>
  <c r="BV23" i="8"/>
  <c r="BU23" i="8"/>
  <c r="BT23" i="8"/>
  <c r="BS23" i="8"/>
  <c r="BR23" i="8"/>
  <c r="BQ23" i="8"/>
  <c r="BP23" i="8"/>
  <c r="BO23" i="8"/>
  <c r="BN23" i="8"/>
  <c r="BM23" i="8"/>
  <c r="BL23" i="8"/>
  <c r="BK23" i="8"/>
  <c r="BJ23" i="8"/>
  <c r="BI23" i="8"/>
  <c r="BH23" i="8"/>
  <c r="BG23" i="8"/>
  <c r="BF23" i="8"/>
  <c r="BE23" i="8"/>
  <c r="BD23" i="8"/>
  <c r="BC23" i="8"/>
  <c r="BB23" i="8"/>
  <c r="BA23" i="8"/>
  <c r="AZ23" i="8"/>
  <c r="AY23" i="8"/>
  <c r="AX23" i="8"/>
  <c r="AW23" i="8"/>
  <c r="AV23" i="8"/>
  <c r="AU23" i="8"/>
  <c r="AT23" i="8"/>
  <c r="AS23" i="8"/>
  <c r="AR23" i="8"/>
  <c r="AQ23" i="8"/>
  <c r="AP23" i="8"/>
  <c r="AO23" i="8"/>
  <c r="AN23" i="8"/>
  <c r="AM23" i="8"/>
  <c r="AL23" i="8"/>
  <c r="AK23" i="8"/>
  <c r="AJ23" i="8"/>
  <c r="AI23" i="8"/>
  <c r="AH23" i="8"/>
  <c r="AG23" i="8"/>
  <c r="AF23" i="8"/>
  <c r="AE23" i="8"/>
  <c r="AD23" i="8"/>
  <c r="AC23" i="8"/>
  <c r="AB23" i="8"/>
  <c r="AA23" i="8"/>
  <c r="Z23" i="8"/>
  <c r="Y23" i="8"/>
  <c r="X23" i="8"/>
  <c r="W23" i="8"/>
  <c r="V23" i="8"/>
  <c r="U23" i="8"/>
  <c r="T23" i="8"/>
  <c r="S23" i="8"/>
  <c r="R23" i="8"/>
  <c r="Q23" i="8"/>
  <c r="P23" i="8"/>
  <c r="O23" i="8"/>
  <c r="N23" i="8"/>
  <c r="M23" i="8"/>
  <c r="L23" i="8"/>
  <c r="K23" i="8"/>
  <c r="J23" i="8"/>
  <c r="I23" i="8"/>
  <c r="H23" i="8"/>
  <c r="G23" i="8"/>
  <c r="F23" i="8"/>
  <c r="E23" i="8"/>
  <c r="D23" i="8"/>
  <c r="C23" i="8"/>
  <c r="B23" i="8"/>
  <c r="CM22" i="8"/>
  <c r="CL22" i="8"/>
  <c r="CK22" i="8"/>
  <c r="CJ22" i="8"/>
  <c r="CI22" i="8"/>
  <c r="CH22" i="8"/>
  <c r="CG22" i="8"/>
  <c r="CF22" i="8"/>
  <c r="CE22" i="8"/>
  <c r="CD22" i="8"/>
  <c r="CC22" i="8"/>
  <c r="CB22" i="8"/>
  <c r="CA22" i="8"/>
  <c r="BZ22" i="8"/>
  <c r="BY22" i="8"/>
  <c r="BX22" i="8"/>
  <c r="BW22" i="8"/>
  <c r="BV22" i="8"/>
  <c r="BU22" i="8"/>
  <c r="BT22" i="8"/>
  <c r="BS22" i="8"/>
  <c r="BR22" i="8"/>
  <c r="BQ22" i="8"/>
  <c r="BP22" i="8"/>
  <c r="BO22" i="8"/>
  <c r="BN22" i="8"/>
  <c r="BM22" i="8"/>
  <c r="BL22" i="8"/>
  <c r="BK22" i="8"/>
  <c r="BJ22" i="8"/>
  <c r="BI22" i="8"/>
  <c r="BH22" i="8"/>
  <c r="BG22" i="8"/>
  <c r="BF22" i="8"/>
  <c r="BE22" i="8"/>
  <c r="BD22" i="8"/>
  <c r="BC22" i="8"/>
  <c r="BB22" i="8"/>
  <c r="BA22" i="8"/>
  <c r="AZ22" i="8"/>
  <c r="AY22" i="8"/>
  <c r="AX22" i="8"/>
  <c r="AW22" i="8"/>
  <c r="AV22" i="8"/>
  <c r="AU22" i="8"/>
  <c r="AT22" i="8"/>
  <c r="AS22" i="8"/>
  <c r="AR22" i="8"/>
  <c r="AQ22" i="8"/>
  <c r="AP22" i="8"/>
  <c r="AO22" i="8"/>
  <c r="AN22" i="8"/>
  <c r="AM22" i="8"/>
  <c r="AL22" i="8"/>
  <c r="AK22" i="8"/>
  <c r="AJ22" i="8"/>
  <c r="AI22" i="8"/>
  <c r="AH22" i="8"/>
  <c r="AG22" i="8"/>
  <c r="AF22" i="8"/>
  <c r="AE22" i="8"/>
  <c r="AD22" i="8"/>
  <c r="AC22" i="8"/>
  <c r="AB22" i="8"/>
  <c r="AA22" i="8"/>
  <c r="Z22" i="8"/>
  <c r="Y22" i="8"/>
  <c r="X22" i="8"/>
  <c r="W22" i="8"/>
  <c r="V22" i="8"/>
  <c r="U22" i="8"/>
  <c r="T22" i="8"/>
  <c r="S22" i="8"/>
  <c r="R22" i="8"/>
  <c r="Q22" i="8"/>
  <c r="P22" i="8"/>
  <c r="O22" i="8"/>
  <c r="N22" i="8"/>
  <c r="M22" i="8"/>
  <c r="L22" i="8"/>
  <c r="K22" i="8"/>
  <c r="J22" i="8"/>
  <c r="I22" i="8"/>
  <c r="H22" i="8"/>
  <c r="G22" i="8"/>
  <c r="F22" i="8"/>
  <c r="E22" i="8"/>
  <c r="D22" i="8"/>
  <c r="C22" i="8"/>
  <c r="B22" i="8"/>
  <c r="CM21" i="8"/>
  <c r="CL21" i="8"/>
  <c r="CK21" i="8"/>
  <c r="CJ21" i="8"/>
  <c r="CI21" i="8"/>
  <c r="CH21" i="8"/>
  <c r="CG21" i="8"/>
  <c r="CF21" i="8"/>
  <c r="CE21" i="8"/>
  <c r="CD21" i="8"/>
  <c r="CC21" i="8"/>
  <c r="CB21" i="8"/>
  <c r="CA21" i="8"/>
  <c r="BZ21" i="8"/>
  <c r="BY21" i="8"/>
  <c r="BX21" i="8"/>
  <c r="BW21" i="8"/>
  <c r="BV21" i="8"/>
  <c r="BU21" i="8"/>
  <c r="BT21" i="8"/>
  <c r="BS21" i="8"/>
  <c r="BR21" i="8"/>
  <c r="BQ21" i="8"/>
  <c r="BP21" i="8"/>
  <c r="BO21" i="8"/>
  <c r="BN21" i="8"/>
  <c r="BM21" i="8"/>
  <c r="BL21" i="8"/>
  <c r="BK21" i="8"/>
  <c r="BJ21" i="8"/>
  <c r="BI21" i="8"/>
  <c r="BH21" i="8"/>
  <c r="BG21" i="8"/>
  <c r="BF21" i="8"/>
  <c r="BE21" i="8"/>
  <c r="BD21" i="8"/>
  <c r="BC21" i="8"/>
  <c r="BB21" i="8"/>
  <c r="BA21" i="8"/>
  <c r="AZ21" i="8"/>
  <c r="AY21" i="8"/>
  <c r="AX21" i="8"/>
  <c r="AW21" i="8"/>
  <c r="AV21" i="8"/>
  <c r="AU21" i="8"/>
  <c r="AT21" i="8"/>
  <c r="AS21" i="8"/>
  <c r="AR21" i="8"/>
  <c r="AQ21" i="8"/>
  <c r="AP21" i="8"/>
  <c r="AO21" i="8"/>
  <c r="AN21" i="8"/>
  <c r="AM21" i="8"/>
  <c r="AL21" i="8"/>
  <c r="AK21" i="8"/>
  <c r="AJ21" i="8"/>
  <c r="AI21" i="8"/>
  <c r="AH21" i="8"/>
  <c r="AG21" i="8"/>
  <c r="AF21" i="8"/>
  <c r="AE21" i="8"/>
  <c r="AD21" i="8"/>
  <c r="AC21" i="8"/>
  <c r="AB21" i="8"/>
  <c r="AA21" i="8"/>
  <c r="Z21" i="8"/>
  <c r="Y21" i="8"/>
  <c r="X21" i="8"/>
  <c r="W21" i="8"/>
  <c r="V21" i="8"/>
  <c r="U21" i="8"/>
  <c r="T21" i="8"/>
  <c r="S21" i="8"/>
  <c r="R21" i="8"/>
  <c r="Q21" i="8"/>
  <c r="P21" i="8"/>
  <c r="O21" i="8"/>
  <c r="N21" i="8"/>
  <c r="M21" i="8"/>
  <c r="L21" i="8"/>
  <c r="K21" i="8"/>
  <c r="J21" i="8"/>
  <c r="I21" i="8"/>
  <c r="H21" i="8"/>
  <c r="G21" i="8"/>
  <c r="F21" i="8"/>
  <c r="E21" i="8"/>
  <c r="D21" i="8"/>
  <c r="C21" i="8"/>
  <c r="B21" i="8"/>
  <c r="CM20" i="8"/>
  <c r="CL20" i="8"/>
  <c r="CK20" i="8"/>
  <c r="CJ20" i="8"/>
  <c r="CI20" i="8"/>
  <c r="CH20" i="8"/>
  <c r="CG20" i="8"/>
  <c r="CF20" i="8"/>
  <c r="CE20" i="8"/>
  <c r="CD20" i="8"/>
  <c r="CC20" i="8"/>
  <c r="CB20" i="8"/>
  <c r="CA20" i="8"/>
  <c r="BZ20" i="8"/>
  <c r="BY20" i="8"/>
  <c r="BX20" i="8"/>
  <c r="BW20" i="8"/>
  <c r="BV20" i="8"/>
  <c r="BU20" i="8"/>
  <c r="BT20" i="8"/>
  <c r="BS20" i="8"/>
  <c r="BR20" i="8"/>
  <c r="BQ20" i="8"/>
  <c r="BP20" i="8"/>
  <c r="BO20" i="8"/>
  <c r="BN20" i="8"/>
  <c r="BM20" i="8"/>
  <c r="BL20" i="8"/>
  <c r="BK20" i="8"/>
  <c r="BJ20" i="8"/>
  <c r="BI20" i="8"/>
  <c r="BH20" i="8"/>
  <c r="BG20" i="8"/>
  <c r="BF20" i="8"/>
  <c r="BE20" i="8"/>
  <c r="BD20" i="8"/>
  <c r="BC20" i="8"/>
  <c r="BB20" i="8"/>
  <c r="BA20" i="8"/>
  <c r="AZ20" i="8"/>
  <c r="AY20" i="8"/>
  <c r="AX20" i="8"/>
  <c r="AW20" i="8"/>
  <c r="AV20" i="8"/>
  <c r="AU20" i="8"/>
  <c r="AT20" i="8"/>
  <c r="AS20" i="8"/>
  <c r="AR20" i="8"/>
  <c r="AQ20" i="8"/>
  <c r="AP20" i="8"/>
  <c r="AO20" i="8"/>
  <c r="AN20" i="8"/>
  <c r="AM20" i="8"/>
  <c r="AL20" i="8"/>
  <c r="AK20" i="8"/>
  <c r="AJ20" i="8"/>
  <c r="AI20" i="8"/>
  <c r="AH20" i="8"/>
  <c r="AG20" i="8"/>
  <c r="AF20" i="8"/>
  <c r="AE20" i="8"/>
  <c r="AD20" i="8"/>
  <c r="AC20" i="8"/>
  <c r="AB20" i="8"/>
  <c r="AA20" i="8"/>
  <c r="Z20" i="8"/>
  <c r="Y20" i="8"/>
  <c r="X20" i="8"/>
  <c r="W20" i="8"/>
  <c r="V20" i="8"/>
  <c r="U20" i="8"/>
  <c r="T20" i="8"/>
  <c r="S20" i="8"/>
  <c r="R20" i="8"/>
  <c r="Q20" i="8"/>
  <c r="P20" i="8"/>
  <c r="O20" i="8"/>
  <c r="N20" i="8"/>
  <c r="M20" i="8"/>
  <c r="L20" i="8"/>
  <c r="K20" i="8"/>
  <c r="J20" i="8"/>
  <c r="I20" i="8"/>
  <c r="H20" i="8"/>
  <c r="G20" i="8"/>
  <c r="F20" i="8"/>
  <c r="E20" i="8"/>
  <c r="D20" i="8"/>
  <c r="C20" i="8"/>
  <c r="B20" i="8"/>
  <c r="CM19" i="8"/>
  <c r="CL19" i="8"/>
  <c r="CK19" i="8"/>
  <c r="CJ19" i="8"/>
  <c r="CI19" i="8"/>
  <c r="CH19" i="8"/>
  <c r="CG19" i="8"/>
  <c r="CF19" i="8"/>
  <c r="CE19" i="8"/>
  <c r="CD19" i="8"/>
  <c r="CC19" i="8"/>
  <c r="CB19" i="8"/>
  <c r="CA19" i="8"/>
  <c r="BZ19" i="8"/>
  <c r="BY19" i="8"/>
  <c r="BX19" i="8"/>
  <c r="BW19" i="8"/>
  <c r="BV19" i="8"/>
  <c r="BU19" i="8"/>
  <c r="BT19" i="8"/>
  <c r="BS19" i="8"/>
  <c r="BR19" i="8"/>
  <c r="BQ19" i="8"/>
  <c r="BP19" i="8"/>
  <c r="BO19" i="8"/>
  <c r="BN19" i="8"/>
  <c r="BM19" i="8"/>
  <c r="BL19" i="8"/>
  <c r="BK19" i="8"/>
  <c r="BJ19" i="8"/>
  <c r="BI19" i="8"/>
  <c r="BH19" i="8"/>
  <c r="BG19" i="8"/>
  <c r="BF19" i="8"/>
  <c r="BE19" i="8"/>
  <c r="BD19" i="8"/>
  <c r="BC19" i="8"/>
  <c r="BB19" i="8"/>
  <c r="BA19" i="8"/>
  <c r="AZ19" i="8"/>
  <c r="AY19" i="8"/>
  <c r="AX19" i="8"/>
  <c r="AW19" i="8"/>
  <c r="AV19" i="8"/>
  <c r="AU19" i="8"/>
  <c r="AT19" i="8"/>
  <c r="AS19" i="8"/>
  <c r="AR19" i="8"/>
  <c r="AQ19" i="8"/>
  <c r="AP19" i="8"/>
  <c r="AO19" i="8"/>
  <c r="AN19" i="8"/>
  <c r="AM19" i="8"/>
  <c r="AL19" i="8"/>
  <c r="AK19" i="8"/>
  <c r="AJ19" i="8"/>
  <c r="AI19" i="8"/>
  <c r="AH19" i="8"/>
  <c r="AG19" i="8"/>
  <c r="AF19" i="8"/>
  <c r="AE19" i="8"/>
  <c r="AD19" i="8"/>
  <c r="AC19" i="8"/>
  <c r="AB19" i="8"/>
  <c r="AA19" i="8"/>
  <c r="Z19" i="8"/>
  <c r="Y19" i="8"/>
  <c r="X19" i="8"/>
  <c r="W19" i="8"/>
  <c r="V19" i="8"/>
  <c r="U19" i="8"/>
  <c r="T19" i="8"/>
  <c r="S19" i="8"/>
  <c r="R19" i="8"/>
  <c r="Q19" i="8"/>
  <c r="P19" i="8"/>
  <c r="O19" i="8"/>
  <c r="N19" i="8"/>
  <c r="M19" i="8"/>
  <c r="L19" i="8"/>
  <c r="K19" i="8"/>
  <c r="J19" i="8"/>
  <c r="I19" i="8"/>
  <c r="H19" i="8"/>
  <c r="G19" i="8"/>
  <c r="F19" i="8"/>
  <c r="E19" i="8"/>
  <c r="D19" i="8"/>
  <c r="C19" i="8"/>
  <c r="B19" i="8"/>
  <c r="CM18" i="8"/>
  <c r="CL18" i="8"/>
  <c r="CK18" i="8"/>
  <c r="CJ18" i="8"/>
  <c r="CI18" i="8"/>
  <c r="CH18" i="8"/>
  <c r="CG18" i="8"/>
  <c r="CF18" i="8"/>
  <c r="CE18" i="8"/>
  <c r="CD18" i="8"/>
  <c r="CC18" i="8"/>
  <c r="CB18" i="8"/>
  <c r="CA18" i="8"/>
  <c r="BZ18" i="8"/>
  <c r="BY18" i="8"/>
  <c r="BX18" i="8"/>
  <c r="BW18" i="8"/>
  <c r="BV18" i="8"/>
  <c r="BU18" i="8"/>
  <c r="BT18" i="8"/>
  <c r="BS18" i="8"/>
  <c r="BR18" i="8"/>
  <c r="BQ18" i="8"/>
  <c r="BP18" i="8"/>
  <c r="BO18" i="8"/>
  <c r="BN18" i="8"/>
  <c r="BM18" i="8"/>
  <c r="BL18" i="8"/>
  <c r="BK18" i="8"/>
  <c r="BJ18" i="8"/>
  <c r="BI18" i="8"/>
  <c r="BH18" i="8"/>
  <c r="BG18" i="8"/>
  <c r="BF18" i="8"/>
  <c r="BE18" i="8"/>
  <c r="BD18" i="8"/>
  <c r="BC18" i="8"/>
  <c r="BB18" i="8"/>
  <c r="BA18" i="8"/>
  <c r="AZ18" i="8"/>
  <c r="AY18" i="8"/>
  <c r="AX18" i="8"/>
  <c r="AW18" i="8"/>
  <c r="AV18" i="8"/>
  <c r="AU18" i="8"/>
  <c r="AT18" i="8"/>
  <c r="AS18" i="8"/>
  <c r="AR18" i="8"/>
  <c r="AQ18" i="8"/>
  <c r="AP18" i="8"/>
  <c r="AO18" i="8"/>
  <c r="AN18" i="8"/>
  <c r="AM18" i="8"/>
  <c r="AL18" i="8"/>
  <c r="AK18" i="8"/>
  <c r="AJ18" i="8"/>
  <c r="AI18" i="8"/>
  <c r="AH18" i="8"/>
  <c r="AG18" i="8"/>
  <c r="AF18" i="8"/>
  <c r="AE18" i="8"/>
  <c r="AD18" i="8"/>
  <c r="AC18" i="8"/>
  <c r="AB18" i="8"/>
  <c r="AA18" i="8"/>
  <c r="Z18" i="8"/>
  <c r="Y18" i="8"/>
  <c r="X18" i="8"/>
  <c r="W18" i="8"/>
  <c r="V18" i="8"/>
  <c r="U18" i="8"/>
  <c r="T18" i="8"/>
  <c r="S18" i="8"/>
  <c r="R18" i="8"/>
  <c r="Q18" i="8"/>
  <c r="P18" i="8"/>
  <c r="O18" i="8"/>
  <c r="N18" i="8"/>
  <c r="M18" i="8"/>
  <c r="L18" i="8"/>
  <c r="K18" i="8"/>
  <c r="J18" i="8"/>
  <c r="I18" i="8"/>
  <c r="H18" i="8"/>
  <c r="G18" i="8"/>
  <c r="F18" i="8"/>
  <c r="E18" i="8"/>
  <c r="D18" i="8"/>
  <c r="C18" i="8"/>
  <c r="B18" i="8"/>
  <c r="CM17" i="8"/>
  <c r="CL17" i="8"/>
  <c r="CK17" i="8"/>
  <c r="CJ17" i="8"/>
  <c r="CI17" i="8"/>
  <c r="CH17" i="8"/>
  <c r="CG17" i="8"/>
  <c r="CF17" i="8"/>
  <c r="CE17" i="8"/>
  <c r="CD17" i="8"/>
  <c r="CC17" i="8"/>
  <c r="CB17" i="8"/>
  <c r="CA17" i="8"/>
  <c r="BZ17" i="8"/>
  <c r="BY17" i="8"/>
  <c r="BX17" i="8"/>
  <c r="BW17" i="8"/>
  <c r="BV17" i="8"/>
  <c r="BU17" i="8"/>
  <c r="BT17" i="8"/>
  <c r="BS17" i="8"/>
  <c r="BR17" i="8"/>
  <c r="BQ17" i="8"/>
  <c r="BP17" i="8"/>
  <c r="BO17" i="8"/>
  <c r="BN17" i="8"/>
  <c r="BM17" i="8"/>
  <c r="BL17" i="8"/>
  <c r="BK17" i="8"/>
  <c r="BJ17" i="8"/>
  <c r="BI17" i="8"/>
  <c r="BH17" i="8"/>
  <c r="BG17" i="8"/>
  <c r="BF17" i="8"/>
  <c r="BE17" i="8"/>
  <c r="BD17" i="8"/>
  <c r="BC17" i="8"/>
  <c r="BB17" i="8"/>
  <c r="BA17" i="8"/>
  <c r="AZ17" i="8"/>
  <c r="AY17" i="8"/>
  <c r="AX17" i="8"/>
  <c r="AW17" i="8"/>
  <c r="AV17" i="8"/>
  <c r="AU17" i="8"/>
  <c r="AT17" i="8"/>
  <c r="AS17" i="8"/>
  <c r="AR17" i="8"/>
  <c r="AQ17" i="8"/>
  <c r="AP17" i="8"/>
  <c r="AO17" i="8"/>
  <c r="AN17" i="8"/>
  <c r="AM17" i="8"/>
  <c r="AL17" i="8"/>
  <c r="AK17" i="8"/>
  <c r="AJ17" i="8"/>
  <c r="AI17" i="8"/>
  <c r="AH17" i="8"/>
  <c r="AG17" i="8"/>
  <c r="AF17" i="8"/>
  <c r="AE17" i="8"/>
  <c r="AD17" i="8"/>
  <c r="AC17" i="8"/>
  <c r="AB17" i="8"/>
  <c r="AA17" i="8"/>
  <c r="Z17" i="8"/>
  <c r="Y17" i="8"/>
  <c r="X17" i="8"/>
  <c r="W17" i="8"/>
  <c r="V17" i="8"/>
  <c r="U17" i="8"/>
  <c r="T17" i="8"/>
  <c r="S17" i="8"/>
  <c r="R17" i="8"/>
  <c r="Q17" i="8"/>
  <c r="P17" i="8"/>
  <c r="O17" i="8"/>
  <c r="N17" i="8"/>
  <c r="M17" i="8"/>
  <c r="L17" i="8"/>
  <c r="K17" i="8"/>
  <c r="J17" i="8"/>
  <c r="I17" i="8"/>
  <c r="H17" i="8"/>
  <c r="G17" i="8"/>
  <c r="F17" i="8"/>
  <c r="E17" i="8"/>
  <c r="D17" i="8"/>
  <c r="C17" i="8"/>
  <c r="B17" i="8"/>
  <c r="CM16" i="8"/>
  <c r="CL16" i="8"/>
  <c r="CK16" i="8"/>
  <c r="CJ16" i="8"/>
  <c r="CI16" i="8"/>
  <c r="CH16" i="8"/>
  <c r="CG16" i="8"/>
  <c r="CF16" i="8"/>
  <c r="CE16" i="8"/>
  <c r="CD16" i="8"/>
  <c r="CC16" i="8"/>
  <c r="CB16" i="8"/>
  <c r="CA16" i="8"/>
  <c r="BZ16" i="8"/>
  <c r="BY16" i="8"/>
  <c r="BX16" i="8"/>
  <c r="BW16" i="8"/>
  <c r="BV16" i="8"/>
  <c r="BU16" i="8"/>
  <c r="BT16" i="8"/>
  <c r="BS16" i="8"/>
  <c r="BR16" i="8"/>
  <c r="BQ16" i="8"/>
  <c r="BP16" i="8"/>
  <c r="BO16" i="8"/>
  <c r="BN16" i="8"/>
  <c r="BM16" i="8"/>
  <c r="BL16" i="8"/>
  <c r="BK16" i="8"/>
  <c r="BJ16" i="8"/>
  <c r="BI16" i="8"/>
  <c r="BH16" i="8"/>
  <c r="BG16" i="8"/>
  <c r="BF16" i="8"/>
  <c r="BE16" i="8"/>
  <c r="BD16" i="8"/>
  <c r="BC16" i="8"/>
  <c r="BB16" i="8"/>
  <c r="BA16" i="8"/>
  <c r="AZ16" i="8"/>
  <c r="AY16" i="8"/>
  <c r="AX16" i="8"/>
  <c r="AW16" i="8"/>
  <c r="AV16" i="8"/>
  <c r="AU16" i="8"/>
  <c r="AT16" i="8"/>
  <c r="AS16" i="8"/>
  <c r="AR16" i="8"/>
  <c r="AQ16" i="8"/>
  <c r="AP16" i="8"/>
  <c r="AO16" i="8"/>
  <c r="AN16" i="8"/>
  <c r="AM16" i="8"/>
  <c r="AL16" i="8"/>
  <c r="AK16" i="8"/>
  <c r="AJ16" i="8"/>
  <c r="AI16" i="8"/>
  <c r="AH16" i="8"/>
  <c r="AG16" i="8"/>
  <c r="AF16" i="8"/>
  <c r="AE16" i="8"/>
  <c r="AD16" i="8"/>
  <c r="AC16" i="8"/>
  <c r="AB16" i="8"/>
  <c r="AA16" i="8"/>
  <c r="Z16" i="8"/>
  <c r="Y16" i="8"/>
  <c r="X16" i="8"/>
  <c r="W16" i="8"/>
  <c r="V16" i="8"/>
  <c r="U16" i="8"/>
  <c r="T16" i="8"/>
  <c r="S16" i="8"/>
  <c r="R16" i="8"/>
  <c r="Q16" i="8"/>
  <c r="P16" i="8"/>
  <c r="O16" i="8"/>
  <c r="N16" i="8"/>
  <c r="M16" i="8"/>
  <c r="L16" i="8"/>
  <c r="K16" i="8"/>
  <c r="J16" i="8"/>
  <c r="I16" i="8"/>
  <c r="H16" i="8"/>
  <c r="G16" i="8"/>
  <c r="F16" i="8"/>
  <c r="E16" i="8"/>
  <c r="D16" i="8"/>
  <c r="C16" i="8"/>
  <c r="B16" i="8"/>
  <c r="CM15" i="8"/>
  <c r="CL15" i="8"/>
  <c r="CK15" i="8"/>
  <c r="CJ15" i="8"/>
  <c r="CI15" i="8"/>
  <c r="CH15" i="8"/>
  <c r="CG15" i="8"/>
  <c r="CF15" i="8"/>
  <c r="CE15" i="8"/>
  <c r="CD15" i="8"/>
  <c r="CC15" i="8"/>
  <c r="CB15" i="8"/>
  <c r="CA15" i="8"/>
  <c r="BZ15" i="8"/>
  <c r="BY15" i="8"/>
  <c r="BX15" i="8"/>
  <c r="BW15" i="8"/>
  <c r="BV15" i="8"/>
  <c r="BU15" i="8"/>
  <c r="BT15" i="8"/>
  <c r="BS15" i="8"/>
  <c r="BR15" i="8"/>
  <c r="BQ15" i="8"/>
  <c r="BP15" i="8"/>
  <c r="BO15" i="8"/>
  <c r="BN15" i="8"/>
  <c r="BM15" i="8"/>
  <c r="BL15" i="8"/>
  <c r="BK15" i="8"/>
  <c r="BJ15" i="8"/>
  <c r="BI15" i="8"/>
  <c r="BH15" i="8"/>
  <c r="BG15" i="8"/>
  <c r="BF15" i="8"/>
  <c r="BE15" i="8"/>
  <c r="BD15" i="8"/>
  <c r="BC15" i="8"/>
  <c r="BB15" i="8"/>
  <c r="BA15" i="8"/>
  <c r="AZ15" i="8"/>
  <c r="AY15" i="8"/>
  <c r="AX15" i="8"/>
  <c r="AW15" i="8"/>
  <c r="AV15" i="8"/>
  <c r="AU15" i="8"/>
  <c r="AT15" i="8"/>
  <c r="AS15" i="8"/>
  <c r="AR15" i="8"/>
  <c r="AQ15" i="8"/>
  <c r="AP15" i="8"/>
  <c r="AO15" i="8"/>
  <c r="AN15" i="8"/>
  <c r="AM15" i="8"/>
  <c r="AL15" i="8"/>
  <c r="AK15" i="8"/>
  <c r="AJ15" i="8"/>
  <c r="AI15" i="8"/>
  <c r="AH15" i="8"/>
  <c r="AG15" i="8"/>
  <c r="AF15" i="8"/>
  <c r="AE15" i="8"/>
  <c r="AD15" i="8"/>
  <c r="AC15" i="8"/>
  <c r="AB15" i="8"/>
  <c r="AA15" i="8"/>
  <c r="Z15" i="8"/>
  <c r="Y15" i="8"/>
  <c r="X15" i="8"/>
  <c r="W15" i="8"/>
  <c r="V15" i="8"/>
  <c r="U15" i="8"/>
  <c r="T15" i="8"/>
  <c r="S15" i="8"/>
  <c r="R15" i="8"/>
  <c r="Q15" i="8"/>
  <c r="P15" i="8"/>
  <c r="O15" i="8"/>
  <c r="N15" i="8"/>
  <c r="M15" i="8"/>
  <c r="L15" i="8"/>
  <c r="K15" i="8"/>
  <c r="J15" i="8"/>
  <c r="I15" i="8"/>
  <c r="H15" i="8"/>
  <c r="G15" i="8"/>
  <c r="F15" i="8"/>
  <c r="E15" i="8"/>
  <c r="D15" i="8"/>
  <c r="C15" i="8"/>
  <c r="B15" i="8"/>
  <c r="CM14" i="8"/>
  <c r="CL14" i="8"/>
  <c r="CK14" i="8"/>
  <c r="CJ14" i="8"/>
  <c r="CI14" i="8"/>
  <c r="CH14" i="8"/>
  <c r="CG14" i="8"/>
  <c r="CF14" i="8"/>
  <c r="CE14" i="8"/>
  <c r="CD14" i="8"/>
  <c r="CC14" i="8"/>
  <c r="CB14" i="8"/>
  <c r="CA14" i="8"/>
  <c r="BZ14" i="8"/>
  <c r="BY14" i="8"/>
  <c r="BX14" i="8"/>
  <c r="BW14" i="8"/>
  <c r="BV14" i="8"/>
  <c r="BU14" i="8"/>
  <c r="BT14" i="8"/>
  <c r="BS14" i="8"/>
  <c r="BR14" i="8"/>
  <c r="BQ14" i="8"/>
  <c r="BP14" i="8"/>
  <c r="BO14" i="8"/>
  <c r="BN14" i="8"/>
  <c r="BM14" i="8"/>
  <c r="BL14" i="8"/>
  <c r="BK14" i="8"/>
  <c r="BJ14" i="8"/>
  <c r="BI14" i="8"/>
  <c r="BH14" i="8"/>
  <c r="BG14" i="8"/>
  <c r="BF14" i="8"/>
  <c r="BE14" i="8"/>
  <c r="BD14" i="8"/>
  <c r="BC14" i="8"/>
  <c r="BB14" i="8"/>
  <c r="BA14" i="8"/>
  <c r="AZ14" i="8"/>
  <c r="AY14" i="8"/>
  <c r="AX14" i="8"/>
  <c r="AW14" i="8"/>
  <c r="AV14" i="8"/>
  <c r="AU14" i="8"/>
  <c r="AT14" i="8"/>
  <c r="AS14" i="8"/>
  <c r="AR14" i="8"/>
  <c r="AQ14" i="8"/>
  <c r="AP14" i="8"/>
  <c r="AO14" i="8"/>
  <c r="AN14" i="8"/>
  <c r="AM14" i="8"/>
  <c r="AL14" i="8"/>
  <c r="AK14" i="8"/>
  <c r="AJ14" i="8"/>
  <c r="AI14" i="8"/>
  <c r="AH14" i="8"/>
  <c r="AG14" i="8"/>
  <c r="AF14" i="8"/>
  <c r="AE14" i="8"/>
  <c r="AD14" i="8"/>
  <c r="AC14" i="8"/>
  <c r="AB14" i="8"/>
  <c r="AA14" i="8"/>
  <c r="Z14" i="8"/>
  <c r="Y14" i="8"/>
  <c r="X14" i="8"/>
  <c r="W14" i="8"/>
  <c r="V14" i="8"/>
  <c r="U14" i="8"/>
  <c r="T14" i="8"/>
  <c r="S14" i="8"/>
  <c r="R14" i="8"/>
  <c r="Q14" i="8"/>
  <c r="P14" i="8"/>
  <c r="O14" i="8"/>
  <c r="N14" i="8"/>
  <c r="M14" i="8"/>
  <c r="L14" i="8"/>
  <c r="K14" i="8"/>
  <c r="J14" i="8"/>
  <c r="I14" i="8"/>
  <c r="H14" i="8"/>
  <c r="G14" i="8"/>
  <c r="F14" i="8"/>
  <c r="E14" i="8"/>
  <c r="D14" i="8"/>
  <c r="C14" i="8"/>
  <c r="B14" i="8"/>
  <c r="CM13" i="8"/>
  <c r="CL13" i="8"/>
  <c r="CK13" i="8"/>
  <c r="CJ13" i="8"/>
  <c r="CI13" i="8"/>
  <c r="CH13" i="8"/>
  <c r="CG13" i="8"/>
  <c r="CF13" i="8"/>
  <c r="CE13" i="8"/>
  <c r="CD13" i="8"/>
  <c r="CC13" i="8"/>
  <c r="CB13" i="8"/>
  <c r="CA13" i="8"/>
  <c r="BZ13" i="8"/>
  <c r="BY13" i="8"/>
  <c r="BX13" i="8"/>
  <c r="BW13" i="8"/>
  <c r="BV13" i="8"/>
  <c r="BU13" i="8"/>
  <c r="BT13" i="8"/>
  <c r="BS13" i="8"/>
  <c r="BR13" i="8"/>
  <c r="BQ13" i="8"/>
  <c r="BP13" i="8"/>
  <c r="BO13" i="8"/>
  <c r="BN13" i="8"/>
  <c r="BM13" i="8"/>
  <c r="BL13" i="8"/>
  <c r="BK13" i="8"/>
  <c r="BJ13" i="8"/>
  <c r="BI13" i="8"/>
  <c r="BH13" i="8"/>
  <c r="BG13" i="8"/>
  <c r="BF13" i="8"/>
  <c r="BE13" i="8"/>
  <c r="BD13" i="8"/>
  <c r="BC13" i="8"/>
  <c r="BB13" i="8"/>
  <c r="BA13" i="8"/>
  <c r="AZ13" i="8"/>
  <c r="AY13" i="8"/>
  <c r="AX13" i="8"/>
  <c r="AW13" i="8"/>
  <c r="AV13" i="8"/>
  <c r="AU13" i="8"/>
  <c r="AT13" i="8"/>
  <c r="AS13" i="8"/>
  <c r="AR13" i="8"/>
  <c r="AQ13" i="8"/>
  <c r="AP13" i="8"/>
  <c r="AO13" i="8"/>
  <c r="AN13" i="8"/>
  <c r="AM13" i="8"/>
  <c r="AL13" i="8"/>
  <c r="AK13" i="8"/>
  <c r="AJ13" i="8"/>
  <c r="AI13" i="8"/>
  <c r="AH13" i="8"/>
  <c r="AG13" i="8"/>
  <c r="AF13" i="8"/>
  <c r="AE13" i="8"/>
  <c r="AD13" i="8"/>
  <c r="AC13" i="8"/>
  <c r="AB13" i="8"/>
  <c r="AA13" i="8"/>
  <c r="Z13" i="8"/>
  <c r="Y13" i="8"/>
  <c r="X13" i="8"/>
  <c r="W13" i="8"/>
  <c r="V13" i="8"/>
  <c r="U13" i="8"/>
  <c r="T13" i="8"/>
  <c r="S13" i="8"/>
  <c r="R13" i="8"/>
  <c r="Q13" i="8"/>
  <c r="P13" i="8"/>
  <c r="O13" i="8"/>
  <c r="N13" i="8"/>
  <c r="M13" i="8"/>
  <c r="L13" i="8"/>
  <c r="K13" i="8"/>
  <c r="J13" i="8"/>
  <c r="I13" i="8"/>
  <c r="H13" i="8"/>
  <c r="G13" i="8"/>
  <c r="F13" i="8"/>
  <c r="E13" i="8"/>
  <c r="D13" i="8"/>
  <c r="C13" i="8"/>
  <c r="B13" i="8"/>
  <c r="CM12" i="8"/>
  <c r="CL12" i="8"/>
  <c r="CK12" i="8"/>
  <c r="CJ12" i="8"/>
  <c r="CI12" i="8"/>
  <c r="CH12" i="8"/>
  <c r="CG12" i="8"/>
  <c r="CF12" i="8"/>
  <c r="CE12" i="8"/>
  <c r="CD12" i="8"/>
  <c r="CC12" i="8"/>
  <c r="CB12" i="8"/>
  <c r="CA12" i="8"/>
  <c r="BZ12" i="8"/>
  <c r="BY12" i="8"/>
  <c r="BX12" i="8"/>
  <c r="BW12" i="8"/>
  <c r="BV12" i="8"/>
  <c r="BU12" i="8"/>
  <c r="BT12" i="8"/>
  <c r="BS12" i="8"/>
  <c r="BR12" i="8"/>
  <c r="BQ12" i="8"/>
  <c r="BP12" i="8"/>
  <c r="BO12" i="8"/>
  <c r="BN12" i="8"/>
  <c r="BM12" i="8"/>
  <c r="BL12" i="8"/>
  <c r="BK12" i="8"/>
  <c r="BJ12" i="8"/>
  <c r="BI12" i="8"/>
  <c r="BH12" i="8"/>
  <c r="BG12" i="8"/>
  <c r="BF12" i="8"/>
  <c r="BE12" i="8"/>
  <c r="BD12" i="8"/>
  <c r="BC12" i="8"/>
  <c r="BB12" i="8"/>
  <c r="BA12" i="8"/>
  <c r="AZ12" i="8"/>
  <c r="AY12" i="8"/>
  <c r="AX12" i="8"/>
  <c r="AW12" i="8"/>
  <c r="AV12" i="8"/>
  <c r="AU12" i="8"/>
  <c r="AT12" i="8"/>
  <c r="AS12" i="8"/>
  <c r="AR12" i="8"/>
  <c r="AQ12" i="8"/>
  <c r="AP12" i="8"/>
  <c r="AO12" i="8"/>
  <c r="AN12" i="8"/>
  <c r="AM12" i="8"/>
  <c r="AL12"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J12" i="8"/>
  <c r="I12" i="8"/>
  <c r="H12" i="8"/>
  <c r="G12" i="8"/>
  <c r="F12" i="8"/>
  <c r="E12" i="8"/>
  <c r="D12" i="8"/>
  <c r="C12" i="8"/>
  <c r="B12" i="8"/>
  <c r="CM11" i="8"/>
  <c r="CL11" i="8"/>
  <c r="CK11" i="8"/>
  <c r="CJ11" i="8"/>
  <c r="CI11" i="8"/>
  <c r="CH11" i="8"/>
  <c r="CG11" i="8"/>
  <c r="CF11" i="8"/>
  <c r="CE11" i="8"/>
  <c r="CD11" i="8"/>
  <c r="CC11" i="8"/>
  <c r="CB11" i="8"/>
  <c r="CA11" i="8"/>
  <c r="BZ11" i="8"/>
  <c r="BY11" i="8"/>
  <c r="BX11" i="8"/>
  <c r="BW11" i="8"/>
  <c r="BV11" i="8"/>
  <c r="BU11" i="8"/>
  <c r="BT11" i="8"/>
  <c r="BS11" i="8"/>
  <c r="BR11" i="8"/>
  <c r="BQ11" i="8"/>
  <c r="BP11" i="8"/>
  <c r="BO11" i="8"/>
  <c r="BN11" i="8"/>
  <c r="BM11" i="8"/>
  <c r="BL11" i="8"/>
  <c r="BK11" i="8"/>
  <c r="BJ11" i="8"/>
  <c r="BI11" i="8"/>
  <c r="BH11" i="8"/>
  <c r="BG11" i="8"/>
  <c r="BF11" i="8"/>
  <c r="BE11" i="8"/>
  <c r="BD11" i="8"/>
  <c r="BC11" i="8"/>
  <c r="BB11" i="8"/>
  <c r="BA11" i="8"/>
  <c r="AZ11" i="8"/>
  <c r="AY11" i="8"/>
  <c r="AX11" i="8"/>
  <c r="AW11" i="8"/>
  <c r="AV11" i="8"/>
  <c r="AU11" i="8"/>
  <c r="AT11" i="8"/>
  <c r="AS11" i="8"/>
  <c r="AR11" i="8"/>
  <c r="AQ11" i="8"/>
  <c r="AP11" i="8"/>
  <c r="AO11" i="8"/>
  <c r="AN11" i="8"/>
  <c r="AM11" i="8"/>
  <c r="AL11" i="8"/>
  <c r="AK11" i="8"/>
  <c r="AJ11" i="8"/>
  <c r="AI11" i="8"/>
  <c r="AH11" i="8"/>
  <c r="AG11" i="8"/>
  <c r="AF11" i="8"/>
  <c r="AE11" i="8"/>
  <c r="AD11" i="8"/>
  <c r="AC11" i="8"/>
  <c r="AB11" i="8"/>
  <c r="AA11" i="8"/>
  <c r="Z11" i="8"/>
  <c r="Y11" i="8"/>
  <c r="X11" i="8"/>
  <c r="W11" i="8"/>
  <c r="V11" i="8"/>
  <c r="U11" i="8"/>
  <c r="T11" i="8"/>
  <c r="S11" i="8"/>
  <c r="R11" i="8"/>
  <c r="Q11" i="8"/>
  <c r="P11" i="8"/>
  <c r="O11" i="8"/>
  <c r="N11" i="8"/>
  <c r="M11" i="8"/>
  <c r="L11" i="8"/>
  <c r="K11" i="8"/>
  <c r="J11" i="8"/>
  <c r="I11" i="8"/>
  <c r="H11" i="8"/>
  <c r="G11" i="8"/>
  <c r="F11" i="8"/>
  <c r="E11" i="8"/>
  <c r="D11" i="8"/>
  <c r="C11" i="8"/>
  <c r="B11" i="8"/>
  <c r="CM10" i="8"/>
  <c r="CL10" i="8"/>
  <c r="CK10" i="8"/>
  <c r="CJ10" i="8"/>
  <c r="CI10" i="8"/>
  <c r="CH10" i="8"/>
  <c r="CG10" i="8"/>
  <c r="CF10" i="8"/>
  <c r="CE10" i="8"/>
  <c r="CD10" i="8"/>
  <c r="CC10" i="8"/>
  <c r="CB10" i="8"/>
  <c r="CA10" i="8"/>
  <c r="BZ10" i="8"/>
  <c r="BY10" i="8"/>
  <c r="BX10" i="8"/>
  <c r="BW10" i="8"/>
  <c r="BV10" i="8"/>
  <c r="BU10" i="8"/>
  <c r="BT10" i="8"/>
  <c r="BS10" i="8"/>
  <c r="BR10" i="8"/>
  <c r="BQ10" i="8"/>
  <c r="BP10" i="8"/>
  <c r="BO10" i="8"/>
  <c r="BN10" i="8"/>
  <c r="BM10" i="8"/>
  <c r="BL10" i="8"/>
  <c r="BK10" i="8"/>
  <c r="BJ10" i="8"/>
  <c r="BI10" i="8"/>
  <c r="BH10" i="8"/>
  <c r="BG10" i="8"/>
  <c r="BF10" i="8"/>
  <c r="BE10" i="8"/>
  <c r="BD10" i="8"/>
  <c r="BC10" i="8"/>
  <c r="BB10" i="8"/>
  <c r="BA10" i="8"/>
  <c r="AZ10" i="8"/>
  <c r="AY10" i="8"/>
  <c r="AX10" i="8"/>
  <c r="AW10" i="8"/>
  <c r="AV10" i="8"/>
  <c r="AU10" i="8"/>
  <c r="AT10" i="8"/>
  <c r="AS10" i="8"/>
  <c r="AR10" i="8"/>
  <c r="AQ10" i="8"/>
  <c r="AP10" i="8"/>
  <c r="AO10" i="8"/>
  <c r="AN10" i="8"/>
  <c r="AM10" i="8"/>
  <c r="AL10" i="8"/>
  <c r="AK10" i="8"/>
  <c r="AJ10" i="8"/>
  <c r="AI10" i="8"/>
  <c r="AH10" i="8"/>
  <c r="AG10" i="8"/>
  <c r="AF10" i="8"/>
  <c r="AE10" i="8"/>
  <c r="AD10" i="8"/>
  <c r="AC10" i="8"/>
  <c r="AB10" i="8"/>
  <c r="AA10" i="8"/>
  <c r="Z10" i="8"/>
  <c r="Y10" i="8"/>
  <c r="X10" i="8"/>
  <c r="W10" i="8"/>
  <c r="V10" i="8"/>
  <c r="U10" i="8"/>
  <c r="T10" i="8"/>
  <c r="S10" i="8"/>
  <c r="R10" i="8"/>
  <c r="Q10" i="8"/>
  <c r="P10" i="8"/>
  <c r="O10" i="8"/>
  <c r="N10" i="8"/>
  <c r="M10" i="8"/>
  <c r="L10" i="8"/>
  <c r="K10" i="8"/>
  <c r="J10" i="8"/>
  <c r="I10" i="8"/>
  <c r="H10" i="8"/>
  <c r="G10" i="8"/>
  <c r="F10" i="8"/>
  <c r="E10" i="8"/>
  <c r="D10" i="8"/>
  <c r="C10" i="8"/>
  <c r="B10" i="8"/>
  <c r="CM9" i="8"/>
  <c r="CL9" i="8"/>
  <c r="CK9" i="8"/>
  <c r="CJ9" i="8"/>
  <c r="CI9" i="8"/>
  <c r="CH9" i="8"/>
  <c r="CG9" i="8"/>
  <c r="CF9" i="8"/>
  <c r="CE9" i="8"/>
  <c r="CD9" i="8"/>
  <c r="CC9" i="8"/>
  <c r="CB9" i="8"/>
  <c r="CA9" i="8"/>
  <c r="BZ9" i="8"/>
  <c r="BY9" i="8"/>
  <c r="BX9" i="8"/>
  <c r="BW9"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D9" i="8"/>
  <c r="C9" i="8"/>
  <c r="B9" i="8"/>
  <c r="CM8" i="8"/>
  <c r="CL8" i="8"/>
  <c r="CK8" i="8"/>
  <c r="CJ8" i="8"/>
  <c r="CI8" i="8"/>
  <c r="CH8" i="8"/>
  <c r="CG8" i="8"/>
  <c r="CF8" i="8"/>
  <c r="CE8" i="8"/>
  <c r="CD8" i="8"/>
  <c r="CC8" i="8"/>
  <c r="CB8" i="8"/>
  <c r="CA8" i="8"/>
  <c r="BZ8" i="8"/>
  <c r="BY8" i="8"/>
  <c r="BX8" i="8"/>
  <c r="BW8" i="8"/>
  <c r="BV8" i="8"/>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AQ8" i="8"/>
  <c r="AP8" i="8"/>
  <c r="AO8" i="8"/>
  <c r="AN8" i="8"/>
  <c r="AM8" i="8"/>
  <c r="AL8" i="8"/>
  <c r="AK8" i="8"/>
  <c r="AJ8" i="8"/>
  <c r="AI8" i="8"/>
  <c r="AH8" i="8"/>
  <c r="AG8" i="8"/>
  <c r="AF8" i="8"/>
  <c r="AE8" i="8"/>
  <c r="AD8" i="8"/>
  <c r="AC8" i="8"/>
  <c r="AB8" i="8"/>
  <c r="AA8" i="8"/>
  <c r="Z8" i="8"/>
  <c r="Y8" i="8"/>
  <c r="X8" i="8"/>
  <c r="W8" i="8"/>
  <c r="V8" i="8"/>
  <c r="U8" i="8"/>
  <c r="T8" i="8"/>
  <c r="S8" i="8"/>
  <c r="R8" i="8"/>
  <c r="Q8" i="8"/>
  <c r="P8" i="8"/>
  <c r="O8" i="8"/>
  <c r="N8" i="8"/>
  <c r="M8" i="8"/>
  <c r="L8" i="8"/>
  <c r="K8" i="8"/>
  <c r="J8" i="8"/>
  <c r="I8" i="8"/>
  <c r="H8" i="8"/>
  <c r="G8" i="8"/>
  <c r="F8" i="8"/>
  <c r="E8" i="8"/>
  <c r="D8" i="8"/>
  <c r="C8" i="8"/>
  <c r="B8" i="8"/>
  <c r="V92" i="14"/>
  <c r="U92" i="14"/>
  <c r="T92" i="14"/>
  <c r="S92" i="14"/>
  <c r="R92" i="14"/>
  <c r="Q92" i="14"/>
  <c r="V91" i="14"/>
  <c r="U91" i="14"/>
  <c r="T91" i="14"/>
  <c r="S91" i="14"/>
  <c r="R91" i="14"/>
  <c r="Q91" i="14"/>
  <c r="V90" i="14"/>
  <c r="U90" i="14"/>
  <c r="T90" i="14"/>
  <c r="S90" i="14"/>
  <c r="R90" i="14"/>
  <c r="Q90" i="14"/>
  <c r="O90" i="14"/>
  <c r="V89" i="14"/>
  <c r="U89" i="14"/>
  <c r="T89" i="14"/>
  <c r="S89" i="14"/>
  <c r="R89" i="14"/>
  <c r="Q89" i="14"/>
  <c r="V88" i="14"/>
  <c r="U88" i="14"/>
  <c r="T88" i="14"/>
  <c r="S88" i="14"/>
  <c r="R88" i="14"/>
  <c r="Q88" i="14"/>
  <c r="V87" i="14"/>
  <c r="U87" i="14"/>
  <c r="T87" i="14"/>
  <c r="S87" i="14"/>
  <c r="R87" i="14"/>
  <c r="Q87" i="14"/>
  <c r="O87" i="14"/>
  <c r="V86" i="14"/>
  <c r="U86" i="14"/>
  <c r="T86" i="14"/>
  <c r="S86" i="14"/>
  <c r="R86" i="14"/>
  <c r="Q86" i="14"/>
  <c r="V85" i="14"/>
  <c r="U85" i="14"/>
  <c r="T85" i="14"/>
  <c r="S85" i="14"/>
  <c r="R85" i="14"/>
  <c r="Q85" i="14"/>
  <c r="V84" i="14"/>
  <c r="U84" i="14"/>
  <c r="T84" i="14"/>
  <c r="S84" i="14"/>
  <c r="R84" i="14"/>
  <c r="Q84" i="14"/>
  <c r="O84" i="14"/>
  <c r="V83" i="14"/>
  <c r="U83" i="14"/>
  <c r="T83" i="14"/>
  <c r="S83" i="14"/>
  <c r="R83" i="14"/>
  <c r="Q83" i="14"/>
  <c r="V82" i="14"/>
  <c r="U82" i="14"/>
  <c r="T82" i="14"/>
  <c r="S82" i="14"/>
  <c r="R82" i="14"/>
  <c r="Q82" i="14"/>
  <c r="V81" i="14"/>
  <c r="U81" i="14"/>
  <c r="T81" i="14"/>
  <c r="S81" i="14"/>
  <c r="R81" i="14"/>
  <c r="Q81" i="14"/>
  <c r="O81" i="14"/>
  <c r="V80" i="14"/>
  <c r="U80" i="14"/>
  <c r="T80" i="14"/>
  <c r="S80" i="14"/>
  <c r="R80" i="14"/>
  <c r="Q80" i="14"/>
  <c r="V79" i="14"/>
  <c r="U79" i="14"/>
  <c r="T79" i="14"/>
  <c r="S79" i="14"/>
  <c r="R79" i="14"/>
  <c r="Q79" i="14"/>
  <c r="V78" i="14"/>
  <c r="U78" i="14"/>
  <c r="T78" i="14"/>
  <c r="S78" i="14"/>
  <c r="R78" i="14"/>
  <c r="Q78" i="14"/>
  <c r="O78" i="14"/>
  <c r="V77" i="14"/>
  <c r="U77" i="14"/>
  <c r="T77" i="14"/>
  <c r="S77" i="14"/>
  <c r="R77" i="14"/>
  <c r="Q77" i="14"/>
  <c r="V76" i="14"/>
  <c r="U76" i="14"/>
  <c r="T76" i="14"/>
  <c r="S76" i="14"/>
  <c r="R76" i="14"/>
  <c r="Q76" i="14"/>
  <c r="V75" i="14"/>
  <c r="U75" i="14"/>
  <c r="T75" i="14"/>
  <c r="S75" i="14"/>
  <c r="R75" i="14"/>
  <c r="Q75" i="14"/>
  <c r="O75" i="14"/>
  <c r="V74" i="14"/>
  <c r="U74" i="14"/>
  <c r="T74" i="14"/>
  <c r="S74" i="14"/>
  <c r="R74" i="14"/>
  <c r="Q74" i="14"/>
  <c r="V73" i="14"/>
  <c r="U73" i="14"/>
  <c r="T73" i="14"/>
  <c r="S73" i="14"/>
  <c r="R73" i="14"/>
  <c r="Q73" i="14"/>
  <c r="V72" i="14"/>
  <c r="U72" i="14"/>
  <c r="T72" i="14"/>
  <c r="S72" i="14"/>
  <c r="R72" i="14"/>
  <c r="Q72" i="14"/>
  <c r="O72" i="14"/>
  <c r="V71" i="14"/>
  <c r="U71" i="14"/>
  <c r="T71" i="14"/>
  <c r="S71" i="14"/>
  <c r="R71" i="14"/>
  <c r="Q71" i="14"/>
  <c r="V70" i="14"/>
  <c r="U70" i="14"/>
  <c r="T70" i="14"/>
  <c r="S70" i="14"/>
  <c r="R70" i="14"/>
  <c r="Q70" i="14"/>
  <c r="V69" i="14"/>
  <c r="U69" i="14"/>
  <c r="T69" i="14"/>
  <c r="S69" i="14"/>
  <c r="R69" i="14"/>
  <c r="Q69" i="14"/>
  <c r="O69" i="14"/>
  <c r="V68" i="14"/>
  <c r="U68" i="14"/>
  <c r="T68" i="14"/>
  <c r="S68" i="14"/>
  <c r="R68" i="14"/>
  <c r="Q68" i="14"/>
  <c r="V67" i="14"/>
  <c r="U67" i="14"/>
  <c r="T67" i="14"/>
  <c r="S67" i="14"/>
  <c r="R67" i="14"/>
  <c r="Q67" i="14"/>
  <c r="V66" i="14"/>
  <c r="U66" i="14"/>
  <c r="T66" i="14"/>
  <c r="S66" i="14"/>
  <c r="R66" i="14"/>
  <c r="Q66" i="14"/>
  <c r="O66" i="14"/>
  <c r="V65" i="14"/>
  <c r="U65" i="14"/>
  <c r="T65" i="14"/>
  <c r="S65" i="14"/>
  <c r="R65" i="14"/>
  <c r="Q65" i="14"/>
  <c r="V64" i="14"/>
  <c r="U64" i="14"/>
  <c r="T64" i="14"/>
  <c r="S64" i="14"/>
  <c r="R64" i="14"/>
  <c r="Q64" i="14"/>
  <c r="V63" i="14"/>
  <c r="U63" i="14"/>
  <c r="T63" i="14"/>
  <c r="S63" i="14"/>
  <c r="R63" i="14"/>
  <c r="Q63" i="14"/>
  <c r="O63" i="14"/>
  <c r="AD59" i="14"/>
  <c r="AC59" i="14"/>
  <c r="AB59" i="14"/>
  <c r="AA59" i="14"/>
  <c r="Z59" i="14"/>
  <c r="Y59" i="14"/>
  <c r="X59" i="14"/>
  <c r="V59" i="14"/>
  <c r="U59" i="14"/>
  <c r="T59" i="14"/>
  <c r="S59" i="14"/>
  <c r="R59" i="14"/>
  <c r="Q59" i="14"/>
  <c r="P59" i="14"/>
  <c r="AD58" i="14"/>
  <c r="AC58" i="14"/>
  <c r="AB58" i="14"/>
  <c r="AA58" i="14"/>
  <c r="Z58" i="14"/>
  <c r="Y58" i="14"/>
  <c r="X58" i="14"/>
  <c r="V58" i="14"/>
  <c r="U58" i="14"/>
  <c r="T58" i="14"/>
  <c r="S58" i="14"/>
  <c r="R58" i="14"/>
  <c r="Q58" i="14"/>
  <c r="P58" i="14"/>
  <c r="O58" i="14"/>
  <c r="AD57" i="14"/>
  <c r="AC57" i="14"/>
  <c r="AB57" i="14"/>
  <c r="AA57" i="14"/>
  <c r="Z57" i="14"/>
  <c r="Y57" i="14"/>
  <c r="X57" i="14"/>
  <c r="V57" i="14"/>
  <c r="U57" i="14"/>
  <c r="T57" i="14"/>
  <c r="S57" i="14"/>
  <c r="R57" i="14"/>
  <c r="Q57" i="14"/>
  <c r="P57" i="14"/>
  <c r="AD56" i="14"/>
  <c r="AC56" i="14"/>
  <c r="AB56" i="14"/>
  <c r="AA56" i="14"/>
  <c r="Z56" i="14"/>
  <c r="Y56" i="14"/>
  <c r="X56" i="14"/>
  <c r="V56" i="14"/>
  <c r="U56" i="14"/>
  <c r="T56" i="14"/>
  <c r="S56" i="14"/>
  <c r="R56" i="14"/>
  <c r="Q56" i="14"/>
  <c r="P56" i="14"/>
  <c r="AD55" i="14"/>
  <c r="AC55" i="14"/>
  <c r="AB55" i="14"/>
  <c r="AA55" i="14"/>
  <c r="Z55" i="14"/>
  <c r="Y55" i="14"/>
  <c r="X55" i="14"/>
  <c r="V55" i="14"/>
  <c r="U55" i="14"/>
  <c r="T55" i="14"/>
  <c r="S55" i="14"/>
  <c r="R55" i="14"/>
  <c r="Q55" i="14"/>
  <c r="P55" i="14"/>
  <c r="AD54" i="14"/>
  <c r="AC54" i="14"/>
  <c r="AB54" i="14"/>
  <c r="AA54" i="14"/>
  <c r="Z54" i="14"/>
  <c r="Y54" i="14"/>
  <c r="X54" i="14"/>
  <c r="V54" i="14"/>
  <c r="U54" i="14"/>
  <c r="T54" i="14"/>
  <c r="S54" i="14"/>
  <c r="R54" i="14"/>
  <c r="Q54" i="14"/>
  <c r="P54" i="14"/>
  <c r="AD53" i="14"/>
  <c r="AC53" i="14"/>
  <c r="AB53" i="14"/>
  <c r="AA53" i="14"/>
  <c r="Z53" i="14"/>
  <c r="Y53" i="14"/>
  <c r="X53" i="14"/>
  <c r="V53" i="14"/>
  <c r="U53" i="14"/>
  <c r="T53" i="14"/>
  <c r="S53" i="14"/>
  <c r="R53" i="14"/>
  <c r="Q53" i="14"/>
  <c r="P53" i="14"/>
  <c r="AD52" i="14"/>
  <c r="AC52" i="14"/>
  <c r="AB52" i="14"/>
  <c r="AA52" i="14"/>
  <c r="Z52" i="14"/>
  <c r="Y52" i="14"/>
  <c r="X52" i="14"/>
  <c r="V52" i="14"/>
  <c r="U52" i="14"/>
  <c r="T52" i="14"/>
  <c r="S52" i="14"/>
  <c r="R52" i="14"/>
  <c r="Q52" i="14"/>
  <c r="P52" i="14"/>
  <c r="AD51" i="14"/>
  <c r="AC51" i="14"/>
  <c r="AB51" i="14"/>
  <c r="AA51" i="14"/>
  <c r="Z51" i="14"/>
  <c r="Y51" i="14"/>
  <c r="X51" i="14"/>
  <c r="V51" i="14"/>
  <c r="U51" i="14"/>
  <c r="T51" i="14"/>
  <c r="S51" i="14"/>
  <c r="R51" i="14"/>
  <c r="Q51" i="14"/>
  <c r="P51" i="14"/>
  <c r="AD50" i="14"/>
  <c r="AC50" i="14"/>
  <c r="AB50" i="14"/>
  <c r="AA50" i="14"/>
  <c r="Z50" i="14"/>
  <c r="Y50" i="14"/>
  <c r="X50" i="14"/>
  <c r="V50" i="14"/>
  <c r="U50" i="14"/>
  <c r="T50" i="14"/>
  <c r="S50" i="14"/>
  <c r="R50" i="14"/>
  <c r="Q50" i="14"/>
  <c r="P50" i="14"/>
  <c r="O43" i="14"/>
  <c r="B43" i="14"/>
  <c r="O40" i="14"/>
  <c r="B40" i="14"/>
  <c r="O37" i="14"/>
  <c r="B37" i="14"/>
  <c r="O34" i="14"/>
  <c r="B34" i="14"/>
  <c r="O31" i="14"/>
  <c r="B31" i="14"/>
  <c r="O28" i="14"/>
  <c r="B28" i="14"/>
  <c r="O25" i="14"/>
  <c r="B25" i="14"/>
  <c r="O22" i="14"/>
  <c r="B22" i="14"/>
  <c r="O19" i="14"/>
  <c r="B19" i="14"/>
  <c r="O16" i="14"/>
  <c r="B16" i="14"/>
  <c r="M15" i="14"/>
  <c r="L15" i="14"/>
  <c r="K15" i="14"/>
  <c r="J15" i="14"/>
  <c r="I15" i="14"/>
  <c r="H15" i="14"/>
  <c r="G15" i="14"/>
  <c r="F15" i="14"/>
  <c r="E15" i="14"/>
  <c r="D15" i="14"/>
  <c r="M12" i="14"/>
  <c r="L12" i="14"/>
  <c r="K12" i="14"/>
  <c r="J12" i="14"/>
  <c r="I12" i="14"/>
  <c r="H12" i="14"/>
  <c r="O54" i="14" s="1"/>
  <c r="G12" i="14"/>
  <c r="F12" i="14"/>
  <c r="O52" i="14" s="1"/>
  <c r="E12" i="14"/>
  <c r="D12" i="14"/>
  <c r="M11" i="14"/>
  <c r="O59" i="14" s="1"/>
  <c r="L11" i="14"/>
  <c r="K11" i="14"/>
  <c r="O57" i="14" s="1"/>
  <c r="J11" i="14"/>
  <c r="O56" i="14" s="1"/>
  <c r="I11" i="14"/>
  <c r="H11" i="14"/>
  <c r="G11" i="14"/>
  <c r="F11" i="14"/>
  <c r="E11" i="14"/>
  <c r="D11" i="14"/>
  <c r="M10" i="14"/>
  <c r="L10" i="14"/>
  <c r="K10" i="14"/>
  <c r="J10" i="14"/>
  <c r="I10" i="14"/>
  <c r="H10" i="14"/>
  <c r="G10" i="14"/>
  <c r="F10" i="14"/>
  <c r="E10" i="14"/>
  <c r="D10" i="14"/>
  <c r="K135" i="1"/>
  <c r="K141" i="1" s="1"/>
  <c r="J135" i="1"/>
  <c r="J141" i="1" s="1"/>
  <c r="I135" i="1"/>
  <c r="I141" i="1" s="1"/>
  <c r="E135" i="1"/>
  <c r="E141" i="1" s="1"/>
  <c r="I134" i="1"/>
  <c r="K114" i="1"/>
  <c r="K115" i="1" s="1"/>
  <c r="J114" i="1"/>
  <c r="J115" i="1" s="1"/>
  <c r="I114" i="1"/>
  <c r="I115" i="1" s="1"/>
  <c r="H114" i="1"/>
  <c r="H115" i="1" s="1"/>
  <c r="F114" i="1"/>
  <c r="F115" i="1" s="1"/>
  <c r="F98" i="1"/>
  <c r="E98" i="1"/>
  <c r="I81" i="1"/>
  <c r="I80" i="1"/>
  <c r="I79" i="1"/>
  <c r="I78" i="1"/>
  <c r="J53" i="1"/>
  <c r="K53" i="1" s="1"/>
  <c r="I53" i="1"/>
  <c r="F53" i="1"/>
  <c r="G53" i="1" s="1"/>
  <c r="J52" i="1"/>
  <c r="K52" i="1" s="1"/>
  <c r="I52" i="1"/>
  <c r="H52" i="1"/>
  <c r="E52" i="1"/>
  <c r="F52" i="1" s="1"/>
  <c r="G52" i="1" s="1"/>
  <c r="H50" i="1"/>
  <c r="I50" i="1" s="1"/>
  <c r="E50" i="1"/>
  <c r="E123" i="1" s="1"/>
  <c r="K49" i="1"/>
  <c r="J29" i="1"/>
  <c r="K24" i="1"/>
  <c r="J24" i="1"/>
  <c r="F24" i="1"/>
  <c r="G24" i="1" s="1"/>
  <c r="K23" i="1"/>
  <c r="J23" i="1"/>
  <c r="F23" i="1"/>
  <c r="G23" i="1" s="1"/>
  <c r="J20" i="1"/>
  <c r="J18" i="1"/>
  <c r="K16" i="1"/>
  <c r="F16" i="1"/>
  <c r="K15" i="1"/>
  <c r="F15" i="1"/>
  <c r="G15" i="1" s="1"/>
  <c r="N8" i="1"/>
  <c r="C8" i="1"/>
  <c r="I2" i="23" s="1"/>
  <c r="Q98" i="17"/>
  <c r="P98" i="17"/>
  <c r="O98" i="17"/>
  <c r="Q97" i="17"/>
  <c r="P97" i="17"/>
  <c r="O97" i="17"/>
  <c r="Q96" i="17"/>
  <c r="P96" i="17"/>
  <c r="O96" i="17"/>
  <c r="J96" i="17"/>
  <c r="I96" i="17"/>
  <c r="Q95" i="17"/>
  <c r="P95" i="17"/>
  <c r="O95" i="17"/>
  <c r="J95" i="17"/>
  <c r="I95" i="17"/>
  <c r="Q94" i="17"/>
  <c r="P94" i="17"/>
  <c r="O94" i="17"/>
  <c r="J94" i="17"/>
  <c r="I94" i="17"/>
  <c r="Q93" i="17"/>
  <c r="P93" i="17"/>
  <c r="O93" i="17"/>
  <c r="J93" i="17"/>
  <c r="I93" i="17"/>
  <c r="Q92" i="17"/>
  <c r="P92" i="17"/>
  <c r="O92" i="17"/>
  <c r="L92" i="17"/>
  <c r="K92" i="17"/>
  <c r="J92" i="17"/>
  <c r="I92" i="17"/>
  <c r="R91" i="17"/>
  <c r="Q91" i="17"/>
  <c r="P91" i="17"/>
  <c r="O91" i="17"/>
  <c r="L91" i="17"/>
  <c r="K91" i="17"/>
  <c r="J91" i="17"/>
  <c r="I91" i="17"/>
  <c r="R90" i="17"/>
  <c r="Q90" i="17"/>
  <c r="P90" i="17"/>
  <c r="O90" i="17"/>
  <c r="L90" i="17"/>
  <c r="K90" i="17"/>
  <c r="J90" i="17"/>
  <c r="I90" i="17"/>
  <c r="R89" i="17"/>
  <c r="Q89" i="17"/>
  <c r="P89" i="17"/>
  <c r="O89" i="17"/>
  <c r="R88" i="17"/>
  <c r="Q88" i="17"/>
  <c r="P88" i="17"/>
  <c r="O88" i="17"/>
  <c r="L88" i="17"/>
  <c r="K88" i="17"/>
  <c r="J88" i="17"/>
  <c r="I88" i="17"/>
  <c r="R87" i="17"/>
  <c r="Q87" i="17"/>
  <c r="P87" i="17"/>
  <c r="O87" i="17"/>
  <c r="L87" i="17"/>
  <c r="K87" i="17"/>
  <c r="J87" i="17"/>
  <c r="I87" i="17"/>
  <c r="R86" i="17"/>
  <c r="P86" i="17"/>
  <c r="O86" i="17"/>
  <c r="R85" i="17"/>
  <c r="Q85" i="17"/>
  <c r="P85" i="17"/>
  <c r="O85" i="17"/>
  <c r="R84" i="17"/>
  <c r="Q84" i="17"/>
  <c r="P84" i="17"/>
  <c r="O84" i="17"/>
  <c r="L84" i="17"/>
  <c r="R83" i="17"/>
  <c r="Q83" i="17"/>
  <c r="P83" i="17"/>
  <c r="O83" i="17"/>
  <c r="L83" i="17"/>
  <c r="K83" i="17"/>
  <c r="J83" i="17"/>
  <c r="I83" i="17"/>
  <c r="R82" i="17"/>
  <c r="Q82" i="17"/>
  <c r="P82" i="17"/>
  <c r="O82" i="17"/>
  <c r="L82" i="17"/>
  <c r="K82" i="17"/>
  <c r="J82" i="17"/>
  <c r="I82" i="17"/>
  <c r="R81" i="17"/>
  <c r="Q81" i="17"/>
  <c r="P81" i="17"/>
  <c r="O81" i="17"/>
  <c r="L81" i="17"/>
  <c r="K81" i="17"/>
  <c r="J81" i="17"/>
  <c r="I81" i="17"/>
  <c r="R80" i="17"/>
  <c r="Q80" i="17"/>
  <c r="P80" i="17"/>
  <c r="O80" i="17"/>
  <c r="L80" i="17"/>
  <c r="K80" i="17"/>
  <c r="J80" i="17"/>
  <c r="I80" i="17"/>
  <c r="R79" i="17"/>
  <c r="Q79" i="17"/>
  <c r="P79" i="17"/>
  <c r="O79" i="17"/>
  <c r="R78" i="17"/>
  <c r="Q78" i="17"/>
  <c r="P78" i="17"/>
  <c r="O78" i="17"/>
  <c r="R77" i="17"/>
  <c r="Q77" i="17"/>
  <c r="P77" i="17"/>
  <c r="O77" i="17"/>
  <c r="K77" i="17"/>
  <c r="R76" i="17"/>
  <c r="Q76" i="17"/>
  <c r="P76" i="17"/>
  <c r="O76" i="17"/>
  <c r="K76" i="17"/>
  <c r="R75" i="17"/>
  <c r="Q75" i="17"/>
  <c r="P75" i="17"/>
  <c r="O75" i="17"/>
  <c r="K75" i="17"/>
  <c r="R74" i="17"/>
  <c r="Q74" i="17"/>
  <c r="P74" i="17"/>
  <c r="O74" i="17"/>
  <c r="K74" i="17"/>
  <c r="R73" i="17"/>
  <c r="Q73" i="17"/>
  <c r="P73" i="17"/>
  <c r="O73" i="17"/>
  <c r="R72" i="17"/>
  <c r="Q72" i="17"/>
  <c r="P72" i="17"/>
  <c r="O72" i="17"/>
  <c r="R71" i="17"/>
  <c r="Q71" i="17"/>
  <c r="P71" i="17"/>
  <c r="O71" i="17"/>
  <c r="R70" i="17"/>
  <c r="Q70" i="17"/>
  <c r="P70" i="17"/>
  <c r="O70" i="17"/>
  <c r="R69" i="17"/>
  <c r="Q69" i="17"/>
  <c r="P69" i="17"/>
  <c r="O69" i="17"/>
  <c r="R68" i="17"/>
  <c r="Q68" i="17"/>
  <c r="P68" i="17"/>
  <c r="O68" i="17"/>
  <c r="J68" i="17"/>
  <c r="I68" i="17"/>
  <c r="R67" i="17"/>
  <c r="Q67" i="17"/>
  <c r="P67" i="17"/>
  <c r="O67" i="17"/>
  <c r="J67" i="17"/>
  <c r="I67" i="17"/>
  <c r="Q6" i="17"/>
  <c r="Q4" i="17"/>
  <c r="K2" i="17"/>
  <c r="J2" i="17"/>
  <c r="I2" i="17"/>
  <c r="E2" i="17"/>
  <c r="D2" i="17"/>
  <c r="C2" i="17"/>
  <c r="B2" i="17"/>
  <c r="BH49" i="12" l="1"/>
  <c r="BL49" i="12" s="1"/>
  <c r="BL48" i="12"/>
  <c r="BH83" i="12"/>
  <c r="O55" i="14"/>
  <c r="O53" i="14"/>
  <c r="O51" i="14"/>
  <c r="O50" i="14"/>
  <c r="L8" i="1"/>
  <c r="R2" i="23" s="1"/>
  <c r="K8" i="1"/>
  <c r="Q2" i="23" s="1"/>
  <c r="G125" i="1"/>
  <c r="T2" i="23"/>
  <c r="I66" i="1"/>
  <c r="I65" i="1" s="1"/>
  <c r="I45" i="1" s="1"/>
  <c r="D15" i="7"/>
  <c r="H66" i="1" s="1"/>
  <c r="E8" i="1"/>
  <c r="D8" i="1"/>
  <c r="G8" i="1"/>
  <c r="M2" i="23" s="1"/>
  <c r="F8" i="1"/>
  <c r="K66" i="1"/>
  <c r="J66" i="1"/>
  <c r="H74" i="12"/>
  <c r="U41" i="12"/>
  <c r="V41" i="12" s="1"/>
  <c r="BL83" i="12"/>
  <c r="BK83" i="12"/>
  <c r="BN83" i="12"/>
  <c r="AK109" i="23"/>
  <c r="AK106" i="23"/>
  <c r="C3" i="28"/>
  <c r="AK100" i="23"/>
  <c r="AK101" i="23"/>
  <c r="AK102" i="23"/>
  <c r="AK107" i="23"/>
  <c r="AK103" i="23"/>
  <c r="AK108" i="23"/>
  <c r="AK104" i="23"/>
  <c r="AK105" i="23"/>
  <c r="AN94" i="23"/>
  <c r="AN113" i="23" s="1"/>
  <c r="AO94" i="23"/>
  <c r="AO113" i="23" s="1"/>
  <c r="AL94" i="23"/>
  <c r="AL113" i="23" s="1"/>
  <c r="AQ94" i="23"/>
  <c r="AQ113" i="23" s="1"/>
  <c r="AP94" i="23"/>
  <c r="AP113" i="23" s="1"/>
  <c r="U148" i="23"/>
  <c r="G51" i="1"/>
  <c r="I14" i="7"/>
  <c r="G16" i="1"/>
  <c r="E14" i="1"/>
  <c r="G58" i="1"/>
  <c r="G108" i="1" s="1"/>
  <c r="F58" i="1"/>
  <c r="F108" i="1" s="1"/>
  <c r="E25" i="1"/>
  <c r="G114" i="1"/>
  <c r="G115" i="1" s="1"/>
  <c r="I94" i="1"/>
  <c r="O4" i="7"/>
  <c r="N27" i="7" s="1"/>
  <c r="N32" i="7" s="1"/>
  <c r="E5" i="7"/>
  <c r="N5" i="7" s="1"/>
  <c r="M28" i="7" s="1"/>
  <c r="I7" i="7"/>
  <c r="N4" i="7"/>
  <c r="M27" i="7" s="1"/>
  <c r="G37" i="7"/>
  <c r="F135" i="1"/>
  <c r="F141" i="1" s="1"/>
  <c r="H8" i="3"/>
  <c r="F37" i="3" s="1"/>
  <c r="F125" i="1"/>
  <c r="D19" i="12"/>
  <c r="D6" i="12"/>
  <c r="D7" i="12"/>
  <c r="D8" i="12"/>
  <c r="D9" i="12"/>
  <c r="K40" i="1"/>
  <c r="D34" i="12"/>
  <c r="D35" i="12" s="1"/>
  <c r="D36" i="12" s="1"/>
  <c r="D37" i="12" s="1"/>
  <c r="D38" i="12" s="1"/>
  <c r="D39" i="12" s="1"/>
  <c r="D40" i="12" s="1"/>
  <c r="D41" i="12" s="1"/>
  <c r="D42" i="12" s="1"/>
  <c r="D43" i="12" s="1"/>
  <c r="D44" i="12" s="1"/>
  <c r="D45" i="12" s="1"/>
  <c r="D46" i="12" s="1"/>
  <c r="D47" i="12" s="1"/>
  <c r="D48" i="12" s="1"/>
  <c r="D49" i="12" s="1"/>
  <c r="E51" i="1"/>
  <c r="I17" i="2"/>
  <c r="H43" i="1" s="1"/>
  <c r="H40" i="1"/>
  <c r="J40" i="1"/>
  <c r="K46" i="1"/>
  <c r="G35" i="7"/>
  <c r="G38" i="7"/>
  <c r="K31" i="2"/>
  <c r="I9" i="7"/>
  <c r="E12" i="7"/>
  <c r="N12" i="7" s="1"/>
  <c r="E9" i="7"/>
  <c r="F31" i="7" s="1"/>
  <c r="F40" i="7" s="1"/>
  <c r="G34" i="7"/>
  <c r="N10" i="7"/>
  <c r="G36" i="7"/>
  <c r="E8" i="7"/>
  <c r="F30" i="7" s="1"/>
  <c r="F33" i="7" s="1"/>
  <c r="I18" i="2"/>
  <c r="I12" i="7"/>
  <c r="J50" i="1"/>
  <c r="K50" i="1" s="1"/>
  <c r="G43" i="7"/>
  <c r="I5" i="7"/>
  <c r="F51" i="1"/>
  <c r="E6" i="7"/>
  <c r="O6" i="7" s="1"/>
  <c r="N29" i="7" s="1"/>
  <c r="C28" i="28" s="1"/>
  <c r="H51" i="1"/>
  <c r="I6" i="7"/>
  <c r="I51" i="1"/>
  <c r="G45" i="7"/>
  <c r="J51" i="1"/>
  <c r="K51" i="1" s="1"/>
  <c r="E27" i="7"/>
  <c r="F27" i="7"/>
  <c r="I8" i="7"/>
  <c r="G32" i="2"/>
  <c r="G33" i="2" s="1"/>
  <c r="G34" i="2" s="1"/>
  <c r="E7" i="7"/>
  <c r="I40" i="1"/>
  <c r="S12" i="7"/>
  <c r="G39" i="7"/>
  <c r="E14" i="7"/>
  <c r="G41" i="7"/>
  <c r="G30" i="7"/>
  <c r="G31" i="7"/>
  <c r="G42" i="7"/>
  <c r="I4" i="7"/>
  <c r="G32" i="7"/>
  <c r="F50" i="1"/>
  <c r="F123" i="1" s="1"/>
  <c r="F124" i="1" s="1"/>
  <c r="G33" i="7"/>
  <c r="E125" i="1"/>
  <c r="E130" i="1" s="1"/>
  <c r="H125" i="1"/>
  <c r="I125" i="1"/>
  <c r="J125" i="1"/>
  <c r="K125" i="1"/>
  <c r="D8" i="3"/>
  <c r="D37" i="3" s="1"/>
  <c r="G8" i="3"/>
  <c r="E37" i="3" s="1"/>
  <c r="K27" i="1"/>
  <c r="K28" i="1" s="1"/>
  <c r="J32" i="2"/>
  <c r="J27" i="1"/>
  <c r="J28" i="1" s="1"/>
  <c r="I104" i="1"/>
  <c r="J104" i="1"/>
  <c r="H48" i="1"/>
  <c r="J36" i="2"/>
  <c r="J22" i="1"/>
  <c r="J22" i="2"/>
  <c r="I27" i="1"/>
  <c r="I28" i="1" s="1"/>
  <c r="J34" i="2"/>
  <c r="J20" i="2"/>
  <c r="J94" i="1"/>
  <c r="J19" i="2"/>
  <c r="H94" i="1"/>
  <c r="E101" i="1"/>
  <c r="J90" i="1"/>
  <c r="J18" i="2"/>
  <c r="J21" i="2"/>
  <c r="E103" i="1"/>
  <c r="G103" i="1" s="1"/>
  <c r="H27" i="1"/>
  <c r="H28" i="1" s="1"/>
  <c r="E102" i="1"/>
  <c r="G102" i="1" s="1"/>
  <c r="K94" i="1"/>
  <c r="J33" i="2"/>
  <c r="J35" i="1"/>
  <c r="K35" i="1" s="1"/>
  <c r="J17" i="2"/>
  <c r="J19" i="1"/>
  <c r="J21" i="1" s="1"/>
  <c r="J33" i="1"/>
  <c r="K33" i="1" s="1"/>
  <c r="J107" i="1"/>
  <c r="E99" i="1"/>
  <c r="J106" i="1"/>
  <c r="H30" i="1"/>
  <c r="H105" i="1"/>
  <c r="E17" i="1"/>
  <c r="J38" i="1"/>
  <c r="K38" i="1" s="1"/>
  <c r="E100" i="1"/>
  <c r="G100" i="1" s="1"/>
  <c r="H104" i="1"/>
  <c r="G22" i="2"/>
  <c r="G21" i="2"/>
  <c r="I20" i="2"/>
  <c r="K20" i="2" s="1"/>
  <c r="I19" i="2"/>
  <c r="K19" i="2" s="1"/>
  <c r="H228" i="23" l="1"/>
  <c r="H232" i="23"/>
  <c r="H233" i="23"/>
  <c r="H234" i="23"/>
  <c r="H235" i="23"/>
  <c r="H236" i="23"/>
  <c r="H237" i="23"/>
  <c r="H238" i="23"/>
  <c r="H239" i="23"/>
  <c r="H241" i="23"/>
  <c r="H242" i="23"/>
  <c r="H240" i="23"/>
  <c r="H229" i="23"/>
  <c r="H230" i="23"/>
  <c r="H231" i="23"/>
  <c r="E252" i="23"/>
  <c r="AV96" i="23"/>
  <c r="AV95" i="23"/>
  <c r="AV104" i="23"/>
  <c r="AV101" i="23"/>
  <c r="AV100" i="23"/>
  <c r="AV94" i="23"/>
  <c r="AV108" i="23"/>
  <c r="AV105" i="23"/>
  <c r="AV103" i="23"/>
  <c r="AV99" i="23"/>
  <c r="AV98" i="23"/>
  <c r="AV97" i="23"/>
  <c r="AV107" i="23"/>
  <c r="AV106" i="23"/>
  <c r="AV102" i="23"/>
  <c r="I95" i="1"/>
  <c r="I97" i="1"/>
  <c r="J92" i="1"/>
  <c r="J91" i="1"/>
  <c r="K97" i="1"/>
  <c r="K95" i="1"/>
  <c r="H97" i="1"/>
  <c r="H95" i="1"/>
  <c r="J97" i="1"/>
  <c r="J95" i="1"/>
  <c r="G18" i="28"/>
  <c r="F18" i="28"/>
  <c r="H136" i="1"/>
  <c r="I136" i="1"/>
  <c r="E10" i="28"/>
  <c r="C19" i="28"/>
  <c r="D19" i="28"/>
  <c r="E137" i="1"/>
  <c r="F137" i="1" s="1"/>
  <c r="C10" i="28"/>
  <c r="E28" i="28"/>
  <c r="E19" i="28"/>
  <c r="D28" i="28"/>
  <c r="D10" i="28"/>
  <c r="C5" i="28"/>
  <c r="C11" i="28"/>
  <c r="J62" i="1"/>
  <c r="K62" i="1" s="1"/>
  <c r="L2" i="23"/>
  <c r="E65" i="1"/>
  <c r="K65" i="1" s="1"/>
  <c r="K69" i="1" s="1"/>
  <c r="J2" i="23"/>
  <c r="E62" i="1"/>
  <c r="F62" i="1" s="1"/>
  <c r="G62" i="1" s="1"/>
  <c r="K2" i="23"/>
  <c r="U42" i="12"/>
  <c r="V42" i="12" s="1"/>
  <c r="H75" i="12"/>
  <c r="H76" i="12"/>
  <c r="D11" i="12"/>
  <c r="D12" i="12"/>
  <c r="D13" i="12"/>
  <c r="D14" i="12"/>
  <c r="D15" i="12"/>
  <c r="D10" i="12"/>
  <c r="D16" i="12"/>
  <c r="D17" i="12"/>
  <c r="D18" i="12"/>
  <c r="D28" i="12"/>
  <c r="D26" i="12"/>
  <c r="D24" i="12"/>
  <c r="D22" i="12"/>
  <c r="D20" i="12"/>
  <c r="D33" i="12"/>
  <c r="D82" i="12" s="1"/>
  <c r="D31" i="12"/>
  <c r="D29" i="12"/>
  <c r="D27" i="12"/>
  <c r="D25" i="12"/>
  <c r="D23" i="12"/>
  <c r="D32" i="12"/>
  <c r="D21" i="12"/>
  <c r="D30" i="12"/>
  <c r="D83" i="12"/>
  <c r="E3" i="28"/>
  <c r="F3" i="28"/>
  <c r="G3" i="28"/>
  <c r="H3" i="28"/>
  <c r="I3" i="28"/>
  <c r="D3" i="28"/>
  <c r="C4" i="28"/>
  <c r="G135" i="1"/>
  <c r="G141" i="1" s="1"/>
  <c r="I8" i="27"/>
  <c r="O5" i="7"/>
  <c r="N28" i="7" s="1"/>
  <c r="E110" i="1"/>
  <c r="G99" i="1"/>
  <c r="G50" i="1"/>
  <c r="G123" i="1" s="1"/>
  <c r="G124" i="1" s="1"/>
  <c r="G130" i="1" s="1"/>
  <c r="E59" i="1"/>
  <c r="I69" i="1"/>
  <c r="H65" i="1"/>
  <c r="H45" i="1" s="1"/>
  <c r="E31" i="7"/>
  <c r="O10" i="7"/>
  <c r="I43" i="1"/>
  <c r="J43" i="1"/>
  <c r="K43" i="1" s="1"/>
  <c r="K17" i="2"/>
  <c r="I21" i="2"/>
  <c r="F130" i="1"/>
  <c r="E30" i="7"/>
  <c r="F36" i="3"/>
  <c r="F35" i="3"/>
  <c r="K107" i="1"/>
  <c r="J46" i="1"/>
  <c r="N9" i="7"/>
  <c r="O9" i="7"/>
  <c r="G36" i="2"/>
  <c r="I34" i="2"/>
  <c r="K34" i="2" s="1"/>
  <c r="I32" i="2"/>
  <c r="F42" i="7"/>
  <c r="F39" i="7"/>
  <c r="F35" i="7"/>
  <c r="F41" i="7"/>
  <c r="I33" i="2"/>
  <c r="K33" i="2" s="1"/>
  <c r="N6" i="7"/>
  <c r="M29" i="7" s="1"/>
  <c r="C27" i="28" s="1"/>
  <c r="O7" i="7"/>
  <c r="N30" i="7" s="1"/>
  <c r="N7" i="7"/>
  <c r="M30" i="7" s="1"/>
  <c r="F34" i="7"/>
  <c r="F43" i="7"/>
  <c r="F37" i="7"/>
  <c r="F45" i="7"/>
  <c r="F32" i="7"/>
  <c r="F44" i="7"/>
  <c r="F38" i="7"/>
  <c r="F36" i="7"/>
  <c r="E36" i="3"/>
  <c r="D36" i="3"/>
  <c r="E35" i="3"/>
  <c r="D35" i="3"/>
  <c r="H37" i="3"/>
  <c r="K100" i="1"/>
  <c r="F100" i="1"/>
  <c r="J101" i="1"/>
  <c r="H101" i="1"/>
  <c r="K101" i="1"/>
  <c r="I101" i="1"/>
  <c r="K99" i="1"/>
  <c r="J99" i="1"/>
  <c r="I99" i="1"/>
  <c r="H99" i="1"/>
  <c r="F99" i="1"/>
  <c r="K14" i="1"/>
  <c r="I14" i="1"/>
  <c r="J14" i="1"/>
  <c r="H14" i="1"/>
  <c r="F14" i="1"/>
  <c r="G14" i="1" s="1"/>
  <c r="K25" i="1"/>
  <c r="J25" i="1"/>
  <c r="F25" i="1"/>
  <c r="G25" i="1" s="1"/>
  <c r="K17" i="1"/>
  <c r="F17" i="1"/>
  <c r="G17" i="1" s="1"/>
  <c r="K30" i="1"/>
  <c r="J30" i="1"/>
  <c r="I30" i="1"/>
  <c r="K103" i="1"/>
  <c r="F103" i="1"/>
  <c r="K48" i="1"/>
  <c r="J48" i="1"/>
  <c r="I48" i="1"/>
  <c r="F102" i="1"/>
  <c r="K102" i="1"/>
  <c r="G233" i="23" l="1"/>
  <c r="G232" i="23"/>
  <c r="G239" i="23"/>
  <c r="G235" i="23"/>
  <c r="G241" i="23"/>
  <c r="G231" i="23"/>
  <c r="G229" i="23"/>
  <c r="G242" i="23"/>
  <c r="G240" i="23"/>
  <c r="G238" i="23"/>
  <c r="G236" i="23"/>
  <c r="G230" i="23"/>
  <c r="G234" i="23"/>
  <c r="G228" i="23"/>
  <c r="G237" i="23"/>
  <c r="BD99" i="23"/>
  <c r="BC99" i="23"/>
  <c r="BA99" i="23"/>
  <c r="BB99" i="23"/>
  <c r="BB97" i="23"/>
  <c r="BC97" i="23"/>
  <c r="BD97" i="23"/>
  <c r="BA97" i="23"/>
  <c r="BB103" i="23"/>
  <c r="BA103" i="23"/>
  <c r="BD103" i="23"/>
  <c r="BC103" i="23"/>
  <c r="BD100" i="23"/>
  <c r="BA100" i="23"/>
  <c r="BC100" i="23"/>
  <c r="BB100" i="23"/>
  <c r="BD106" i="23"/>
  <c r="BC106" i="23"/>
  <c r="BD107" i="23"/>
  <c r="BC107" i="23"/>
  <c r="BC95" i="23"/>
  <c r="BB95" i="23"/>
  <c r="BA95" i="23"/>
  <c r="BD95" i="23"/>
  <c r="BB94" i="23"/>
  <c r="BD94" i="23"/>
  <c r="BA94" i="23"/>
  <c r="BC94" i="23"/>
  <c r="BC101" i="23"/>
  <c r="BB101" i="23"/>
  <c r="BA101" i="23"/>
  <c r="BD101" i="23"/>
  <c r="BD104" i="23"/>
  <c r="BC104" i="23"/>
  <c r="BC98" i="23"/>
  <c r="BA98" i="23"/>
  <c r="BB98" i="23"/>
  <c r="BD98" i="23"/>
  <c r="BC105" i="23"/>
  <c r="BD105" i="23"/>
  <c r="BD102" i="23"/>
  <c r="BA102" i="23"/>
  <c r="BB102" i="23"/>
  <c r="BC102" i="23"/>
  <c r="BD96" i="23"/>
  <c r="BA96" i="23"/>
  <c r="BB96" i="23"/>
  <c r="BC96" i="23"/>
  <c r="BD108" i="23"/>
  <c r="BC108" i="23"/>
  <c r="F9" i="28"/>
  <c r="G9" i="28"/>
  <c r="G13" i="28" s="1"/>
  <c r="J8" i="1"/>
  <c r="P2" i="23" s="1"/>
  <c r="I138" i="1"/>
  <c r="G137" i="1"/>
  <c r="I13" i="28"/>
  <c r="I31" i="28"/>
  <c r="I22" i="28"/>
  <c r="G22" i="28"/>
  <c r="G31" i="28"/>
  <c r="C20" i="28"/>
  <c r="F5" i="28"/>
  <c r="F11" i="28"/>
  <c r="C6" i="28"/>
  <c r="C12" i="28"/>
  <c r="C21" i="28" s="1"/>
  <c r="C30" i="28" s="1"/>
  <c r="I5" i="28"/>
  <c r="I11" i="28"/>
  <c r="G5" i="28"/>
  <c r="G11" i="28"/>
  <c r="D5" i="28"/>
  <c r="D11" i="28"/>
  <c r="H5" i="28"/>
  <c r="H11" i="28"/>
  <c r="E5" i="28"/>
  <c r="E11" i="28"/>
  <c r="E111" i="1"/>
  <c r="E113" i="1" s="1"/>
  <c r="M113" i="1"/>
  <c r="E69" i="1"/>
  <c r="J65" i="1"/>
  <c r="J69" i="1" s="1"/>
  <c r="D81" i="12"/>
  <c r="D80" i="12"/>
  <c r="D58" i="12"/>
  <c r="D74" i="12"/>
  <c r="D70" i="12"/>
  <c r="D76" i="12"/>
  <c r="D72" i="12"/>
  <c r="D78" i="12"/>
  <c r="D64" i="12"/>
  <c r="D66" i="12"/>
  <c r="U43" i="12"/>
  <c r="V43" i="12" s="1"/>
  <c r="D79" i="12"/>
  <c r="K32" i="1"/>
  <c r="K34" i="1" s="1"/>
  <c r="K123" i="1" s="1"/>
  <c r="D59" i="12"/>
  <c r="D69" i="12"/>
  <c r="D73" i="12"/>
  <c r="D77" i="12"/>
  <c r="D57" i="12"/>
  <c r="D75" i="12"/>
  <c r="D55" i="12"/>
  <c r="D65" i="12"/>
  <c r="D63" i="12"/>
  <c r="D62" i="12"/>
  <c r="D71" i="12"/>
  <c r="D68" i="12"/>
  <c r="D60" i="12"/>
  <c r="D61" i="12"/>
  <c r="D67" i="12"/>
  <c r="D56" i="12"/>
  <c r="G4" i="28"/>
  <c r="I4" i="28"/>
  <c r="D4" i="28"/>
  <c r="H4" i="28"/>
  <c r="E4" i="28"/>
  <c r="D94" i="23"/>
  <c r="D95" i="23"/>
  <c r="O95" i="23" s="1"/>
  <c r="Z95" i="23" s="1"/>
  <c r="D96" i="23"/>
  <c r="O96" i="23" s="1"/>
  <c r="Z96" i="23" s="1"/>
  <c r="D99" i="23"/>
  <c r="O99" i="23" s="1"/>
  <c r="Z99" i="23" s="1"/>
  <c r="D98" i="23"/>
  <c r="O98" i="23" s="1"/>
  <c r="Z98" i="23" s="1"/>
  <c r="D97" i="23"/>
  <c r="O97" i="23" s="1"/>
  <c r="Z97" i="23" s="1"/>
  <c r="E116" i="1"/>
  <c r="H110" i="1"/>
  <c r="K110" i="1"/>
  <c r="G59" i="1"/>
  <c r="I127" i="1"/>
  <c r="I129" i="1" s="1"/>
  <c r="K71" i="1"/>
  <c r="K73" i="1" s="1"/>
  <c r="I82" i="1"/>
  <c r="H69" i="1"/>
  <c r="H138" i="1" s="1"/>
  <c r="K84" i="17"/>
  <c r="L85" i="17"/>
  <c r="J85" i="17"/>
  <c r="J13" i="1"/>
  <c r="F13" i="1"/>
  <c r="F59" i="1" s="1"/>
  <c r="I13" i="1"/>
  <c r="K13" i="1"/>
  <c r="H13" i="1"/>
  <c r="H35" i="3"/>
  <c r="H36" i="3"/>
  <c r="I85" i="17"/>
  <c r="I46" i="1"/>
  <c r="I123" i="1" s="1"/>
  <c r="I105" i="1"/>
  <c r="I110" i="1" s="1"/>
  <c r="J105" i="1"/>
  <c r="J110" i="1" s="1"/>
  <c r="H134" i="1"/>
  <c r="H46" i="1"/>
  <c r="U18" i="1"/>
  <c r="J111" i="1" l="1"/>
  <c r="H111" i="1"/>
  <c r="I111" i="1"/>
  <c r="K111" i="1"/>
  <c r="H22" i="28"/>
  <c r="H31" i="28"/>
  <c r="H13" i="28"/>
  <c r="E71" i="1"/>
  <c r="C13" i="28"/>
  <c r="C22" i="28"/>
  <c r="C32" i="28"/>
  <c r="C14" i="28"/>
  <c r="C31" i="28"/>
  <c r="C23" i="28"/>
  <c r="F13" i="28"/>
  <c r="F22" i="28"/>
  <c r="F31" i="28"/>
  <c r="D20" i="28"/>
  <c r="F20" i="28"/>
  <c r="G20" i="28"/>
  <c r="I20" i="28"/>
  <c r="C29" i="28"/>
  <c r="E20" i="28"/>
  <c r="H20" i="28"/>
  <c r="D6" i="28"/>
  <c r="D12" i="28"/>
  <c r="D21" i="28" s="1"/>
  <c r="D30" i="28" s="1"/>
  <c r="E6" i="28"/>
  <c r="E12" i="28"/>
  <c r="E21" i="28" s="1"/>
  <c r="E30" i="28" s="1"/>
  <c r="I6" i="28"/>
  <c r="I12" i="28"/>
  <c r="I21" i="28" s="1"/>
  <c r="I30" i="28" s="1"/>
  <c r="H6" i="28"/>
  <c r="H12" i="28"/>
  <c r="H21" i="28" s="1"/>
  <c r="H30" i="28" s="1"/>
  <c r="G6" i="28"/>
  <c r="G12" i="28"/>
  <c r="G21" i="28" s="1"/>
  <c r="G30" i="28" s="1"/>
  <c r="J86" i="1"/>
  <c r="I132" i="23" s="1"/>
  <c r="T132" i="23" s="1"/>
  <c r="AE132" i="23" s="1"/>
  <c r="J71" i="1"/>
  <c r="J73" i="1" s="1"/>
  <c r="E138" i="1"/>
  <c r="E139" i="1"/>
  <c r="J32" i="1"/>
  <c r="J34" i="1" s="1"/>
  <c r="J123" i="1" s="1"/>
  <c r="J124" i="1" s="1"/>
  <c r="J130" i="1" s="1"/>
  <c r="E70" i="1"/>
  <c r="U44" i="12"/>
  <c r="H78" i="12"/>
  <c r="H77" i="12"/>
  <c r="F94" i="23"/>
  <c r="F96" i="23"/>
  <c r="Q96" i="23" s="1"/>
  <c r="AB96" i="23" s="1"/>
  <c r="F97" i="23"/>
  <c r="Q97" i="23" s="1"/>
  <c r="AB97" i="23" s="1"/>
  <c r="F98" i="23"/>
  <c r="Q98" i="23" s="1"/>
  <c r="AB98" i="23" s="1"/>
  <c r="F99" i="23"/>
  <c r="Q99" i="23" s="1"/>
  <c r="AB99" i="23" s="1"/>
  <c r="F95" i="23"/>
  <c r="Q95" i="23" s="1"/>
  <c r="AB95" i="23" s="1"/>
  <c r="E94" i="23"/>
  <c r="E96" i="23"/>
  <c r="P96" i="23" s="1"/>
  <c r="AA96" i="23" s="1"/>
  <c r="E97" i="23"/>
  <c r="P97" i="23" s="1"/>
  <c r="AA97" i="23" s="1"/>
  <c r="E95" i="23"/>
  <c r="P95" i="23" s="1"/>
  <c r="AA95" i="23" s="1"/>
  <c r="E98" i="23"/>
  <c r="P98" i="23" s="1"/>
  <c r="AA98" i="23" s="1"/>
  <c r="E99" i="23"/>
  <c r="P99" i="23" s="1"/>
  <c r="AA99" i="23" s="1"/>
  <c r="H135" i="1"/>
  <c r="F112" i="1"/>
  <c r="O94" i="23"/>
  <c r="D110" i="23"/>
  <c r="C6" i="9" s="1"/>
  <c r="G112" i="1"/>
  <c r="I112" i="1" s="1"/>
  <c r="I113" i="1" s="1"/>
  <c r="G116" i="1"/>
  <c r="I86" i="1"/>
  <c r="F116" i="1"/>
  <c r="E117" i="1"/>
  <c r="M117" i="1"/>
  <c r="G101" i="1"/>
  <c r="G110" i="1" s="1"/>
  <c r="F101" i="1"/>
  <c r="F110" i="1" s="1"/>
  <c r="H123" i="1"/>
  <c r="H124" i="1" s="1"/>
  <c r="H127" i="1"/>
  <c r="H129" i="1" s="1"/>
  <c r="H82" i="1"/>
  <c r="K124" i="1"/>
  <c r="K130" i="1" s="1"/>
  <c r="I124" i="1"/>
  <c r="I130" i="1" s="1"/>
  <c r="K72" i="17"/>
  <c r="V44" i="12" l="1"/>
  <c r="BB104" i="23" s="1"/>
  <c r="BA104" i="23"/>
  <c r="F111" i="1"/>
  <c r="G111" i="1"/>
  <c r="C15" i="28"/>
  <c r="C33" i="28"/>
  <c r="C24" i="28"/>
  <c r="I137" i="23"/>
  <c r="T137" i="23" s="1"/>
  <c r="AE137" i="23" s="1"/>
  <c r="I136" i="23"/>
  <c r="T136" i="23" s="1"/>
  <c r="AE136" i="23" s="1"/>
  <c r="F4" i="28"/>
  <c r="F6" i="28" s="1"/>
  <c r="H141" i="1"/>
  <c r="I15" i="28"/>
  <c r="G15" i="28"/>
  <c r="I29" i="28"/>
  <c r="I33" i="28" s="1"/>
  <c r="I24" i="28"/>
  <c r="G29" i="28"/>
  <c r="G33" i="28" s="1"/>
  <c r="G24" i="28"/>
  <c r="F29" i="28"/>
  <c r="D29" i="28"/>
  <c r="H29" i="28"/>
  <c r="H33" i="28" s="1"/>
  <c r="H24" i="28"/>
  <c r="H15" i="28"/>
  <c r="E29" i="28"/>
  <c r="J72" i="17"/>
  <c r="I135" i="23"/>
  <c r="T135" i="23" s="1"/>
  <c r="AE135" i="23" s="1"/>
  <c r="I134" i="23"/>
  <c r="T134" i="23" s="1"/>
  <c r="AE134" i="23" s="1"/>
  <c r="I133" i="23"/>
  <c r="T133" i="23" s="1"/>
  <c r="E142" i="1"/>
  <c r="E143" i="1"/>
  <c r="U45" i="12"/>
  <c r="H79" i="12"/>
  <c r="H132" i="23"/>
  <c r="S132" i="23" s="1"/>
  <c r="AD132" i="23" s="1"/>
  <c r="H143" i="1"/>
  <c r="I143" i="1"/>
  <c r="I142" i="1"/>
  <c r="H142" i="1"/>
  <c r="F113" i="1"/>
  <c r="O110" i="23"/>
  <c r="C6" i="27" s="1"/>
  <c r="Z94" i="23"/>
  <c r="Q94" i="23"/>
  <c r="F110" i="23"/>
  <c r="E6" i="9" s="1"/>
  <c r="P94" i="23"/>
  <c r="E110" i="23"/>
  <c r="D6" i="9" s="1"/>
  <c r="H133" i="23"/>
  <c r="S133" i="23" s="1"/>
  <c r="H134" i="23"/>
  <c r="S134" i="23" s="1"/>
  <c r="AD134" i="23" s="1"/>
  <c r="H135" i="23"/>
  <c r="S135" i="23" s="1"/>
  <c r="AD135" i="23" s="1"/>
  <c r="H136" i="23"/>
  <c r="S136" i="23" s="1"/>
  <c r="AD136" i="23" s="1"/>
  <c r="H137" i="23"/>
  <c r="S137" i="23" s="1"/>
  <c r="AD137" i="23" s="1"/>
  <c r="G113" i="1"/>
  <c r="H112" i="1"/>
  <c r="H113" i="1" s="1"/>
  <c r="F117" i="1"/>
  <c r="J117" i="1"/>
  <c r="K117" i="1"/>
  <c r="I117" i="1"/>
  <c r="H117" i="1"/>
  <c r="G117" i="1"/>
  <c r="H86" i="1"/>
  <c r="I72" i="17"/>
  <c r="J112" i="1"/>
  <c r="J113" i="1" s="1"/>
  <c r="K112" i="1"/>
  <c r="K113" i="1" s="1"/>
  <c r="H130" i="1"/>
  <c r="J97" i="17"/>
  <c r="I97" i="17"/>
  <c r="L97" i="17"/>
  <c r="K97" i="17"/>
  <c r="F12" i="28" l="1"/>
  <c r="V45" i="12"/>
  <c r="BB105" i="23" s="1"/>
  <c r="BA105" i="23"/>
  <c r="H37" i="28"/>
  <c r="H38" i="28"/>
  <c r="I38" i="28"/>
  <c r="I37" i="28"/>
  <c r="G37" i="28"/>
  <c r="G38" i="28"/>
  <c r="H16" i="28"/>
  <c r="G16" i="28"/>
  <c r="I16" i="28"/>
  <c r="H34" i="28"/>
  <c r="G34" i="28"/>
  <c r="I34" i="28"/>
  <c r="T148" i="23"/>
  <c r="H8" i="27" s="1"/>
  <c r="I148" i="23"/>
  <c r="H8" i="9" s="1"/>
  <c r="E145" i="1"/>
  <c r="H25" i="28"/>
  <c r="G25" i="28"/>
  <c r="I25" i="28"/>
  <c r="F21" i="28"/>
  <c r="F15" i="28"/>
  <c r="E144" i="1"/>
  <c r="H145" i="1"/>
  <c r="I145" i="1"/>
  <c r="U46" i="12"/>
  <c r="H80" i="12"/>
  <c r="H144" i="1"/>
  <c r="I144" i="1"/>
  <c r="G132" i="23"/>
  <c r="R132" i="23" s="1"/>
  <c r="AC132" i="23" s="1"/>
  <c r="Z110" i="23"/>
  <c r="P110" i="23"/>
  <c r="AA110" i="23" s="1"/>
  <c r="AA94" i="23"/>
  <c r="Q110" i="23"/>
  <c r="AB110" i="23" s="1"/>
  <c r="AB94" i="23"/>
  <c r="S148" i="23"/>
  <c r="H148" i="23"/>
  <c r="G8" i="9" s="1"/>
  <c r="G133" i="23"/>
  <c r="R133" i="23" s="1"/>
  <c r="G134" i="23"/>
  <c r="R134" i="23" s="1"/>
  <c r="AC134" i="23" s="1"/>
  <c r="G135" i="23"/>
  <c r="R135" i="23" s="1"/>
  <c r="AC135" i="23" s="1"/>
  <c r="G136" i="23"/>
  <c r="R136" i="23" s="1"/>
  <c r="AC136" i="23" s="1"/>
  <c r="G137" i="23"/>
  <c r="R137" i="23" s="1"/>
  <c r="AC137" i="23" s="1"/>
  <c r="V46" i="12" l="1"/>
  <c r="BB106" i="23" s="1"/>
  <c r="BA106" i="23"/>
  <c r="F16" i="28"/>
  <c r="F30" i="28"/>
  <c r="F33" i="28" s="1"/>
  <c r="F34" i="28" s="1"/>
  <c r="F24" i="28"/>
  <c r="U47" i="12"/>
  <c r="H81" i="12"/>
  <c r="E6" i="27"/>
  <c r="D6" i="27"/>
  <c r="G8" i="27"/>
  <c r="Q227" i="23"/>
  <c r="S227" i="23"/>
  <c r="T227" i="23"/>
  <c r="U227" i="23"/>
  <c r="P227" i="23"/>
  <c r="R227" i="23"/>
  <c r="R148" i="23"/>
  <c r="G148" i="23"/>
  <c r="F8" i="9" s="1"/>
  <c r="F66" i="1"/>
  <c r="F65" i="1" s="1"/>
  <c r="V47" i="12" l="1"/>
  <c r="BB107" i="23" s="1"/>
  <c r="BA107" i="23"/>
  <c r="F38" i="28"/>
  <c r="F37" i="28"/>
  <c r="F25" i="28"/>
  <c r="U48" i="12"/>
  <c r="H82" i="12"/>
  <c r="F8" i="27"/>
  <c r="D52" i="23"/>
  <c r="D71" i="23" s="1"/>
  <c r="O227" i="23"/>
  <c r="Z227" i="23" s="1"/>
  <c r="F69" i="1"/>
  <c r="G65" i="1"/>
  <c r="V48" i="12" l="1"/>
  <c r="BB108" i="23" s="1"/>
  <c r="BA108" i="23"/>
  <c r="D31" i="28"/>
  <c r="D23" i="28"/>
  <c r="D14" i="28"/>
  <c r="D22" i="28"/>
  <c r="D13" i="28"/>
  <c r="D32" i="28"/>
  <c r="F138" i="1"/>
  <c r="F139" i="1"/>
  <c r="F86" i="1" s="1"/>
  <c r="U49" i="12"/>
  <c r="V49" i="12" s="1"/>
  <c r="H83" i="12"/>
  <c r="H8" i="1" s="1"/>
  <c r="N2" i="23" s="1"/>
  <c r="AF227" i="23"/>
  <c r="AC227" i="23"/>
  <c r="AA227" i="23"/>
  <c r="AB227" i="23"/>
  <c r="AE227" i="23"/>
  <c r="AD227" i="23"/>
  <c r="O52" i="23"/>
  <c r="G69" i="1"/>
  <c r="F71" i="1"/>
  <c r="F70" i="1"/>
  <c r="D24" i="28" l="1"/>
  <c r="D25" i="28" s="1"/>
  <c r="D15" i="28"/>
  <c r="D16" i="28" s="1"/>
  <c r="E31" i="28"/>
  <c r="E22" i="28"/>
  <c r="E23" i="28"/>
  <c r="E14" i="28"/>
  <c r="E13" i="28"/>
  <c r="E32" i="28"/>
  <c r="D33" i="28"/>
  <c r="G138" i="1"/>
  <c r="G139" i="1"/>
  <c r="F72" i="1"/>
  <c r="F73" i="1" s="1"/>
  <c r="I62" i="1"/>
  <c r="I71" i="1" s="1"/>
  <c r="I73" i="1" s="1"/>
  <c r="H62" i="1"/>
  <c r="H71" i="1" s="1"/>
  <c r="H73" i="1" s="1"/>
  <c r="G70" i="1"/>
  <c r="F142" i="1"/>
  <c r="AR94" i="23"/>
  <c r="AR113" i="23" s="1"/>
  <c r="O71" i="23"/>
  <c r="Z52" i="23"/>
  <c r="G71" i="1"/>
  <c r="F143" i="1"/>
  <c r="E15" i="28" l="1"/>
  <c r="E16" i="28" s="1"/>
  <c r="D34" i="28"/>
  <c r="E24" i="28"/>
  <c r="E25" i="28" s="1"/>
  <c r="E33" i="28"/>
  <c r="G72" i="1"/>
  <c r="G73" i="1" s="1"/>
  <c r="F145" i="1"/>
  <c r="G86" i="1"/>
  <c r="F144" i="1"/>
  <c r="G142" i="1"/>
  <c r="G143" i="1"/>
  <c r="P132" i="23"/>
  <c r="Q132" i="23"/>
  <c r="H9" i="12"/>
  <c r="E34" i="28" l="1"/>
  <c r="G145" i="1"/>
  <c r="H44" i="1"/>
  <c r="H47" i="1" s="1"/>
  <c r="H59" i="1" s="1"/>
  <c r="G94" i="23" s="1"/>
  <c r="H11" i="12"/>
  <c r="H12" i="12"/>
  <c r="H10" i="12"/>
  <c r="H13" i="12"/>
  <c r="H15" i="12"/>
  <c r="H14" i="12"/>
  <c r="H16" i="12"/>
  <c r="H17" i="12"/>
  <c r="H18" i="12"/>
  <c r="G144" i="1"/>
  <c r="O133" i="23"/>
  <c r="D148" i="23"/>
  <c r="C8" i="9" s="1"/>
  <c r="Q52" i="23"/>
  <c r="AB132" i="23"/>
  <c r="P52" i="23"/>
  <c r="AA132" i="23"/>
  <c r="F52" i="23"/>
  <c r="F71" i="23" s="1"/>
  <c r="E52" i="23"/>
  <c r="E71" i="23" s="1"/>
  <c r="I96" i="1"/>
  <c r="J96" i="1"/>
  <c r="I44" i="1"/>
  <c r="J44" i="1"/>
  <c r="J47" i="1" s="1"/>
  <c r="K44" i="1"/>
  <c r="K47" i="1" s="1"/>
  <c r="K96" i="1"/>
  <c r="H96" i="1"/>
  <c r="H116" i="1" l="1"/>
  <c r="G99" i="23"/>
  <c r="R99" i="23" s="1"/>
  <c r="AC99" i="23" s="1"/>
  <c r="G97" i="23"/>
  <c r="R97" i="23" s="1"/>
  <c r="AC97" i="23" s="1"/>
  <c r="G98" i="23"/>
  <c r="R98" i="23" s="1"/>
  <c r="AC98" i="23" s="1"/>
  <c r="G96" i="23"/>
  <c r="R96" i="23" s="1"/>
  <c r="AC96" i="23" s="1"/>
  <c r="G95" i="23"/>
  <c r="R95" i="23" s="1"/>
  <c r="AC95" i="23" s="1"/>
  <c r="I47" i="1"/>
  <c r="I59" i="1" s="1"/>
  <c r="O148" i="23"/>
  <c r="AF133" i="23"/>
  <c r="Z133" i="23"/>
  <c r="AE133" i="23"/>
  <c r="AD133" i="23"/>
  <c r="AC133" i="23"/>
  <c r="AM94" i="23"/>
  <c r="Q71" i="23"/>
  <c r="AB52" i="23"/>
  <c r="P71" i="23"/>
  <c r="AA52" i="23"/>
  <c r="G52" i="23"/>
  <c r="R94" i="23"/>
  <c r="G110" i="23" l="1"/>
  <c r="F6" i="9" s="1"/>
  <c r="H96" i="23"/>
  <c r="S96" i="23" s="1"/>
  <c r="AD96" i="23" s="1"/>
  <c r="H97" i="23"/>
  <c r="S97" i="23" s="1"/>
  <c r="AD97" i="23" s="1"/>
  <c r="H94" i="23"/>
  <c r="H52" i="23" s="1"/>
  <c r="H71" i="23" s="1"/>
  <c r="H98" i="23"/>
  <c r="S98" i="23" s="1"/>
  <c r="AD98" i="23" s="1"/>
  <c r="H95" i="23"/>
  <c r="S95" i="23" s="1"/>
  <c r="AD95" i="23" s="1"/>
  <c r="H99" i="23"/>
  <c r="S99" i="23" s="1"/>
  <c r="AD99" i="23" s="1"/>
  <c r="I116" i="1"/>
  <c r="AF148" i="23"/>
  <c r="C8" i="27"/>
  <c r="Z148" i="23"/>
  <c r="AE148" i="23"/>
  <c r="AD148" i="23"/>
  <c r="AC148" i="23"/>
  <c r="AM113" i="23"/>
  <c r="R52" i="23"/>
  <c r="AC94" i="23"/>
  <c r="G71" i="23"/>
  <c r="R110" i="23"/>
  <c r="S94" i="23" l="1"/>
  <c r="AD94" i="23" s="1"/>
  <c r="H110" i="23"/>
  <c r="G6" i="9" s="1"/>
  <c r="R71" i="23"/>
  <c r="AC52" i="23"/>
  <c r="F6" i="27"/>
  <c r="AC110" i="23"/>
  <c r="S52" i="23" l="1"/>
  <c r="S71" i="23" s="1"/>
  <c r="S110" i="23"/>
  <c r="G6" i="27" s="1"/>
  <c r="AD52" i="23" l="1"/>
  <c r="AD110" i="23"/>
  <c r="J118" i="1"/>
  <c r="G118" i="1"/>
  <c r="G119" i="1" s="1"/>
  <c r="E119" i="1"/>
  <c r="F118" i="1"/>
  <c r="F119" i="1" s="1"/>
  <c r="H118" i="1"/>
  <c r="H119" i="1" s="1"/>
  <c r="I118" i="1"/>
  <c r="I119" i="1" s="1"/>
  <c r="K118" i="1"/>
  <c r="F190" i="23" l="1"/>
  <c r="Q190" i="23" s="1"/>
  <c r="F191" i="23"/>
  <c r="F192" i="23"/>
  <c r="F193" i="23"/>
  <c r="F198" i="23"/>
  <c r="F203" i="23"/>
  <c r="F194" i="23"/>
  <c r="F195" i="23"/>
  <c r="F196" i="23"/>
  <c r="F197" i="23"/>
  <c r="F199" i="23"/>
  <c r="F201" i="23"/>
  <c r="F202" i="23"/>
  <c r="F204" i="23"/>
  <c r="F200" i="23"/>
  <c r="E197" i="23"/>
  <c r="E198" i="23"/>
  <c r="E199" i="23"/>
  <c r="E202" i="23"/>
  <c r="E203" i="23"/>
  <c r="E191" i="23"/>
  <c r="E193" i="23"/>
  <c r="E196" i="23"/>
  <c r="E200" i="23"/>
  <c r="E201" i="23"/>
  <c r="E204" i="23"/>
  <c r="E190" i="23"/>
  <c r="P190" i="23" s="1"/>
  <c r="E192" i="23"/>
  <c r="E194" i="23"/>
  <c r="E195" i="23"/>
  <c r="D198" i="23"/>
  <c r="D199" i="23"/>
  <c r="D202" i="23"/>
  <c r="D204" i="23"/>
  <c r="D191" i="23"/>
  <c r="D193" i="23"/>
  <c r="D194" i="23"/>
  <c r="D196" i="23"/>
  <c r="D200" i="23"/>
  <c r="D201" i="23"/>
  <c r="D203" i="23"/>
  <c r="D190" i="23"/>
  <c r="O190" i="23" s="1"/>
  <c r="D192" i="23"/>
  <c r="D195" i="23"/>
  <c r="D197" i="23"/>
  <c r="H200" i="23"/>
  <c r="H195" i="23"/>
  <c r="H190" i="23"/>
  <c r="S190" i="23" s="1"/>
  <c r="H201" i="23"/>
  <c r="H196" i="23"/>
  <c r="H191" i="23"/>
  <c r="H202" i="23"/>
  <c r="H197" i="23"/>
  <c r="H192" i="23"/>
  <c r="H203" i="23"/>
  <c r="H198" i="23"/>
  <c r="H193" i="23"/>
  <c r="H204" i="23"/>
  <c r="H194" i="23"/>
  <c r="H199" i="23"/>
  <c r="G200" i="23"/>
  <c r="G201" i="23"/>
  <c r="G198" i="23"/>
  <c r="G195" i="23"/>
  <c r="G190" i="23"/>
  <c r="R190" i="23" s="1"/>
  <c r="G196" i="23"/>
  <c r="G197" i="23"/>
  <c r="G191" i="23"/>
  <c r="G202" i="23"/>
  <c r="G192" i="23"/>
  <c r="G203" i="23"/>
  <c r="G204" i="23"/>
  <c r="G193" i="23"/>
  <c r="G194" i="23"/>
  <c r="G199" i="23"/>
  <c r="G120" i="1"/>
  <c r="G147" i="1" s="1"/>
  <c r="F120" i="1"/>
  <c r="F147" i="1" s="1"/>
  <c r="E120" i="1"/>
  <c r="AA190" i="23" l="1"/>
  <c r="Z190" i="23"/>
  <c r="AB190" i="23"/>
  <c r="AD190" i="23"/>
  <c r="AC190" i="23"/>
  <c r="R197" i="23"/>
  <c r="S201" i="23"/>
  <c r="Q204" i="23"/>
  <c r="O195" i="23"/>
  <c r="Q199" i="23"/>
  <c r="Q196" i="23"/>
  <c r="O200" i="23"/>
  <c r="Q198" i="23"/>
  <c r="O199" i="23"/>
  <c r="P195" i="23"/>
  <c r="R199" i="23"/>
  <c r="R203" i="23"/>
  <c r="P202" i="23"/>
  <c r="R196" i="23"/>
  <c r="P198" i="23"/>
  <c r="P197" i="23"/>
  <c r="R198" i="23"/>
  <c r="O197" i="23"/>
  <c r="S193" i="23"/>
  <c r="Q193" i="23"/>
  <c r="P194" i="23"/>
  <c r="P192" i="23"/>
  <c r="R194" i="23"/>
  <c r="P200" i="23"/>
  <c r="P193" i="23"/>
  <c r="P203" i="23"/>
  <c r="Q201" i="23"/>
  <c r="S204" i="23"/>
  <c r="O201" i="23"/>
  <c r="S198" i="23"/>
  <c r="O196" i="23"/>
  <c r="O194" i="23"/>
  <c r="O191" i="23"/>
  <c r="Q192" i="23"/>
  <c r="O198" i="23"/>
  <c r="P204" i="23"/>
  <c r="R193" i="23"/>
  <c r="R204" i="23"/>
  <c r="R192" i="23"/>
  <c r="R202" i="23"/>
  <c r="P199" i="23"/>
  <c r="Q200" i="23"/>
  <c r="Q202" i="23"/>
  <c r="S199" i="23"/>
  <c r="Q197" i="23"/>
  <c r="Q195" i="23"/>
  <c r="Q203" i="23"/>
  <c r="O193" i="23"/>
  <c r="S191" i="23"/>
  <c r="O204" i="23"/>
  <c r="Q191" i="23"/>
  <c r="S195" i="23"/>
  <c r="S200" i="23"/>
  <c r="P201" i="23"/>
  <c r="P196" i="23"/>
  <c r="P191" i="23"/>
  <c r="R191" i="23"/>
  <c r="R195" i="23"/>
  <c r="R201" i="23"/>
  <c r="R200" i="23"/>
  <c r="O192" i="23"/>
  <c r="S194" i="23"/>
  <c r="O203" i="23"/>
  <c r="Q194" i="23"/>
  <c r="S203" i="23"/>
  <c r="S192" i="23"/>
  <c r="S197" i="23"/>
  <c r="S202" i="23"/>
  <c r="S196" i="23"/>
  <c r="O202" i="23"/>
  <c r="E205" i="23"/>
  <c r="D11" i="9" s="1"/>
  <c r="D205" i="23"/>
  <c r="C11" i="9" s="1"/>
  <c r="F205" i="23"/>
  <c r="E11" i="9" s="1"/>
  <c r="H205" i="23"/>
  <c r="G11" i="9" s="1"/>
  <c r="G205" i="23"/>
  <c r="F11" i="9" s="1"/>
  <c r="AB197" i="23" l="1"/>
  <c r="Z200" i="23"/>
  <c r="AB191" i="23"/>
  <c r="AB202" i="23"/>
  <c r="AB198" i="23"/>
  <c r="AA200" i="23"/>
  <c r="Z196" i="23"/>
  <c r="AB200" i="23"/>
  <c r="Z202" i="23"/>
  <c r="AA191" i="23"/>
  <c r="AB194" i="23"/>
  <c r="AB203" i="23"/>
  <c r="AA194" i="23"/>
  <c r="AA203" i="23"/>
  <c r="Z195" i="23"/>
  <c r="Z193" i="23"/>
  <c r="Z199" i="23"/>
  <c r="AB201" i="23"/>
  <c r="AA204" i="23"/>
  <c r="Z192" i="23"/>
  <c r="AB195" i="23"/>
  <c r="AB193" i="23"/>
  <c r="Z201" i="23"/>
  <c r="AA196" i="23"/>
  <c r="AA199" i="23"/>
  <c r="AB196" i="23"/>
  <c r="AA197" i="23"/>
  <c r="AA193" i="23"/>
  <c r="Z203" i="23"/>
  <c r="AA195" i="23"/>
  <c r="Z197" i="23"/>
  <c r="Z204" i="23"/>
  <c r="AB204" i="23"/>
  <c r="AA202" i="23"/>
  <c r="Z198" i="23"/>
  <c r="AA192" i="23"/>
  <c r="Z191" i="23"/>
  <c r="Z194" i="23"/>
  <c r="AA201" i="23"/>
  <c r="AB199" i="23"/>
  <c r="AA198" i="23"/>
  <c r="AB192" i="23"/>
  <c r="AD199" i="23"/>
  <c r="AC195" i="23"/>
  <c r="AC191" i="23"/>
  <c r="AD192" i="23"/>
  <c r="AC192" i="23"/>
  <c r="AD193" i="23"/>
  <c r="AD200" i="23"/>
  <c r="AC204" i="23"/>
  <c r="AD194" i="23"/>
  <c r="AD202" i="23"/>
  <c r="AC198" i="23"/>
  <c r="AD203" i="23"/>
  <c r="AC201" i="23"/>
  <c r="AC202" i="23"/>
  <c r="AD191" i="23"/>
  <c r="AC196" i="23"/>
  <c r="AD201" i="23"/>
  <c r="AC199" i="23"/>
  <c r="AD196" i="23"/>
  <c r="AD197" i="23"/>
  <c r="AC193" i="23"/>
  <c r="AC200" i="23"/>
  <c r="AC203" i="23"/>
  <c r="AC197" i="23"/>
  <c r="AD198" i="23"/>
  <c r="AD204" i="23"/>
  <c r="AD195" i="23"/>
  <c r="AC194" i="23"/>
  <c r="R205" i="23"/>
  <c r="Q205" i="23"/>
  <c r="S205" i="23"/>
  <c r="P205" i="23"/>
  <c r="O205" i="23"/>
  <c r="E9" i="27" l="1"/>
  <c r="AB205" i="23"/>
  <c r="D9" i="27"/>
  <c r="AA205" i="23"/>
  <c r="C9" i="27"/>
  <c r="Z205" i="23"/>
  <c r="F9" i="27"/>
  <c r="AC205" i="23"/>
  <c r="G9" i="27"/>
  <c r="AD205" i="23"/>
  <c r="U7" i="12" l="1"/>
  <c r="V7" i="12" s="1"/>
  <c r="U8" i="12"/>
  <c r="V8" i="12" s="1"/>
  <c r="H57" i="12" l="1"/>
  <c r="H56" i="12"/>
  <c r="H55" i="12"/>
  <c r="K85" i="17"/>
  <c r="I84" i="17"/>
  <c r="J84" i="17"/>
  <c r="C33" i="8" l="1"/>
  <c r="G33" i="8"/>
  <c r="F33" i="8"/>
  <c r="H33" i="8" s="1"/>
  <c r="C34" i="8"/>
  <c r="E34" i="8"/>
  <c r="G34" i="8" s="1"/>
  <c r="F34" i="8"/>
  <c r="H34" i="8" s="1"/>
  <c r="C35" i="8"/>
  <c r="E35" i="8"/>
  <c r="G35" i="8" s="1"/>
  <c r="F35" i="8"/>
  <c r="H35" i="8" s="1"/>
  <c r="C36" i="8"/>
  <c r="E36" i="8"/>
  <c r="G36" i="8" s="1"/>
  <c r="F36" i="8"/>
  <c r="H36" i="8" s="1"/>
  <c r="C37" i="8"/>
  <c r="E37" i="8"/>
  <c r="G37" i="8" s="1"/>
  <c r="F37" i="8"/>
  <c r="H37" i="8" s="1"/>
  <c r="C38" i="8"/>
  <c r="E38" i="8"/>
  <c r="G38" i="8" s="1"/>
  <c r="F38" i="8"/>
  <c r="H38" i="8" s="1"/>
  <c r="C39" i="8"/>
  <c r="E39" i="8"/>
  <c r="G39" i="8" s="1"/>
  <c r="F39" i="8"/>
  <c r="H39" i="8" s="1"/>
  <c r="C40" i="8"/>
  <c r="E40" i="8"/>
  <c r="G40" i="8" s="1"/>
  <c r="F40" i="8"/>
  <c r="H40" i="8" s="1"/>
  <c r="C41" i="8"/>
  <c r="E41" i="8"/>
  <c r="G41" i="8" s="1"/>
  <c r="F41" i="8"/>
  <c r="H41" i="8" s="1"/>
  <c r="C42" i="8"/>
  <c r="E42" i="8"/>
  <c r="G42" i="8" s="1"/>
  <c r="F42" i="8"/>
  <c r="H42" i="8" s="1"/>
  <c r="C43" i="8"/>
  <c r="E43" i="8"/>
  <c r="G43" i="8" s="1"/>
  <c r="F43" i="8"/>
  <c r="H43" i="8" s="1"/>
  <c r="C44" i="8"/>
  <c r="E44" i="8"/>
  <c r="G44" i="8" s="1"/>
  <c r="F44" i="8"/>
  <c r="H44" i="8" s="1"/>
  <c r="C45" i="8"/>
  <c r="E45" i="8"/>
  <c r="G45" i="8" s="1"/>
  <c r="F45" i="8"/>
  <c r="H45" i="8" s="1"/>
  <c r="C46" i="8"/>
  <c r="E46" i="8"/>
  <c r="G46" i="8" s="1"/>
  <c r="F46" i="8"/>
  <c r="H46" i="8" s="1"/>
  <c r="C47" i="8"/>
  <c r="E47" i="8"/>
  <c r="G47" i="8" s="1"/>
  <c r="F47" i="8"/>
  <c r="H47" i="8" s="1"/>
  <c r="C48" i="8"/>
  <c r="E48" i="8"/>
  <c r="G48" i="8" s="1"/>
  <c r="F48" i="8"/>
  <c r="H48" i="8" s="1"/>
  <c r="C49" i="8"/>
  <c r="E49" i="8"/>
  <c r="G49" i="8" s="1"/>
  <c r="F49" i="8"/>
  <c r="H49" i="8" s="1"/>
  <c r="C50" i="8"/>
  <c r="E50" i="8"/>
  <c r="G50" i="8" s="1"/>
  <c r="F50" i="8"/>
  <c r="H50" i="8" s="1"/>
  <c r="C51" i="8"/>
  <c r="E51" i="8"/>
  <c r="G51" i="8" s="1"/>
  <c r="F51" i="8"/>
  <c r="H51" i="8" s="1"/>
  <c r="C52" i="8"/>
  <c r="E52" i="8"/>
  <c r="G52" i="8" s="1"/>
  <c r="F52" i="8"/>
  <c r="H52" i="8" s="1"/>
  <c r="C53" i="8"/>
  <c r="E53" i="8"/>
  <c r="G53" i="8" s="1"/>
  <c r="F53" i="8"/>
  <c r="H53" i="8" s="1"/>
  <c r="C54" i="8"/>
  <c r="E54" i="8"/>
  <c r="G54" i="8" s="1"/>
  <c r="F54" i="8"/>
  <c r="H54" i="8" s="1"/>
  <c r="C55" i="8"/>
  <c r="E55" i="8"/>
  <c r="G55" i="8" s="1"/>
  <c r="F55" i="8"/>
  <c r="H55" i="8" s="1"/>
  <c r="C56" i="8"/>
  <c r="E56" i="8"/>
  <c r="G56" i="8" s="1"/>
  <c r="F56" i="8"/>
  <c r="H56" i="8" s="1"/>
  <c r="C57" i="8"/>
  <c r="E57" i="8"/>
  <c r="G57" i="8" s="1"/>
  <c r="F57" i="8"/>
  <c r="H57" i="8" s="1"/>
  <c r="C58" i="8"/>
  <c r="E58" i="8"/>
  <c r="G58" i="8" s="1"/>
  <c r="F58" i="8"/>
  <c r="H58" i="8" s="1"/>
  <c r="C59" i="8"/>
  <c r="E59" i="8"/>
  <c r="G59" i="8" s="1"/>
  <c r="F59" i="8"/>
  <c r="H59" i="8" s="1"/>
  <c r="C60" i="8"/>
  <c r="E60" i="8"/>
  <c r="G60" i="8" s="1"/>
  <c r="F60" i="8"/>
  <c r="H60" i="8" s="1"/>
  <c r="C61" i="8"/>
  <c r="E61" i="8"/>
  <c r="G61" i="8" s="1"/>
  <c r="F61" i="8"/>
  <c r="H61" i="8" s="1"/>
  <c r="C62" i="8"/>
  <c r="E62" i="8"/>
  <c r="G62" i="8" s="1"/>
  <c r="F62" i="8"/>
  <c r="H62" i="8" s="1"/>
  <c r="C63" i="8"/>
  <c r="E63" i="8"/>
  <c r="G63" i="8" s="1"/>
  <c r="F63" i="8"/>
  <c r="H63" i="8" s="1"/>
  <c r="C64" i="8"/>
  <c r="E64" i="8"/>
  <c r="G64" i="8" s="1"/>
  <c r="F64" i="8"/>
  <c r="H64" i="8" s="1"/>
  <c r="C65" i="8"/>
  <c r="E65" i="8"/>
  <c r="G65" i="8" s="1"/>
  <c r="F65" i="8"/>
  <c r="H65" i="8" s="1"/>
  <c r="C66" i="8"/>
  <c r="E66" i="8"/>
  <c r="G66" i="8" s="1"/>
  <c r="F66" i="8"/>
  <c r="H66" i="8" s="1"/>
  <c r="C67" i="8"/>
  <c r="E67" i="8"/>
  <c r="G67" i="8" s="1"/>
  <c r="F67" i="8"/>
  <c r="H67" i="8" s="1"/>
  <c r="C68" i="8"/>
  <c r="E68" i="8"/>
  <c r="G68" i="8" s="1"/>
  <c r="F68" i="8"/>
  <c r="H68" i="8" s="1"/>
  <c r="D50" i="14"/>
  <c r="G50" i="14" s="1"/>
  <c r="D51" i="14"/>
  <c r="F51" i="14" s="1"/>
  <c r="D52" i="14"/>
  <c r="D53" i="14"/>
  <c r="F53" i="14" s="1"/>
  <c r="D54" i="14"/>
  <c r="E54" i="14" s="1"/>
  <c r="H54" i="14" s="1"/>
  <c r="D55" i="14"/>
  <c r="E55" i="14" s="1"/>
  <c r="H55" i="14" s="1"/>
  <c r="D56" i="14"/>
  <c r="E56" i="14" s="1"/>
  <c r="H56" i="14" s="1"/>
  <c r="D57" i="14"/>
  <c r="E57" i="14" s="1"/>
  <c r="H57" i="14" s="1"/>
  <c r="D58" i="14"/>
  <c r="E58" i="14" s="1"/>
  <c r="H58" i="14" s="1"/>
  <c r="D59" i="14"/>
  <c r="G59" i="14" s="1"/>
  <c r="I66" i="8" l="1"/>
  <c r="D66" i="8" s="1"/>
  <c r="I50" i="8"/>
  <c r="D50" i="8" s="1"/>
  <c r="I34" i="8"/>
  <c r="D34" i="8" s="1"/>
  <c r="I65" i="8"/>
  <c r="D65" i="8" s="1"/>
  <c r="I46" i="8"/>
  <c r="D46" i="8" s="1"/>
  <c r="I49" i="8"/>
  <c r="D49" i="8" s="1"/>
  <c r="F56" i="14"/>
  <c r="I56" i="14" s="1"/>
  <c r="I64" i="8"/>
  <c r="D64" i="8" s="1"/>
  <c r="I48" i="8"/>
  <c r="D48" i="8" s="1"/>
  <c r="I35" i="8"/>
  <c r="D35" i="8" s="1"/>
  <c r="F55" i="14"/>
  <c r="I55" i="14" s="1"/>
  <c r="I38" i="8"/>
  <c r="D38" i="8" s="1"/>
  <c r="I45" i="8"/>
  <c r="D45" i="8" s="1"/>
  <c r="I67" i="8"/>
  <c r="D67" i="8" s="1"/>
  <c r="I63" i="8"/>
  <c r="D63" i="8" s="1"/>
  <c r="I33" i="8"/>
  <c r="D33" i="8" s="1"/>
  <c r="G55" i="14"/>
  <c r="I41" i="8"/>
  <c r="D41" i="8" s="1"/>
  <c r="I51" i="8"/>
  <c r="D51" i="8" s="1"/>
  <c r="I61" i="8"/>
  <c r="D61" i="8" s="1"/>
  <c r="F57" i="14"/>
  <c r="I57" i="14" s="1"/>
  <c r="E59" i="14"/>
  <c r="H59" i="14" s="1"/>
  <c r="G57" i="14"/>
  <c r="E50" i="14"/>
  <c r="H50" i="14" s="1"/>
  <c r="I52" i="8"/>
  <c r="D52" i="8" s="1"/>
  <c r="I36" i="8"/>
  <c r="D36" i="8" s="1"/>
  <c r="F50" i="14"/>
  <c r="G56" i="14"/>
  <c r="G58" i="14"/>
  <c r="F58" i="14"/>
  <c r="I58" i="14" s="1"/>
  <c r="I53" i="8"/>
  <c r="D53" i="8" s="1"/>
  <c r="G51" i="14"/>
  <c r="J51" i="14" s="1"/>
  <c r="I56" i="8"/>
  <c r="D56" i="8" s="1"/>
  <c r="F59" i="14"/>
  <c r="I54" i="8"/>
  <c r="D54" i="8" s="1"/>
  <c r="I42" i="8"/>
  <c r="D42" i="8" s="1"/>
  <c r="E51" i="14"/>
  <c r="H51" i="14" s="1"/>
  <c r="I44" i="8"/>
  <c r="D44" i="8" s="1"/>
  <c r="I37" i="8"/>
  <c r="D37" i="8" s="1"/>
  <c r="I59" i="8"/>
  <c r="D59" i="8" s="1"/>
  <c r="I43" i="8"/>
  <c r="D43" i="8" s="1"/>
  <c r="I58" i="8"/>
  <c r="D58" i="8" s="1"/>
  <c r="I62" i="8"/>
  <c r="D62" i="8" s="1"/>
  <c r="E52" i="14"/>
  <c r="H52" i="14" s="1"/>
  <c r="G52" i="14"/>
  <c r="I57" i="8"/>
  <c r="D57" i="8" s="1"/>
  <c r="I68" i="8"/>
  <c r="D68" i="8" s="1"/>
  <c r="I55" i="8"/>
  <c r="D55" i="8" s="1"/>
  <c r="F52" i="14"/>
  <c r="I39" i="8"/>
  <c r="D39" i="8" s="1"/>
  <c r="I60" i="8"/>
  <c r="D60" i="8" s="1"/>
  <c r="J136" i="1" s="1"/>
  <c r="J138" i="1" s="1"/>
  <c r="I47" i="8"/>
  <c r="D47" i="8" s="1"/>
  <c r="I40" i="8"/>
  <c r="D40" i="8" s="1"/>
  <c r="G53" i="14"/>
  <c r="J53" i="14" s="1"/>
  <c r="E53" i="14"/>
  <c r="G54" i="14"/>
  <c r="F54" i="14"/>
  <c r="I54" i="14" s="1"/>
  <c r="K136" i="1" l="1"/>
  <c r="K138" i="1" s="1"/>
  <c r="J143" i="1"/>
  <c r="J144" i="1" s="1"/>
  <c r="J142" i="1"/>
  <c r="J145" i="1" s="1"/>
  <c r="E29" i="7"/>
  <c r="E28" i="7"/>
  <c r="J56" i="14"/>
  <c r="J55" i="14"/>
  <c r="I59" i="14"/>
  <c r="I50" i="14"/>
  <c r="J58" i="14"/>
  <c r="J57" i="14"/>
  <c r="J50" i="14"/>
  <c r="J59" i="14"/>
  <c r="I51" i="14"/>
  <c r="I53" i="14"/>
  <c r="H53" i="14"/>
  <c r="I52" i="14"/>
  <c r="J52" i="14"/>
  <c r="J54" i="14"/>
  <c r="K143" i="1" l="1"/>
  <c r="K144" i="1" s="1"/>
  <c r="K142" i="1"/>
  <c r="K145" i="1" s="1"/>
  <c r="AW3" i="23"/>
  <c r="AW4" i="23"/>
  <c r="AW5" i="23"/>
  <c r="AW96" i="23" s="1"/>
  <c r="AW6" i="23"/>
  <c r="AW7" i="23"/>
  <c r="AW8" i="23"/>
  <c r="AW9" i="23"/>
  <c r="AW10" i="23"/>
  <c r="AW101" i="23" s="1"/>
  <c r="AW11" i="23"/>
  <c r="AW102" i="23" s="1"/>
  <c r="AW12" i="23"/>
  <c r="AW13" i="23"/>
  <c r="AW104" i="23" s="1"/>
  <c r="AW14" i="23"/>
  <c r="AW105" i="23" s="1"/>
  <c r="AW15" i="23"/>
  <c r="AW16" i="23"/>
  <c r="AW107" i="23" s="1"/>
  <c r="AW17" i="23"/>
  <c r="B53" i="23"/>
  <c r="B72" i="23" s="1"/>
  <c r="B54" i="23"/>
  <c r="B73" i="23" s="1"/>
  <c r="M54" i="23"/>
  <c r="B134" i="23" s="1"/>
  <c r="B55" i="23"/>
  <c r="B74" i="23" s="1"/>
  <c r="AV71" i="23"/>
  <c r="AV72" i="23"/>
  <c r="BB72" i="23" s="1"/>
  <c r="AV73" i="23"/>
  <c r="AY73" i="23" s="1"/>
  <c r="AW73" i="23"/>
  <c r="AV74" i="23"/>
  <c r="BA74" i="23" s="1"/>
  <c r="AV75" i="23"/>
  <c r="AZ75" i="23" s="1"/>
  <c r="AV76" i="23"/>
  <c r="BB76" i="23" s="1"/>
  <c r="AV77" i="23"/>
  <c r="BA77" i="23" s="1"/>
  <c r="AV78" i="23"/>
  <c r="BB78" i="23" s="1"/>
  <c r="AV79" i="23"/>
  <c r="BA79" i="23" s="1"/>
  <c r="AV80" i="23"/>
  <c r="BA80" i="23" s="1"/>
  <c r="AV81" i="23"/>
  <c r="BB81" i="23" s="1"/>
  <c r="AV82" i="23"/>
  <c r="BA82" i="23" s="1"/>
  <c r="AV83" i="23"/>
  <c r="BB83" i="23" s="1"/>
  <c r="AV84" i="23"/>
  <c r="BB84" i="23" s="1"/>
  <c r="AV85" i="23"/>
  <c r="BB85" i="23" s="1"/>
  <c r="AV151" i="23"/>
  <c r="AV152" i="23" s="1"/>
  <c r="AX151" i="23"/>
  <c r="B58" i="23" l="1"/>
  <c r="AW99" i="23"/>
  <c r="B56" i="23"/>
  <c r="M56" i="23" s="1"/>
  <c r="AW97" i="23"/>
  <c r="AW83" i="23"/>
  <c r="AW106" i="23"/>
  <c r="B62" i="23"/>
  <c r="AW103" i="23"/>
  <c r="B59" i="23"/>
  <c r="M59" i="23" s="1"/>
  <c r="AW100" i="23"/>
  <c r="AW72" i="23"/>
  <c r="AW95" i="23"/>
  <c r="B67" i="23"/>
  <c r="M67" i="23" s="1"/>
  <c r="AW108" i="23"/>
  <c r="AW71" i="23"/>
  <c r="AW94" i="23"/>
  <c r="B57" i="23"/>
  <c r="AW98" i="23"/>
  <c r="AX78" i="23"/>
  <c r="BD84" i="23"/>
  <c r="B98" i="23"/>
  <c r="J212" i="23" s="1"/>
  <c r="U212" i="23" s="1"/>
  <c r="AZ80" i="23"/>
  <c r="BD80" i="23"/>
  <c r="BD82" i="23"/>
  <c r="BC80" i="23"/>
  <c r="AX73" i="23"/>
  <c r="BC84" i="23"/>
  <c r="AZ84" i="23"/>
  <c r="AX3" i="23"/>
  <c r="AX4" i="23" s="1"/>
  <c r="AX5" i="23" s="1"/>
  <c r="AX6" i="23" s="1"/>
  <c r="AX7" i="23" s="1"/>
  <c r="AX8" i="23" s="1"/>
  <c r="AX9" i="23" s="1"/>
  <c r="AX10" i="23" s="1"/>
  <c r="AX11" i="23" s="1"/>
  <c r="AX12" i="23" s="1"/>
  <c r="AX13" i="23" s="1"/>
  <c r="AX14" i="23" s="1"/>
  <c r="AX15" i="23" s="1"/>
  <c r="AX16" i="23" s="1"/>
  <c r="AX17" i="23" s="1"/>
  <c r="BC82" i="23"/>
  <c r="AY82" i="23"/>
  <c r="AZ82" i="23"/>
  <c r="E171" i="23"/>
  <c r="P171" i="23" s="1"/>
  <c r="AZ72" i="23"/>
  <c r="AX72" i="23"/>
  <c r="AY72" i="23"/>
  <c r="M55" i="23"/>
  <c r="B154" i="23" s="1"/>
  <c r="X54" i="23"/>
  <c r="AI96" i="23" s="1"/>
  <c r="AI115" i="23" s="1"/>
  <c r="M53" i="23"/>
  <c r="B114" i="23" s="1"/>
  <c r="M212" i="23"/>
  <c r="X212" i="23" s="1"/>
  <c r="AW76" i="23"/>
  <c r="B174" i="23"/>
  <c r="B75" i="23"/>
  <c r="AW75" i="23"/>
  <c r="AW74" i="23"/>
  <c r="AX76" i="23"/>
  <c r="BC73" i="23"/>
  <c r="AZ73" i="23"/>
  <c r="BA83" i="23"/>
  <c r="AY84" i="23"/>
  <c r="AX84" i="23"/>
  <c r="BD72" i="23"/>
  <c r="BA81" i="23"/>
  <c r="BC72" i="23"/>
  <c r="BD73" i="23"/>
  <c r="BB73" i="23"/>
  <c r="I172" i="23"/>
  <c r="T172" i="23" s="1"/>
  <c r="AY85" i="23"/>
  <c r="AX75" i="23"/>
  <c r="BB75" i="23"/>
  <c r="BA84" i="23"/>
  <c r="AX82" i="23"/>
  <c r="BB82" i="23"/>
  <c r="D179" i="23"/>
  <c r="O179" i="23" s="1"/>
  <c r="Z179" i="23" s="1"/>
  <c r="F172" i="23"/>
  <c r="Q172" i="23" s="1"/>
  <c r="BA73" i="23"/>
  <c r="BA85" i="23"/>
  <c r="E180" i="23"/>
  <c r="P180" i="23" s="1"/>
  <c r="J172" i="23"/>
  <c r="U172" i="23" s="1"/>
  <c r="H172" i="23"/>
  <c r="S172" i="23" s="1"/>
  <c r="BA75" i="23"/>
  <c r="AX79" i="23"/>
  <c r="BB79" i="23"/>
  <c r="G171" i="23"/>
  <c r="R171" i="23" s="1"/>
  <c r="BC78" i="23"/>
  <c r="BA72" i="23"/>
  <c r="AX77" i="23"/>
  <c r="BB77" i="23"/>
  <c r="AX85" i="23"/>
  <c r="BA78" i="23"/>
  <c r="AX71" i="23"/>
  <c r="BB71" i="23"/>
  <c r="BA76" i="23"/>
  <c r="G172" i="23"/>
  <c r="R172" i="23" s="1"/>
  <c r="BD78" i="23"/>
  <c r="AZ78" i="23"/>
  <c r="BA71" i="23"/>
  <c r="AY74" i="23"/>
  <c r="BB74" i="23"/>
  <c r="D180" i="23"/>
  <c r="O180" i="23" s="1"/>
  <c r="Z180" i="23" s="1"/>
  <c r="AX80" i="23"/>
  <c r="BB80" i="23"/>
  <c r="F171" i="23"/>
  <c r="Q171" i="23" s="1"/>
  <c r="AY78" i="23"/>
  <c r="F178" i="23"/>
  <c r="Q178" i="23" s="1"/>
  <c r="D178" i="23"/>
  <c r="O178" i="23" s="1"/>
  <c r="Z178" i="23" s="1"/>
  <c r="H177" i="23"/>
  <c r="S177" i="23" s="1"/>
  <c r="D175" i="23"/>
  <c r="O175" i="23" s="1"/>
  <c r="Z175" i="23" s="1"/>
  <c r="F184" i="23"/>
  <c r="Q184" i="23" s="1"/>
  <c r="D171" i="23"/>
  <c r="O171" i="23" s="1"/>
  <c r="F177" i="23"/>
  <c r="Q177" i="23" s="1"/>
  <c r="E177" i="23"/>
  <c r="P177" i="23" s="1"/>
  <c r="E176" i="23"/>
  <c r="P176" i="23" s="1"/>
  <c r="E175" i="23"/>
  <c r="P175" i="23" s="1"/>
  <c r="D176" i="23"/>
  <c r="O176" i="23" s="1"/>
  <c r="Z176" i="23" s="1"/>
  <c r="G175" i="23"/>
  <c r="R175" i="23" s="1"/>
  <c r="G174" i="23"/>
  <c r="R174" i="23" s="1"/>
  <c r="G178" i="23"/>
  <c r="R178" i="23" s="1"/>
  <c r="E178" i="23"/>
  <c r="P178" i="23" s="1"/>
  <c r="P8" i="1"/>
  <c r="V2" i="23" s="1"/>
  <c r="F174" i="23"/>
  <c r="Q174" i="23" s="1"/>
  <c r="F182" i="23"/>
  <c r="Q182" i="23" s="1"/>
  <c r="E174" i="23"/>
  <c r="P174" i="23" s="1"/>
  <c r="E182" i="23"/>
  <c r="P182" i="23" s="1"/>
  <c r="G177" i="23"/>
  <c r="R177" i="23" s="1"/>
  <c r="D174" i="23"/>
  <c r="O174" i="23" s="1"/>
  <c r="Z174" i="23" s="1"/>
  <c r="D182" i="23"/>
  <c r="O182" i="23" s="1"/>
  <c r="Z182" i="23" s="1"/>
  <c r="F181" i="23"/>
  <c r="Q181" i="23" s="1"/>
  <c r="H180" i="23"/>
  <c r="S180" i="23" s="1"/>
  <c r="G180" i="23"/>
  <c r="R180" i="23" s="1"/>
  <c r="O8" i="1"/>
  <c r="F180" i="23"/>
  <c r="Q180" i="23" s="1"/>
  <c r="B229" i="23"/>
  <c r="AW80" i="23"/>
  <c r="B158" i="23"/>
  <c r="B155" i="23"/>
  <c r="BD79" i="23"/>
  <c r="G176" i="23"/>
  <c r="R176" i="23" s="1"/>
  <c r="AY151" i="23"/>
  <c r="BC79" i="23"/>
  <c r="AZ79" i="23"/>
  <c r="M158" i="23"/>
  <c r="X158" i="23" s="1"/>
  <c r="AY79" i="23"/>
  <c r="B65" i="23"/>
  <c r="B84" i="23" s="1"/>
  <c r="M234" i="23"/>
  <c r="X234" i="23" s="1"/>
  <c r="H175" i="23"/>
  <c r="S175" i="23" s="1"/>
  <c r="M136" i="23"/>
  <c r="X136" i="23" s="1"/>
  <c r="M210" i="23"/>
  <c r="X210" i="23" s="1"/>
  <c r="B135" i="23"/>
  <c r="AY80" i="23"/>
  <c r="M177" i="23"/>
  <c r="X177" i="23" s="1"/>
  <c r="M96" i="23"/>
  <c r="X96" i="23" s="1"/>
  <c r="M196" i="23"/>
  <c r="X196" i="23" s="1"/>
  <c r="B172" i="23"/>
  <c r="BD77" i="23"/>
  <c r="BD71" i="23"/>
  <c r="M173" i="23"/>
  <c r="X173" i="23" s="1"/>
  <c r="B210" i="23"/>
  <c r="M229" i="23"/>
  <c r="X229" i="23" s="1"/>
  <c r="J171" i="23"/>
  <c r="U171" i="23" s="1"/>
  <c r="BC77" i="23"/>
  <c r="BC71" i="23"/>
  <c r="B153" i="23"/>
  <c r="AW85" i="23"/>
  <c r="D177" i="23"/>
  <c r="O177" i="23" s="1"/>
  <c r="Z177" i="23" s="1"/>
  <c r="M191" i="23"/>
  <c r="X191" i="23" s="1"/>
  <c r="I171" i="23"/>
  <c r="T171" i="23" s="1"/>
  <c r="M139" i="23"/>
  <c r="X139" i="23" s="1"/>
  <c r="AZ77" i="23"/>
  <c r="AZ71" i="23"/>
  <c r="B115" i="23"/>
  <c r="M172" i="23"/>
  <c r="X172" i="23" s="1"/>
  <c r="E172" i="23"/>
  <c r="P172" i="23" s="1"/>
  <c r="B192" i="23"/>
  <c r="B211" i="23"/>
  <c r="B191" i="23"/>
  <c r="H171" i="23"/>
  <c r="S171" i="23" s="1"/>
  <c r="AY77" i="23"/>
  <c r="M153" i="23"/>
  <c r="X153" i="23" s="1"/>
  <c r="M73" i="23"/>
  <c r="B96" i="23"/>
  <c r="J180" i="23"/>
  <c r="U180" i="23" s="1"/>
  <c r="F176" i="23"/>
  <c r="Q176" i="23" s="1"/>
  <c r="AW77" i="23"/>
  <c r="B66" i="23"/>
  <c r="AW84" i="23"/>
  <c r="B64" i="23"/>
  <c r="AW82" i="23"/>
  <c r="B63" i="23"/>
  <c r="AW81" i="23"/>
  <c r="AY76" i="23"/>
  <c r="AZ76" i="23"/>
  <c r="BC76" i="23"/>
  <c r="BD76" i="23"/>
  <c r="H174" i="23"/>
  <c r="S174" i="23" s="1"/>
  <c r="H178" i="23"/>
  <c r="S178" i="23" s="1"/>
  <c r="I174" i="23"/>
  <c r="T174" i="23" s="1"/>
  <c r="J174" i="23"/>
  <c r="U174" i="23" s="1"/>
  <c r="J178" i="23"/>
  <c r="U178" i="23" s="1"/>
  <c r="AX152" i="23"/>
  <c r="D173" i="23"/>
  <c r="O173" i="23" s="1"/>
  <c r="Z173" i="23" s="1"/>
  <c r="E173" i="23"/>
  <c r="P173" i="23" s="1"/>
  <c r="G173" i="23"/>
  <c r="R173" i="23" s="1"/>
  <c r="H176" i="23"/>
  <c r="S176" i="23" s="1"/>
  <c r="H179" i="23"/>
  <c r="S179" i="23" s="1"/>
  <c r="H173" i="23"/>
  <c r="I176" i="23"/>
  <c r="T176" i="23" s="1"/>
  <c r="I173" i="23"/>
  <c r="T173" i="23" s="1"/>
  <c r="J176" i="23"/>
  <c r="U176" i="23" s="1"/>
  <c r="J179" i="23"/>
  <c r="U179" i="23" s="1"/>
  <c r="J173" i="23"/>
  <c r="U173" i="23" s="1"/>
  <c r="D181" i="23"/>
  <c r="O181" i="23" s="1"/>
  <c r="Z181" i="23" s="1"/>
  <c r="D184" i="23"/>
  <c r="O184" i="23" s="1"/>
  <c r="Z184" i="23" s="1"/>
  <c r="E181" i="23"/>
  <c r="P181" i="23" s="1"/>
  <c r="E184" i="23"/>
  <c r="P184" i="23" s="1"/>
  <c r="F175" i="23"/>
  <c r="Q175" i="23" s="1"/>
  <c r="D172" i="23"/>
  <c r="AW151" i="23"/>
  <c r="AW152" i="23"/>
  <c r="AV153" i="23"/>
  <c r="F185" i="23"/>
  <c r="Q185" i="23" s="1"/>
  <c r="F173" i="23"/>
  <c r="Q173" i="23" s="1"/>
  <c r="E185" i="23"/>
  <c r="P185" i="23" s="1"/>
  <c r="D185" i="23"/>
  <c r="O185" i="23" s="1"/>
  <c r="F183" i="23"/>
  <c r="Q183" i="23" s="1"/>
  <c r="BD74" i="23"/>
  <c r="E183" i="23"/>
  <c r="P183" i="23" s="1"/>
  <c r="G179" i="23"/>
  <c r="R179" i="23" s="1"/>
  <c r="BC74" i="23"/>
  <c r="D183" i="23"/>
  <c r="O183" i="23" s="1"/>
  <c r="Z183" i="23" s="1"/>
  <c r="F179" i="23"/>
  <c r="Q179" i="23" s="1"/>
  <c r="J177" i="23"/>
  <c r="U177" i="23" s="1"/>
  <c r="J175" i="23"/>
  <c r="U175" i="23" s="1"/>
  <c r="AX81" i="23"/>
  <c r="AY81" i="23"/>
  <c r="AZ81" i="23"/>
  <c r="BC81" i="23"/>
  <c r="BD81" i="23"/>
  <c r="AZ74" i="23"/>
  <c r="E179" i="23"/>
  <c r="P179" i="23" s="1"/>
  <c r="I177" i="23"/>
  <c r="T177" i="23" s="1"/>
  <c r="I175" i="23"/>
  <c r="T175" i="23" s="1"/>
  <c r="AZ85" i="23"/>
  <c r="BC85" i="23"/>
  <c r="BD85" i="23"/>
  <c r="AX74" i="23"/>
  <c r="B81" i="23"/>
  <c r="M62" i="23"/>
  <c r="B61" i="23"/>
  <c r="AW79" i="23"/>
  <c r="B60" i="23"/>
  <c r="AW78" i="23"/>
  <c r="B196" i="23"/>
  <c r="M78" i="23"/>
  <c r="B177" i="23"/>
  <c r="M120" i="23"/>
  <c r="X120" i="23" s="1"/>
  <c r="X59" i="23"/>
  <c r="AI101" i="23" s="1"/>
  <c r="AI120" i="23" s="1"/>
  <c r="B77" i="23"/>
  <c r="M58" i="23"/>
  <c r="B76" i="23"/>
  <c r="M57" i="23"/>
  <c r="M174" i="23"/>
  <c r="X174" i="23" s="1"/>
  <c r="M117" i="23"/>
  <c r="X117" i="23" s="1"/>
  <c r="B78" i="23"/>
  <c r="E134" i="23"/>
  <c r="P134" i="23" s="1"/>
  <c r="AA134" i="23" s="1"/>
  <c r="AM96" i="23" s="1"/>
  <c r="F134" i="23"/>
  <c r="Q134" i="23" s="1"/>
  <c r="AB134" i="23" s="1"/>
  <c r="X56" i="23"/>
  <c r="AI98" i="23" s="1"/>
  <c r="AI117" i="23" s="1"/>
  <c r="M101" i="23"/>
  <c r="X101" i="23" s="1"/>
  <c r="B101" i="23"/>
  <c r="AW18" i="23"/>
  <c r="B120" i="23"/>
  <c r="AX83" i="23"/>
  <c r="AY83" i="23"/>
  <c r="AZ83" i="23"/>
  <c r="BC83" i="23"/>
  <c r="BD83" i="23"/>
  <c r="M75" i="23"/>
  <c r="M155" i="23"/>
  <c r="X155" i="23" s="1"/>
  <c r="AY71" i="23"/>
  <c r="BD75" i="23"/>
  <c r="BC75" i="23"/>
  <c r="AY75" i="23"/>
  <c r="M134" i="23"/>
  <c r="X134" i="23" s="1"/>
  <c r="M116" i="23"/>
  <c r="X116" i="23" s="1"/>
  <c r="M115" i="23"/>
  <c r="X115" i="23" s="1"/>
  <c r="B173" i="23"/>
  <c r="D158" i="23" l="1"/>
  <c r="O158" i="23" s="1"/>
  <c r="Z158" i="23" s="1"/>
  <c r="H158" i="23"/>
  <c r="S158" i="23" s="1"/>
  <c r="I158" i="23"/>
  <c r="T158" i="23" s="1"/>
  <c r="J158" i="23"/>
  <c r="U158" i="23" s="1"/>
  <c r="G158" i="23"/>
  <c r="R158" i="23" s="1"/>
  <c r="E158" i="23"/>
  <c r="P158" i="23" s="1"/>
  <c r="F158" i="23"/>
  <c r="Q158" i="23" s="1"/>
  <c r="B139" i="23"/>
  <c r="B234" i="23"/>
  <c r="B215" i="23"/>
  <c r="D153" i="23"/>
  <c r="O153" i="23" s="1"/>
  <c r="Z153" i="23" s="1"/>
  <c r="I153" i="23"/>
  <c r="T153" i="23" s="1"/>
  <c r="J153" i="23"/>
  <c r="U153" i="23" s="1"/>
  <c r="H153" i="23"/>
  <c r="S153" i="23" s="1"/>
  <c r="G153" i="23"/>
  <c r="R153" i="23" s="1"/>
  <c r="E153" i="23"/>
  <c r="P153" i="23" s="1"/>
  <c r="F153" i="23"/>
  <c r="Q153" i="23" s="1"/>
  <c r="M215" i="23"/>
  <c r="X215" i="23" s="1"/>
  <c r="D154" i="23"/>
  <c r="O154" i="23" s="1"/>
  <c r="Z154" i="23" s="1"/>
  <c r="H154" i="23"/>
  <c r="S154" i="23" s="1"/>
  <c r="I154" i="23"/>
  <c r="T154" i="23" s="1"/>
  <c r="G154" i="23"/>
  <c r="R154" i="23" s="1"/>
  <c r="J154" i="23"/>
  <c r="U154" i="23" s="1"/>
  <c r="E154" i="23"/>
  <c r="P154" i="23" s="1"/>
  <c r="F154" i="23"/>
  <c r="Q154" i="23" s="1"/>
  <c r="D155" i="23"/>
  <c r="O155" i="23" s="1"/>
  <c r="Z155" i="23" s="1"/>
  <c r="J155" i="23"/>
  <c r="U155" i="23" s="1"/>
  <c r="H155" i="23"/>
  <c r="S155" i="23" s="1"/>
  <c r="I155" i="23"/>
  <c r="T155" i="23" s="1"/>
  <c r="G155" i="23"/>
  <c r="R155" i="23" s="1"/>
  <c r="E155" i="23"/>
  <c r="P155" i="23" s="1"/>
  <c r="F155" i="23"/>
  <c r="Q155" i="23" s="1"/>
  <c r="B86" i="23"/>
  <c r="F212" i="23"/>
  <c r="Q212" i="23" s="1"/>
  <c r="B212" i="23"/>
  <c r="M98" i="23"/>
  <c r="X98" i="23" s="1"/>
  <c r="B117" i="23"/>
  <c r="B136" i="23"/>
  <c r="M193" i="23"/>
  <c r="X193" i="23" s="1"/>
  <c r="B193" i="23"/>
  <c r="B231" i="23"/>
  <c r="M231" i="23"/>
  <c r="X231" i="23" s="1"/>
  <c r="BC55" i="23"/>
  <c r="I117" i="23" s="1"/>
  <c r="T117" i="23" s="1"/>
  <c r="D212" i="23"/>
  <c r="O212" i="23" s="1"/>
  <c r="Z212" i="23" s="1"/>
  <c r="E212" i="23"/>
  <c r="P212" i="23" s="1"/>
  <c r="AA212" i="23" s="1"/>
  <c r="AQ98" i="23" s="1"/>
  <c r="BA55" i="23"/>
  <c r="G117" i="23" s="1"/>
  <c r="R117" i="23" s="1"/>
  <c r="H212" i="23"/>
  <c r="S212" i="23" s="1"/>
  <c r="AD212" i="23" s="1"/>
  <c r="G212" i="23"/>
  <c r="R212" i="23" s="1"/>
  <c r="AC212" i="23" s="1"/>
  <c r="I212" i="23"/>
  <c r="T212" i="23" s="1"/>
  <c r="AE212" i="23" s="1"/>
  <c r="AB212" i="23"/>
  <c r="AB180" i="23"/>
  <c r="AC180" i="23"/>
  <c r="M74" i="23"/>
  <c r="M135" i="23"/>
  <c r="X135" i="23" s="1"/>
  <c r="M154" i="23"/>
  <c r="X154" i="23" s="1"/>
  <c r="M192" i="23"/>
  <c r="X192" i="23" s="1"/>
  <c r="M97" i="23"/>
  <c r="X97" i="23" s="1"/>
  <c r="B97" i="23"/>
  <c r="AD177" i="23"/>
  <c r="X55" i="23"/>
  <c r="AI97" i="23" s="1"/>
  <c r="AI116" i="23" s="1"/>
  <c r="M152" i="23"/>
  <c r="X152" i="23" s="1"/>
  <c r="AA177" i="23"/>
  <c r="AB177" i="23"/>
  <c r="AA171" i="23"/>
  <c r="AA180" i="23"/>
  <c r="AO104" i="23" s="1"/>
  <c r="AD180" i="23"/>
  <c r="AA175" i="23"/>
  <c r="AE177" i="23"/>
  <c r="AE174" i="23"/>
  <c r="B171" i="23"/>
  <c r="AA184" i="23"/>
  <c r="B209" i="23"/>
  <c r="B152" i="23"/>
  <c r="M211" i="23"/>
  <c r="X211" i="23" s="1"/>
  <c r="M209" i="23"/>
  <c r="X209" i="23" s="1"/>
  <c r="M230" i="23"/>
  <c r="X230" i="23" s="1"/>
  <c r="M190" i="23"/>
  <c r="X190" i="23" s="1"/>
  <c r="B116" i="23"/>
  <c r="B95" i="23"/>
  <c r="I209" i="23" s="1"/>
  <c r="M95" i="23"/>
  <c r="X95" i="23" s="1"/>
  <c r="M72" i="23"/>
  <c r="AD178" i="23"/>
  <c r="B230" i="23"/>
  <c r="B228" i="23"/>
  <c r="M133" i="23"/>
  <c r="X133" i="23" s="1"/>
  <c r="B133" i="23"/>
  <c r="E133" i="23" s="1"/>
  <c r="X53" i="23"/>
  <c r="AI95" i="23" s="1"/>
  <c r="AI114" i="23" s="1"/>
  <c r="B190" i="23"/>
  <c r="M171" i="23"/>
  <c r="X171" i="23" s="1"/>
  <c r="M114" i="23"/>
  <c r="X114" i="23" s="1"/>
  <c r="M228" i="23"/>
  <c r="X228" i="23" s="1"/>
  <c r="AF178" i="23"/>
  <c r="D229" i="23"/>
  <c r="O229" i="23" s="1"/>
  <c r="J229" i="23"/>
  <c r="U229" i="23" s="1"/>
  <c r="I229" i="23"/>
  <c r="T229" i="23" s="1"/>
  <c r="S229" i="23"/>
  <c r="R229" i="23"/>
  <c r="E229" i="23"/>
  <c r="P229" i="23" s="1"/>
  <c r="F229" i="23"/>
  <c r="Q229" i="23" s="1"/>
  <c r="J89" i="1"/>
  <c r="BC53" i="23"/>
  <c r="I115" i="23" s="1"/>
  <c r="T115" i="23" s="1"/>
  <c r="AE175" i="23"/>
  <c r="AF180" i="23"/>
  <c r="AC171" i="23"/>
  <c r="AA179" i="23"/>
  <c r="AC175" i="23"/>
  <c r="AB179" i="23"/>
  <c r="AB175" i="23"/>
  <c r="AF177" i="23"/>
  <c r="AA178" i="23"/>
  <c r="BB55" i="23"/>
  <c r="H117" i="23" s="1"/>
  <c r="S117" i="23" s="1"/>
  <c r="AC178" i="23"/>
  <c r="Z171" i="23"/>
  <c r="AF179" i="23"/>
  <c r="AD171" i="23"/>
  <c r="AC176" i="23"/>
  <c r="AC179" i="23"/>
  <c r="AA182" i="23"/>
  <c r="AB171" i="23"/>
  <c r="AD179" i="23"/>
  <c r="AD175" i="23"/>
  <c r="AE173" i="23"/>
  <c r="AC177" i="23"/>
  <c r="AF176" i="23"/>
  <c r="AC173" i="23"/>
  <c r="AF175" i="23"/>
  <c r="AA173" i="23"/>
  <c r="AO97" i="23" s="1"/>
  <c r="AC174" i="23"/>
  <c r="AA176" i="23"/>
  <c r="AD174" i="23"/>
  <c r="AA174" i="23"/>
  <c r="AO98" i="23" s="1"/>
  <c r="AD176" i="23"/>
  <c r="U2" i="23"/>
  <c r="H93" i="1"/>
  <c r="I93" i="1"/>
  <c r="J93" i="1"/>
  <c r="AB182" i="23"/>
  <c r="AE176" i="23"/>
  <c r="AB176" i="23"/>
  <c r="AB174" i="23"/>
  <c r="AF174" i="23"/>
  <c r="AB178" i="23"/>
  <c r="AB184" i="23"/>
  <c r="M65" i="23"/>
  <c r="B202" i="23" s="1"/>
  <c r="BD55" i="23"/>
  <c r="J117" i="23" s="1"/>
  <c r="E135" i="23"/>
  <c r="P135" i="23" s="1"/>
  <c r="AA135" i="23" s="1"/>
  <c r="AM97" i="23" s="1"/>
  <c r="F135" i="23"/>
  <c r="Q135" i="23" s="1"/>
  <c r="AB135" i="23" s="1"/>
  <c r="D210" i="23"/>
  <c r="O210" i="23" s="1"/>
  <c r="Z210" i="23" s="1"/>
  <c r="F210" i="23"/>
  <c r="Q210" i="23" s="1"/>
  <c r="E210" i="23"/>
  <c r="P210" i="23" s="1"/>
  <c r="G210" i="23"/>
  <c r="R210" i="23" s="1"/>
  <c r="H210" i="23"/>
  <c r="S210" i="23" s="1"/>
  <c r="I210" i="23"/>
  <c r="T210" i="23" s="1"/>
  <c r="J210" i="23"/>
  <c r="U210" i="23" s="1"/>
  <c r="AA185" i="23"/>
  <c r="BB53" i="23"/>
  <c r="H115" i="23" s="1"/>
  <c r="S115" i="23" s="1"/>
  <c r="AA181" i="23"/>
  <c r="E186" i="23"/>
  <c r="D10" i="9" s="1"/>
  <c r="BD53" i="23"/>
  <c r="J115" i="23" s="1"/>
  <c r="U115" i="23" s="1"/>
  <c r="BA53" i="23"/>
  <c r="G115" i="23" s="1"/>
  <c r="AF173" i="23"/>
  <c r="M60" i="23"/>
  <c r="B79" i="23"/>
  <c r="D186" i="23"/>
  <c r="C10" i="9" s="1"/>
  <c r="O172" i="23"/>
  <c r="B80" i="23"/>
  <c r="M61" i="23"/>
  <c r="AF171" i="23"/>
  <c r="AA183" i="23"/>
  <c r="S173" i="23"/>
  <c r="P186" i="23"/>
  <c r="AX153" i="23"/>
  <c r="AY152" i="23"/>
  <c r="AB173" i="23"/>
  <c r="M66" i="23"/>
  <c r="B85" i="23"/>
  <c r="AE171" i="23"/>
  <c r="M64" i="23"/>
  <c r="B83" i="23"/>
  <c r="Z185" i="23"/>
  <c r="F186" i="23"/>
  <c r="E10" i="9" s="1"/>
  <c r="Q186" i="23"/>
  <c r="M123" i="23"/>
  <c r="X123" i="23" s="1"/>
  <c r="M81" i="23"/>
  <c r="X62" i="23"/>
  <c r="AI104" i="23" s="1"/>
  <c r="AI123" i="23" s="1"/>
  <c r="B142" i="23"/>
  <c r="M142" i="23"/>
  <c r="X142" i="23" s="1"/>
  <c r="B237" i="23"/>
  <c r="B123" i="23"/>
  <c r="B104" i="23"/>
  <c r="B180" i="23"/>
  <c r="M237" i="23"/>
  <c r="X237" i="23" s="1"/>
  <c r="M104" i="23"/>
  <c r="X104" i="23" s="1"/>
  <c r="B218" i="23"/>
  <c r="B161" i="23"/>
  <c r="M180" i="23"/>
  <c r="X180" i="23" s="1"/>
  <c r="M218" i="23"/>
  <c r="X218" i="23" s="1"/>
  <c r="B199" i="23"/>
  <c r="M199" i="23"/>
  <c r="X199" i="23" s="1"/>
  <c r="M161" i="23"/>
  <c r="X161" i="23" s="1"/>
  <c r="BA58" i="23"/>
  <c r="G120" i="23" s="1"/>
  <c r="BB58" i="23"/>
  <c r="H120" i="23" s="1"/>
  <c r="BC58" i="23"/>
  <c r="I120" i="23" s="1"/>
  <c r="BD58" i="23"/>
  <c r="J120" i="23" s="1"/>
  <c r="D215" i="23"/>
  <c r="O215" i="23" s="1"/>
  <c r="Z215" i="23" s="1"/>
  <c r="E215" i="23"/>
  <c r="P215" i="23" s="1"/>
  <c r="F215" i="23"/>
  <c r="Q215" i="23" s="1"/>
  <c r="G215" i="23"/>
  <c r="R215" i="23" s="1"/>
  <c r="AC215" i="23" s="1"/>
  <c r="H215" i="23"/>
  <c r="S215" i="23" s="1"/>
  <c r="AD215" i="23" s="1"/>
  <c r="I215" i="23"/>
  <c r="T215" i="23" s="1"/>
  <c r="J215" i="23"/>
  <c r="U215" i="23" s="1"/>
  <c r="M137" i="23"/>
  <c r="X137" i="23" s="1"/>
  <c r="M118" i="23"/>
  <c r="X118" i="23" s="1"/>
  <c r="B137" i="23"/>
  <c r="B213" i="23"/>
  <c r="B175" i="23"/>
  <c r="M76" i="23"/>
  <c r="M175" i="23"/>
  <c r="X175" i="23" s="1"/>
  <c r="B232" i="23"/>
  <c r="M156" i="23"/>
  <c r="X156" i="23" s="1"/>
  <c r="X57" i="23"/>
  <c r="AI99" i="23" s="1"/>
  <c r="AI118" i="23" s="1"/>
  <c r="B118" i="23"/>
  <c r="M232" i="23"/>
  <c r="X232" i="23" s="1"/>
  <c r="B194" i="23"/>
  <c r="M194" i="23"/>
  <c r="X194" i="23" s="1"/>
  <c r="M213" i="23"/>
  <c r="X213" i="23" s="1"/>
  <c r="B99" i="23"/>
  <c r="M99" i="23"/>
  <c r="X99" i="23" s="1"/>
  <c r="B156" i="23"/>
  <c r="AW153" i="23"/>
  <c r="AV154" i="23"/>
  <c r="AW154" i="23" s="1"/>
  <c r="AB181" i="23"/>
  <c r="AB183" i="23"/>
  <c r="M63" i="23"/>
  <c r="B82" i="23"/>
  <c r="B185" i="23"/>
  <c r="M128" i="23"/>
  <c r="X128" i="23" s="1"/>
  <c r="B109" i="23"/>
  <c r="X67" i="23"/>
  <c r="AI109" i="23" s="1"/>
  <c r="AI128" i="23" s="1"/>
  <c r="M109" i="23"/>
  <c r="X109" i="23" s="1"/>
  <c r="B147" i="23"/>
  <c r="M86" i="23"/>
  <c r="M147" i="23"/>
  <c r="X147" i="23" s="1"/>
  <c r="M185" i="23"/>
  <c r="X185" i="23" s="1"/>
  <c r="B204" i="23"/>
  <c r="M204" i="23"/>
  <c r="X204" i="23" s="1"/>
  <c r="B242" i="23"/>
  <c r="M242" i="23"/>
  <c r="X242" i="23" s="1"/>
  <c r="B128" i="23"/>
  <c r="B166" i="23"/>
  <c r="B223" i="23"/>
  <c r="M166" i="23"/>
  <c r="X166" i="23" s="1"/>
  <c r="M223" i="23"/>
  <c r="X223" i="23" s="1"/>
  <c r="AB185" i="23"/>
  <c r="BA54" i="23"/>
  <c r="G116" i="23" s="1"/>
  <c r="BB54" i="23"/>
  <c r="H116" i="23" s="1"/>
  <c r="BC54" i="23"/>
  <c r="I116" i="23" s="1"/>
  <c r="BD54" i="23"/>
  <c r="J116" i="23" s="1"/>
  <c r="D211" i="23"/>
  <c r="O211" i="23" s="1"/>
  <c r="Z211" i="23" s="1"/>
  <c r="E211" i="23"/>
  <c r="P211" i="23" s="1"/>
  <c r="F211" i="23"/>
  <c r="Q211" i="23" s="1"/>
  <c r="G211" i="23"/>
  <c r="R211" i="23" s="1"/>
  <c r="H211" i="23"/>
  <c r="S211" i="23" s="1"/>
  <c r="I211" i="23"/>
  <c r="T211" i="23" s="1"/>
  <c r="J211" i="23"/>
  <c r="U211" i="23" s="1"/>
  <c r="M195" i="23"/>
  <c r="X195" i="23" s="1"/>
  <c r="M119" i="23"/>
  <c r="X119" i="23" s="1"/>
  <c r="B100" i="23"/>
  <c r="M100" i="23"/>
  <c r="X100" i="23" s="1"/>
  <c r="M77" i="23"/>
  <c r="X58" i="23"/>
  <c r="AI100" i="23" s="1"/>
  <c r="AI119" i="23" s="1"/>
  <c r="B157" i="23"/>
  <c r="M176" i="23"/>
  <c r="X176" i="23" s="1"/>
  <c r="B138" i="23"/>
  <c r="M138" i="23"/>
  <c r="X138" i="23" s="1"/>
  <c r="B119" i="23"/>
  <c r="M157" i="23"/>
  <c r="X157" i="23" s="1"/>
  <c r="B214" i="23"/>
  <c r="B176" i="23"/>
  <c r="M214" i="23"/>
  <c r="X214" i="23" s="1"/>
  <c r="B195" i="23"/>
  <c r="B233" i="23"/>
  <c r="M233" i="23"/>
  <c r="X233" i="23" s="1"/>
  <c r="AF154" i="23" l="1"/>
  <c r="R230" i="23"/>
  <c r="R234" i="23"/>
  <c r="S234" i="23"/>
  <c r="I234" i="23"/>
  <c r="T234" i="23" s="1"/>
  <c r="F234" i="23"/>
  <c r="Q234" i="23" s="1"/>
  <c r="D234" i="23"/>
  <c r="O234" i="23" s="1"/>
  <c r="Z234" i="23" s="1"/>
  <c r="J234" i="23"/>
  <c r="U234" i="23" s="1"/>
  <c r="E234" i="23"/>
  <c r="P234" i="23" s="1"/>
  <c r="AF212" i="23"/>
  <c r="F139" i="23"/>
  <c r="Q139" i="23" s="1"/>
  <c r="AB139" i="23" s="1"/>
  <c r="E139" i="23"/>
  <c r="P139" i="23" s="1"/>
  <c r="AA139" i="23" s="1"/>
  <c r="AM101" i="23" s="1"/>
  <c r="S231" i="23"/>
  <c r="R231" i="23"/>
  <c r="R56" i="23" s="1"/>
  <c r="F231" i="23"/>
  <c r="Q231" i="23" s="1"/>
  <c r="D231" i="23"/>
  <c r="O231" i="23" s="1"/>
  <c r="Z231" i="23" s="1"/>
  <c r="J231" i="23"/>
  <c r="U231" i="23" s="1"/>
  <c r="I231" i="23"/>
  <c r="T231" i="23" s="1"/>
  <c r="E231" i="23"/>
  <c r="P231" i="23" s="1"/>
  <c r="R237" i="23"/>
  <c r="S237" i="23"/>
  <c r="D157" i="23"/>
  <c r="O157" i="23" s="1"/>
  <c r="Z157" i="23" s="1"/>
  <c r="H157" i="23"/>
  <c r="S157" i="23" s="1"/>
  <c r="I157" i="23"/>
  <c r="T157" i="23" s="1"/>
  <c r="J157" i="23"/>
  <c r="U157" i="23" s="1"/>
  <c r="G157" i="23"/>
  <c r="R157" i="23" s="1"/>
  <c r="F157" i="23"/>
  <c r="Q157" i="23" s="1"/>
  <c r="E157" i="23"/>
  <c r="P157" i="23" s="1"/>
  <c r="D166" i="23"/>
  <c r="O166" i="23" s="1"/>
  <c r="Z166" i="23" s="1"/>
  <c r="H166" i="23"/>
  <c r="S166" i="23" s="1"/>
  <c r="G166" i="23"/>
  <c r="R166" i="23" s="1"/>
  <c r="I166" i="23"/>
  <c r="T166" i="23" s="1"/>
  <c r="J166" i="23"/>
  <c r="U166" i="23" s="1"/>
  <c r="E166" i="23"/>
  <c r="P166" i="23" s="1"/>
  <c r="F166" i="23"/>
  <c r="Q166" i="23" s="1"/>
  <c r="F136" i="23"/>
  <c r="Q136" i="23" s="1"/>
  <c r="AB136" i="23" s="1"/>
  <c r="E136" i="23"/>
  <c r="P136" i="23" s="1"/>
  <c r="AA136" i="23" s="1"/>
  <c r="AM98" i="23" s="1"/>
  <c r="D161" i="23"/>
  <c r="O161" i="23" s="1"/>
  <c r="Z161" i="23" s="1"/>
  <c r="J161" i="23"/>
  <c r="U161" i="23" s="1"/>
  <c r="H161" i="23"/>
  <c r="S161" i="23" s="1"/>
  <c r="I161" i="23"/>
  <c r="T161" i="23" s="1"/>
  <c r="G161" i="23"/>
  <c r="R161" i="23" s="1"/>
  <c r="E161" i="23"/>
  <c r="P161" i="23" s="1"/>
  <c r="F161" i="23"/>
  <c r="Q161" i="23" s="1"/>
  <c r="D152" i="23"/>
  <c r="O152" i="23" s="1"/>
  <c r="H152" i="23"/>
  <c r="S152" i="23" s="1"/>
  <c r="I152" i="23"/>
  <c r="T152" i="23" s="1"/>
  <c r="J152" i="23"/>
  <c r="U152" i="23" s="1"/>
  <c r="G152" i="23"/>
  <c r="R152" i="23" s="1"/>
  <c r="E152" i="23"/>
  <c r="P152" i="23" s="1"/>
  <c r="F152" i="23"/>
  <c r="Q152" i="23" s="1"/>
  <c r="D156" i="23"/>
  <c r="O156" i="23" s="1"/>
  <c r="Z156" i="23" s="1"/>
  <c r="H156" i="23"/>
  <c r="S156" i="23" s="1"/>
  <c r="G156" i="23"/>
  <c r="R156" i="23" s="1"/>
  <c r="I156" i="23"/>
  <c r="T156" i="23" s="1"/>
  <c r="J156" i="23"/>
  <c r="U156" i="23" s="1"/>
  <c r="F156" i="23"/>
  <c r="Q156" i="23" s="1"/>
  <c r="E156" i="23"/>
  <c r="P156" i="23" s="1"/>
  <c r="S232" i="23"/>
  <c r="E228" i="23"/>
  <c r="P228" i="23" s="1"/>
  <c r="AC154" i="23"/>
  <c r="AD154" i="23"/>
  <c r="AO101" i="23"/>
  <c r="AA154" i="23"/>
  <c r="AN97" i="23" s="1"/>
  <c r="AE154" i="23"/>
  <c r="G184" i="23"/>
  <c r="R184" i="23" s="1"/>
  <c r="AC184" i="23" s="1"/>
  <c r="G185" i="23"/>
  <c r="R185" i="23" s="1"/>
  <c r="AC185" i="23" s="1"/>
  <c r="I184" i="23"/>
  <c r="T184" i="23" s="1"/>
  <c r="AE184" i="23" s="1"/>
  <c r="I185" i="23"/>
  <c r="T185" i="23" s="1"/>
  <c r="AE185" i="23" s="1"/>
  <c r="H184" i="23"/>
  <c r="S184" i="23" s="1"/>
  <c r="AD184" i="23" s="1"/>
  <c r="H185" i="23"/>
  <c r="S185" i="23" s="1"/>
  <c r="AD185" i="23" s="1"/>
  <c r="H183" i="23"/>
  <c r="S183" i="23" s="1"/>
  <c r="AD183" i="23" s="1"/>
  <c r="H182" i="23"/>
  <c r="S182" i="23" s="1"/>
  <c r="AD182" i="23" s="1"/>
  <c r="G183" i="23"/>
  <c r="R183" i="23" s="1"/>
  <c r="AC183" i="23" s="1"/>
  <c r="G182" i="23"/>
  <c r="R182" i="23" s="1"/>
  <c r="AC182" i="23" s="1"/>
  <c r="I179" i="23"/>
  <c r="T179" i="23" s="1"/>
  <c r="AE179" i="23" s="1"/>
  <c r="I180" i="23"/>
  <c r="T180" i="23" s="1"/>
  <c r="AE180" i="23" s="1"/>
  <c r="AO95" i="23"/>
  <c r="AO114" i="23" s="1"/>
  <c r="AB154" i="23"/>
  <c r="BA52" i="23"/>
  <c r="G114" i="23" s="1"/>
  <c r="R114" i="23" s="1"/>
  <c r="F209" i="23"/>
  <c r="Q209" i="23" s="1"/>
  <c r="BB52" i="23"/>
  <c r="H114" i="23" s="1"/>
  <c r="S114" i="23" s="1"/>
  <c r="H209" i="23"/>
  <c r="S209" i="23" s="1"/>
  <c r="G209" i="23"/>
  <c r="R209" i="23" s="1"/>
  <c r="AE215" i="23"/>
  <c r="AO109" i="23"/>
  <c r="AO106" i="23"/>
  <c r="I178" i="23"/>
  <c r="T178" i="23" s="1"/>
  <c r="AE178" i="23" s="1"/>
  <c r="I182" i="23"/>
  <c r="T182" i="23" s="1"/>
  <c r="AE182" i="23" s="1"/>
  <c r="AO99" i="23"/>
  <c r="D209" i="23"/>
  <c r="O209" i="23" s="1"/>
  <c r="BD52" i="23"/>
  <c r="J114" i="23" s="1"/>
  <c r="U114" i="23" s="1"/>
  <c r="AA210" i="23"/>
  <c r="BC52" i="23"/>
  <c r="I114" i="23" s="1"/>
  <c r="T114" i="23" s="1"/>
  <c r="AO108" i="23"/>
  <c r="AC153" i="23"/>
  <c r="AF153" i="23"/>
  <c r="F230" i="23"/>
  <c r="Q230" i="23" s="1"/>
  <c r="S230" i="23"/>
  <c r="E230" i="23"/>
  <c r="P230" i="23" s="1"/>
  <c r="J230" i="23"/>
  <c r="U230" i="23" s="1"/>
  <c r="D230" i="23"/>
  <c r="O230" i="23" s="1"/>
  <c r="Z230" i="23" s="1"/>
  <c r="I230" i="23"/>
  <c r="T230" i="23" s="1"/>
  <c r="AA211" i="23"/>
  <c r="I228" i="23"/>
  <c r="T228" i="23" s="1"/>
  <c r="D228" i="23"/>
  <c r="O228" i="23" s="1"/>
  <c r="AF155" i="23"/>
  <c r="E209" i="23"/>
  <c r="P209" i="23" s="1"/>
  <c r="AD210" i="23"/>
  <c r="J228" i="23"/>
  <c r="U228" i="23" s="1"/>
  <c r="AC210" i="23"/>
  <c r="J209" i="23"/>
  <c r="U209" i="23" s="1"/>
  <c r="R228" i="23"/>
  <c r="AF210" i="23"/>
  <c r="F228" i="23"/>
  <c r="Q228" i="23" s="1"/>
  <c r="AE210" i="23"/>
  <c r="AB215" i="23"/>
  <c r="F133" i="23"/>
  <c r="Q133" i="23" s="1"/>
  <c r="AB155" i="23"/>
  <c r="AA155" i="23"/>
  <c r="AD155" i="23"/>
  <c r="AC229" i="23"/>
  <c r="AE155" i="23"/>
  <c r="B126" i="23"/>
  <c r="M84" i="23"/>
  <c r="X65" i="23"/>
  <c r="AI107" i="23" s="1"/>
  <c r="AI126" i="23" s="1"/>
  <c r="AC155" i="23"/>
  <c r="B145" i="23"/>
  <c r="E145" i="23" s="1"/>
  <c r="P145" i="23" s="1"/>
  <c r="AA145" i="23" s="1"/>
  <c r="AM107" i="23" s="1"/>
  <c r="M126" i="23"/>
  <c r="X126" i="23" s="1"/>
  <c r="G56" i="23"/>
  <c r="D242" i="23"/>
  <c r="O242" i="23" s="1"/>
  <c r="Z242" i="23" s="1"/>
  <c r="I242" i="23"/>
  <c r="T242" i="23" s="1"/>
  <c r="J242" i="23"/>
  <c r="U242" i="23" s="1"/>
  <c r="R242" i="23"/>
  <c r="S242" i="23"/>
  <c r="E242" i="23"/>
  <c r="P242" i="23" s="1"/>
  <c r="F242" i="23"/>
  <c r="Q242" i="23" s="1"/>
  <c r="M164" i="23"/>
  <c r="X164" i="23" s="1"/>
  <c r="B164" i="23"/>
  <c r="M240" i="23"/>
  <c r="X240" i="23" s="1"/>
  <c r="I233" i="23"/>
  <c r="T233" i="23" s="1"/>
  <c r="J233" i="23"/>
  <c r="U233" i="23" s="1"/>
  <c r="D233" i="23"/>
  <c r="O233" i="23" s="1"/>
  <c r="Z233" i="23" s="1"/>
  <c r="R233" i="23"/>
  <c r="S233" i="23"/>
  <c r="E233" i="23"/>
  <c r="P233" i="23" s="1"/>
  <c r="F233" i="23"/>
  <c r="Q233" i="23" s="1"/>
  <c r="D232" i="23"/>
  <c r="O232" i="23" s="1"/>
  <c r="Z232" i="23" s="1"/>
  <c r="I232" i="23"/>
  <c r="T232" i="23" s="1"/>
  <c r="J232" i="23"/>
  <c r="U232" i="23" s="1"/>
  <c r="R232" i="23"/>
  <c r="E232" i="23"/>
  <c r="P232" i="23" s="1"/>
  <c r="F232" i="23"/>
  <c r="Q232" i="23" s="1"/>
  <c r="M107" i="23"/>
  <c r="X107" i="23" s="1"/>
  <c r="B183" i="23"/>
  <c r="B107" i="23"/>
  <c r="E221" i="23" s="1"/>
  <c r="P221" i="23" s="1"/>
  <c r="AF211" i="23"/>
  <c r="AD211" i="23"/>
  <c r="M202" i="23"/>
  <c r="X202" i="23" s="1"/>
  <c r="J237" i="23"/>
  <c r="U237" i="23" s="1"/>
  <c r="D237" i="23"/>
  <c r="O237" i="23" s="1"/>
  <c r="Z237" i="23" s="1"/>
  <c r="I237" i="23"/>
  <c r="T237" i="23" s="1"/>
  <c r="E237" i="23"/>
  <c r="P237" i="23" s="1"/>
  <c r="F237" i="23"/>
  <c r="Q237" i="23" s="1"/>
  <c r="B221" i="23"/>
  <c r="B240" i="23"/>
  <c r="M221" i="23"/>
  <c r="X221" i="23" s="1"/>
  <c r="M145" i="23"/>
  <c r="X145" i="23" s="1"/>
  <c r="M183" i="23"/>
  <c r="X183" i="23" s="1"/>
  <c r="AE211" i="23"/>
  <c r="AC211" i="23"/>
  <c r="AB211" i="23"/>
  <c r="AO102" i="23"/>
  <c r="AO107" i="23"/>
  <c r="AO103" i="23"/>
  <c r="AO100" i="23"/>
  <c r="AD158" i="23"/>
  <c r="G54" i="23"/>
  <c r="AB153" i="23"/>
  <c r="J98" i="1"/>
  <c r="I183" i="23"/>
  <c r="T183" i="23" s="1"/>
  <c r="AE183" i="23" s="1"/>
  <c r="AA153" i="23"/>
  <c r="AE153" i="23"/>
  <c r="U117" i="23"/>
  <c r="I98" i="1"/>
  <c r="I120" i="1" s="1"/>
  <c r="I147" i="1" s="1"/>
  <c r="H181" i="23"/>
  <c r="H98" i="1"/>
  <c r="H120" i="1" s="1"/>
  <c r="H147" i="1" s="1"/>
  <c r="G181" i="23"/>
  <c r="K93" i="1"/>
  <c r="I181" i="23"/>
  <c r="T181" i="23" s="1"/>
  <c r="AE181" i="23" s="1"/>
  <c r="AB229" i="23"/>
  <c r="AA229" i="23"/>
  <c r="AB158" i="23"/>
  <c r="AE158" i="23"/>
  <c r="AA158" i="23"/>
  <c r="AC158" i="23"/>
  <c r="AF229" i="23"/>
  <c r="Z229" i="23"/>
  <c r="AD229" i="23"/>
  <c r="AF158" i="23"/>
  <c r="R115" i="23"/>
  <c r="R54" i="23" s="1"/>
  <c r="AE229" i="23"/>
  <c r="H54" i="23"/>
  <c r="AD153" i="23"/>
  <c r="AB210" i="23"/>
  <c r="E137" i="23"/>
  <c r="P137" i="23" s="1"/>
  <c r="AA137" i="23" s="1"/>
  <c r="AM99" i="23" s="1"/>
  <c r="F137" i="23"/>
  <c r="Q137" i="23" s="1"/>
  <c r="AB137" i="23" s="1"/>
  <c r="E138" i="23"/>
  <c r="P138" i="23" s="1"/>
  <c r="AA138" i="23" s="1"/>
  <c r="AM100" i="23" s="1"/>
  <c r="F138" i="23"/>
  <c r="Q138" i="23" s="1"/>
  <c r="AB138" i="23" s="1"/>
  <c r="AY153" i="23"/>
  <c r="AX154" i="23"/>
  <c r="AY154" i="23" s="1"/>
  <c r="Z172" i="23"/>
  <c r="AA172" i="23"/>
  <c r="AE172" i="23"/>
  <c r="AB172" i="23"/>
  <c r="AD172" i="23"/>
  <c r="AC172" i="23"/>
  <c r="AF172" i="23"/>
  <c r="O186" i="23"/>
  <c r="AB186" i="23" s="1"/>
  <c r="U120" i="23"/>
  <c r="D11" i="27"/>
  <c r="P133" i="23"/>
  <c r="T209" i="23"/>
  <c r="E147" i="23"/>
  <c r="P147" i="23" s="1"/>
  <c r="AA147" i="23" s="1"/>
  <c r="AM109" i="23" s="1"/>
  <c r="F147" i="23"/>
  <c r="Q147" i="23" s="1"/>
  <c r="AB147" i="23" s="1"/>
  <c r="BB66" i="23"/>
  <c r="H128" i="23" s="1"/>
  <c r="D223" i="23"/>
  <c r="O223" i="23" s="1"/>
  <c r="Z223" i="23" s="1"/>
  <c r="E223" i="23"/>
  <c r="P223" i="23" s="1"/>
  <c r="F223" i="23"/>
  <c r="Q223" i="23" s="1"/>
  <c r="G223" i="23"/>
  <c r="R223" i="23" s="1"/>
  <c r="H223" i="23"/>
  <c r="S223" i="23" s="1"/>
  <c r="I223" i="23"/>
  <c r="T223" i="23" s="1"/>
  <c r="J223" i="23"/>
  <c r="U223" i="23" s="1"/>
  <c r="BA66" i="23"/>
  <c r="G128" i="23" s="1"/>
  <c r="BC66" i="23"/>
  <c r="I128" i="23" s="1"/>
  <c r="BD66" i="23"/>
  <c r="J128" i="23" s="1"/>
  <c r="S54" i="23"/>
  <c r="BA57" i="23"/>
  <c r="G119" i="23" s="1"/>
  <c r="BB57" i="23"/>
  <c r="H119" i="23" s="1"/>
  <c r="BC57" i="23"/>
  <c r="I119" i="23" s="1"/>
  <c r="BD57" i="23"/>
  <c r="J119" i="23" s="1"/>
  <c r="G214" i="23"/>
  <c r="R214" i="23" s="1"/>
  <c r="D214" i="23"/>
  <c r="O214" i="23" s="1"/>
  <c r="Z214" i="23" s="1"/>
  <c r="E214" i="23"/>
  <c r="P214" i="23" s="1"/>
  <c r="F214" i="23"/>
  <c r="Q214" i="23" s="1"/>
  <c r="H214" i="23"/>
  <c r="S214" i="23" s="1"/>
  <c r="I214" i="23"/>
  <c r="T214" i="23" s="1"/>
  <c r="J214" i="23"/>
  <c r="U214" i="23" s="1"/>
  <c r="M105" i="23"/>
  <c r="X105" i="23" s="1"/>
  <c r="B181" i="23"/>
  <c r="M124" i="23"/>
  <c r="X124" i="23" s="1"/>
  <c r="X63" i="23"/>
  <c r="AI105" i="23" s="1"/>
  <c r="AI124" i="23" s="1"/>
  <c r="B162" i="23"/>
  <c r="B105" i="23"/>
  <c r="M162" i="23"/>
  <c r="X162" i="23" s="1"/>
  <c r="B124" i="23"/>
  <c r="B143" i="23"/>
  <c r="M82" i="23"/>
  <c r="B219" i="23"/>
  <c r="M181" i="23"/>
  <c r="X181" i="23" s="1"/>
  <c r="M219" i="23"/>
  <c r="X219" i="23" s="1"/>
  <c r="M143" i="23"/>
  <c r="X143" i="23" s="1"/>
  <c r="B238" i="23"/>
  <c r="B200" i="23"/>
  <c r="M200" i="23"/>
  <c r="X200" i="23" s="1"/>
  <c r="M238" i="23"/>
  <c r="X238" i="23" s="1"/>
  <c r="E11" i="27"/>
  <c r="S116" i="23"/>
  <c r="BC61" i="23"/>
  <c r="I123" i="23" s="1"/>
  <c r="BD61" i="23"/>
  <c r="J123" i="23" s="1"/>
  <c r="BA61" i="23"/>
  <c r="G123" i="23" s="1"/>
  <c r="BB61" i="23"/>
  <c r="H123" i="23" s="1"/>
  <c r="D218" i="23"/>
  <c r="O218" i="23" s="1"/>
  <c r="Z218" i="23" s="1"/>
  <c r="E218" i="23"/>
  <c r="P218" i="23" s="1"/>
  <c r="F218" i="23"/>
  <c r="Q218" i="23" s="1"/>
  <c r="H218" i="23"/>
  <c r="S218" i="23" s="1"/>
  <c r="G218" i="23"/>
  <c r="R218" i="23" s="1"/>
  <c r="I218" i="23"/>
  <c r="T218" i="23" s="1"/>
  <c r="J218" i="23"/>
  <c r="U218" i="23" s="1"/>
  <c r="AA215" i="23"/>
  <c r="AQ101" i="23" s="1"/>
  <c r="H59" i="23"/>
  <c r="S120" i="23"/>
  <c r="M178" i="23"/>
  <c r="X178" i="23" s="1"/>
  <c r="M121" i="23"/>
  <c r="X121" i="23" s="1"/>
  <c r="B216" i="23"/>
  <c r="B178" i="23"/>
  <c r="B159" i="23"/>
  <c r="B102" i="23"/>
  <c r="M102" i="23"/>
  <c r="X102" i="23" s="1"/>
  <c r="B235" i="23"/>
  <c r="M235" i="23"/>
  <c r="X235" i="23" s="1"/>
  <c r="B140" i="23"/>
  <c r="M140" i="23"/>
  <c r="X140" i="23" s="1"/>
  <c r="M79" i="23"/>
  <c r="M216" i="23"/>
  <c r="X216" i="23" s="1"/>
  <c r="B197" i="23"/>
  <c r="B121" i="23"/>
  <c r="M197" i="23"/>
  <c r="X197" i="23" s="1"/>
  <c r="X60" i="23"/>
  <c r="AI102" i="23" s="1"/>
  <c r="AI121" i="23" s="1"/>
  <c r="M159" i="23"/>
  <c r="X159" i="23" s="1"/>
  <c r="F213" i="23"/>
  <c r="Q213" i="23" s="1"/>
  <c r="G213" i="23"/>
  <c r="R213" i="23" s="1"/>
  <c r="H213" i="23"/>
  <c r="S213" i="23" s="1"/>
  <c r="BA56" i="23"/>
  <c r="G118" i="23" s="1"/>
  <c r="BB56" i="23"/>
  <c r="H118" i="23" s="1"/>
  <c r="BC56" i="23"/>
  <c r="I118" i="23" s="1"/>
  <c r="BD56" i="23"/>
  <c r="J118" i="23" s="1"/>
  <c r="D213" i="23"/>
  <c r="O213" i="23" s="1"/>
  <c r="Z213" i="23" s="1"/>
  <c r="E213" i="23"/>
  <c r="P213" i="23" s="1"/>
  <c r="I213" i="23"/>
  <c r="T213" i="23" s="1"/>
  <c r="J213" i="23"/>
  <c r="U213" i="23" s="1"/>
  <c r="M182" i="23"/>
  <c r="X182" i="23" s="1"/>
  <c r="M125" i="23"/>
  <c r="X125" i="23" s="1"/>
  <c r="M106" i="23"/>
  <c r="X106" i="23" s="1"/>
  <c r="X64" i="23"/>
  <c r="AI106" i="23" s="1"/>
  <c r="AI125" i="23" s="1"/>
  <c r="M201" i="23"/>
  <c r="X201" i="23" s="1"/>
  <c r="B220" i="23"/>
  <c r="B125" i="23"/>
  <c r="B106" i="23"/>
  <c r="B201" i="23"/>
  <c r="B239" i="23"/>
  <c r="M83" i="23"/>
  <c r="M239" i="23"/>
  <c r="X239" i="23" s="1"/>
  <c r="B163" i="23"/>
  <c r="B182" i="23"/>
  <c r="M163" i="23"/>
  <c r="X163" i="23" s="1"/>
  <c r="B144" i="23"/>
  <c r="M144" i="23"/>
  <c r="X144" i="23" s="1"/>
  <c r="M220" i="23"/>
  <c r="X220" i="23" s="1"/>
  <c r="U116" i="23"/>
  <c r="E142" i="23"/>
  <c r="P142" i="23" s="1"/>
  <c r="AA142" i="23" s="1"/>
  <c r="AM104" i="23" s="1"/>
  <c r="F142" i="23"/>
  <c r="Q142" i="23" s="1"/>
  <c r="AB142" i="23" s="1"/>
  <c r="T120" i="23"/>
  <c r="G59" i="23"/>
  <c r="R120" i="23"/>
  <c r="AD173" i="23"/>
  <c r="B141" i="23"/>
  <c r="M141" i="23"/>
  <c r="X141" i="23" s="1"/>
  <c r="M122" i="23"/>
  <c r="X122" i="23" s="1"/>
  <c r="B103" i="23"/>
  <c r="M217" i="23"/>
  <c r="X217" i="23" s="1"/>
  <c r="M179" i="23"/>
  <c r="X179" i="23" s="1"/>
  <c r="X61" i="23"/>
  <c r="AI103" i="23" s="1"/>
  <c r="AI122" i="23" s="1"/>
  <c r="M160" i="23"/>
  <c r="X160" i="23" s="1"/>
  <c r="M80" i="23"/>
  <c r="M103" i="23"/>
  <c r="X103" i="23" s="1"/>
  <c r="B160" i="23"/>
  <c r="B236" i="23"/>
  <c r="B198" i="23"/>
  <c r="M198" i="23"/>
  <c r="X198" i="23" s="1"/>
  <c r="M236" i="23"/>
  <c r="X236" i="23" s="1"/>
  <c r="B122" i="23"/>
  <c r="B179" i="23"/>
  <c r="B217" i="23"/>
  <c r="T116" i="23"/>
  <c r="B108" i="23"/>
  <c r="M108" i="23"/>
  <c r="X108" i="23" s="1"/>
  <c r="M85" i="23"/>
  <c r="M127" i="23"/>
  <c r="X127" i="23" s="1"/>
  <c r="X66" i="23"/>
  <c r="AI108" i="23" s="1"/>
  <c r="AI127" i="23" s="1"/>
  <c r="B146" i="23"/>
  <c r="B184" i="23"/>
  <c r="M146" i="23"/>
  <c r="X146" i="23" s="1"/>
  <c r="B203" i="23"/>
  <c r="M165" i="23"/>
  <c r="X165" i="23" s="1"/>
  <c r="M203" i="23"/>
  <c r="X203" i="23" s="1"/>
  <c r="B127" i="23"/>
  <c r="M222" i="23"/>
  <c r="X222" i="23" s="1"/>
  <c r="B165" i="23"/>
  <c r="B241" i="23"/>
  <c r="M184" i="23"/>
  <c r="X184" i="23" s="1"/>
  <c r="M241" i="23"/>
  <c r="X241" i="23" s="1"/>
  <c r="B222" i="23"/>
  <c r="R116" i="23"/>
  <c r="G55" i="23"/>
  <c r="AF215" i="23"/>
  <c r="AA234" i="23" l="1"/>
  <c r="AR101" i="23" s="1"/>
  <c r="AA231" i="23"/>
  <c r="AR98" i="23" s="1"/>
  <c r="AF234" i="23"/>
  <c r="AF231" i="23"/>
  <c r="AE231" i="23"/>
  <c r="D165" i="23"/>
  <c r="O165" i="23" s="1"/>
  <c r="Z165" i="23" s="1"/>
  <c r="H165" i="23"/>
  <c r="S165" i="23" s="1"/>
  <c r="G165" i="23"/>
  <c r="R165" i="23" s="1"/>
  <c r="I165" i="23"/>
  <c r="T165" i="23" s="1"/>
  <c r="J165" i="23"/>
  <c r="U165" i="23" s="1"/>
  <c r="F165" i="23"/>
  <c r="Q165" i="23" s="1"/>
  <c r="E165" i="23"/>
  <c r="P165" i="23" s="1"/>
  <c r="AD231" i="23"/>
  <c r="D164" i="23"/>
  <c r="O164" i="23" s="1"/>
  <c r="Z164" i="23" s="1"/>
  <c r="I164" i="23"/>
  <c r="T164" i="23" s="1"/>
  <c r="G164" i="23"/>
  <c r="R164" i="23" s="1"/>
  <c r="J164" i="23"/>
  <c r="U164" i="23" s="1"/>
  <c r="H164" i="23"/>
  <c r="S164" i="23" s="1"/>
  <c r="E164" i="23"/>
  <c r="P164" i="23" s="1"/>
  <c r="F164" i="23"/>
  <c r="Q164" i="23" s="1"/>
  <c r="S240" i="23"/>
  <c r="R240" i="23"/>
  <c r="AB234" i="23"/>
  <c r="AB231" i="23"/>
  <c r="AE234" i="23"/>
  <c r="AD234" i="23"/>
  <c r="D162" i="23"/>
  <c r="O162" i="23" s="1"/>
  <c r="Z162" i="23" s="1"/>
  <c r="I162" i="23"/>
  <c r="T162" i="23" s="1"/>
  <c r="J162" i="23"/>
  <c r="U162" i="23" s="1"/>
  <c r="H162" i="23"/>
  <c r="S162" i="23" s="1"/>
  <c r="G162" i="23"/>
  <c r="R162" i="23" s="1"/>
  <c r="E162" i="23"/>
  <c r="P162" i="23" s="1"/>
  <c r="F162" i="23"/>
  <c r="Q162" i="23" s="1"/>
  <c r="R238" i="23"/>
  <c r="AC234" i="23"/>
  <c r="D163" i="23"/>
  <c r="O163" i="23" s="1"/>
  <c r="Z163" i="23" s="1"/>
  <c r="G163" i="23"/>
  <c r="R163" i="23" s="1"/>
  <c r="H163" i="23"/>
  <c r="S163" i="23" s="1"/>
  <c r="I163" i="23"/>
  <c r="T163" i="23" s="1"/>
  <c r="J163" i="23"/>
  <c r="U163" i="23" s="1"/>
  <c r="E163" i="23"/>
  <c r="P163" i="23" s="1"/>
  <c r="F163" i="23"/>
  <c r="Q163" i="23" s="1"/>
  <c r="H56" i="23"/>
  <c r="D160" i="23"/>
  <c r="O160" i="23" s="1"/>
  <c r="Z160" i="23" s="1"/>
  <c r="I160" i="23"/>
  <c r="T160" i="23" s="1"/>
  <c r="J160" i="23"/>
  <c r="U160" i="23" s="1"/>
  <c r="G160" i="23"/>
  <c r="R160" i="23" s="1"/>
  <c r="H160" i="23"/>
  <c r="S160" i="23" s="1"/>
  <c r="E160" i="23"/>
  <c r="P160" i="23" s="1"/>
  <c r="F160" i="23"/>
  <c r="Q160" i="23" s="1"/>
  <c r="AC231" i="23"/>
  <c r="S56" i="23"/>
  <c r="D159" i="23"/>
  <c r="O159" i="23" s="1"/>
  <c r="Z159" i="23" s="1"/>
  <c r="I159" i="23"/>
  <c r="T159" i="23" s="1"/>
  <c r="G159" i="23"/>
  <c r="H159" i="23"/>
  <c r="J159" i="23"/>
  <c r="U159" i="23" s="1"/>
  <c r="E159" i="23"/>
  <c r="P159" i="23" s="1"/>
  <c r="F159" i="23"/>
  <c r="Q159" i="23" s="1"/>
  <c r="AC161" i="23"/>
  <c r="AB166" i="23"/>
  <c r="AA166" i="23"/>
  <c r="AN109" i="23" s="1"/>
  <c r="J184" i="23"/>
  <c r="U184" i="23" s="1"/>
  <c r="AF184" i="23" s="1"/>
  <c r="J185" i="23"/>
  <c r="U185" i="23" s="1"/>
  <c r="AF185" i="23" s="1"/>
  <c r="H53" i="23"/>
  <c r="H72" i="23" s="1"/>
  <c r="H73" i="23" s="1"/>
  <c r="AD161" i="23"/>
  <c r="J183" i="23"/>
  <c r="U183" i="23" s="1"/>
  <c r="AF183" i="23" s="1"/>
  <c r="J182" i="23"/>
  <c r="U182" i="23" s="1"/>
  <c r="AF182" i="23" s="1"/>
  <c r="AB161" i="23"/>
  <c r="AA161" i="23"/>
  <c r="AN104" i="23" s="1"/>
  <c r="AQ97" i="23"/>
  <c r="AQ96" i="23"/>
  <c r="AN96" i="23"/>
  <c r="AN98" i="23"/>
  <c r="AF214" i="23"/>
  <c r="AE214" i="23"/>
  <c r="AR96" i="23"/>
  <c r="AE230" i="23"/>
  <c r="H55" i="23"/>
  <c r="AB230" i="23"/>
  <c r="AD230" i="23"/>
  <c r="AA230" i="23"/>
  <c r="AR97" i="23" s="1"/>
  <c r="AF230" i="23"/>
  <c r="AB214" i="23"/>
  <c r="AD214" i="23"/>
  <c r="G53" i="23"/>
  <c r="G72" i="23" s="1"/>
  <c r="G73" i="23" s="1"/>
  <c r="G74" i="23" s="1"/>
  <c r="G75" i="23" s="1"/>
  <c r="AC230" i="23"/>
  <c r="AA223" i="23"/>
  <c r="S228" i="23"/>
  <c r="AD228" i="23" s="1"/>
  <c r="F145" i="23"/>
  <c r="Q145" i="23" s="1"/>
  <c r="AB145" i="23" s="1"/>
  <c r="AC242" i="23"/>
  <c r="D221" i="23"/>
  <c r="O221" i="23" s="1"/>
  <c r="Z221" i="23" s="1"/>
  <c r="J221" i="23"/>
  <c r="U221" i="23" s="1"/>
  <c r="AF221" i="23" s="1"/>
  <c r="I221" i="23"/>
  <c r="T221" i="23" s="1"/>
  <c r="BD64" i="23"/>
  <c r="J126" i="23" s="1"/>
  <c r="U126" i="23" s="1"/>
  <c r="D240" i="23"/>
  <c r="O240" i="23" s="1"/>
  <c r="Z240" i="23" s="1"/>
  <c r="J240" i="23"/>
  <c r="U240" i="23" s="1"/>
  <c r="I240" i="23"/>
  <c r="T240" i="23" s="1"/>
  <c r="E240" i="23"/>
  <c r="P240" i="23" s="1"/>
  <c r="F240" i="23"/>
  <c r="Q240" i="23" s="1"/>
  <c r="BB64" i="23"/>
  <c r="H126" i="23" s="1"/>
  <c r="S126" i="23" s="1"/>
  <c r="H221" i="23"/>
  <c r="S221" i="23" s="1"/>
  <c r="J239" i="23"/>
  <c r="U239" i="23" s="1"/>
  <c r="D239" i="23"/>
  <c r="O239" i="23" s="1"/>
  <c r="Z239" i="23" s="1"/>
  <c r="I239" i="23"/>
  <c r="T239" i="23" s="1"/>
  <c r="S239" i="23"/>
  <c r="R239" i="23"/>
  <c r="E239" i="23"/>
  <c r="P239" i="23" s="1"/>
  <c r="F239" i="23"/>
  <c r="Q239" i="23" s="1"/>
  <c r="BA64" i="23"/>
  <c r="G126" i="23" s="1"/>
  <c r="R126" i="23" s="1"/>
  <c r="J236" i="23"/>
  <c r="U236" i="23" s="1"/>
  <c r="D236" i="23"/>
  <c r="O236" i="23" s="1"/>
  <c r="Z236" i="23" s="1"/>
  <c r="I236" i="23"/>
  <c r="T236" i="23" s="1"/>
  <c r="S236" i="23"/>
  <c r="R236" i="23"/>
  <c r="E236" i="23"/>
  <c r="P236" i="23" s="1"/>
  <c r="F236" i="23"/>
  <c r="Q236" i="23" s="1"/>
  <c r="J235" i="23"/>
  <c r="U235" i="23" s="1"/>
  <c r="D235" i="23"/>
  <c r="O235" i="23" s="1"/>
  <c r="Z235" i="23" s="1"/>
  <c r="I235" i="23"/>
  <c r="T235" i="23" s="1"/>
  <c r="S235" i="23"/>
  <c r="R235" i="23"/>
  <c r="E235" i="23"/>
  <c r="P235" i="23" s="1"/>
  <c r="F235" i="23"/>
  <c r="Q235" i="23" s="1"/>
  <c r="G221" i="23"/>
  <c r="R221" i="23" s="1"/>
  <c r="AC221" i="23" s="1"/>
  <c r="J238" i="23"/>
  <c r="U238" i="23" s="1"/>
  <c r="D238" i="23"/>
  <c r="O238" i="23" s="1"/>
  <c r="Z238" i="23" s="1"/>
  <c r="I238" i="23"/>
  <c r="T238" i="23" s="1"/>
  <c r="S238" i="23"/>
  <c r="E238" i="23"/>
  <c r="P238" i="23" s="1"/>
  <c r="F238" i="23"/>
  <c r="Q238" i="23" s="1"/>
  <c r="F221" i="23"/>
  <c r="Q221" i="23" s="1"/>
  <c r="D241" i="23"/>
  <c r="O241" i="23" s="1"/>
  <c r="Z241" i="23" s="1"/>
  <c r="I241" i="23"/>
  <c r="T241" i="23" s="1"/>
  <c r="J241" i="23"/>
  <c r="U241" i="23" s="1"/>
  <c r="S241" i="23"/>
  <c r="R241" i="23"/>
  <c r="E241" i="23"/>
  <c r="P241" i="23" s="1"/>
  <c r="F241" i="23"/>
  <c r="Q241" i="23" s="1"/>
  <c r="BC64" i="23"/>
  <c r="I126" i="23" s="1"/>
  <c r="T126" i="23" s="1"/>
  <c r="AA156" i="23"/>
  <c r="AF166" i="23"/>
  <c r="AE166" i="23"/>
  <c r="AD166" i="23"/>
  <c r="AC166" i="23"/>
  <c r="AO96" i="23"/>
  <c r="AO115" i="23" s="1"/>
  <c r="AO116" i="23" s="1"/>
  <c r="AO117" i="23" s="1"/>
  <c r="AO118" i="23" s="1"/>
  <c r="AO119" i="23" s="1"/>
  <c r="AO120" i="23" s="1"/>
  <c r="AO121" i="23" s="1"/>
  <c r="AO122" i="23" s="1"/>
  <c r="AO123" i="23" s="1"/>
  <c r="AN101" i="23"/>
  <c r="AA186" i="23"/>
  <c r="K98" i="1"/>
  <c r="J181" i="23"/>
  <c r="T186" i="23"/>
  <c r="H11" i="27" s="1"/>
  <c r="R181" i="23"/>
  <c r="G186" i="23"/>
  <c r="F10" i="9" s="1"/>
  <c r="S181" i="23"/>
  <c r="H186" i="23"/>
  <c r="G10" i="9" s="1"/>
  <c r="AD233" i="23"/>
  <c r="I186" i="23"/>
  <c r="H10" i="9" s="1"/>
  <c r="AF233" i="23"/>
  <c r="AE233" i="23"/>
  <c r="AC233" i="23"/>
  <c r="AB233" i="23"/>
  <c r="AF242" i="23"/>
  <c r="AD242" i="23"/>
  <c r="AB242" i="23"/>
  <c r="AA233" i="23"/>
  <c r="AB232" i="23"/>
  <c r="AB237" i="23"/>
  <c r="AA214" i="23"/>
  <c r="AF223" i="23"/>
  <c r="AF237" i="23"/>
  <c r="AE223" i="23"/>
  <c r="AE237" i="23"/>
  <c r="AD223" i="23"/>
  <c r="AE242" i="23"/>
  <c r="AD237" i="23"/>
  <c r="AC223" i="23"/>
  <c r="AC237" i="23"/>
  <c r="AB223" i="23"/>
  <c r="AD213" i="23"/>
  <c r="AC213" i="23"/>
  <c r="AA237" i="23"/>
  <c r="AE218" i="23"/>
  <c r="AA157" i="23"/>
  <c r="AN100" i="23" s="1"/>
  <c r="AC218" i="23"/>
  <c r="AB213" i="23"/>
  <c r="AC214" i="23"/>
  <c r="AF213" i="23"/>
  <c r="AD218" i="23"/>
  <c r="AF232" i="23"/>
  <c r="AF218" i="23"/>
  <c r="AE213" i="23"/>
  <c r="AB218" i="23"/>
  <c r="AE232" i="23"/>
  <c r="AC232" i="23"/>
  <c r="AA232" i="23"/>
  <c r="AA213" i="23"/>
  <c r="AA218" i="23"/>
  <c r="AD232" i="23"/>
  <c r="AE209" i="23"/>
  <c r="AC152" i="23"/>
  <c r="AC156" i="23"/>
  <c r="G67" i="23"/>
  <c r="R128" i="23"/>
  <c r="AD209" i="23"/>
  <c r="E144" i="23"/>
  <c r="P144" i="23" s="1"/>
  <c r="AA144" i="23" s="1"/>
  <c r="AM106" i="23" s="1"/>
  <c r="F144" i="23"/>
  <c r="Q144" i="23" s="1"/>
  <c r="AB144" i="23" s="1"/>
  <c r="U119" i="23"/>
  <c r="R118" i="23"/>
  <c r="G57" i="23"/>
  <c r="R59" i="23"/>
  <c r="AB133" i="23"/>
  <c r="AF156" i="23"/>
  <c r="AF209" i="23"/>
  <c r="U128" i="23"/>
  <c r="AC228" i="23"/>
  <c r="U123" i="23"/>
  <c r="T119" i="23"/>
  <c r="H62" i="23"/>
  <c r="S123" i="23"/>
  <c r="T123" i="23"/>
  <c r="BA65" i="23"/>
  <c r="G127" i="23" s="1"/>
  <c r="BB65" i="23"/>
  <c r="H127" i="23" s="1"/>
  <c r="BC65" i="23"/>
  <c r="I127" i="23" s="1"/>
  <c r="BD65" i="23"/>
  <c r="J127" i="23" s="1"/>
  <c r="F222" i="23"/>
  <c r="Q222" i="23" s="1"/>
  <c r="G222" i="23"/>
  <c r="R222" i="23" s="1"/>
  <c r="H222" i="23"/>
  <c r="S222" i="23" s="1"/>
  <c r="I222" i="23"/>
  <c r="T222" i="23" s="1"/>
  <c r="J222" i="23"/>
  <c r="U222" i="23" s="1"/>
  <c r="D222" i="23"/>
  <c r="O222" i="23" s="1"/>
  <c r="Z222" i="23" s="1"/>
  <c r="E222" i="23"/>
  <c r="P222" i="23" s="1"/>
  <c r="AA222" i="23" s="1"/>
  <c r="D220" i="23"/>
  <c r="O220" i="23" s="1"/>
  <c r="Z220" i="23" s="1"/>
  <c r="E220" i="23"/>
  <c r="P220" i="23" s="1"/>
  <c r="F220" i="23"/>
  <c r="Q220" i="23" s="1"/>
  <c r="BA63" i="23"/>
  <c r="G125" i="23" s="1"/>
  <c r="BB63" i="23"/>
  <c r="H125" i="23" s="1"/>
  <c r="BC63" i="23"/>
  <c r="I125" i="23" s="1"/>
  <c r="BD63" i="23"/>
  <c r="J125" i="23" s="1"/>
  <c r="G220" i="23"/>
  <c r="R220" i="23" s="1"/>
  <c r="H220" i="23"/>
  <c r="S220" i="23" s="1"/>
  <c r="I220" i="23"/>
  <c r="T220" i="23" s="1"/>
  <c r="J220" i="23"/>
  <c r="U220" i="23" s="1"/>
  <c r="AE156" i="23"/>
  <c r="AF228" i="23"/>
  <c r="R119" i="23"/>
  <c r="G58" i="23"/>
  <c r="C11" i="27"/>
  <c r="Z186" i="23"/>
  <c r="G62" i="23"/>
  <c r="R123" i="23"/>
  <c r="AF157" i="23"/>
  <c r="AF152" i="23"/>
  <c r="AD156" i="23"/>
  <c r="AB156" i="23"/>
  <c r="AB228" i="23"/>
  <c r="H67" i="23"/>
  <c r="S128" i="23"/>
  <c r="Z152" i="23"/>
  <c r="BD62" i="23"/>
  <c r="J124" i="23" s="1"/>
  <c r="BB62" i="23"/>
  <c r="H124" i="23" s="1"/>
  <c r="BC62" i="23"/>
  <c r="I124" i="23" s="1"/>
  <c r="D219" i="23"/>
  <c r="O219" i="23" s="1"/>
  <c r="Z219" i="23" s="1"/>
  <c r="H219" i="23"/>
  <c r="S219" i="23" s="1"/>
  <c r="E219" i="23"/>
  <c r="P219" i="23" s="1"/>
  <c r="F219" i="23"/>
  <c r="Q219" i="23" s="1"/>
  <c r="G219" i="23"/>
  <c r="R219" i="23" s="1"/>
  <c r="I219" i="23"/>
  <c r="T219" i="23" s="1"/>
  <c r="J219" i="23"/>
  <c r="U219" i="23" s="1"/>
  <c r="BA62" i="23"/>
  <c r="G124" i="23" s="1"/>
  <c r="AA242" i="23"/>
  <c r="AE157" i="23"/>
  <c r="AC209" i="23"/>
  <c r="AA152" i="23"/>
  <c r="AA228" i="23"/>
  <c r="E143" i="23"/>
  <c r="P143" i="23" s="1"/>
  <c r="AA143" i="23" s="1"/>
  <c r="AM105" i="23" s="1"/>
  <c r="F143" i="23"/>
  <c r="Q143" i="23" s="1"/>
  <c r="AB143" i="23" s="1"/>
  <c r="AE152" i="23"/>
  <c r="AB152" i="23"/>
  <c r="U118" i="23"/>
  <c r="AE228" i="23"/>
  <c r="AD157" i="23"/>
  <c r="R55" i="23"/>
  <c r="AA133" i="23"/>
  <c r="AM95" i="23" s="1"/>
  <c r="AM114" i="23" s="1"/>
  <c r="AM115" i="23" s="1"/>
  <c r="AM116" i="23" s="1"/>
  <c r="AM117" i="23" s="1"/>
  <c r="AM118" i="23" s="1"/>
  <c r="AM119" i="23" s="1"/>
  <c r="AM120" i="23" s="1"/>
  <c r="AB209" i="23"/>
  <c r="BA59" i="23"/>
  <c r="G121" i="23" s="1"/>
  <c r="BB59" i="23"/>
  <c r="H121" i="23" s="1"/>
  <c r="BC59" i="23"/>
  <c r="I121" i="23" s="1"/>
  <c r="BD59" i="23"/>
  <c r="J121" i="23" s="1"/>
  <c r="D216" i="23"/>
  <c r="O216" i="23" s="1"/>
  <c r="Z216" i="23" s="1"/>
  <c r="E216" i="23"/>
  <c r="P216" i="23" s="1"/>
  <c r="F216" i="23"/>
  <c r="Q216" i="23" s="1"/>
  <c r="G216" i="23"/>
  <c r="R216" i="23" s="1"/>
  <c r="H216" i="23"/>
  <c r="S216" i="23" s="1"/>
  <c r="I216" i="23"/>
  <c r="T216" i="23" s="1"/>
  <c r="J216" i="23"/>
  <c r="U216" i="23" s="1"/>
  <c r="AF161" i="23"/>
  <c r="E141" i="23"/>
  <c r="P141" i="23" s="1"/>
  <c r="AA141" i="23" s="1"/>
  <c r="AM103" i="23" s="1"/>
  <c r="F141" i="23"/>
  <c r="Q141" i="23" s="1"/>
  <c r="AB141" i="23" s="1"/>
  <c r="T118" i="23"/>
  <c r="AC157" i="23"/>
  <c r="S55" i="23"/>
  <c r="E146" i="23"/>
  <c r="P146" i="23" s="1"/>
  <c r="AA146" i="23" s="1"/>
  <c r="AM108" i="23" s="1"/>
  <c r="F146" i="23"/>
  <c r="Q146" i="23" s="1"/>
  <c r="AB146" i="23" s="1"/>
  <c r="T128" i="23"/>
  <c r="Z209" i="23"/>
  <c r="H58" i="23"/>
  <c r="S119" i="23"/>
  <c r="E140" i="23"/>
  <c r="F140" i="23"/>
  <c r="R53" i="23"/>
  <c r="AA209" i="23"/>
  <c r="BB60" i="23"/>
  <c r="H122" i="23" s="1"/>
  <c r="F217" i="23"/>
  <c r="Q217" i="23" s="1"/>
  <c r="BC60" i="23"/>
  <c r="I122" i="23" s="1"/>
  <c r="BD60" i="23"/>
  <c r="J122" i="23" s="1"/>
  <c r="I217" i="23"/>
  <c r="T217" i="23" s="1"/>
  <c r="J217" i="23"/>
  <c r="U217" i="23" s="1"/>
  <c r="BA60" i="23"/>
  <c r="G122" i="23" s="1"/>
  <c r="E217" i="23"/>
  <c r="P217" i="23" s="1"/>
  <c r="G217" i="23"/>
  <c r="R217" i="23" s="1"/>
  <c r="H217" i="23"/>
  <c r="S217" i="23" s="1"/>
  <c r="D217" i="23"/>
  <c r="O217" i="23" s="1"/>
  <c r="Z217" i="23" s="1"/>
  <c r="Z228" i="23"/>
  <c r="AE161" i="23"/>
  <c r="AD152" i="23"/>
  <c r="H57" i="23"/>
  <c r="S118" i="23"/>
  <c r="S59" i="23"/>
  <c r="AB157" i="23"/>
  <c r="AB164" i="23" l="1"/>
  <c r="AA164" i="23"/>
  <c r="AN107" i="23" s="1"/>
  <c r="AF164" i="23"/>
  <c r="AC164" i="23"/>
  <c r="AE164" i="23"/>
  <c r="AD164" i="23"/>
  <c r="AA220" i="23"/>
  <c r="AB220" i="23"/>
  <c r="AD162" i="23"/>
  <c r="AC162" i="23"/>
  <c r="AB162" i="23"/>
  <c r="AE162" i="23"/>
  <c r="AF162" i="23"/>
  <c r="AD221" i="23"/>
  <c r="AB221" i="23"/>
  <c r="AB240" i="23"/>
  <c r="AA240" i="23"/>
  <c r="AN95" i="23"/>
  <c r="AN114" i="23" s="1"/>
  <c r="AN115" i="23" s="1"/>
  <c r="AN116" i="23" s="1"/>
  <c r="AN117" i="23" s="1"/>
  <c r="AR109" i="23"/>
  <c r="AQ95" i="23"/>
  <c r="AQ114" i="23" s="1"/>
  <c r="AQ115" i="23" s="1"/>
  <c r="AQ116" i="23" s="1"/>
  <c r="AQ117" i="23" s="1"/>
  <c r="H74" i="23"/>
  <c r="H75" i="23" s="1"/>
  <c r="H76" i="23" s="1"/>
  <c r="H77" i="23" s="1"/>
  <c r="H78" i="23" s="1"/>
  <c r="AR99" i="23"/>
  <c r="AR104" i="23"/>
  <c r="AR95" i="23"/>
  <c r="AR114" i="23" s="1"/>
  <c r="AR115" i="23" s="1"/>
  <c r="AR116" i="23" s="1"/>
  <c r="AR117" i="23" s="1"/>
  <c r="AA165" i="23"/>
  <c r="AB165" i="23"/>
  <c r="AA162" i="23"/>
  <c r="AN105" i="23" s="1"/>
  <c r="AD235" i="23"/>
  <c r="S53" i="23"/>
  <c r="S72" i="23" s="1"/>
  <c r="S73" i="23" s="1"/>
  <c r="S74" i="23" s="1"/>
  <c r="S75" i="23" s="1"/>
  <c r="AE240" i="23"/>
  <c r="AC240" i="23"/>
  <c r="AF240" i="23"/>
  <c r="AD240" i="23"/>
  <c r="AQ109" i="23"/>
  <c r="AD219" i="23"/>
  <c r="G65" i="23"/>
  <c r="AE221" i="23"/>
  <c r="AA221" i="23"/>
  <c r="AQ107" i="23" s="1"/>
  <c r="AA216" i="23"/>
  <c r="AF219" i="23"/>
  <c r="AE219" i="23"/>
  <c r="AC219" i="23"/>
  <c r="AN99" i="23"/>
  <c r="AB219" i="23"/>
  <c r="AB160" i="23"/>
  <c r="AA219" i="23"/>
  <c r="H65" i="23"/>
  <c r="AB235" i="23"/>
  <c r="AC160" i="23"/>
  <c r="AC235" i="23"/>
  <c r="AE235" i="23"/>
  <c r="AF235" i="23"/>
  <c r="S224" i="23"/>
  <c r="G12" i="27" s="1"/>
  <c r="AD239" i="23"/>
  <c r="AQ100" i="23"/>
  <c r="AE186" i="23"/>
  <c r="AQ104" i="23"/>
  <c r="AQ99" i="23"/>
  <c r="AR100" i="23"/>
  <c r="AC236" i="23"/>
  <c r="AB236" i="23"/>
  <c r="AD181" i="23"/>
  <c r="S186" i="23"/>
  <c r="AC181" i="23"/>
  <c r="AO105" i="23" s="1"/>
  <c r="AO124" i="23" s="1"/>
  <c r="AO125" i="23" s="1"/>
  <c r="AO126" i="23" s="1"/>
  <c r="AO127" i="23" s="1"/>
  <c r="AO128" i="23" s="1"/>
  <c r="AO129" i="23" s="1"/>
  <c r="R186" i="23"/>
  <c r="U181" i="23"/>
  <c r="J186" i="23"/>
  <c r="I10" i="9" s="1"/>
  <c r="AA235" i="23"/>
  <c r="AB239" i="23"/>
  <c r="AC239" i="23"/>
  <c r="U224" i="23"/>
  <c r="I12" i="27" s="1"/>
  <c r="T167" i="23"/>
  <c r="H10" i="27" s="1"/>
  <c r="AF239" i="23"/>
  <c r="AF236" i="23"/>
  <c r="AA160" i="23"/>
  <c r="AN103" i="23" s="1"/>
  <c r="AE239" i="23"/>
  <c r="AE236" i="23"/>
  <c r="AB238" i="23"/>
  <c r="AE241" i="23"/>
  <c r="AE222" i="23"/>
  <c r="AD217" i="23"/>
  <c r="J129" i="23"/>
  <c r="I7" i="9" s="1"/>
  <c r="G129" i="23"/>
  <c r="F7" i="9" s="1"/>
  <c r="Q167" i="23"/>
  <c r="AF220" i="23"/>
  <c r="AF222" i="23"/>
  <c r="AC241" i="23"/>
  <c r="T224" i="23"/>
  <c r="H12" i="27" s="1"/>
  <c r="J167" i="23"/>
  <c r="I9" i="9" s="1"/>
  <c r="AE220" i="23"/>
  <c r="AF159" i="23"/>
  <c r="AF241" i="23"/>
  <c r="AD241" i="23"/>
  <c r="AB241" i="23"/>
  <c r="G243" i="23"/>
  <c r="F13" i="9" s="1"/>
  <c r="J224" i="23"/>
  <c r="I12" i="9" s="1"/>
  <c r="AB217" i="23"/>
  <c r="AD220" i="23"/>
  <c r="AA239" i="23"/>
  <c r="AC220" i="23"/>
  <c r="S62" i="23"/>
  <c r="AC163" i="23"/>
  <c r="S65" i="23"/>
  <c r="F224" i="23"/>
  <c r="E12" i="9" s="1"/>
  <c r="Q140" i="23"/>
  <c r="F148" i="23"/>
  <c r="E8" i="9" s="1"/>
  <c r="S58" i="23"/>
  <c r="AD236" i="23"/>
  <c r="AA163" i="23"/>
  <c r="I224" i="23"/>
  <c r="H12" i="9" s="1"/>
  <c r="D167" i="23"/>
  <c r="C9" i="9" s="1"/>
  <c r="P140" i="23"/>
  <c r="E148" i="23"/>
  <c r="D8" i="9" s="1"/>
  <c r="R58" i="23"/>
  <c r="R67" i="23"/>
  <c r="D224" i="23"/>
  <c r="C12" i="9" s="1"/>
  <c r="D243" i="23"/>
  <c r="C13" i="9" s="1"/>
  <c r="T243" i="23"/>
  <c r="F243" i="23"/>
  <c r="E13" i="9" s="1"/>
  <c r="J243" i="23"/>
  <c r="I13" i="9" s="1"/>
  <c r="AD163" i="23"/>
  <c r="S57" i="23"/>
  <c r="H64" i="23"/>
  <c r="S125" i="23"/>
  <c r="O224" i="23"/>
  <c r="H63" i="23"/>
  <c r="S124" i="23"/>
  <c r="U243" i="23"/>
  <c r="G64" i="23"/>
  <c r="R125" i="23"/>
  <c r="H224" i="23"/>
  <c r="G12" i="9" s="1"/>
  <c r="G60" i="23"/>
  <c r="R121" i="23"/>
  <c r="R62" i="23"/>
  <c r="U125" i="23"/>
  <c r="AE159" i="23"/>
  <c r="O167" i="23"/>
  <c r="AD222" i="23"/>
  <c r="R243" i="23"/>
  <c r="R65" i="23"/>
  <c r="P167" i="23"/>
  <c r="O243" i="23"/>
  <c r="H61" i="23"/>
  <c r="S122" i="23"/>
  <c r="Q224" i="23"/>
  <c r="T125" i="23"/>
  <c r="T122" i="23"/>
  <c r="G63" i="23"/>
  <c r="R124" i="23"/>
  <c r="F167" i="23"/>
  <c r="E9" i="9" s="1"/>
  <c r="S159" i="23"/>
  <c r="H167" i="23"/>
  <c r="G9" i="9" s="1"/>
  <c r="R224" i="23"/>
  <c r="R57" i="23"/>
  <c r="AA238" i="23"/>
  <c r="R72" i="23"/>
  <c r="R73" i="23" s="1"/>
  <c r="R74" i="23" s="1"/>
  <c r="R75" i="23" s="1"/>
  <c r="U167" i="23"/>
  <c r="G76" i="23"/>
  <c r="G77" i="23" s="1"/>
  <c r="G78" i="23" s="1"/>
  <c r="S243" i="23"/>
  <c r="AE163" i="23"/>
  <c r="I167" i="23"/>
  <c r="H9" i="9" s="1"/>
  <c r="AA236" i="23"/>
  <c r="G224" i="23"/>
  <c r="F12" i="9" s="1"/>
  <c r="R159" i="23"/>
  <c r="G167" i="23"/>
  <c r="F9" i="9" s="1"/>
  <c r="S67" i="23"/>
  <c r="AB222" i="23"/>
  <c r="AF216" i="23"/>
  <c r="H66" i="23"/>
  <c r="S127" i="23"/>
  <c r="AB163" i="23"/>
  <c r="P243" i="23"/>
  <c r="Q243" i="23"/>
  <c r="U124" i="23"/>
  <c r="AA159" i="23"/>
  <c r="H243" i="23"/>
  <c r="G13" i="9" s="1"/>
  <c r="U127" i="23"/>
  <c r="AE216" i="23"/>
  <c r="AF165" i="23"/>
  <c r="AF238" i="23"/>
  <c r="E224" i="23"/>
  <c r="D12" i="9" s="1"/>
  <c r="G66" i="23"/>
  <c r="R127" i="23"/>
  <c r="I243" i="23"/>
  <c r="H13" i="9" s="1"/>
  <c r="P224" i="23"/>
  <c r="T124" i="23"/>
  <c r="AC217" i="23"/>
  <c r="AC222" i="23"/>
  <c r="AQ108" i="23" s="1"/>
  <c r="G61" i="23"/>
  <c r="R122" i="23"/>
  <c r="T127" i="23"/>
  <c r="AE165" i="23"/>
  <c r="AE238" i="23"/>
  <c r="E243" i="23"/>
  <c r="D13" i="9" s="1"/>
  <c r="AF160" i="23"/>
  <c r="AA241" i="23"/>
  <c r="AR108" i="23" s="1"/>
  <c r="U121" i="23"/>
  <c r="T121" i="23"/>
  <c r="I129" i="23"/>
  <c r="H7" i="9" s="1"/>
  <c r="AF163" i="23"/>
  <c r="E167" i="23"/>
  <c r="D9" i="9" s="1"/>
  <c r="AB159" i="23"/>
  <c r="AA217" i="23"/>
  <c r="AQ103" i="23" s="1"/>
  <c r="AF217" i="23"/>
  <c r="AD216" i="23"/>
  <c r="AE217" i="23"/>
  <c r="AC216" i="23"/>
  <c r="AD165" i="23"/>
  <c r="AD238" i="23"/>
  <c r="AE160" i="23"/>
  <c r="H60" i="23"/>
  <c r="S121" i="23"/>
  <c r="H129" i="23"/>
  <c r="G7" i="9" s="1"/>
  <c r="U122" i="23"/>
  <c r="AB216" i="23"/>
  <c r="AC165" i="23"/>
  <c r="AC238" i="23"/>
  <c r="AD160" i="23"/>
  <c r="AQ106" i="23" l="1"/>
  <c r="AQ118" i="23"/>
  <c r="AR107" i="23"/>
  <c r="AN118" i="23"/>
  <c r="AN119" i="23" s="1"/>
  <c r="AN120" i="23" s="1"/>
  <c r="AQ102" i="23"/>
  <c r="AQ105" i="23"/>
  <c r="AN106" i="23"/>
  <c r="AR118" i="23"/>
  <c r="AR119" i="23" s="1"/>
  <c r="AR120" i="23" s="1"/>
  <c r="AR106" i="23"/>
  <c r="AR102" i="23"/>
  <c r="AN108" i="23"/>
  <c r="AD224" i="23"/>
  <c r="AQ119" i="23"/>
  <c r="AQ120" i="23" s="1"/>
  <c r="AR103" i="23"/>
  <c r="AE167" i="23"/>
  <c r="AR105" i="23"/>
  <c r="AB167" i="23"/>
  <c r="AF181" i="23"/>
  <c r="U186" i="23"/>
  <c r="AF224" i="23"/>
  <c r="F11" i="27"/>
  <c r="AC186" i="23"/>
  <c r="AO110" i="23" s="1"/>
  <c r="R76" i="23"/>
  <c r="R77" i="23" s="1"/>
  <c r="R78" i="23" s="1"/>
  <c r="AD186" i="23"/>
  <c r="G11" i="27"/>
  <c r="E10" i="27"/>
  <c r="G68" i="23"/>
  <c r="S76" i="23"/>
  <c r="S77" i="23" s="1"/>
  <c r="S78" i="23" s="1"/>
  <c r="H68" i="23"/>
  <c r="F14" i="9"/>
  <c r="T129" i="23"/>
  <c r="H7" i="27" s="1"/>
  <c r="R66" i="23"/>
  <c r="AD159" i="23"/>
  <c r="S167" i="23"/>
  <c r="R63" i="23"/>
  <c r="AE243" i="23"/>
  <c r="H13" i="27"/>
  <c r="R64" i="23"/>
  <c r="R60" i="23"/>
  <c r="R129" i="23"/>
  <c r="AD243" i="23"/>
  <c r="G13" i="27"/>
  <c r="S61" i="23"/>
  <c r="AC159" i="23"/>
  <c r="AN102" i="23" s="1"/>
  <c r="R167" i="23"/>
  <c r="AB140" i="23"/>
  <c r="Q148" i="23"/>
  <c r="F12" i="27"/>
  <c r="AC224" i="23"/>
  <c r="S60" i="23"/>
  <c r="S129" i="23"/>
  <c r="D10" i="27"/>
  <c r="AA167" i="23"/>
  <c r="AB243" i="23"/>
  <c r="E13" i="27"/>
  <c r="AF243" i="23"/>
  <c r="I13" i="27"/>
  <c r="H79" i="23"/>
  <c r="H80" i="23" s="1"/>
  <c r="H81" i="23" s="1"/>
  <c r="H82" i="23" s="1"/>
  <c r="H83" i="23" s="1"/>
  <c r="H84" i="23" s="1"/>
  <c r="H85" i="23" s="1"/>
  <c r="H86" i="23" s="1"/>
  <c r="H87" i="23" s="1"/>
  <c r="S63" i="23"/>
  <c r="AA243" i="23"/>
  <c r="D13" i="27"/>
  <c r="U129" i="23"/>
  <c r="AA140" i="23"/>
  <c r="AM102" i="23" s="1"/>
  <c r="AM121" i="23" s="1"/>
  <c r="AM122" i="23" s="1"/>
  <c r="AM123" i="23" s="1"/>
  <c r="AM124" i="23" s="1"/>
  <c r="AM125" i="23" s="1"/>
  <c r="AM126" i="23" s="1"/>
  <c r="AM127" i="23" s="1"/>
  <c r="AM128" i="23" s="1"/>
  <c r="AM129" i="23" s="1"/>
  <c r="P148" i="23"/>
  <c r="C12" i="27"/>
  <c r="Z224" i="23"/>
  <c r="S66" i="23"/>
  <c r="S64" i="23"/>
  <c r="D12" i="27"/>
  <c r="AA224" i="23"/>
  <c r="AC243" i="23"/>
  <c r="F13" i="27"/>
  <c r="AE224" i="23"/>
  <c r="R61" i="23"/>
  <c r="G14" i="9"/>
  <c r="Z243" i="23"/>
  <c r="C13" i="27"/>
  <c r="E12" i="27"/>
  <c r="AB224" i="23"/>
  <c r="G79" i="23"/>
  <c r="G80" i="23" s="1"/>
  <c r="G81" i="23" s="1"/>
  <c r="G82" i="23" s="1"/>
  <c r="G83" i="23" s="1"/>
  <c r="G84" i="23" s="1"/>
  <c r="G85" i="23" s="1"/>
  <c r="G86" i="23" s="1"/>
  <c r="G87" i="23" s="1"/>
  <c r="I10" i="27"/>
  <c r="AF167" i="23"/>
  <c r="C10" i="27"/>
  <c r="Z167" i="23"/>
  <c r="AQ121" i="23" l="1"/>
  <c r="AQ122" i="23" s="1"/>
  <c r="AQ123" i="23" s="1"/>
  <c r="AQ124" i="23" s="1"/>
  <c r="AQ125" i="23" s="1"/>
  <c r="AQ126" i="23" s="1"/>
  <c r="AQ127" i="23" s="1"/>
  <c r="AQ128" i="23" s="1"/>
  <c r="AQ129" i="23" s="1"/>
  <c r="AN121" i="23"/>
  <c r="AN122" i="23" s="1"/>
  <c r="AN123" i="23" s="1"/>
  <c r="AN124" i="23" s="1"/>
  <c r="AN125" i="23" s="1"/>
  <c r="AN126" i="23" s="1"/>
  <c r="AN127" i="23" s="1"/>
  <c r="AN128" i="23" s="1"/>
  <c r="AN129" i="23" s="1"/>
  <c r="AR121" i="23"/>
  <c r="AR122" i="23" s="1"/>
  <c r="AR123" i="23" s="1"/>
  <c r="AR124" i="23" s="1"/>
  <c r="AR125" i="23" s="1"/>
  <c r="AR126" i="23" s="1"/>
  <c r="AR127" i="23" s="1"/>
  <c r="AR128" i="23" s="1"/>
  <c r="AR129" i="23" s="1"/>
  <c r="AR110" i="23"/>
  <c r="AQ110" i="23"/>
  <c r="I11" i="27"/>
  <c r="AF186" i="23"/>
  <c r="G7" i="27"/>
  <c r="F10" i="27"/>
  <c r="AC167" i="23"/>
  <c r="AN110" i="23" s="1"/>
  <c r="G10" i="27"/>
  <c r="AD167" i="23"/>
  <c r="F7" i="27"/>
  <c r="R68" i="23"/>
  <c r="I7" i="27"/>
  <c r="S68" i="23"/>
  <c r="AB148" i="23"/>
  <c r="E8" i="27"/>
  <c r="S79" i="23"/>
  <c r="S80" i="23" s="1"/>
  <c r="S81" i="23" s="1"/>
  <c r="S82" i="23" s="1"/>
  <c r="S83" i="23" s="1"/>
  <c r="S84" i="23" s="1"/>
  <c r="S85" i="23" s="1"/>
  <c r="S86" i="23" s="1"/>
  <c r="S87" i="23" s="1"/>
  <c r="AA148" i="23"/>
  <c r="AM110" i="23" s="1"/>
  <c r="D8" i="27"/>
  <c r="R79" i="23"/>
  <c r="R80" i="23" s="1"/>
  <c r="R81" i="23" s="1"/>
  <c r="R82" i="23" s="1"/>
  <c r="R83" i="23" s="1"/>
  <c r="R84" i="23" s="1"/>
  <c r="R85" i="23" s="1"/>
  <c r="R86" i="23" s="1"/>
  <c r="R87" i="23" s="1"/>
  <c r="F14" i="27" l="1"/>
  <c r="G14" i="27"/>
  <c r="AK94" i="23" l="1"/>
  <c r="AS94" i="23" s="1"/>
  <c r="AS113" i="23" s="1"/>
  <c r="AK95" i="23"/>
  <c r="AK99" i="23"/>
  <c r="AK98" i="23"/>
  <c r="AK97" i="23"/>
  <c r="AK96" i="23"/>
  <c r="AK110" i="23"/>
  <c r="AP108" i="23"/>
  <c r="AP103" i="23"/>
  <c r="AP106" i="23"/>
  <c r="AP102" i="23"/>
  <c r="AP105" i="23"/>
  <c r="AP104" i="23"/>
  <c r="AP109" i="23"/>
  <c r="AP107" i="23"/>
  <c r="AP100" i="23"/>
  <c r="AP101" i="23"/>
  <c r="AP110" i="23"/>
  <c r="AP95" i="23"/>
  <c r="AP114" i="23" s="1"/>
  <c r="AP96" i="23"/>
  <c r="AP97" i="23"/>
  <c r="AP98" i="23"/>
  <c r="AP99" i="23"/>
  <c r="AK113" i="23" l="1"/>
  <c r="AK114" i="23" s="1"/>
  <c r="AK115" i="23" s="1"/>
  <c r="AK116" i="23" s="1"/>
  <c r="AK117" i="23" s="1"/>
  <c r="AK118" i="23" s="1"/>
  <c r="AK119" i="23" s="1"/>
  <c r="AK120" i="23" s="1"/>
  <c r="AK121" i="23" s="1"/>
  <c r="AK122" i="23" s="1"/>
  <c r="AK123" i="23" s="1"/>
  <c r="AK124" i="23" s="1"/>
  <c r="AK125" i="23" s="1"/>
  <c r="AK126" i="23" s="1"/>
  <c r="AK127" i="23" s="1"/>
  <c r="AK128" i="23" s="1"/>
  <c r="AK129" i="23" s="1"/>
  <c r="AP115" i="23"/>
  <c r="AP116" i="23" s="1"/>
  <c r="AP117" i="23" s="1"/>
  <c r="AP118" i="23" s="1"/>
  <c r="AP119" i="23" s="1"/>
  <c r="AP120" i="23" s="1"/>
  <c r="AP121" i="23" s="1"/>
  <c r="AP122" i="23" s="1"/>
  <c r="AP123" i="23" s="1"/>
  <c r="AP124" i="23" s="1"/>
  <c r="AP125" i="23" s="1"/>
  <c r="AP126" i="23" s="1"/>
  <c r="AP127" i="23" s="1"/>
  <c r="AP128" i="23" s="1"/>
  <c r="AP129" i="23" s="1"/>
  <c r="G3" i="11" l="1"/>
  <c r="L1" i="11" s="1"/>
  <c r="H3" i="11"/>
  <c r="M1" i="11" s="1"/>
  <c r="I3" i="11"/>
  <c r="N1" i="11" s="1"/>
  <c r="J3" i="11"/>
  <c r="O1" i="11" s="1"/>
  <c r="S2" i="23"/>
  <c r="I52" i="23"/>
  <c r="J52" i="23"/>
  <c r="T52" i="23"/>
  <c r="U52" i="23"/>
  <c r="AE52" i="23"/>
  <c r="AF52" i="23"/>
  <c r="AX52" i="23"/>
  <c r="AY52" i="23"/>
  <c r="AZ52" i="23"/>
  <c r="D53" i="23"/>
  <c r="E53" i="23"/>
  <c r="F53" i="23"/>
  <c r="I53" i="23"/>
  <c r="J53" i="23"/>
  <c r="O53" i="23"/>
  <c r="P53" i="23"/>
  <c r="Q53" i="23"/>
  <c r="T53" i="23"/>
  <c r="U53" i="23"/>
  <c r="Z53" i="23"/>
  <c r="AA53" i="23"/>
  <c r="AB53" i="23"/>
  <c r="AC53" i="23"/>
  <c r="AD53" i="23"/>
  <c r="AE53" i="23"/>
  <c r="AF53" i="23"/>
  <c r="AX53" i="23"/>
  <c r="AY53" i="23"/>
  <c r="AZ53" i="23"/>
  <c r="D54" i="23"/>
  <c r="E54" i="23"/>
  <c r="F54" i="23"/>
  <c r="I54" i="23"/>
  <c r="J54" i="23"/>
  <c r="O54" i="23"/>
  <c r="P54" i="23"/>
  <c r="Q54" i="23"/>
  <c r="T54" i="23"/>
  <c r="U54" i="23"/>
  <c r="Z54" i="23"/>
  <c r="AA54" i="23"/>
  <c r="AB54" i="23"/>
  <c r="AC54" i="23"/>
  <c r="AD54" i="23"/>
  <c r="AE54" i="23"/>
  <c r="AF54" i="23"/>
  <c r="AX54" i="23"/>
  <c r="AY54" i="23"/>
  <c r="AZ54" i="23"/>
  <c r="D55" i="23"/>
  <c r="E55" i="23"/>
  <c r="F55" i="23"/>
  <c r="I55" i="23"/>
  <c r="J55" i="23"/>
  <c r="O55" i="23"/>
  <c r="P55" i="23"/>
  <c r="Q55" i="23"/>
  <c r="T55" i="23"/>
  <c r="U55" i="23"/>
  <c r="Z55" i="23"/>
  <c r="AA55" i="23"/>
  <c r="AB55" i="23"/>
  <c r="AC55" i="23"/>
  <c r="AD55" i="23"/>
  <c r="AE55" i="23"/>
  <c r="AF55" i="23"/>
  <c r="AX55" i="23"/>
  <c r="AY55" i="23"/>
  <c r="AZ55" i="23"/>
  <c r="D56" i="23"/>
  <c r="E56" i="23"/>
  <c r="F56" i="23"/>
  <c r="I56" i="23"/>
  <c r="J56" i="23"/>
  <c r="O56" i="23"/>
  <c r="P56" i="23"/>
  <c r="Q56" i="23"/>
  <c r="T56" i="23"/>
  <c r="U56" i="23"/>
  <c r="Z56" i="23"/>
  <c r="AA56" i="23"/>
  <c r="AB56" i="23"/>
  <c r="AC56" i="23"/>
  <c r="AD56" i="23"/>
  <c r="AE56" i="23"/>
  <c r="AF56" i="23"/>
  <c r="AX56" i="23"/>
  <c r="AY56" i="23"/>
  <c r="AZ56" i="23"/>
  <c r="D57" i="23"/>
  <c r="E57" i="23"/>
  <c r="F57" i="23"/>
  <c r="I57" i="23"/>
  <c r="J57" i="23"/>
  <c r="O57" i="23"/>
  <c r="P57" i="23"/>
  <c r="Q57" i="23"/>
  <c r="T57" i="23"/>
  <c r="U57" i="23"/>
  <c r="Z57" i="23"/>
  <c r="AA57" i="23"/>
  <c r="AB57" i="23"/>
  <c r="AC57" i="23"/>
  <c r="AD57" i="23"/>
  <c r="AE57" i="23"/>
  <c r="AF57" i="23"/>
  <c r="AX57" i="23"/>
  <c r="AY57" i="23"/>
  <c r="AZ57" i="23"/>
  <c r="D58" i="23"/>
  <c r="E58" i="23"/>
  <c r="F58" i="23"/>
  <c r="I58" i="23"/>
  <c r="J58" i="23"/>
  <c r="O58" i="23"/>
  <c r="P58" i="23"/>
  <c r="Q58" i="23"/>
  <c r="T58" i="23"/>
  <c r="U58" i="23"/>
  <c r="Z58" i="23"/>
  <c r="AA58" i="23"/>
  <c r="AB58" i="23"/>
  <c r="AC58" i="23"/>
  <c r="AD58" i="23"/>
  <c r="AE58" i="23"/>
  <c r="AF58" i="23"/>
  <c r="AX58" i="23"/>
  <c r="AY58" i="23"/>
  <c r="AZ58" i="23"/>
  <c r="D59" i="23"/>
  <c r="E59" i="23"/>
  <c r="F59" i="23"/>
  <c r="I59" i="23"/>
  <c r="J59" i="23"/>
  <c r="O59" i="23"/>
  <c r="P59" i="23"/>
  <c r="Q59" i="23"/>
  <c r="T59" i="23"/>
  <c r="U59" i="23"/>
  <c r="Z59" i="23"/>
  <c r="AA59" i="23"/>
  <c r="AB59" i="23"/>
  <c r="AC59" i="23"/>
  <c r="AD59" i="23"/>
  <c r="AE59" i="23"/>
  <c r="AF59" i="23"/>
  <c r="AX59" i="23"/>
  <c r="AY59" i="23"/>
  <c r="AZ59" i="23"/>
  <c r="D60" i="23"/>
  <c r="E60" i="23"/>
  <c r="F60" i="23"/>
  <c r="I60" i="23"/>
  <c r="J60" i="23"/>
  <c r="O60" i="23"/>
  <c r="P60" i="23"/>
  <c r="Q60" i="23"/>
  <c r="T60" i="23"/>
  <c r="U60" i="23"/>
  <c r="Z60" i="23"/>
  <c r="AA60" i="23"/>
  <c r="AB60" i="23"/>
  <c r="AC60" i="23"/>
  <c r="AD60" i="23"/>
  <c r="AE60" i="23"/>
  <c r="AF60" i="23"/>
  <c r="AX60" i="23"/>
  <c r="AY60" i="23"/>
  <c r="AZ60" i="23"/>
  <c r="D61" i="23"/>
  <c r="E61" i="23"/>
  <c r="F61" i="23"/>
  <c r="I61" i="23"/>
  <c r="J61" i="23"/>
  <c r="O61" i="23"/>
  <c r="P61" i="23"/>
  <c r="Q61" i="23"/>
  <c r="T61" i="23"/>
  <c r="U61" i="23"/>
  <c r="Z61" i="23"/>
  <c r="AA61" i="23"/>
  <c r="AB61" i="23"/>
  <c r="AC61" i="23"/>
  <c r="AD61" i="23"/>
  <c r="AE61" i="23"/>
  <c r="AF61" i="23"/>
  <c r="AX61" i="23"/>
  <c r="AY61" i="23"/>
  <c r="AZ61" i="23"/>
  <c r="D62" i="23"/>
  <c r="E62" i="23"/>
  <c r="F62" i="23"/>
  <c r="I62" i="23"/>
  <c r="J62" i="23"/>
  <c r="O62" i="23"/>
  <c r="P62" i="23"/>
  <c r="Q62" i="23"/>
  <c r="T62" i="23"/>
  <c r="U62" i="23"/>
  <c r="Z62" i="23"/>
  <c r="AA62" i="23"/>
  <c r="AB62" i="23"/>
  <c r="AC62" i="23"/>
  <c r="AD62" i="23"/>
  <c r="AE62" i="23"/>
  <c r="AF62" i="23"/>
  <c r="AX62" i="23"/>
  <c r="AY62" i="23"/>
  <c r="AZ62" i="23"/>
  <c r="D63" i="23"/>
  <c r="E63" i="23"/>
  <c r="F63" i="23"/>
  <c r="I63" i="23"/>
  <c r="J63" i="23"/>
  <c r="O63" i="23"/>
  <c r="P63" i="23"/>
  <c r="Q63" i="23"/>
  <c r="T63" i="23"/>
  <c r="U63" i="23"/>
  <c r="Z63" i="23"/>
  <c r="AA63" i="23"/>
  <c r="AB63" i="23"/>
  <c r="AC63" i="23"/>
  <c r="AD63" i="23"/>
  <c r="AE63" i="23"/>
  <c r="AF63" i="23"/>
  <c r="AX63" i="23"/>
  <c r="AY63" i="23"/>
  <c r="AZ63" i="23"/>
  <c r="D64" i="23"/>
  <c r="E64" i="23"/>
  <c r="F64" i="23"/>
  <c r="I64" i="23"/>
  <c r="J64" i="23"/>
  <c r="O64" i="23"/>
  <c r="P64" i="23"/>
  <c r="Q64" i="23"/>
  <c r="T64" i="23"/>
  <c r="U64" i="23"/>
  <c r="Z64" i="23"/>
  <c r="AA64" i="23"/>
  <c r="AB64" i="23"/>
  <c r="AC64" i="23"/>
  <c r="AD64" i="23"/>
  <c r="AE64" i="23"/>
  <c r="AF64" i="23"/>
  <c r="AX64" i="23"/>
  <c r="AY64" i="23"/>
  <c r="AZ64" i="23"/>
  <c r="D65" i="23"/>
  <c r="E65" i="23"/>
  <c r="F65" i="23"/>
  <c r="I65" i="23"/>
  <c r="J65" i="23"/>
  <c r="O65" i="23"/>
  <c r="P65" i="23"/>
  <c r="Q65" i="23"/>
  <c r="T65" i="23"/>
  <c r="U65" i="23"/>
  <c r="Z65" i="23"/>
  <c r="AA65" i="23"/>
  <c r="AB65" i="23"/>
  <c r="AC65" i="23"/>
  <c r="AD65" i="23"/>
  <c r="AE65" i="23"/>
  <c r="AF65" i="23"/>
  <c r="AX65" i="23"/>
  <c r="AY65" i="23"/>
  <c r="AZ65" i="23"/>
  <c r="D66" i="23"/>
  <c r="E66" i="23"/>
  <c r="F66" i="23"/>
  <c r="I66" i="23"/>
  <c r="J66" i="23"/>
  <c r="O66" i="23"/>
  <c r="P66" i="23"/>
  <c r="Q66" i="23"/>
  <c r="T66" i="23"/>
  <c r="U66" i="23"/>
  <c r="Z66" i="23"/>
  <c r="AA66" i="23"/>
  <c r="AB66" i="23"/>
  <c r="AC66" i="23"/>
  <c r="AD66" i="23"/>
  <c r="AE66" i="23"/>
  <c r="AF66" i="23"/>
  <c r="AX66" i="23"/>
  <c r="AY66" i="23"/>
  <c r="AZ66" i="23"/>
  <c r="D67" i="23"/>
  <c r="E67" i="23"/>
  <c r="F67" i="23"/>
  <c r="I67" i="23"/>
  <c r="J67" i="23"/>
  <c r="O67" i="23"/>
  <c r="P67" i="23"/>
  <c r="Q67" i="23"/>
  <c r="T67" i="23"/>
  <c r="U67" i="23"/>
  <c r="Z67" i="23"/>
  <c r="AA67" i="23"/>
  <c r="AB67" i="23"/>
  <c r="AC67" i="23"/>
  <c r="AD67" i="23"/>
  <c r="AE67" i="23"/>
  <c r="AF67" i="23"/>
  <c r="D68" i="23"/>
  <c r="E68" i="23"/>
  <c r="F68" i="23"/>
  <c r="I68" i="23"/>
  <c r="J68" i="23"/>
  <c r="O68" i="23"/>
  <c r="P68" i="23"/>
  <c r="Q68" i="23"/>
  <c r="T68" i="23"/>
  <c r="U68" i="23"/>
  <c r="Z68" i="23"/>
  <c r="AA68" i="23"/>
  <c r="AB68" i="23"/>
  <c r="AC68" i="23"/>
  <c r="AD68" i="23"/>
  <c r="AE68" i="23"/>
  <c r="AF68" i="23"/>
  <c r="I71" i="23"/>
  <c r="J71" i="23"/>
  <c r="T71" i="23"/>
  <c r="U71" i="23"/>
  <c r="BE71" i="23"/>
  <c r="D72" i="23"/>
  <c r="E72" i="23"/>
  <c r="F72" i="23"/>
  <c r="I72" i="23"/>
  <c r="J72" i="23"/>
  <c r="O72" i="23"/>
  <c r="P72" i="23"/>
  <c r="Q72" i="23"/>
  <c r="T72" i="23"/>
  <c r="U72" i="23"/>
  <c r="BE72" i="23"/>
  <c r="D73" i="23"/>
  <c r="E73" i="23"/>
  <c r="F73" i="23"/>
  <c r="I73" i="23"/>
  <c r="J73" i="23"/>
  <c r="O73" i="23"/>
  <c r="P73" i="23"/>
  <c r="Q73" i="23"/>
  <c r="T73" i="23"/>
  <c r="U73" i="23"/>
  <c r="BE73" i="23"/>
  <c r="D74" i="23"/>
  <c r="E74" i="23"/>
  <c r="F74" i="23"/>
  <c r="I74" i="23"/>
  <c r="J74" i="23"/>
  <c r="O74" i="23"/>
  <c r="P74" i="23"/>
  <c r="Q74" i="23"/>
  <c r="T74" i="23"/>
  <c r="U74" i="23"/>
  <c r="BE74" i="23"/>
  <c r="D75" i="23"/>
  <c r="E75" i="23"/>
  <c r="F75" i="23"/>
  <c r="I75" i="23"/>
  <c r="J75" i="23"/>
  <c r="O75" i="23"/>
  <c r="P75" i="23"/>
  <c r="Q75" i="23"/>
  <c r="T75" i="23"/>
  <c r="U75" i="23"/>
  <c r="BE75" i="23"/>
  <c r="D76" i="23"/>
  <c r="E76" i="23"/>
  <c r="F76" i="23"/>
  <c r="I76" i="23"/>
  <c r="J76" i="23"/>
  <c r="O76" i="23"/>
  <c r="P76" i="23"/>
  <c r="Q76" i="23"/>
  <c r="T76" i="23"/>
  <c r="U76" i="23"/>
  <c r="BE76" i="23"/>
  <c r="D77" i="23"/>
  <c r="E77" i="23"/>
  <c r="F77" i="23"/>
  <c r="I77" i="23"/>
  <c r="J77" i="23"/>
  <c r="O77" i="23"/>
  <c r="P77" i="23"/>
  <c r="Q77" i="23"/>
  <c r="T77" i="23"/>
  <c r="U77" i="23"/>
  <c r="BE77" i="23"/>
  <c r="D78" i="23"/>
  <c r="E78" i="23"/>
  <c r="F78" i="23"/>
  <c r="I78" i="23"/>
  <c r="J78" i="23"/>
  <c r="O78" i="23"/>
  <c r="P78" i="23"/>
  <c r="Q78" i="23"/>
  <c r="T78" i="23"/>
  <c r="U78" i="23"/>
  <c r="BE78" i="23"/>
  <c r="D79" i="23"/>
  <c r="E79" i="23"/>
  <c r="F79" i="23"/>
  <c r="I79" i="23"/>
  <c r="J79" i="23"/>
  <c r="O79" i="23"/>
  <c r="P79" i="23"/>
  <c r="Q79" i="23"/>
  <c r="T79" i="23"/>
  <c r="U79" i="23"/>
  <c r="BE79" i="23"/>
  <c r="D80" i="23"/>
  <c r="E80" i="23"/>
  <c r="F80" i="23"/>
  <c r="I80" i="23"/>
  <c r="J80" i="23"/>
  <c r="O80" i="23"/>
  <c r="P80" i="23"/>
  <c r="Q80" i="23"/>
  <c r="T80" i="23"/>
  <c r="U80" i="23"/>
  <c r="BE80" i="23"/>
  <c r="D81" i="23"/>
  <c r="E81" i="23"/>
  <c r="F81" i="23"/>
  <c r="I81" i="23"/>
  <c r="J81" i="23"/>
  <c r="O81" i="23"/>
  <c r="P81" i="23"/>
  <c r="Q81" i="23"/>
  <c r="T81" i="23"/>
  <c r="U81" i="23"/>
  <c r="BE81" i="23"/>
  <c r="D82" i="23"/>
  <c r="E82" i="23"/>
  <c r="F82" i="23"/>
  <c r="I82" i="23"/>
  <c r="J82" i="23"/>
  <c r="O82" i="23"/>
  <c r="P82" i="23"/>
  <c r="Q82" i="23"/>
  <c r="T82" i="23"/>
  <c r="U82" i="23"/>
  <c r="BE82" i="23"/>
  <c r="D83" i="23"/>
  <c r="E83" i="23"/>
  <c r="F83" i="23"/>
  <c r="I83" i="23"/>
  <c r="J83" i="23"/>
  <c r="O83" i="23"/>
  <c r="P83" i="23"/>
  <c r="Q83" i="23"/>
  <c r="T83" i="23"/>
  <c r="U83" i="23"/>
  <c r="BE83" i="23"/>
  <c r="D84" i="23"/>
  <c r="E84" i="23"/>
  <c r="F84" i="23"/>
  <c r="I84" i="23"/>
  <c r="J84" i="23"/>
  <c r="O84" i="23"/>
  <c r="P84" i="23"/>
  <c r="Q84" i="23"/>
  <c r="T84" i="23"/>
  <c r="U84" i="23"/>
  <c r="BE84" i="23"/>
  <c r="D85" i="23"/>
  <c r="E85" i="23"/>
  <c r="F85" i="23"/>
  <c r="I85" i="23"/>
  <c r="J85" i="23"/>
  <c r="O85" i="23"/>
  <c r="P85" i="23"/>
  <c r="Q85" i="23"/>
  <c r="T85" i="23"/>
  <c r="U85" i="23"/>
  <c r="BE85" i="23"/>
  <c r="D86" i="23"/>
  <c r="E86" i="23"/>
  <c r="F86" i="23"/>
  <c r="I86" i="23"/>
  <c r="J86" i="23"/>
  <c r="O86" i="23"/>
  <c r="P86" i="23"/>
  <c r="Q86" i="23"/>
  <c r="T86" i="23"/>
  <c r="U86" i="23"/>
  <c r="D87" i="23"/>
  <c r="E87" i="23"/>
  <c r="F87" i="23"/>
  <c r="I87" i="23"/>
  <c r="J87" i="23"/>
  <c r="O87" i="23"/>
  <c r="P87" i="23"/>
  <c r="Q87" i="23"/>
  <c r="T87" i="23"/>
  <c r="U87" i="23"/>
  <c r="I94" i="23"/>
  <c r="J94" i="23"/>
  <c r="T94" i="23"/>
  <c r="U94" i="23"/>
  <c r="AE94" i="23"/>
  <c r="AF94" i="23"/>
  <c r="BE94" i="23"/>
  <c r="I95" i="23"/>
  <c r="J95" i="23"/>
  <c r="T95" i="23"/>
  <c r="U95" i="23"/>
  <c r="AE95" i="23"/>
  <c r="AF95" i="23"/>
  <c r="AL95" i="23"/>
  <c r="AS95" i="23"/>
  <c r="BE95" i="23"/>
  <c r="I96" i="23"/>
  <c r="J96" i="23"/>
  <c r="T96" i="23"/>
  <c r="U96" i="23"/>
  <c r="AE96" i="23"/>
  <c r="AF96" i="23"/>
  <c r="AL96" i="23"/>
  <c r="AS96" i="23"/>
  <c r="BE96" i="23"/>
  <c r="I97" i="23"/>
  <c r="J97" i="23"/>
  <c r="T97" i="23"/>
  <c r="U97" i="23"/>
  <c r="AE97" i="23"/>
  <c r="AF97" i="23"/>
  <c r="AL97" i="23"/>
  <c r="AS97" i="23"/>
  <c r="BE97" i="23"/>
  <c r="I98" i="23"/>
  <c r="J98" i="23"/>
  <c r="T98" i="23"/>
  <c r="U98" i="23"/>
  <c r="AE98" i="23"/>
  <c r="AF98" i="23"/>
  <c r="AL98" i="23"/>
  <c r="AS98" i="23"/>
  <c r="BE98" i="23"/>
  <c r="I99" i="23"/>
  <c r="J99" i="23"/>
  <c r="T99" i="23"/>
  <c r="U99" i="23"/>
  <c r="AE99" i="23"/>
  <c r="AF99" i="23"/>
  <c r="AL99" i="23"/>
  <c r="AS99" i="23"/>
  <c r="BE99" i="23"/>
  <c r="AL100" i="23"/>
  <c r="AS100" i="23"/>
  <c r="BE100" i="23"/>
  <c r="AL101" i="23"/>
  <c r="AS101" i="23"/>
  <c r="BE101" i="23"/>
  <c r="AL102" i="23"/>
  <c r="AS102" i="23"/>
  <c r="BE102" i="23"/>
  <c r="AL103" i="23"/>
  <c r="AS103" i="23"/>
  <c r="BE103" i="23"/>
  <c r="AL104" i="23"/>
  <c r="AS104" i="23"/>
  <c r="BE104" i="23"/>
  <c r="AL105" i="23"/>
  <c r="AS105" i="23"/>
  <c r="BE105" i="23"/>
  <c r="AL106" i="23"/>
  <c r="AS106" i="23"/>
  <c r="BE106" i="23"/>
  <c r="AL107" i="23"/>
  <c r="AS107" i="23"/>
  <c r="BE107" i="23"/>
  <c r="AL108" i="23"/>
  <c r="AS108" i="23"/>
  <c r="BE108" i="23"/>
  <c r="AL109" i="23"/>
  <c r="AS109" i="23"/>
  <c r="I110" i="23"/>
  <c r="J110" i="23"/>
  <c r="T110" i="23"/>
  <c r="U110" i="23"/>
  <c r="AE110" i="23"/>
  <c r="AF110" i="23"/>
  <c r="AL110" i="23"/>
  <c r="AS110" i="23"/>
  <c r="D114" i="23"/>
  <c r="E114" i="23"/>
  <c r="F114" i="23"/>
  <c r="O114" i="23"/>
  <c r="P114" i="23"/>
  <c r="Q114" i="23"/>
  <c r="Z114" i="23"/>
  <c r="AA114" i="23"/>
  <c r="AB114" i="23"/>
  <c r="AC114" i="23"/>
  <c r="AD114" i="23"/>
  <c r="AE114" i="23"/>
  <c r="AF114" i="23"/>
  <c r="AL114" i="23"/>
  <c r="AS114" i="23"/>
  <c r="D115" i="23"/>
  <c r="E115" i="23"/>
  <c r="F115" i="23"/>
  <c r="O115" i="23"/>
  <c r="P115" i="23"/>
  <c r="Q115" i="23"/>
  <c r="Z115" i="23"/>
  <c r="AA115" i="23"/>
  <c r="AB115" i="23"/>
  <c r="AC115" i="23"/>
  <c r="AD115" i="23"/>
  <c r="AE115" i="23"/>
  <c r="AF115" i="23"/>
  <c r="AL115" i="23"/>
  <c r="AS115" i="23"/>
  <c r="D116" i="23"/>
  <c r="E116" i="23"/>
  <c r="F116" i="23"/>
  <c r="O116" i="23"/>
  <c r="P116" i="23"/>
  <c r="Q116" i="23"/>
  <c r="Z116" i="23"/>
  <c r="AA116" i="23"/>
  <c r="AB116" i="23"/>
  <c r="AC116" i="23"/>
  <c r="AD116" i="23"/>
  <c r="AE116" i="23"/>
  <c r="AF116" i="23"/>
  <c r="AL116" i="23"/>
  <c r="AS116" i="23"/>
  <c r="D117" i="23"/>
  <c r="E117" i="23"/>
  <c r="F117" i="23"/>
  <c r="O117" i="23"/>
  <c r="P117" i="23"/>
  <c r="Q117" i="23"/>
  <c r="Z117" i="23"/>
  <c r="AA117" i="23"/>
  <c r="AB117" i="23"/>
  <c r="AC117" i="23"/>
  <c r="AD117" i="23"/>
  <c r="AE117" i="23"/>
  <c r="AF117" i="23"/>
  <c r="AL117" i="23"/>
  <c r="AS117" i="23"/>
  <c r="D118" i="23"/>
  <c r="E118" i="23"/>
  <c r="F118" i="23"/>
  <c r="O118" i="23"/>
  <c r="P118" i="23"/>
  <c r="Q118" i="23"/>
  <c r="Z118" i="23"/>
  <c r="AA118" i="23"/>
  <c r="AB118" i="23"/>
  <c r="AC118" i="23"/>
  <c r="AD118" i="23"/>
  <c r="AE118" i="23"/>
  <c r="AF118" i="23"/>
  <c r="AL118" i="23"/>
  <c r="AS118" i="23"/>
  <c r="D119" i="23"/>
  <c r="E119" i="23"/>
  <c r="F119" i="23"/>
  <c r="O119" i="23"/>
  <c r="P119" i="23"/>
  <c r="Q119" i="23"/>
  <c r="Z119" i="23"/>
  <c r="AA119" i="23"/>
  <c r="AB119" i="23"/>
  <c r="AC119" i="23"/>
  <c r="AD119" i="23"/>
  <c r="AE119" i="23"/>
  <c r="AF119" i="23"/>
  <c r="AL119" i="23"/>
  <c r="AS119" i="23"/>
  <c r="D120" i="23"/>
  <c r="E120" i="23"/>
  <c r="F120" i="23"/>
  <c r="O120" i="23"/>
  <c r="P120" i="23"/>
  <c r="Q120" i="23"/>
  <c r="Z120" i="23"/>
  <c r="AA120" i="23"/>
  <c r="AB120" i="23"/>
  <c r="AC120" i="23"/>
  <c r="AD120" i="23"/>
  <c r="AE120" i="23"/>
  <c r="AF120" i="23"/>
  <c r="AL120" i="23"/>
  <c r="AS120" i="23"/>
  <c r="D121" i="23"/>
  <c r="E121" i="23"/>
  <c r="F121" i="23"/>
  <c r="O121" i="23"/>
  <c r="P121" i="23"/>
  <c r="Q121" i="23"/>
  <c r="Z121" i="23"/>
  <c r="AA121" i="23"/>
  <c r="AB121" i="23"/>
  <c r="AC121" i="23"/>
  <c r="AD121" i="23"/>
  <c r="AE121" i="23"/>
  <c r="AF121" i="23"/>
  <c r="AL121" i="23"/>
  <c r="AS121" i="23"/>
  <c r="D122" i="23"/>
  <c r="E122" i="23"/>
  <c r="F122" i="23"/>
  <c r="O122" i="23"/>
  <c r="P122" i="23"/>
  <c r="Q122" i="23"/>
  <c r="Z122" i="23"/>
  <c r="AA122" i="23"/>
  <c r="AB122" i="23"/>
  <c r="AC122" i="23"/>
  <c r="AD122" i="23"/>
  <c r="AE122" i="23"/>
  <c r="AF122" i="23"/>
  <c r="AL122" i="23"/>
  <c r="AS122" i="23"/>
  <c r="D123" i="23"/>
  <c r="E123" i="23"/>
  <c r="F123" i="23"/>
  <c r="O123" i="23"/>
  <c r="P123" i="23"/>
  <c r="Q123" i="23"/>
  <c r="Z123" i="23"/>
  <c r="AA123" i="23"/>
  <c r="AB123" i="23"/>
  <c r="AC123" i="23"/>
  <c r="AD123" i="23"/>
  <c r="AE123" i="23"/>
  <c r="AF123" i="23"/>
  <c r="AL123" i="23"/>
  <c r="AS123" i="23"/>
  <c r="D124" i="23"/>
  <c r="E124" i="23"/>
  <c r="F124" i="23"/>
  <c r="O124" i="23"/>
  <c r="P124" i="23"/>
  <c r="Q124" i="23"/>
  <c r="Z124" i="23"/>
  <c r="AA124" i="23"/>
  <c r="AB124" i="23"/>
  <c r="AC124" i="23"/>
  <c r="AD124" i="23"/>
  <c r="AE124" i="23"/>
  <c r="AF124" i="23"/>
  <c r="AL124" i="23"/>
  <c r="AS124" i="23"/>
  <c r="D125" i="23"/>
  <c r="E125" i="23"/>
  <c r="F125" i="23"/>
  <c r="O125" i="23"/>
  <c r="P125" i="23"/>
  <c r="Q125" i="23"/>
  <c r="Z125" i="23"/>
  <c r="AA125" i="23"/>
  <c r="AB125" i="23"/>
  <c r="AC125" i="23"/>
  <c r="AD125" i="23"/>
  <c r="AE125" i="23"/>
  <c r="AF125" i="23"/>
  <c r="AL125" i="23"/>
  <c r="AS125" i="23"/>
  <c r="D126" i="23"/>
  <c r="E126" i="23"/>
  <c r="F126" i="23"/>
  <c r="O126" i="23"/>
  <c r="P126" i="23"/>
  <c r="Q126" i="23"/>
  <c r="Z126" i="23"/>
  <c r="AA126" i="23"/>
  <c r="AB126" i="23"/>
  <c r="AC126" i="23"/>
  <c r="AD126" i="23"/>
  <c r="AE126" i="23"/>
  <c r="AF126" i="23"/>
  <c r="AL126" i="23"/>
  <c r="AS126" i="23"/>
  <c r="D127" i="23"/>
  <c r="E127" i="23"/>
  <c r="F127" i="23"/>
  <c r="O127" i="23"/>
  <c r="P127" i="23"/>
  <c r="Q127" i="23"/>
  <c r="Z127" i="23"/>
  <c r="AA127" i="23"/>
  <c r="AB127" i="23"/>
  <c r="AC127" i="23"/>
  <c r="AD127" i="23"/>
  <c r="AE127" i="23"/>
  <c r="AF127" i="23"/>
  <c r="AL127" i="23"/>
  <c r="AS127" i="23"/>
  <c r="D128" i="23"/>
  <c r="E128" i="23"/>
  <c r="F128" i="23"/>
  <c r="O128" i="23"/>
  <c r="P128" i="23"/>
  <c r="Q128" i="23"/>
  <c r="Z128" i="23"/>
  <c r="AA128" i="23"/>
  <c r="AB128" i="23"/>
  <c r="AC128" i="23"/>
  <c r="AD128" i="23"/>
  <c r="AE128" i="23"/>
  <c r="AF128" i="23"/>
  <c r="AL128" i="23"/>
  <c r="AS128" i="23"/>
  <c r="D129" i="23"/>
  <c r="E129" i="23"/>
  <c r="F129" i="23"/>
  <c r="O129" i="23"/>
  <c r="P129" i="23"/>
  <c r="Q129" i="23"/>
  <c r="Z129" i="23"/>
  <c r="AA129" i="23"/>
  <c r="AB129" i="23"/>
  <c r="AC129" i="23"/>
  <c r="AD129" i="23"/>
  <c r="AE129" i="23"/>
  <c r="AF129" i="23"/>
  <c r="AL129" i="23"/>
  <c r="AS129" i="23"/>
  <c r="I190" i="23"/>
  <c r="J190" i="23"/>
  <c r="T190" i="23"/>
  <c r="U190" i="23"/>
  <c r="AE190" i="23"/>
  <c r="AF190" i="23"/>
  <c r="I191" i="23"/>
  <c r="J191" i="23"/>
  <c r="T191" i="23"/>
  <c r="U191" i="23"/>
  <c r="AE191" i="23"/>
  <c r="AF191" i="23"/>
  <c r="I192" i="23"/>
  <c r="J192" i="23"/>
  <c r="T192" i="23"/>
  <c r="U192" i="23"/>
  <c r="AE192" i="23"/>
  <c r="AF192" i="23"/>
  <c r="I193" i="23"/>
  <c r="J193" i="23"/>
  <c r="T193" i="23"/>
  <c r="U193" i="23"/>
  <c r="AE193" i="23"/>
  <c r="AF193" i="23"/>
  <c r="I194" i="23"/>
  <c r="J194" i="23"/>
  <c r="T194" i="23"/>
  <c r="U194" i="23"/>
  <c r="AE194" i="23"/>
  <c r="AF194" i="23"/>
  <c r="I195" i="23"/>
  <c r="J195" i="23"/>
  <c r="T195" i="23"/>
  <c r="U195" i="23"/>
  <c r="AE195" i="23"/>
  <c r="AF195" i="23"/>
  <c r="I196" i="23"/>
  <c r="J196" i="23"/>
  <c r="T196" i="23"/>
  <c r="U196" i="23"/>
  <c r="AE196" i="23"/>
  <c r="AF196" i="23"/>
  <c r="I197" i="23"/>
  <c r="J197" i="23"/>
  <c r="T197" i="23"/>
  <c r="U197" i="23"/>
  <c r="AE197" i="23"/>
  <c r="AF197" i="23"/>
  <c r="I198" i="23"/>
  <c r="J198" i="23"/>
  <c r="T198" i="23"/>
  <c r="U198" i="23"/>
  <c r="AE198" i="23"/>
  <c r="AF198" i="23"/>
  <c r="I199" i="23"/>
  <c r="J199" i="23"/>
  <c r="T199" i="23"/>
  <c r="U199" i="23"/>
  <c r="AE199" i="23"/>
  <c r="AF199" i="23"/>
  <c r="I200" i="23"/>
  <c r="J200" i="23"/>
  <c r="T200" i="23"/>
  <c r="U200" i="23"/>
  <c r="AE200" i="23"/>
  <c r="AF200" i="23"/>
  <c r="I201" i="23"/>
  <c r="J201" i="23"/>
  <c r="T201" i="23"/>
  <c r="U201" i="23"/>
  <c r="AE201" i="23"/>
  <c r="AF201" i="23"/>
  <c r="I202" i="23"/>
  <c r="J202" i="23"/>
  <c r="T202" i="23"/>
  <c r="U202" i="23"/>
  <c r="AE202" i="23"/>
  <c r="AF202" i="23"/>
  <c r="I203" i="23"/>
  <c r="J203" i="23"/>
  <c r="T203" i="23"/>
  <c r="U203" i="23"/>
  <c r="AE203" i="23"/>
  <c r="AF203" i="23"/>
  <c r="I204" i="23"/>
  <c r="J204" i="23"/>
  <c r="T204" i="23"/>
  <c r="U204" i="23"/>
  <c r="AE204" i="23"/>
  <c r="AF204" i="23"/>
  <c r="I205" i="23"/>
  <c r="J205" i="23"/>
  <c r="T205" i="23"/>
  <c r="U205" i="23"/>
  <c r="AE205" i="23"/>
  <c r="AF205" i="23"/>
  <c r="G10" i="12"/>
  <c r="G11" i="12"/>
  <c r="G12" i="12"/>
  <c r="G13" i="12"/>
  <c r="G14" i="12"/>
  <c r="G15" i="12"/>
  <c r="G16" i="12"/>
  <c r="G17" i="12"/>
  <c r="G18" i="12"/>
  <c r="G19" i="12"/>
  <c r="G20" i="12"/>
  <c r="M20" i="12"/>
  <c r="G21" i="12"/>
  <c r="M21" i="12"/>
  <c r="G22" i="12"/>
  <c r="M22" i="12"/>
  <c r="G23" i="12"/>
  <c r="M23" i="12"/>
  <c r="G24" i="12"/>
  <c r="M24" i="12"/>
  <c r="G25" i="12"/>
  <c r="M25" i="12"/>
  <c r="G26" i="12"/>
  <c r="M26" i="12"/>
  <c r="G27" i="12"/>
  <c r="M27" i="12"/>
  <c r="G28" i="12"/>
  <c r="M28" i="12"/>
  <c r="G29" i="12"/>
  <c r="M29" i="12"/>
  <c r="G30" i="12"/>
  <c r="M30" i="12"/>
  <c r="G31" i="12"/>
  <c r="M31" i="12"/>
  <c r="G32" i="12"/>
  <c r="M32" i="12"/>
  <c r="G33" i="12"/>
  <c r="M33" i="12"/>
  <c r="G34" i="12"/>
  <c r="M34" i="12"/>
  <c r="G35" i="12"/>
  <c r="M35" i="12"/>
  <c r="G36" i="12"/>
  <c r="M36" i="12"/>
  <c r="G37" i="12"/>
  <c r="M37" i="12"/>
  <c r="G38" i="12"/>
  <c r="M38" i="12"/>
  <c r="G39" i="12"/>
  <c r="M39" i="12"/>
  <c r="G40" i="12"/>
  <c r="M40" i="12"/>
  <c r="G41" i="12"/>
  <c r="M41" i="12"/>
  <c r="G42" i="12"/>
  <c r="M42" i="12"/>
  <c r="G43" i="12"/>
  <c r="M43" i="12"/>
  <c r="G44" i="12"/>
  <c r="M44" i="12"/>
  <c r="G45" i="12"/>
  <c r="M45" i="12"/>
  <c r="G46" i="12"/>
  <c r="M46" i="12"/>
  <c r="G47" i="12"/>
  <c r="M47" i="12"/>
  <c r="G48" i="12"/>
  <c r="M48" i="12"/>
  <c r="G49" i="12"/>
  <c r="M49"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H6" i="27"/>
  <c r="I6" i="27"/>
  <c r="C7" i="27"/>
  <c r="D7" i="27"/>
  <c r="E7" i="27"/>
  <c r="H9" i="27"/>
  <c r="I9" i="27"/>
  <c r="C14" i="27"/>
  <c r="D14" i="27"/>
  <c r="E14" i="27"/>
  <c r="H14" i="27"/>
  <c r="I14" i="27"/>
  <c r="H6" i="9"/>
  <c r="I6" i="9"/>
  <c r="C7" i="9"/>
  <c r="D7" i="9"/>
  <c r="E7" i="9"/>
  <c r="H11" i="9"/>
  <c r="I11" i="9"/>
  <c r="C14" i="9"/>
  <c r="D14" i="9"/>
  <c r="E14" i="9"/>
  <c r="H14" i="9"/>
  <c r="I14" i="9"/>
  <c r="D41" i="28"/>
  <c r="E41" i="28"/>
  <c r="F41" i="28"/>
  <c r="G41" i="28"/>
  <c r="H41" i="28"/>
  <c r="I41" i="28"/>
  <c r="M8" i="1"/>
  <c r="N12" i="1"/>
  <c r="J36" i="1"/>
  <c r="K36" i="1"/>
  <c r="J37" i="1"/>
  <c r="K37" i="1"/>
  <c r="J59" i="1"/>
  <c r="K59" i="1"/>
  <c r="E64" i="1"/>
  <c r="E72" i="1"/>
  <c r="E73" i="1"/>
  <c r="J116" i="1"/>
  <c r="K116" i="1"/>
  <c r="J119" i="1"/>
  <c r="K119" i="1"/>
  <c r="J120" i="1"/>
  <c r="K120" i="1"/>
  <c r="E147" i="1"/>
  <c r="J147" i="1"/>
  <c r="K147" i="1"/>
  <c r="E149" i="1"/>
  <c r="F149" i="1"/>
  <c r="G149" i="1"/>
  <c r="H149" i="1"/>
  <c r="I149" i="1"/>
  <c r="J149" i="1"/>
  <c r="K14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Ziming</author>
    <author>HEXX</author>
    <author>He, Xin</author>
    <author>zxy672</author>
    <author>tc={646B726D-C95A-43ED-B061-5691AC7F81F2}</author>
    <author>tc={0503A140-5B00-42D6-8CBB-37A33FFCA306}</author>
  </authors>
  <commentList>
    <comment ref="J2" authorId="0" shapeId="0" xr:uid="{48CDA30E-FB2A-419D-B03B-F62E70F89B89}">
      <text>
        <r>
          <rPr>
            <b/>
            <sz val="9"/>
            <color indexed="81"/>
            <rFont val="Tahoma"/>
            <family val="2"/>
          </rPr>
          <t>Ziming:</t>
        </r>
        <r>
          <rPr>
            <sz val="9"/>
            <color indexed="81"/>
            <rFont val="Tahoma"/>
            <family val="2"/>
          </rPr>
          <t xml:space="preserve">
From MENA GREET by ANL</t>
        </r>
      </text>
    </comment>
    <comment ref="O2" authorId="1" shapeId="0" xr:uid="{00000000-0006-0000-0300-000004000000}">
      <text>
        <r>
          <rPr>
            <b/>
            <sz val="9"/>
            <color indexed="81"/>
            <rFont val="Tahoma"/>
            <family val="2"/>
          </rPr>
          <t>HEXX:</t>
        </r>
        <r>
          <rPr>
            <sz val="9"/>
            <color indexed="81"/>
            <rFont val="Tahoma"/>
            <family val="2"/>
          </rPr>
          <t xml:space="preserve">
This is GREET Default
</t>
        </r>
      </text>
    </comment>
    <comment ref="G8" authorId="2" shapeId="0" xr:uid="{00000000-0006-0000-0300-000007000000}">
      <text>
        <r>
          <rPr>
            <b/>
            <sz val="9"/>
            <color indexed="81"/>
            <rFont val="Tahoma"/>
            <family val="2"/>
          </rPr>
          <t>He, Xin:</t>
        </r>
        <r>
          <rPr>
            <sz val="9"/>
            <color indexed="81"/>
            <rFont val="Tahoma"/>
            <family val="2"/>
          </rPr>
          <t xml:space="preserve">
https://www.chooseenergy.com/electricity-rates-by-state/</t>
        </r>
      </text>
    </comment>
    <comment ref="H8" authorId="2" shapeId="0" xr:uid="{A959B43F-054A-4454-BFE8-206966225AE8}">
      <text>
        <r>
          <rPr>
            <b/>
            <sz val="9"/>
            <color indexed="81"/>
            <rFont val="Tahoma"/>
            <family val="2"/>
          </rPr>
          <t>He, Xin:</t>
        </r>
        <r>
          <rPr>
            <sz val="9"/>
            <color indexed="81"/>
            <rFont val="Tahoma"/>
            <family val="2"/>
          </rPr>
          <t xml:space="preserve">
https://www.chooseenergy.com/electricity-rates-by-state/</t>
        </r>
      </text>
    </comment>
    <comment ref="J8" authorId="2" shapeId="0" xr:uid="{00000000-0006-0000-0300-000006000000}">
      <text>
        <r>
          <rPr>
            <b/>
            <sz val="9"/>
            <color indexed="81"/>
            <rFont val="Tahoma"/>
            <family val="2"/>
          </rPr>
          <t>He, Xin:</t>
        </r>
        <r>
          <rPr>
            <sz val="9"/>
            <color indexed="81"/>
            <rFont val="Tahoma"/>
            <family val="2"/>
          </rPr>
          <t xml:space="preserve">
select below
Use grid intensity 5 year from the purchase
</t>
        </r>
      </text>
    </comment>
    <comment ref="N8" authorId="2" shapeId="0" xr:uid="{00000000-0006-0000-0300-000005000000}">
      <text>
        <r>
          <rPr>
            <b/>
            <sz val="9"/>
            <color indexed="81"/>
            <rFont val="Tahoma"/>
            <family val="2"/>
          </rPr>
          <t>He, Xin:</t>
        </r>
        <r>
          <rPr>
            <sz val="9"/>
            <color indexed="81"/>
            <rFont val="Tahoma"/>
            <family val="2"/>
          </rPr>
          <t xml:space="preserve">
Data from FAW</t>
        </r>
      </text>
    </comment>
    <comment ref="I11" authorId="3" shapeId="0" xr:uid="{00000000-0006-0000-0300-000008000000}">
      <text>
        <r>
          <rPr>
            <b/>
            <sz val="9"/>
            <color indexed="81"/>
            <rFont val="Tahoma"/>
            <family val="2"/>
          </rPr>
          <t>zxy672:</t>
        </r>
        <r>
          <rPr>
            <sz val="9"/>
            <color indexed="81"/>
            <rFont val="Tahoma"/>
            <family val="2"/>
          </rPr>
          <t xml:space="preserve">
500 Mile Range Tesla Semi Truck
https://www.tesla.com/semi
</t>
        </r>
      </text>
    </comment>
    <comment ref="E15" authorId="2" shapeId="0" xr:uid="{00000000-0006-0000-0300-000009000000}">
      <text>
        <r>
          <rPr>
            <b/>
            <sz val="9"/>
            <color indexed="81"/>
            <rFont val="Tahoma"/>
            <family val="2"/>
          </rPr>
          <t>He, Xin:</t>
        </r>
        <r>
          <rPr>
            <sz val="9"/>
            <color indexed="81"/>
            <rFont val="Tahoma"/>
            <family val="2"/>
          </rPr>
          <t xml:space="preserve">
Navi start</t>
        </r>
      </text>
    </comment>
    <comment ref="K15" authorId="1" shapeId="0" xr:uid="{00000000-0006-0000-0300-00000A000000}">
      <text>
        <r>
          <rPr>
            <b/>
            <sz val="9"/>
            <color indexed="81"/>
            <rFont val="Tahoma"/>
            <family val="2"/>
          </rPr>
          <t>HEXX:</t>
        </r>
        <r>
          <rPr>
            <sz val="9"/>
            <color indexed="81"/>
            <rFont val="Tahoma"/>
            <family val="2"/>
          </rPr>
          <t xml:space="preserve">
assume 90% of baseline cost, this considers engine downsizing, but higher fuel system cost, and lower AT system cost
</t>
        </r>
      </text>
    </comment>
    <comment ref="K16" authorId="1" shapeId="0" xr:uid="{00000000-0006-0000-0300-00000C000000}">
      <text>
        <r>
          <rPr>
            <b/>
            <sz val="9"/>
            <color indexed="81"/>
            <rFont val="Tahoma"/>
            <family val="2"/>
          </rPr>
          <t>HEXX:</t>
        </r>
        <r>
          <rPr>
            <sz val="9"/>
            <color indexed="81"/>
            <rFont val="Tahoma"/>
            <family val="2"/>
          </rPr>
          <t xml:space="preserve">
90% weight of baseline engine
</t>
        </r>
      </text>
    </comment>
    <comment ref="U16" authorId="0" shapeId="0" xr:uid="{EE8D4F51-58B5-451F-A972-A9AE8E6BAB1E}">
      <text>
        <r>
          <rPr>
            <b/>
            <sz val="9"/>
            <color indexed="81"/>
            <rFont val="Tahoma"/>
            <family val="2"/>
          </rPr>
          <t>Ziming:</t>
        </r>
        <r>
          <rPr>
            <sz val="9"/>
            <color indexed="81"/>
            <rFont val="Tahoma"/>
            <family val="2"/>
          </rPr>
          <t xml:space="preserve">
Data from FAW</t>
        </r>
      </text>
    </comment>
    <comment ref="U18" authorId="0" shapeId="0" xr:uid="{FABB93C7-CF4B-444C-BDB3-F2F03C2F53A8}">
      <text>
        <r>
          <rPr>
            <b/>
            <sz val="9"/>
            <color indexed="81"/>
            <rFont val="Tahoma"/>
            <family val="2"/>
          </rPr>
          <t>Ziming:</t>
        </r>
        <r>
          <rPr>
            <sz val="9"/>
            <color indexed="81"/>
            <rFont val="Tahoma"/>
            <family val="2"/>
          </rPr>
          <t xml:space="preserve">
select below
Use grid intensity 5 year from the purchase</t>
        </r>
      </text>
    </comment>
    <comment ref="U19" authorId="0" shapeId="0" xr:uid="{0CE6B28B-E35C-467C-AF5B-F1F74D25FA15}">
      <text>
        <r>
          <rPr>
            <b/>
            <sz val="9"/>
            <color indexed="81"/>
            <rFont val="Tahoma"/>
            <family val="2"/>
          </rPr>
          <t>Ziming:</t>
        </r>
        <r>
          <rPr>
            <sz val="9"/>
            <color indexed="81"/>
            <rFont val="Tahoma"/>
            <family val="2"/>
          </rPr>
          <t xml:space="preserve">
https://www.chooseenergy.com/electricity-rates-by-state/</t>
        </r>
      </text>
    </comment>
    <comment ref="H28" authorId="1" shapeId="0" xr:uid="{00000000-0006-0000-0300-000010000000}">
      <text>
        <r>
          <rPr>
            <b/>
            <sz val="9"/>
            <color indexed="81"/>
            <rFont val="Tahoma"/>
            <family val="2"/>
          </rPr>
          <t>HEXX:</t>
        </r>
        <r>
          <rPr>
            <sz val="9"/>
            <color indexed="81"/>
            <rFont val="Tahoma"/>
            <family val="2"/>
          </rPr>
          <t xml:space="preserve">
360 kW motor
</t>
        </r>
      </text>
    </comment>
    <comment ref="K28" authorId="1" shapeId="0" xr:uid="{00000000-0006-0000-0300-000011000000}">
      <text>
        <r>
          <rPr>
            <b/>
            <sz val="9"/>
            <color indexed="81"/>
            <rFont val="Tahoma"/>
            <family val="2"/>
          </rPr>
          <t>HEXX:</t>
        </r>
        <r>
          <rPr>
            <sz val="9"/>
            <color indexed="81"/>
            <rFont val="Tahoma"/>
            <family val="2"/>
          </rPr>
          <t xml:space="preserve">
150kW motor
</t>
        </r>
      </text>
    </comment>
    <comment ref="K29" authorId="1" shapeId="0" xr:uid="{00000000-0006-0000-0300-000012000000}">
      <text>
        <r>
          <rPr>
            <b/>
            <sz val="9"/>
            <color indexed="81"/>
            <rFont val="Tahoma"/>
            <family val="2"/>
          </rPr>
          <t>HEXX:</t>
        </r>
        <r>
          <rPr>
            <sz val="9"/>
            <color indexed="81"/>
            <rFont val="Tahoma"/>
            <family val="2"/>
          </rPr>
          <t xml:space="preserve">
Estimated
</t>
        </r>
      </text>
    </comment>
    <comment ref="J32" authorId="1" shapeId="0" xr:uid="{00000000-0006-0000-0300-000013000000}">
      <text>
        <r>
          <rPr>
            <b/>
            <sz val="9"/>
            <color indexed="81"/>
            <rFont val="Tahoma"/>
            <family val="2"/>
          </rPr>
          <t>HEXX:</t>
        </r>
        <r>
          <rPr>
            <sz val="9"/>
            <color indexed="81"/>
            <rFont val="Tahoma"/>
            <family val="2"/>
          </rPr>
          <t xml:space="preserve">
1.1 weight factor
</t>
        </r>
      </text>
    </comment>
    <comment ref="J44" authorId="1" shapeId="0" xr:uid="{00000000-0006-0000-0300-000016000000}">
      <text>
        <r>
          <rPr>
            <b/>
            <sz val="9"/>
            <color indexed="81"/>
            <rFont val="Tahoma"/>
            <family val="2"/>
          </rPr>
          <t>HEXX:</t>
        </r>
        <r>
          <rPr>
            <sz val="9"/>
            <color indexed="81"/>
            <rFont val="Tahoma"/>
            <family val="2"/>
          </rPr>
          <t xml:space="preserve">
1.5 factor because it is much smaller pack
</t>
        </r>
      </text>
    </comment>
    <comment ref="H45" authorId="1" shapeId="0" xr:uid="{00000000-0006-0000-0300-000017000000}">
      <text>
        <r>
          <rPr>
            <b/>
            <sz val="9"/>
            <color indexed="81"/>
            <rFont val="Tahoma"/>
            <family val="2"/>
          </rPr>
          <t>ZXY:</t>
        </r>
        <r>
          <rPr>
            <sz val="9"/>
            <color indexed="81"/>
            <rFont val="Tahoma"/>
            <family val="2"/>
          </rPr>
          <t xml:space="preserve">
90% usable
</t>
        </r>
      </text>
    </comment>
    <comment ref="E50" authorId="2" shapeId="0" xr:uid="{00000000-0006-0000-0300-000019000000}">
      <text>
        <r>
          <rPr>
            <b/>
            <sz val="9"/>
            <color indexed="81"/>
            <rFont val="Tahoma"/>
            <family val="2"/>
          </rPr>
          <t>He, Xin:</t>
        </r>
        <r>
          <rPr>
            <sz val="9"/>
            <color indexed="81"/>
            <rFont val="Tahoma"/>
            <family val="2"/>
          </rPr>
          <t xml:space="preserve">
31-XHD, interstatebatteries.com
</t>
        </r>
      </text>
    </comment>
    <comment ref="F58" authorId="1" shapeId="0" xr:uid="{00000000-0006-0000-0300-00001A000000}">
      <text>
        <r>
          <rPr>
            <b/>
            <sz val="9"/>
            <color indexed="81"/>
            <rFont val="Tahoma"/>
            <family val="2"/>
          </rPr>
          <t>ZXY:</t>
        </r>
        <r>
          <rPr>
            <sz val="9"/>
            <color indexed="81"/>
            <rFont val="Tahoma"/>
            <family val="2"/>
          </rPr>
          <t xml:space="preserve">
assume same as battery and FC
</t>
        </r>
      </text>
    </comment>
    <comment ref="H59" authorId="2" shapeId="0" xr:uid="{00000000-0006-0000-0300-00001B000000}">
      <text>
        <r>
          <rPr>
            <b/>
            <sz val="9"/>
            <color indexed="81"/>
            <rFont val="Tahoma"/>
            <family val="2"/>
          </rPr>
          <t>He, Xin:</t>
        </r>
        <r>
          <rPr>
            <sz val="9"/>
            <color indexed="81"/>
            <rFont val="Tahoma"/>
            <family val="2"/>
          </rPr>
          <t xml:space="preserve">
based on Tesla website</t>
        </r>
      </text>
    </comment>
    <comment ref="J59" authorId="2" shapeId="0" xr:uid="{00000000-0006-0000-0300-00001C000000}">
      <text>
        <r>
          <rPr>
            <b/>
            <sz val="9"/>
            <color indexed="81"/>
            <rFont val="Tahoma"/>
            <family val="2"/>
          </rPr>
          <t>He, Xin:
Not based on bottom up model, but based on the data from ORNL paper (Lin)</t>
        </r>
      </text>
    </comment>
    <comment ref="J62" authorId="2" shapeId="0" xr:uid="{00000000-0006-0000-0300-00001E000000}">
      <text>
        <r>
          <rPr>
            <b/>
            <sz val="9"/>
            <color indexed="81"/>
            <rFont val="Tahoma"/>
            <family val="2"/>
          </rPr>
          <t>He, Xin:</t>
        </r>
        <r>
          <rPr>
            <sz val="9"/>
            <color indexed="81"/>
            <rFont val="Tahoma"/>
            <family val="2"/>
          </rPr>
          <t xml:space="preserve">
DOE long term target at $2/kg
Current pump cost is $14/kg
https://cafcp.org/content/cost-refill</t>
        </r>
      </text>
    </comment>
    <comment ref="H65" authorId="4" shapeId="0" xr:uid="{646B726D-C95A-43ED-B061-5691AC7F81F2}">
      <text>
        <t>[Threaded comment]
Your version of Excel allows you to read this threaded comment; however, any edits to it will get removed if the file is opened in a newer version of Excel. Learn more: https://go.microsoft.com/fwlink/?linkid=870924
Comment:
    TESLA Semi @1.75 kWh/mile</t>
      </text>
    </comment>
    <comment ref="J65" authorId="2" shapeId="0" xr:uid="{00000000-0006-0000-0300-00001F000000}">
      <text>
        <r>
          <rPr>
            <b/>
            <sz val="9"/>
            <color indexed="81"/>
            <rFont val="Tahoma"/>
            <family val="2"/>
          </rPr>
          <t>He, Xin:</t>
        </r>
        <r>
          <rPr>
            <sz val="9"/>
            <color indexed="81"/>
            <rFont val="Tahoma"/>
            <family val="2"/>
          </rPr>
          <t xml:space="preserve">
mile/kgH2
other reference: FCET
fuel economy measured by miles per kilogram is 1.56 times the diesel truck fuel economy
measured by miles per gallon (Kast et al. 2017a) .</t>
        </r>
      </text>
    </comment>
    <comment ref="F66" authorId="1" shapeId="0" xr:uid="{00000000-0006-0000-0300-000020000000}">
      <text>
        <r>
          <rPr>
            <b/>
            <sz val="9"/>
            <color indexed="81"/>
            <rFont val="Tahoma"/>
            <family val="2"/>
          </rPr>
          <t>HEXX:</t>
        </r>
        <r>
          <rPr>
            <sz val="9"/>
            <color indexed="81"/>
            <rFont val="Tahoma"/>
            <family val="2"/>
          </rPr>
          <t xml:space="preserve">
Based on input penalty or based on lookup table
</t>
        </r>
      </text>
    </comment>
    <comment ref="H66" authorId="1" shapeId="0" xr:uid="{00000000-0006-0000-0300-000021000000}">
      <text>
        <r>
          <rPr>
            <b/>
            <sz val="9"/>
            <color indexed="81"/>
            <rFont val="Tahoma"/>
            <family val="2"/>
          </rPr>
          <t>HEXX:</t>
        </r>
        <r>
          <rPr>
            <sz val="9"/>
            <color indexed="81"/>
            <rFont val="Tahoma"/>
            <family val="2"/>
          </rPr>
          <t xml:space="preserve">
Assume 2.5% better than 500 mile sleepcab
</t>
        </r>
      </text>
    </comment>
    <comment ref="I66" authorId="1" shapeId="0" xr:uid="{00000000-0006-0000-0300-000022000000}">
      <text>
        <r>
          <rPr>
            <b/>
            <sz val="9"/>
            <color indexed="81"/>
            <rFont val="Tahoma"/>
            <family val="2"/>
          </rPr>
          <t>HEXX:</t>
        </r>
        <r>
          <rPr>
            <sz val="9"/>
            <color indexed="81"/>
            <rFont val="Tahoma"/>
            <family val="2"/>
          </rPr>
          <t xml:space="preserve">
Based on GREET Sleepcab
</t>
        </r>
      </text>
    </comment>
    <comment ref="J66" authorId="1" shapeId="0" xr:uid="{00000000-0006-0000-0300-000023000000}">
      <text>
        <r>
          <rPr>
            <b/>
            <sz val="9"/>
            <color indexed="81"/>
            <rFont val="Tahoma"/>
            <family val="2"/>
          </rPr>
          <t>HEXX:</t>
        </r>
        <r>
          <rPr>
            <sz val="9"/>
            <color indexed="81"/>
            <rFont val="Tahoma"/>
            <family val="2"/>
          </rPr>
          <t xml:space="preserve">
Based on GREET Sleepcab</t>
        </r>
      </text>
    </comment>
    <comment ref="K66" authorId="1" shapeId="0" xr:uid="{00000000-0006-0000-0300-000024000000}">
      <text>
        <r>
          <rPr>
            <b/>
            <sz val="9"/>
            <color indexed="81"/>
            <rFont val="Tahoma"/>
            <family val="2"/>
          </rPr>
          <t>HEXX:</t>
        </r>
        <r>
          <rPr>
            <sz val="9"/>
            <color indexed="81"/>
            <rFont val="Tahoma"/>
            <family val="2"/>
          </rPr>
          <t xml:space="preserve">
Hybrid H2 ICEV.  Engine is less efficient, but vehicle fuel economy could be slightly better than the baseline diesel
ZXY:
Based on vehicle simulation results. 
2025 - 99%
2030 - 105%
2035 - 110%
</t>
        </r>
      </text>
    </comment>
    <comment ref="H67" authorId="2" shapeId="0" xr:uid="{00000000-0006-0000-0300-000025000000}">
      <text>
        <r>
          <rPr>
            <b/>
            <sz val="9"/>
            <color indexed="81"/>
            <rFont val="Tahoma"/>
            <family val="2"/>
          </rPr>
          <t>He, Xin:</t>
        </r>
        <r>
          <rPr>
            <sz val="9"/>
            <color indexed="81"/>
            <rFont val="Tahoma"/>
            <family val="2"/>
          </rPr>
          <t xml:space="preserve">
Charging efficiency</t>
        </r>
      </text>
    </comment>
    <comment ref="I67" authorId="2" shapeId="0" xr:uid="{00000000-0006-0000-0300-000026000000}">
      <text>
        <r>
          <rPr>
            <b/>
            <sz val="9"/>
            <color indexed="81"/>
            <rFont val="Tahoma"/>
            <family val="2"/>
          </rPr>
          <t>He, Xin:</t>
        </r>
        <r>
          <rPr>
            <sz val="9"/>
            <color indexed="81"/>
            <rFont val="Tahoma"/>
            <family val="2"/>
          </rPr>
          <t xml:space="preserve">
Charging efficiency
</t>
        </r>
      </text>
    </comment>
    <comment ref="H69" authorId="1" shapeId="0" xr:uid="{00000000-0006-0000-0300-000027000000}">
      <text>
        <r>
          <rPr>
            <b/>
            <sz val="9"/>
            <color indexed="81"/>
            <rFont val="Tahoma"/>
            <family val="2"/>
          </rPr>
          <t>HEXX:</t>
        </r>
        <r>
          <rPr>
            <sz val="9"/>
            <color indexed="81"/>
            <rFont val="Tahoma"/>
            <family val="2"/>
          </rPr>
          <t xml:space="preserve">
kWh
</t>
        </r>
      </text>
    </comment>
    <comment ref="J69" authorId="2" shapeId="0" xr:uid="{00000000-0006-0000-0300-000028000000}">
      <text>
        <r>
          <rPr>
            <b/>
            <sz val="9"/>
            <color indexed="81"/>
            <rFont val="Tahoma"/>
            <family val="2"/>
          </rPr>
          <t>He, Xin:</t>
        </r>
        <r>
          <rPr>
            <sz val="9"/>
            <color indexed="81"/>
            <rFont val="Tahoma"/>
            <family val="2"/>
          </rPr>
          <t xml:space="preserve">
kg
</t>
        </r>
      </text>
    </comment>
    <comment ref="C70" authorId="3" shapeId="0" xr:uid="{00000000-0006-0000-0300-000029000000}">
      <text>
        <r>
          <rPr>
            <b/>
            <sz val="9"/>
            <color indexed="81"/>
            <rFont val="Tahoma"/>
            <family val="2"/>
          </rPr>
          <t>zxy672:</t>
        </r>
        <r>
          <rPr>
            <sz val="9"/>
            <color indexed="81"/>
            <rFont val="Tahoma"/>
            <family val="2"/>
          </rPr>
          <t xml:space="preserve">
3%-5% of diesel usage (Cummins)
https://www.cummins.com/engines/def-industrial-applications#:~:text=DEF%20consumption%20will%20vary%20depending%20on%20the,is%203%%20to%205%%20of%20fuel%20consumption.
</t>
        </r>
      </text>
    </comment>
    <comment ref="F77" authorId="1" shapeId="0" xr:uid="{00000000-0006-0000-0300-00002A000000}">
      <text>
        <r>
          <rPr>
            <b/>
            <sz val="9"/>
            <color indexed="81"/>
            <rFont val="Tahoma"/>
            <family val="2"/>
          </rPr>
          <t>ZXY:</t>
        </r>
        <r>
          <rPr>
            <sz val="9"/>
            <color indexed="81"/>
            <rFont val="Tahoma"/>
            <family val="2"/>
          </rPr>
          <t xml:space="preserve">
Range between $
25-50 /ton</t>
        </r>
      </text>
    </comment>
    <comment ref="H78" authorId="2" shapeId="0" xr:uid="{00000000-0006-0000-0300-00002B000000}">
      <text>
        <r>
          <rPr>
            <b/>
            <sz val="9"/>
            <color indexed="81"/>
            <rFont val="Tahoma"/>
            <family val="2"/>
          </rPr>
          <t>He, Xin:</t>
        </r>
        <r>
          <rPr>
            <sz val="9"/>
            <color indexed="81"/>
            <rFont val="Tahoma"/>
            <family val="2"/>
          </rPr>
          <t xml:space="preserve">
Tesla Supercharger cost</t>
        </r>
      </text>
    </comment>
    <comment ref="J86" authorId="1" shapeId="0" xr:uid="{00000000-0006-0000-0300-00002C000000}">
      <text>
        <r>
          <rPr>
            <b/>
            <sz val="9"/>
            <color indexed="81"/>
            <rFont val="Tahoma"/>
            <family val="2"/>
          </rPr>
          <t>HEXX:</t>
        </r>
        <r>
          <rPr>
            <sz val="9"/>
            <color indexed="81"/>
            <rFont val="Tahoma"/>
            <family val="2"/>
          </rPr>
          <t xml:space="preserve">
H2 cost includes infrasturcture cost
</t>
        </r>
      </text>
    </comment>
    <comment ref="J95" authorId="1" shapeId="0" xr:uid="{00000000-0006-0000-0300-00002D000000}">
      <text>
        <r>
          <rPr>
            <b/>
            <sz val="9"/>
            <color indexed="81"/>
            <rFont val="Tahoma"/>
            <family val="2"/>
          </rPr>
          <t>HEXX:</t>
        </r>
        <r>
          <rPr>
            <sz val="9"/>
            <color indexed="81"/>
            <rFont val="Tahoma"/>
            <family val="2"/>
          </rPr>
          <t xml:space="preserve">
1.5 factor because small pack size
</t>
        </r>
      </text>
    </comment>
    <comment ref="C99" authorId="3" shapeId="0" xr:uid="{00000000-0006-0000-0300-00002E000000}">
      <text>
        <r>
          <rPr>
            <b/>
            <sz val="9"/>
            <color indexed="81"/>
            <rFont val="Tahoma"/>
            <family val="2"/>
          </rPr>
          <t>zxy672:</t>
        </r>
        <r>
          <rPr>
            <sz val="9"/>
            <color indexed="81"/>
            <rFont val="Tahoma"/>
            <family val="2"/>
          </rPr>
          <t xml:space="preserve">
Maintenance cost for new technologies will decrease over time. See chart "Cost Projection"</t>
        </r>
      </text>
    </comment>
    <comment ref="D99" authorId="0" shapeId="0" xr:uid="{1E67CF26-29A1-4CBA-AC59-E1C795E595D1}">
      <text>
        <r>
          <rPr>
            <b/>
            <sz val="9"/>
            <color indexed="81"/>
            <rFont val="Tahoma"/>
            <family val="2"/>
          </rPr>
          <t>Ziming:</t>
        </r>
        <r>
          <rPr>
            <sz val="9"/>
            <color indexed="81"/>
            <rFont val="Tahoma"/>
            <family val="2"/>
          </rPr>
          <t xml:space="preserve">
 - Fluid, transimission, coolant, etc.</t>
        </r>
      </text>
    </comment>
    <comment ref="D100" authorId="0" shapeId="0" xr:uid="{560B0FB8-AC7C-4657-8DC5-BC2813F08401}">
      <text>
        <r>
          <rPr>
            <b/>
            <sz val="9"/>
            <color indexed="81"/>
            <rFont val="Tahoma"/>
            <family val="2"/>
          </rPr>
          <t>Ziming:</t>
        </r>
        <r>
          <rPr>
            <sz val="9"/>
            <color indexed="81"/>
            <rFont val="Tahoma"/>
            <family val="2"/>
          </rPr>
          <t xml:space="preserve">
 - alternator, belt, oil, filters, etc.</t>
        </r>
      </text>
    </comment>
    <comment ref="F101" authorId="0" shapeId="0" xr:uid="{63188DF9-E3EA-404E-ABDA-A7EE7F1F8DB8}">
      <text>
        <r>
          <rPr>
            <b/>
            <sz val="9"/>
            <color indexed="81"/>
            <rFont val="Tahoma"/>
            <family val="2"/>
          </rPr>
          <t xml:space="preserve">Ziming:
Increased tire wear due to increased weight. Propotional to the BEV tirewear increment
</t>
        </r>
      </text>
    </comment>
    <comment ref="H101" authorId="3" shapeId="0" xr:uid="{00000000-0006-0000-0300-00002F000000}">
      <text>
        <r>
          <rPr>
            <b/>
            <sz val="9"/>
            <color indexed="81"/>
            <rFont val="Tahoma"/>
            <family val="2"/>
          </rPr>
          <t>zxy672:</t>
        </r>
        <r>
          <rPr>
            <sz val="9"/>
            <color indexed="81"/>
            <rFont val="Tahoma"/>
            <family val="2"/>
          </rPr>
          <t xml:space="preserve">
20% more wear than conventional truck due to weight and acceleration (Hyundai)
https://www.hyundaimotorgroup.com/story/CONT0000000000050465</t>
        </r>
      </text>
    </comment>
    <comment ref="K102" authorId="3" shapeId="0" xr:uid="{00000000-0006-0000-0300-000030000000}">
      <text>
        <r>
          <rPr>
            <b/>
            <sz val="9"/>
            <color indexed="81"/>
            <rFont val="Tahoma"/>
            <family val="2"/>
          </rPr>
          <t>zxy672:</t>
        </r>
        <r>
          <rPr>
            <sz val="9"/>
            <color indexed="81"/>
            <rFont val="Tahoma"/>
            <family val="2"/>
          </rPr>
          <t xml:space="preserve">
Regen braking</t>
        </r>
      </text>
    </comment>
    <comment ref="F108" authorId="3" shapeId="0" xr:uid="{00000000-0006-0000-0300-000031000000}">
      <text>
        <r>
          <rPr>
            <b/>
            <sz val="9"/>
            <color indexed="81"/>
            <rFont val="Tahoma"/>
            <family val="2"/>
          </rPr>
          <t>zxy672:</t>
        </r>
        <r>
          <rPr>
            <sz val="9"/>
            <color indexed="81"/>
            <rFont val="Tahoma"/>
            <family val="2"/>
          </rPr>
          <t xml:space="preserve">
10% MCC system cost annually
</t>
        </r>
      </text>
    </comment>
    <comment ref="K111" authorId="1" shapeId="0" xr:uid="{5AC40E45-B323-415E-91D7-C931FE212663}">
      <text>
        <r>
          <rPr>
            <b/>
            <sz val="9"/>
            <color indexed="81"/>
            <rFont val="Tahoma"/>
            <family val="2"/>
          </rPr>
          <t>HEXX:</t>
        </r>
        <r>
          <rPr>
            <sz val="9"/>
            <color indexed="81"/>
            <rFont val="Tahoma"/>
            <family val="2"/>
          </rPr>
          <t xml:space="preserve">
Assume 90% of the diesel, because using a smaller engine. </t>
        </r>
      </text>
    </comment>
    <comment ref="K112" authorId="1" shapeId="0" xr:uid="{A5120178-4AA4-4C89-A47E-606E62B7E32B}">
      <text>
        <r>
          <rPr>
            <b/>
            <sz val="9"/>
            <color indexed="81"/>
            <rFont val="Tahoma"/>
            <family val="2"/>
          </rPr>
          <t>HEXX:</t>
        </r>
        <r>
          <rPr>
            <sz val="9"/>
            <color indexed="81"/>
            <rFont val="Tahoma"/>
            <family val="2"/>
          </rPr>
          <t xml:space="preserve">
Assume 90% of the diesel, because using a smaller engine. </t>
        </r>
      </text>
    </comment>
    <comment ref="K113" authorId="1" shapeId="0" xr:uid="{00000000-0006-0000-0300-000032000000}">
      <text>
        <r>
          <rPr>
            <b/>
            <sz val="9"/>
            <color indexed="81"/>
            <rFont val="Tahoma"/>
            <family val="2"/>
          </rPr>
          <t>HEXX:</t>
        </r>
        <r>
          <rPr>
            <sz val="9"/>
            <color indexed="81"/>
            <rFont val="Tahoma"/>
            <family val="2"/>
          </rPr>
          <t xml:space="preserve">
Assume 90% of the diesel, because using a smaller engine. </t>
        </r>
      </text>
    </comment>
    <comment ref="D115" authorId="3" shapeId="0" xr:uid="{00000000-0006-0000-0300-000033000000}">
      <text>
        <r>
          <rPr>
            <b/>
            <sz val="9"/>
            <color indexed="81"/>
            <rFont val="Tahoma"/>
            <family val="2"/>
          </rPr>
          <t>zxy672:</t>
        </r>
        <r>
          <rPr>
            <sz val="9"/>
            <color indexed="81"/>
            <rFont val="Tahoma"/>
            <family val="2"/>
          </rPr>
          <t xml:space="preserve">
For commercial freight (ATRI survey 2019$):
$0.065/mile 
Exclude Comprehensive and collision
</t>
        </r>
        <r>
          <rPr>
            <b/>
            <sz val="9"/>
            <color indexed="81"/>
            <rFont val="Tahoma"/>
            <family val="2"/>
          </rPr>
          <t>Source:</t>
        </r>
        <r>
          <rPr>
            <sz val="9"/>
            <color indexed="81"/>
            <rFont val="Tahoma"/>
            <family val="2"/>
          </rPr>
          <t xml:space="preserve">
Murray and Glidewell 2019
Podris 2019</t>
        </r>
      </text>
    </comment>
    <comment ref="D116" authorId="3" shapeId="0" xr:uid="{00000000-0006-0000-0300-000034000000}">
      <text>
        <r>
          <rPr>
            <b/>
            <sz val="9"/>
            <color indexed="81"/>
            <rFont val="Tahoma"/>
            <family val="2"/>
          </rPr>
          <t>zxy672:</t>
        </r>
        <r>
          <rPr>
            <sz val="9"/>
            <color indexed="81"/>
            <rFont val="Tahoma"/>
            <family val="2"/>
          </rPr>
          <t xml:space="preserve">
Comprehensive and Collision:
$2-3/month/1000 vehicle value. 
</t>
        </r>
        <r>
          <rPr>
            <b/>
            <sz val="9"/>
            <color indexed="81"/>
            <rFont val="Tahoma"/>
            <family val="2"/>
          </rPr>
          <t>Source</t>
        </r>
        <r>
          <rPr>
            <sz val="9"/>
            <color indexed="81"/>
            <rFont val="Tahoma"/>
            <family val="2"/>
          </rPr>
          <t>:
Podris 2019
- (additional, for 15 years life time)</t>
        </r>
      </text>
    </comment>
    <comment ref="K117" authorId="1" shapeId="0" xr:uid="{40BE91CC-4BDA-4B82-819A-0C3738509205}">
      <text>
        <r>
          <rPr>
            <b/>
            <sz val="9"/>
            <color indexed="81"/>
            <rFont val="Tahoma"/>
            <family val="2"/>
          </rPr>
          <t>HEXX:</t>
        </r>
        <r>
          <rPr>
            <sz val="9"/>
            <color indexed="81"/>
            <rFont val="Tahoma"/>
            <family val="2"/>
          </rPr>
          <t xml:space="preserve">
Assume 90% of the diesel, because using a smaller engine. </t>
        </r>
      </text>
    </comment>
    <comment ref="K118" authorId="1" shapeId="0" xr:uid="{CFCDD490-1E6C-431E-BFD4-A40EEBA9B4F4}">
      <text>
        <r>
          <rPr>
            <b/>
            <sz val="9"/>
            <color indexed="81"/>
            <rFont val="Tahoma"/>
            <family val="2"/>
          </rPr>
          <t>HEXX:</t>
        </r>
        <r>
          <rPr>
            <sz val="9"/>
            <color indexed="81"/>
            <rFont val="Tahoma"/>
            <family val="2"/>
          </rPr>
          <t xml:space="preserve">
Assume 90% of the diesel, because using a smaller engine. </t>
        </r>
      </text>
    </comment>
    <comment ref="D119" authorId="3" shapeId="0" xr:uid="{00000000-0006-0000-0300-000035000000}">
      <text>
        <r>
          <rPr>
            <b/>
            <sz val="9"/>
            <color indexed="81"/>
            <rFont val="Tahoma"/>
            <family val="2"/>
          </rPr>
          <t>zxy672:</t>
        </r>
        <r>
          <rPr>
            <sz val="9"/>
            <color indexed="81"/>
            <rFont val="Tahoma"/>
            <family val="2"/>
          </rPr>
          <t xml:space="preserve">
$7500/year (2019 dollar)
$9200/year (2024 dollar)
$138000 life time (15 years)
</t>
        </r>
        <r>
          <rPr>
            <b/>
            <sz val="9"/>
            <color indexed="81"/>
            <rFont val="Tahoma"/>
            <family val="2"/>
          </rPr>
          <t>Source:</t>
        </r>
        <r>
          <rPr>
            <sz val="9"/>
            <color indexed="81"/>
            <rFont val="Tahoma"/>
            <family val="2"/>
          </rPr>
          <t xml:space="preserve">
Murray and Glidewell 2019
Progressive (2020) quotes
</t>
        </r>
      </text>
    </comment>
    <comment ref="F125" authorId="5" shapeId="0" xr:uid="{0503A140-5B00-42D6-8CBB-37A33FFCA306}">
      <text>
        <t xml:space="preserve">[Threaded comment]
Your version of Excel allows you to read this threaded comment; however, any edits to it will get removed if the file is opened in a newer version of Excel. Learn more: https://go.microsoft.com/fwlink/?linkid=870924
Comment:
    Look into ANL report
</t>
      </text>
    </comment>
    <comment ref="F133" authorId="0" shapeId="0" xr:uid="{CA525611-ABFE-413E-B4B8-AC532F0178DC}">
      <text>
        <r>
          <rPr>
            <b/>
            <sz val="9"/>
            <color indexed="81"/>
            <rFont val="Tahoma"/>
            <family val="2"/>
          </rPr>
          <t>Ziming:</t>
        </r>
        <r>
          <rPr>
            <sz val="9"/>
            <color indexed="81"/>
            <rFont val="Tahoma"/>
            <family val="2"/>
          </rPr>
          <t xml:space="preserve">
Estimate based on 2 ton of steel @ CI of 3.9 ton of CO2/ ton of steel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zxy672</author>
  </authors>
  <commentList>
    <comment ref="G2" authorId="0" shapeId="0" xr:uid="{5EBF80B2-6737-421B-8E28-DF5319B62C13}">
      <text>
        <r>
          <rPr>
            <b/>
            <sz val="9"/>
            <color indexed="81"/>
            <rFont val="Tahoma"/>
            <family val="2"/>
          </rPr>
          <t>zxy672:</t>
        </r>
        <r>
          <rPr>
            <sz val="9"/>
            <color indexed="81"/>
            <rFont val="Tahoma"/>
            <family val="2"/>
          </rPr>
          <t xml:space="preserve">
500 Mile Range Tesla Semi Truck
https://www.tesla.com/semi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tc={73C637AB-D066-4259-A759-D2C066B35EDA}</author>
    <author>tc={01D7EE9A-EC78-4205-B924-9E198C45B9BA}</author>
    <author>tc={1A4C56A3-A516-4BA7-9276-AFFB8C36ED4B}</author>
    <author>tc={0BBAB772-BE0C-4E11-9EB7-E95BE0897E03}</author>
    <author>tc={7BBFA548-5872-49C6-9B59-165817584978}</author>
    <author>tc={E84B9884-AC03-4AC7-8D27-490C37913580}</author>
    <author>tc={41EE8018-9FE4-46A7-9B10-6C8847F877A5}</author>
    <author>tc={CF68F609-0E1D-4B92-9BD0-B87FCB91F385}</author>
    <author>tc={4F0614C3-8983-462A-908C-8007EC5987EC}</author>
    <author>tc={8B22015A-558B-4C57-83E7-3E880E0DED32}</author>
    <author>tc={BAEF39B1-B0A5-4D12-94BF-1913BD7E5FF2}</author>
    <author>tc={939269E0-C77D-4242-BF78-BC0677092222}</author>
    <author>tc={B4588398-EF3E-4CD7-9ED6-A9853348223F}</author>
    <author>tc={BA3024A7-DD33-401A-8518-A3D0E8AE22E5}</author>
    <author>tc={68307A8F-3271-4376-96C4-95E8AF3ACB5D}</author>
    <author>tc={4BE8EDA3-06DE-4684-A39F-FC31D3CB860A}</author>
    <author>tc={79697AFF-0054-48B6-AB5F-37351C5A4EAC}</author>
    <author>tc={423239E3-C413-40F4-8324-2E0E7B950812}</author>
    <author>tc={3A4CFC6A-3C9D-498E-84F4-B35D964DE670}</author>
    <author>tc={5F5DDB51-BDE3-465F-849F-5645DBDF1768}</author>
    <author>tc={3D3D0F2A-2ACC-4123-9834-C20020F9E834}</author>
    <author>tc={5CBCD603-784F-4931-A810-656F9E8A5D2E}</author>
    <author>tc={29C32951-58BC-4FEF-9389-A638ADF691A4}</author>
    <author>tc={0325A74E-F8C5-4633-A75E-3B30B4F82AE2}</author>
    <author>tc={3E5491BB-5DCF-4F82-AA0C-2D948661AB74}</author>
    <author>tc={C8521FDF-BF8A-4860-A38C-558A88BC4695}</author>
    <author>tc={610D12F4-F170-4F8A-8F8F-AAD818F60095}</author>
    <author>tc={E3468319-24D3-4159-BEB6-E4DC17A00BA0}</author>
    <author>tc={EBD82CC6-4F97-433B-9557-11F97B6B943B}</author>
    <author>tc={4C3BDA7D-CB72-4813-B976-43112874E38E}</author>
    <author>tc={3671D825-BDC6-4714-9E18-76B410664AD8}</author>
  </authors>
  <commentList>
    <comment ref="B51" authorId="0" shapeId="0" xr:uid="{73C637AB-D066-4259-A759-D2C066B35EDA}">
      <text>
        <t>[Threaded comment]
Your version of Excel allows you to read this threaded comment; however, any edits to it will get removed if the file is opened in a newer version of Excel. Learn more: https://go.microsoft.com/fwlink/?linkid=870924
Comment:
    Data source?</t>
      </text>
    </comment>
    <comment ref="M51" authorId="1" shapeId="0" xr:uid="{01D7EE9A-EC78-4205-B924-9E198C45B9BA}">
      <text>
        <t>[Threaded comment]
Your version of Excel allows you to read this threaded comment; however, any edits to it will get removed if the file is opened in a newer version of Excel. Learn more: https://go.microsoft.com/fwlink/?linkid=870924
Comment:
    Data source?</t>
      </text>
    </comment>
    <comment ref="X51" authorId="2" shapeId="0" xr:uid="{1A4C56A3-A516-4BA7-9276-AFFB8C36ED4B}">
      <text>
        <t>[Threaded comment]
Your version of Excel allows you to read this threaded comment; however, any edits to it will get removed if the file is opened in a newer version of Excel. Learn more: https://go.microsoft.com/fwlink/?linkid=870924
Comment:
    Data source?</t>
      </text>
    </comment>
    <comment ref="B70" authorId="3" shapeId="0" xr:uid="{0BBAB772-BE0C-4E11-9EB7-E95BE0897E03}">
      <text>
        <t>[Threaded comment]
Your version of Excel allows you to read this threaded comment; however, any edits to it will get removed if the file is opened in a newer version of Excel. Learn more: https://go.microsoft.com/fwlink/?linkid=870924
Comment:
    Data source?</t>
      </text>
    </comment>
    <comment ref="M70" authorId="4" shapeId="0" xr:uid="{7BBFA548-5872-49C6-9B59-165817584978}">
      <text>
        <t>[Threaded comment]
Your version of Excel allows you to read this threaded comment; however, any edits to it will get removed if the file is opened in a newer version of Excel. Learn more: https://go.microsoft.com/fwlink/?linkid=870924
Comment:
    Data source?</t>
      </text>
    </comment>
    <comment ref="B93" authorId="5" shapeId="0" xr:uid="{E84B9884-AC03-4AC7-8D27-490C37913580}">
      <text>
        <t>[Threaded comment]
Your version of Excel allows you to read this threaded comment; however, any edits to it will get removed if the file is opened in a newer version of Excel. Learn more: https://go.microsoft.com/fwlink/?linkid=870924
Comment:
    Data source?</t>
      </text>
    </comment>
    <comment ref="M93" authorId="6" shapeId="0" xr:uid="{41EE8018-9FE4-46A7-9B10-6C8847F877A5}">
      <text>
        <t>[Threaded comment]
Your version of Excel allows you to read this threaded comment; however, any edits to it will get removed if the file is opened in a newer version of Excel. Learn more: https://go.microsoft.com/fwlink/?linkid=870924
Comment:
    Data source?</t>
      </text>
    </comment>
    <comment ref="X93" authorId="7" shapeId="0" xr:uid="{CF68F609-0E1D-4B92-9BD0-B87FCB91F385}">
      <text>
        <t>[Threaded comment]
Your version of Excel allows you to read this threaded comment; however, any edits to it will get removed if the file is opened in a newer version of Excel. Learn more: https://go.microsoft.com/fwlink/?linkid=870924
Comment:
    Data source?</t>
      </text>
    </comment>
    <comment ref="AI93" authorId="8" shapeId="0" xr:uid="{4F0614C3-8983-462A-908C-8007EC5987EC}">
      <text>
        <t>[Threaded comment]
Your version of Excel allows you to read this threaded comment; however, any edits to it will get removed if the file is opened in a newer version of Excel. Learn more: https://go.microsoft.com/fwlink/?linkid=870924
Comment:
    Data source?</t>
      </text>
    </comment>
    <comment ref="B112" authorId="9" shapeId="0" xr:uid="{8B22015A-558B-4C57-83E7-3E880E0DED32}">
      <text>
        <t>[Threaded comment]
Your version of Excel allows you to read this threaded comment; however, any edits to it will get removed if the file is opened in a newer version of Excel. Learn more: https://go.microsoft.com/fwlink/?linkid=870924
Comment:
    Data source?</t>
      </text>
    </comment>
    <comment ref="M112" authorId="10" shapeId="0" xr:uid="{BAEF39B1-B0A5-4D12-94BF-1913BD7E5FF2}">
      <text>
        <t>[Threaded comment]
Your version of Excel allows you to read this threaded comment; however, any edits to it will get removed if the file is opened in a newer version of Excel. Learn more: https://go.microsoft.com/fwlink/?linkid=870924
Comment:
    Data source?</t>
      </text>
    </comment>
    <comment ref="X112" authorId="11" shapeId="0" xr:uid="{939269E0-C77D-4242-BF78-BC0677092222}">
      <text>
        <t>[Threaded comment]
Your version of Excel allows you to read this threaded comment; however, any edits to it will get removed if the file is opened in a newer version of Excel. Learn more: https://go.microsoft.com/fwlink/?linkid=870924
Comment:
    Data source?</t>
      </text>
    </comment>
    <comment ref="AI112" authorId="12" shapeId="0" xr:uid="{B4588398-EF3E-4CD7-9ED6-A9853348223F}">
      <text>
        <t>[Threaded comment]
Your version of Excel allows you to read this threaded comment; however, any edits to it will get removed if the file is opened in a newer version of Excel. Learn more: https://go.microsoft.com/fwlink/?linkid=870924
Comment:
    Data source?</t>
      </text>
    </comment>
    <comment ref="B131" authorId="13" shapeId="0" xr:uid="{BA3024A7-DD33-401A-8518-A3D0E8AE22E5}">
      <text>
        <t>[Threaded comment]
Your version of Excel allows you to read this threaded comment; however, any edits to it will get removed if the file is opened in a newer version of Excel. Learn more: https://go.microsoft.com/fwlink/?linkid=870924
Comment:
    Data source?</t>
      </text>
    </comment>
    <comment ref="M131" authorId="14" shapeId="0" xr:uid="{68307A8F-3271-4376-96C4-95E8AF3ACB5D}">
      <text>
        <t>[Threaded comment]
Your version of Excel allows you to read this threaded comment; however, any edits to it will get removed if the file is opened in a newer version of Excel. Learn more: https://go.microsoft.com/fwlink/?linkid=870924
Comment:
    Data source?</t>
      </text>
    </comment>
    <comment ref="X131" authorId="15" shapeId="0" xr:uid="{4BE8EDA3-06DE-4684-A39F-FC31D3CB860A}">
      <text>
        <t>[Threaded comment]
Your version of Excel allows you to read this threaded comment; however, any edits to it will get removed if the file is opened in a newer version of Excel. Learn more: https://go.microsoft.com/fwlink/?linkid=870924
Comment:
    Data source?</t>
      </text>
    </comment>
    <comment ref="B150" authorId="16" shapeId="0" xr:uid="{79697AFF-0054-48B6-AB5F-37351C5A4EAC}">
      <text>
        <t>[Threaded comment]
Your version of Excel allows you to read this threaded comment; however, any edits to it will get removed if the file is opened in a newer version of Excel. Learn more: https://go.microsoft.com/fwlink/?linkid=870924
Comment:
    Data source?</t>
      </text>
    </comment>
    <comment ref="M150" authorId="17" shapeId="0" xr:uid="{423239E3-C413-40F4-8324-2E0E7B950812}">
      <text>
        <t>[Threaded comment]
Your version of Excel allows you to read this threaded comment; however, any edits to it will get removed if the file is opened in a newer version of Excel. Learn more: https://go.microsoft.com/fwlink/?linkid=870924
Comment:
    Data source?</t>
      </text>
    </comment>
    <comment ref="X150" authorId="18" shapeId="0" xr:uid="{3A4CFC6A-3C9D-498E-84F4-B35D964DE670}">
      <text>
        <t>[Threaded comment]
Your version of Excel allows you to read this threaded comment; however, any edits to it will get removed if the file is opened in a newer version of Excel. Learn more: https://go.microsoft.com/fwlink/?linkid=870924
Comment:
    Data source?</t>
      </text>
    </comment>
    <comment ref="B169" authorId="19" shapeId="0" xr:uid="{5F5DDB51-BDE3-465F-849F-5645DBDF1768}">
      <text>
        <t>[Threaded comment]
Your version of Excel allows you to read this threaded comment; however, any edits to it will get removed if the file is opened in a newer version of Excel. Learn more: https://go.microsoft.com/fwlink/?linkid=870924
Comment:
    Data source?</t>
      </text>
    </comment>
    <comment ref="M169" authorId="20" shapeId="0" xr:uid="{3D3D0F2A-2ACC-4123-9834-C20020F9E834}">
      <text>
        <t>[Threaded comment]
Your version of Excel allows you to read this threaded comment; however, any edits to it will get removed if the file is opened in a newer version of Excel. Learn more: https://go.microsoft.com/fwlink/?linkid=870924
Comment:
    Data source?</t>
      </text>
    </comment>
    <comment ref="X169" authorId="21" shapeId="0" xr:uid="{5CBCD603-784F-4931-A810-656F9E8A5D2E}">
      <text>
        <t>[Threaded comment]
Your version of Excel allows you to read this threaded comment; however, any edits to it will get removed if the file is opened in a newer version of Excel. Learn more: https://go.microsoft.com/fwlink/?linkid=870924
Comment:
    Data source?</t>
      </text>
    </comment>
    <comment ref="B188" authorId="22" shapeId="0" xr:uid="{29C32951-58BC-4FEF-9389-A638ADF691A4}">
      <text>
        <t>[Threaded comment]
Your version of Excel allows you to read this threaded comment; however, any edits to it will get removed if the file is opened in a newer version of Excel. Learn more: https://go.microsoft.com/fwlink/?linkid=870924
Comment:
    Data source?</t>
      </text>
    </comment>
    <comment ref="M188" authorId="23" shapeId="0" xr:uid="{0325A74E-F8C5-4633-A75E-3B30B4F82AE2}">
      <text>
        <t>[Threaded comment]
Your version of Excel allows you to read this threaded comment; however, any edits to it will get removed if the file is opened in a newer version of Excel. Learn more: https://go.microsoft.com/fwlink/?linkid=870924
Comment:
    Data source?</t>
      </text>
    </comment>
    <comment ref="X188" authorId="24" shapeId="0" xr:uid="{3E5491BB-5DCF-4F82-AA0C-2D948661AB74}">
      <text>
        <t>[Threaded comment]
Your version of Excel allows you to read this threaded comment; however, any edits to it will get removed if the file is opened in a newer version of Excel. Learn more: https://go.microsoft.com/fwlink/?linkid=870924
Comment:
    Data source?</t>
      </text>
    </comment>
    <comment ref="B207" authorId="25" shapeId="0" xr:uid="{C8521FDF-BF8A-4860-A38C-558A88BC4695}">
      <text>
        <t>[Threaded comment]
Your version of Excel allows you to read this threaded comment; however, any edits to it will get removed if the file is opened in a newer version of Excel. Learn more: https://go.microsoft.com/fwlink/?linkid=870924
Comment:
    Data source?</t>
      </text>
    </comment>
    <comment ref="M207" authorId="26" shapeId="0" xr:uid="{610D12F4-F170-4F8A-8F8F-AAD818F60095}">
      <text>
        <t>[Threaded comment]
Your version of Excel allows you to read this threaded comment; however, any edits to it will get removed if the file is opened in a newer version of Excel. Learn more: https://go.microsoft.com/fwlink/?linkid=870924
Comment:
    Data source?</t>
      </text>
    </comment>
    <comment ref="X207" authorId="27" shapeId="0" xr:uid="{E3468319-24D3-4159-BEB6-E4DC17A00BA0}">
      <text>
        <t>[Threaded comment]
Your version of Excel allows you to read this threaded comment; however, any edits to it will get removed if the file is opened in a newer version of Excel. Learn more: https://go.microsoft.com/fwlink/?linkid=870924
Comment:
    Data source?</t>
      </text>
    </comment>
    <comment ref="B226" authorId="28" shapeId="0" xr:uid="{EBD82CC6-4F97-433B-9557-11F97B6B943B}">
      <text>
        <t>[Threaded comment]
Your version of Excel allows you to read this threaded comment; however, any edits to it will get removed if the file is opened in a newer version of Excel. Learn more: https://go.microsoft.com/fwlink/?linkid=870924
Comment:
    Data source?</t>
      </text>
    </comment>
    <comment ref="M226" authorId="29" shapeId="0" xr:uid="{4C3BDA7D-CB72-4813-B976-43112874E38E}">
      <text>
        <t>[Threaded comment]
Your version of Excel allows you to read this threaded comment; however, any edits to it will get removed if the file is opened in a newer version of Excel. Learn more: https://go.microsoft.com/fwlink/?linkid=870924
Comment:
    Data source?</t>
      </text>
    </comment>
    <comment ref="X226" authorId="30" shapeId="0" xr:uid="{3671D825-BDC6-4714-9E18-76B410664AD8}">
      <text>
        <t>[Threaded comment]
Your version of Excel allows you to read this threaded comment; however, any edits to it will get removed if the file is opened in a newer version of Excel. Learn more: https://go.microsoft.com/fwlink/?linkid=870924
Comment:
    Data source?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HEXX</author>
    <author>zxy672</author>
    <author>tc={A89CAEAA-691D-4DCC-9802-1A7D58143548}</author>
    <author>tc={EDD5ABD4-8BF1-491E-ADE3-F855F70C8191}</author>
  </authors>
  <commentList>
    <comment ref="D4" authorId="0" shapeId="0" xr:uid="{00000000-0006-0000-0900-000001000000}">
      <text>
        <r>
          <rPr>
            <b/>
            <sz val="9"/>
            <color indexed="81"/>
            <rFont val="Tahoma"/>
            <family val="2"/>
          </rPr>
          <t>HEXX:</t>
        </r>
        <r>
          <rPr>
            <sz val="9"/>
            <color indexed="81"/>
            <rFont val="Tahoma"/>
            <family val="2"/>
          </rPr>
          <t xml:space="preserve">
EIA AEO 2022</t>
        </r>
      </text>
    </comment>
    <comment ref="E4" authorId="0" shapeId="0" xr:uid="{00000000-0006-0000-0900-000002000000}">
      <text>
        <r>
          <rPr>
            <b/>
            <sz val="9"/>
            <color indexed="81"/>
            <rFont val="Tahoma"/>
            <family val="2"/>
          </rPr>
          <t>HEXX:</t>
        </r>
        <r>
          <rPr>
            <sz val="9"/>
            <color indexed="81"/>
            <rFont val="Tahoma"/>
            <family val="2"/>
          </rPr>
          <t xml:space="preserve">
EIA AEO 2022</t>
        </r>
      </text>
    </comment>
    <comment ref="F4" authorId="0" shapeId="0" xr:uid="{00000000-0006-0000-0900-000003000000}">
      <text>
        <r>
          <rPr>
            <b/>
            <sz val="9"/>
            <color indexed="81"/>
            <rFont val="Tahoma"/>
            <family val="2"/>
          </rPr>
          <t>HEXX:</t>
        </r>
        <r>
          <rPr>
            <sz val="9"/>
            <color indexed="81"/>
            <rFont val="Tahoma"/>
            <family val="2"/>
          </rPr>
          <t xml:space="preserve">
ANL ESD 2206 Report
High improvement (low cost) scenario</t>
        </r>
      </text>
    </comment>
    <comment ref="G4" authorId="1" shapeId="0" xr:uid="{00000000-0006-0000-0900-000004000000}">
      <text>
        <r>
          <rPr>
            <b/>
            <sz val="9"/>
            <color indexed="81"/>
            <rFont val="Tahoma"/>
            <family val="2"/>
          </rPr>
          <t>zxy672:</t>
        </r>
        <r>
          <rPr>
            <sz val="9"/>
            <color indexed="81"/>
            <rFont val="Tahoma"/>
            <family val="2"/>
          </rPr>
          <t xml:space="preserve">
330 gallon wholesale price, annual price follows diesel trend.
https://www.kellerheartt.com/collections/55-gallon-drums-all-brands-product-lines/products/bluedef-premium-diesel-exhaust-fluid-330-gallon-tote?variant=20370709741679</t>
        </r>
      </text>
    </comment>
    <comment ref="T4" authorId="0" shapeId="0" xr:uid="{00000000-0006-0000-0900-000005000000}">
      <text>
        <r>
          <rPr>
            <b/>
            <sz val="9"/>
            <color indexed="81"/>
            <rFont val="Tahoma"/>
            <family val="2"/>
          </rPr>
          <t>HEXX:</t>
        </r>
        <r>
          <rPr>
            <sz val="9"/>
            <color indexed="81"/>
            <rFont val="Tahoma"/>
            <family val="2"/>
          </rPr>
          <t xml:space="preserve">
EIA Henry Hub</t>
        </r>
      </text>
    </comment>
    <comment ref="H5" authorId="2" shapeId="0" xr:uid="{A89CAEAA-691D-4DCC-9802-1A7D58143548}">
      <text>
        <t>[Threaded comment]
Your version of Excel allows you to read this threaded comment; however, any edits to it will get removed if the file is opened in a newer version of Excel. Learn more: https://go.microsoft.com/fwlink/?linkid=870924
Comment:
    Based on 2024 BNEF battery survey:
https://about.bnef.com/blog/lithium-ion-battery-pack-prices-see-largest-drop-since-2017-falling-to-115-per-kilowatt-hour-bloombergnef/</t>
      </text>
    </comment>
    <comment ref="I5" authorId="3" shapeId="0" xr:uid="{EDD5ABD4-8BF1-491E-ADE3-F855F70C8191}">
      <text>
        <t xml:space="preserve">[Threaded comment]
Your version of Excel allows you to read this threaded comment; however, any edits to it will get removed if the file is opened in a newer version of Excel. Learn more: https://go.microsoft.com/fwlink/?linkid=870924
Comment:
    Based on 2024 BNEF battery survey:
https://about.bnef.com/blog/lithium-ion-battery-pack-prices-see-largest-drop-since-2017-falling-to-115-per-kilowatt-hour-bloombergnef/
</t>
      </text>
    </comment>
    <comment ref="AT9" authorId="1" shapeId="0" xr:uid="{00000000-0006-0000-0900-000006000000}">
      <text>
        <r>
          <rPr>
            <b/>
            <sz val="9"/>
            <color indexed="81"/>
            <rFont val="Tahoma"/>
            <family val="2"/>
          </rPr>
          <t>zxy672:</t>
        </r>
        <r>
          <rPr>
            <sz val="9"/>
            <color indexed="81"/>
            <rFont val="Tahoma"/>
            <family val="2"/>
          </rPr>
          <t xml:space="preserve">
cut additional braking cost by 50% in 15 years due to hybirdization.</t>
        </r>
      </text>
    </comment>
    <comment ref="AW9" authorId="1" shapeId="0" xr:uid="{00000000-0006-0000-0900-000007000000}">
      <text>
        <r>
          <rPr>
            <b/>
            <sz val="9"/>
            <color indexed="81"/>
            <rFont val="Tahoma"/>
            <family val="2"/>
          </rPr>
          <t>zxy672:</t>
        </r>
        <r>
          <rPr>
            <sz val="9"/>
            <color indexed="81"/>
            <rFont val="Tahoma"/>
            <family val="2"/>
          </rPr>
          <t xml:space="preserve">
cut power electronic cost in 15 years due to scaling. 
Wang et al. (STEPS) (2022). Estimating Maintenance and Repair Costs for Battery 
Electric and Fuel Cell Heavy Duty Trucks. University of California, Davis</t>
        </r>
      </text>
    </comment>
    <comment ref="AX9" authorId="1" shapeId="0" xr:uid="{00000000-0006-0000-0900-000008000000}">
      <text>
        <r>
          <rPr>
            <b/>
            <sz val="9"/>
            <color indexed="81"/>
            <rFont val="Tahoma"/>
            <family val="2"/>
          </rPr>
          <t>zxy672:</t>
        </r>
        <r>
          <rPr>
            <sz val="9"/>
            <color indexed="81"/>
            <rFont val="Tahoma"/>
            <family val="2"/>
          </rPr>
          <t xml:space="preserve">
Cut cost in 15 years due to scaling. 
Wang et al. (STEPS) (2022). Estimating Maintenance and Repair Costs for Battery 
Electric and Fuel Cell Heavy Duty Trucks. University of California, Davis</t>
        </r>
      </text>
    </comment>
    <comment ref="AY9" authorId="1" shapeId="0" xr:uid="{00000000-0006-0000-0900-000009000000}">
      <text>
        <r>
          <rPr>
            <b/>
            <sz val="9"/>
            <color indexed="81"/>
            <rFont val="Tahoma"/>
            <family val="2"/>
          </rPr>
          <t>zxy672:</t>
        </r>
        <r>
          <rPr>
            <sz val="9"/>
            <color indexed="81"/>
            <rFont val="Tahoma"/>
            <family val="2"/>
          </rPr>
          <t xml:space="preserve">
Cut cost in 15 years due to scaling. 
Wang et al. (STEPS) (2022). Estimating Maintenance and Repair Costs for Battery 
Electric and Fuel Cell Heavy Duty Trucks. University of California, Davis</t>
        </r>
      </text>
    </comment>
    <comment ref="AZ9" authorId="1" shapeId="0" xr:uid="{00000000-0006-0000-0900-00000A000000}">
      <text>
        <r>
          <rPr>
            <b/>
            <sz val="9"/>
            <color indexed="81"/>
            <rFont val="Tahoma"/>
            <family val="2"/>
          </rPr>
          <t>zxy672:</t>
        </r>
        <r>
          <rPr>
            <sz val="9"/>
            <color indexed="81"/>
            <rFont val="Tahoma"/>
            <family val="2"/>
          </rPr>
          <t xml:space="preserve">
Cut cost in 15 years due to scaling. 
Wang et al. (STEPS) (2022). Estimating Maintenance and Repair Costs for Battery 
Electric and Fuel Cell Heavy Duty Trucks. University of California, Davis</t>
        </r>
      </text>
    </comment>
    <comment ref="BN9" authorId="1" shapeId="0" xr:uid="{FF68AF84-1D56-48D1-971B-94A975630540}">
      <text>
        <r>
          <rPr>
            <b/>
            <sz val="9"/>
            <color indexed="81"/>
            <rFont val="Tahoma"/>
            <family val="2"/>
          </rPr>
          <t>zxy672:</t>
        </r>
        <r>
          <rPr>
            <sz val="9"/>
            <color indexed="81"/>
            <rFont val="Tahoma"/>
            <family val="2"/>
          </rPr>
          <t xml:space="preserve">
cut power electronic cost in 15 years due to scaling. 
Wang et al. (STEPS) (2022). Estimating Maintenance and Repair Costs for Battery 
Electric and Fuel Cell Heavy Duty Trucks. University of California, Davis</t>
        </r>
      </text>
    </comment>
    <comment ref="BO9" authorId="1" shapeId="0" xr:uid="{A18308DF-AF46-4024-BFC3-A60F59AA021F}">
      <text>
        <r>
          <rPr>
            <b/>
            <sz val="9"/>
            <color indexed="81"/>
            <rFont val="Tahoma"/>
            <family val="2"/>
          </rPr>
          <t>zxy672:</t>
        </r>
        <r>
          <rPr>
            <sz val="9"/>
            <color indexed="81"/>
            <rFont val="Tahoma"/>
            <family val="2"/>
          </rPr>
          <t xml:space="preserve">
Cut cost in 15 years due to scaling. 
Wang et al. (STEPS) (2022). Estimating Maintenance and Repair Costs for Battery 
Electric and Fuel Cell Heavy Duty Trucks. University of California, Davis</t>
        </r>
      </text>
    </comment>
    <comment ref="BP9" authorId="1" shapeId="0" xr:uid="{6592E623-0C28-43AC-A28B-BA4299187E67}">
      <text>
        <r>
          <rPr>
            <b/>
            <sz val="9"/>
            <color indexed="81"/>
            <rFont val="Tahoma"/>
            <family val="2"/>
          </rPr>
          <t>zxy672:</t>
        </r>
        <r>
          <rPr>
            <sz val="9"/>
            <color indexed="81"/>
            <rFont val="Tahoma"/>
            <family val="2"/>
          </rPr>
          <t xml:space="preserve">
Cut cost in 15 years due to scaling. 
Wang et al. (STEPS) (2022). Estimating Maintenance and Repair Costs for Battery 
Electric and Fuel Cell Heavy Duty Trucks. University of California, Davis</t>
        </r>
      </text>
    </comment>
    <comment ref="BQ9" authorId="1" shapeId="0" xr:uid="{232E1414-F997-47C3-B5BC-2B3D9CE870CF}">
      <text>
        <r>
          <rPr>
            <b/>
            <sz val="9"/>
            <color indexed="81"/>
            <rFont val="Tahoma"/>
            <family val="2"/>
          </rPr>
          <t>zxy672:</t>
        </r>
        <r>
          <rPr>
            <sz val="9"/>
            <color indexed="81"/>
            <rFont val="Tahoma"/>
            <family val="2"/>
          </rPr>
          <t xml:space="preserve">
Cut cost in 15 years due to scaling. 
Wang et al. (STEPS) (2022). Estimating Maintenance and Repair Costs for Battery 
Electric and Fuel Cell Heavy Duty Trucks. University of California, Davis</t>
        </r>
      </text>
    </comment>
    <comment ref="D54" authorId="0" shapeId="0" xr:uid="{00000000-0006-0000-0900-00000B000000}">
      <text>
        <r>
          <rPr>
            <b/>
            <sz val="9"/>
            <color indexed="81"/>
            <rFont val="Tahoma"/>
            <family val="2"/>
          </rPr>
          <t>HEXX:</t>
        </r>
        <r>
          <rPr>
            <sz val="9"/>
            <color indexed="81"/>
            <rFont val="Tahoma"/>
            <family val="2"/>
          </rPr>
          <t xml:space="preserve">
EIA AEO 2022</t>
        </r>
      </text>
    </comment>
    <comment ref="E54" authorId="0" shapeId="0" xr:uid="{00000000-0006-0000-0900-00000C000000}">
      <text>
        <r>
          <rPr>
            <b/>
            <sz val="9"/>
            <color indexed="81"/>
            <rFont val="Tahoma"/>
            <family val="2"/>
          </rPr>
          <t>HEXX:</t>
        </r>
        <r>
          <rPr>
            <sz val="9"/>
            <color indexed="81"/>
            <rFont val="Tahoma"/>
            <family val="2"/>
          </rPr>
          <t xml:space="preserve">
EIA AEO 2022</t>
        </r>
      </text>
    </comment>
    <comment ref="F54" authorId="0" shapeId="0" xr:uid="{00000000-0006-0000-0900-00000D000000}">
      <text>
        <r>
          <rPr>
            <b/>
            <sz val="9"/>
            <color indexed="81"/>
            <rFont val="Tahoma"/>
            <family val="2"/>
          </rPr>
          <t>HEXX:</t>
        </r>
        <r>
          <rPr>
            <sz val="9"/>
            <color indexed="81"/>
            <rFont val="Tahoma"/>
            <family val="2"/>
          </rPr>
          <t xml:space="preserve">
China H2 paper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He, Xin</author>
    <author>Ziming</author>
  </authors>
  <commentList>
    <comment ref="H27" authorId="0" shapeId="0" xr:uid="{00000000-0006-0000-0600-000001000000}">
      <text>
        <r>
          <rPr>
            <b/>
            <sz val="9"/>
            <color indexed="81"/>
            <rFont val="Tahoma"/>
            <family val="2"/>
          </rPr>
          <t>He, Xin:</t>
        </r>
        <r>
          <rPr>
            <sz val="9"/>
            <color indexed="81"/>
            <rFont val="Tahoma"/>
            <family val="2"/>
          </rPr>
          <t xml:space="preserve">
MJ/gallon
</t>
        </r>
      </text>
    </comment>
    <comment ref="H28" authorId="0" shapeId="0" xr:uid="{00000000-0006-0000-0600-000002000000}">
      <text>
        <r>
          <rPr>
            <b/>
            <sz val="9"/>
            <color indexed="81"/>
            <rFont val="Tahoma"/>
            <family val="2"/>
          </rPr>
          <t>He, Xin:</t>
        </r>
        <r>
          <rPr>
            <sz val="9"/>
            <color indexed="81"/>
            <rFont val="Tahoma"/>
            <family val="2"/>
          </rPr>
          <t xml:space="preserve">
MJ/kg
This is the higher heating value of H2, used for H2 FCV
</t>
        </r>
      </text>
    </comment>
    <comment ref="K32" authorId="1" shapeId="0" xr:uid="{4181C5FC-AC9B-4118-98F6-2D2D769B3E89}">
      <text>
        <r>
          <rPr>
            <sz val="9"/>
            <color indexed="81"/>
            <rFont val="Tahoma"/>
            <family val="2"/>
          </rPr>
          <t>AL-GHUSSAIN, LOIY:
base year 2019: WTP</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HEXX</author>
  </authors>
  <commentList>
    <comment ref="C2" authorId="0" shapeId="0" xr:uid="{00000000-0006-0000-0700-000001000000}">
      <text>
        <r>
          <rPr>
            <b/>
            <sz val="9"/>
            <color indexed="81"/>
            <rFont val="Tahoma"/>
            <family val="2"/>
          </rPr>
          <t>HEXX:</t>
        </r>
        <r>
          <rPr>
            <sz val="9"/>
            <color indexed="81"/>
            <rFont val="Tahoma"/>
            <family val="2"/>
          </rPr>
          <t xml:space="preserve">
5 year from now is used as average over 10 years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HEXX</author>
    <author>He, Xin</author>
  </authors>
  <commentList>
    <comment ref="A1" authorId="0" shapeId="0" xr:uid="{00000000-0006-0000-0800-000001000000}">
      <text>
        <r>
          <rPr>
            <b/>
            <sz val="9"/>
            <color indexed="81"/>
            <rFont val="Tahoma"/>
            <family val="2"/>
          </rPr>
          <t>HEXX:</t>
        </r>
        <r>
          <rPr>
            <sz val="9"/>
            <color indexed="81"/>
            <rFont val="Tahoma"/>
            <family val="2"/>
          </rPr>
          <t xml:space="preserve">
Updated based on GREET2023</t>
        </r>
      </text>
    </comment>
    <comment ref="A7" authorId="0" shapeId="0" xr:uid="{00000000-0006-0000-0800-000002000000}">
      <text>
        <r>
          <rPr>
            <b/>
            <sz val="9"/>
            <color indexed="81"/>
            <rFont val="Tahoma"/>
            <family val="2"/>
          </rPr>
          <t>HEXX:</t>
        </r>
        <r>
          <rPr>
            <sz val="9"/>
            <color indexed="81"/>
            <rFont val="Tahoma"/>
            <family val="2"/>
          </rPr>
          <t xml:space="preserve">
Updated based on GREET2023</t>
        </r>
      </text>
    </comment>
    <comment ref="K24" authorId="1" shapeId="0" xr:uid="{00000000-0006-0000-0800-000003000000}">
      <text>
        <r>
          <rPr>
            <b/>
            <sz val="9"/>
            <color indexed="81"/>
            <rFont val="Tahoma"/>
            <family val="2"/>
          </rPr>
          <t>He, Xin:</t>
        </r>
        <r>
          <rPr>
            <sz val="9"/>
            <color indexed="81"/>
            <rFont val="Tahoma"/>
            <family val="2"/>
          </rPr>
          <t xml:space="preserve">
GREET 2019</t>
        </r>
      </text>
    </comment>
    <comment ref="K38" authorId="1" shapeId="0" xr:uid="{00000000-0006-0000-0800-000004000000}">
      <text>
        <r>
          <rPr>
            <b/>
            <sz val="9"/>
            <color indexed="81"/>
            <rFont val="Tahoma"/>
            <family val="2"/>
          </rPr>
          <t>He, Xin:</t>
        </r>
        <r>
          <rPr>
            <sz val="9"/>
            <color indexed="81"/>
            <rFont val="Tahoma"/>
            <family val="2"/>
          </rPr>
          <t xml:space="preserve">
GREET 2019</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hexx</author>
  </authors>
  <commentList>
    <comment ref="E14" authorId="0" shapeId="0" xr:uid="{00000000-0006-0000-0B00-000001000000}">
      <text>
        <r>
          <rPr>
            <b/>
            <sz val="9"/>
            <color indexed="81"/>
            <rFont val="Tahoma"/>
            <family val="2"/>
          </rPr>
          <t>hexx:</t>
        </r>
        <r>
          <rPr>
            <sz val="9"/>
            <color indexed="81"/>
            <rFont val="Tahoma"/>
            <family val="2"/>
          </rPr>
          <t xml:space="preserve">
This is engine and AT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He, Xin</author>
  </authors>
  <commentList>
    <comment ref="D3" authorId="0" shapeId="0" xr:uid="{00000000-0006-0000-0C00-000001000000}">
      <text>
        <r>
          <rPr>
            <b/>
            <sz val="9"/>
            <color indexed="81"/>
            <rFont val="Tahoma"/>
            <family val="2"/>
          </rPr>
          <t>He, Xin:</t>
        </r>
        <r>
          <rPr>
            <sz val="9"/>
            <color indexed="81"/>
            <rFont val="Tahoma"/>
            <family val="2"/>
          </rPr>
          <t xml:space="preserve">
http://kenworth.cummins.com/cloud/cummins-circuit/uploads/public/english/Marketing%20Info/Ref%20Guides/4971297_1210.pdf</t>
        </r>
      </text>
    </comment>
    <comment ref="H3" authorId="0" shapeId="0" xr:uid="{00000000-0006-0000-0C00-000002000000}">
      <text>
        <r>
          <rPr>
            <b/>
            <sz val="9"/>
            <color indexed="81"/>
            <rFont val="Tahoma"/>
            <family val="2"/>
          </rPr>
          <t>He, Xin:</t>
        </r>
        <r>
          <rPr>
            <sz val="9"/>
            <color indexed="81"/>
            <rFont val="Tahoma"/>
            <family val="2"/>
          </rPr>
          <t xml:space="preserve">
http://kenworth.cummins.com/cloud/cummins-circuit/uploads/public/english/Marketing%20Info/Ref%20Guides/4971297_1210.pdf</t>
        </r>
      </text>
    </comment>
    <comment ref="G5" authorId="0" shapeId="0" xr:uid="{00000000-0006-0000-0C00-000003000000}">
      <text>
        <r>
          <rPr>
            <b/>
            <sz val="9"/>
            <color indexed="81"/>
            <rFont val="Tahoma"/>
            <family val="2"/>
          </rPr>
          <t>He, Xin:</t>
        </r>
        <r>
          <rPr>
            <sz val="9"/>
            <color indexed="81"/>
            <rFont val="Tahoma"/>
            <family val="2"/>
          </rPr>
          <t xml:space="preserve">
https://www.eaton.com/content/dam/eaton/products/transmissions/vehicle-transmissions/rt-18/eaton-fuller-18-speed-transmissions-brochure-trsl0250-en-us.pdf</t>
        </r>
      </text>
    </comment>
    <comment ref="H5" authorId="0" shapeId="0" xr:uid="{00000000-0006-0000-0C00-000004000000}">
      <text>
        <r>
          <rPr>
            <b/>
            <sz val="9"/>
            <color indexed="81"/>
            <rFont val="Tahoma"/>
            <family val="2"/>
          </rPr>
          <t>He, Xin:</t>
        </r>
        <r>
          <rPr>
            <sz val="9"/>
            <color indexed="81"/>
            <rFont val="Tahoma"/>
            <family val="2"/>
          </rPr>
          <t xml:space="preserve">
http://kenworth.cummins.com/cloud/cummins-circuit/uploads/public/english/Marketing%20Info/Ref%20Guides/4971297_1210.pdf</t>
        </r>
      </text>
    </comment>
    <comment ref="H6" authorId="0" shapeId="0" xr:uid="{00000000-0006-0000-0C00-000005000000}">
      <text>
        <r>
          <rPr>
            <b/>
            <sz val="9"/>
            <color indexed="81"/>
            <rFont val="Tahoma"/>
            <family val="2"/>
          </rPr>
          <t>He, Xin:</t>
        </r>
        <r>
          <rPr>
            <sz val="9"/>
            <color indexed="81"/>
            <rFont val="Tahoma"/>
            <family val="2"/>
          </rPr>
          <t xml:space="preserve">
Assume same as engine</t>
        </r>
      </text>
    </comment>
    <comment ref="H7" authorId="0" shapeId="0" xr:uid="{00000000-0006-0000-0C00-000006000000}">
      <text>
        <r>
          <rPr>
            <b/>
            <sz val="9"/>
            <color indexed="81"/>
            <rFont val="Tahoma"/>
            <family val="2"/>
          </rPr>
          <t>He, Xin:</t>
        </r>
        <r>
          <rPr>
            <sz val="9"/>
            <color indexed="81"/>
            <rFont val="Tahoma"/>
            <family val="2"/>
          </rPr>
          <t xml:space="preserve">
assume same as engine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zxy672</author>
  </authors>
  <commentList>
    <comment ref="B10" authorId="0" shapeId="0" xr:uid="{00000000-0006-0000-0F00-000001000000}">
      <text>
        <r>
          <rPr>
            <b/>
            <sz val="9"/>
            <color indexed="81"/>
            <rFont val="Tahoma"/>
            <family val="2"/>
          </rPr>
          <t>zxy672:</t>
        </r>
        <r>
          <rPr>
            <sz val="9"/>
            <color indexed="81"/>
            <rFont val="Tahoma"/>
            <family val="2"/>
          </rPr>
          <t xml:space="preserve">
Share</t>
        </r>
      </text>
    </comment>
  </commentList>
</comments>
</file>

<file path=xl/sharedStrings.xml><?xml version="1.0" encoding="utf-8"?>
<sst xmlns="http://schemas.openxmlformats.org/spreadsheetml/2006/main" count="1435" uniqueCount="732">
  <si>
    <t>Vehicle Cost</t>
  </si>
  <si>
    <t>Fuel Cost</t>
  </si>
  <si>
    <t>Conventional Diesel</t>
  </si>
  <si>
    <t xml:space="preserve">Battery </t>
  </si>
  <si>
    <t>H2 FC</t>
  </si>
  <si>
    <t>Glider</t>
  </si>
  <si>
    <t>Mobile Capture</t>
  </si>
  <si>
    <t>Motor</t>
  </si>
  <si>
    <t>Battery</t>
  </si>
  <si>
    <t>Transmission</t>
  </si>
  <si>
    <t>Fuel Price ($/gallon, $/kWh, $/kg)</t>
  </si>
  <si>
    <t>Engine</t>
  </si>
  <si>
    <t>Carbon Price ($/ton)</t>
  </si>
  <si>
    <t>Emission Cost</t>
  </si>
  <si>
    <t>Mobile Carbon Capture Efficiency</t>
  </si>
  <si>
    <t>Fuel Use (gallon,  kWh, kg)</t>
  </si>
  <si>
    <t>Vehicle weight Incremental (kg)</t>
  </si>
  <si>
    <t>Parametric Study</t>
  </si>
  <si>
    <t>Conventional Diesel FE (mpg)</t>
  </si>
  <si>
    <t>Li-ion Battery Specific Energy (Wh/kg)</t>
  </si>
  <si>
    <t>EV</t>
  </si>
  <si>
    <t>NMC111</t>
  </si>
  <si>
    <t>LFP</t>
  </si>
  <si>
    <t>NMC622</t>
  </si>
  <si>
    <t>NMC811</t>
  </si>
  <si>
    <t>Li-ion Battery Cathode Material</t>
  </si>
  <si>
    <t>Battery Specific Energy</t>
  </si>
  <si>
    <t>Wh/kg</t>
  </si>
  <si>
    <t>Batt Specific Power</t>
  </si>
  <si>
    <t>W/kg</t>
  </si>
  <si>
    <t>Battery Size</t>
  </si>
  <si>
    <t>kWh</t>
  </si>
  <si>
    <t>GHG Emissions Per Battery Pack</t>
  </si>
  <si>
    <t>g/Battery</t>
  </si>
  <si>
    <t>GHG intensity</t>
  </si>
  <si>
    <t>g/kWh</t>
  </si>
  <si>
    <t>Type</t>
  </si>
  <si>
    <t>Production Cost</t>
  </si>
  <si>
    <t>Weight (kg)</t>
  </si>
  <si>
    <t>Cost</t>
  </si>
  <si>
    <t>$/kWh</t>
  </si>
  <si>
    <t>Weigh (kg)</t>
  </si>
  <si>
    <t>Battery Specific Energy (Wh/kg)</t>
  </si>
  <si>
    <t>Battery 1: Li-ion</t>
  </si>
  <si>
    <t>Battery 2: Lead acid</t>
  </si>
  <si>
    <t>GHG intensity (g/kg)</t>
  </si>
  <si>
    <t>Lead acid</t>
  </si>
  <si>
    <t>g/kg</t>
  </si>
  <si>
    <t>ICEV: Conventional Material</t>
  </si>
  <si>
    <t>ICEV: Lightweight Material</t>
  </si>
  <si>
    <t>HEV: Conventional Material</t>
  </si>
  <si>
    <t>HEV: Lightweight Material</t>
  </si>
  <si>
    <t>PHEV: Conventional Material</t>
  </si>
  <si>
    <t>PHEV: Lightweight Material</t>
  </si>
  <si>
    <t>EV: Conventional Material</t>
  </si>
  <si>
    <t>EV: Lightweight Material</t>
  </si>
  <si>
    <t>FCV: Conventional Material</t>
  </si>
  <si>
    <t>FCV: Lightweight Material</t>
  </si>
  <si>
    <t>Weight (lbs)</t>
  </si>
  <si>
    <t>Vehicle Components Composition (% by wt)</t>
  </si>
  <si>
    <t>Powertrain System</t>
  </si>
  <si>
    <t>Transmission System</t>
  </si>
  <si>
    <t>Chassis (w/o battery)</t>
  </si>
  <si>
    <t>Traction Motor</t>
  </si>
  <si>
    <t>Generator</t>
  </si>
  <si>
    <t>Electronic Controller</t>
  </si>
  <si>
    <t>Fuel Cell Auxiliary System</t>
  </si>
  <si>
    <t>Body: including BIW, interior, exterior, and glass</t>
  </si>
  <si>
    <t>Body</t>
  </si>
  <si>
    <t>Powertrain System (including BOP)</t>
  </si>
  <si>
    <t>lbs to kg</t>
  </si>
  <si>
    <t xml:space="preserve">     GHGs (g)</t>
  </si>
  <si>
    <t>GHG (g/kg)</t>
  </si>
  <si>
    <t>Engine Oil</t>
  </si>
  <si>
    <t>Power Steering Fluid</t>
  </si>
  <si>
    <t>Brake Fluid</t>
  </si>
  <si>
    <t>Transmission Fluid</t>
  </si>
  <si>
    <t>Powertrain Coolant</t>
  </si>
  <si>
    <t>Windshield Fluid</t>
  </si>
  <si>
    <t>Adhesives</t>
  </si>
  <si>
    <t>Weight: lb of fluids per vehicle</t>
  </si>
  <si>
    <t xml:space="preserve">    ICEVs (Conventional Materials)</t>
  </si>
  <si>
    <t xml:space="preserve">    EVs</t>
  </si>
  <si>
    <t xml:space="preserve">    FCVs</t>
  </si>
  <si>
    <t>Numbers of Replacement per Life</t>
  </si>
  <si>
    <t>Ratio of Waste to Product</t>
  </si>
  <si>
    <t xml:space="preserve">  Share of ethylene glycol in engine coolant, % by wt</t>
  </si>
  <si>
    <t xml:space="preserve">  Share of methanol in windshield fluid, % by wt</t>
  </si>
  <si>
    <t>Production</t>
  </si>
  <si>
    <t>Disposal</t>
  </si>
  <si>
    <t>Use</t>
  </si>
  <si>
    <t>Total Emissions: grams</t>
  </si>
  <si>
    <t xml:space="preserve">     VOC</t>
  </si>
  <si>
    <t xml:space="preserve">     CO</t>
  </si>
  <si>
    <t xml:space="preserve">     NOx </t>
  </si>
  <si>
    <t xml:space="preserve">     PM10</t>
  </si>
  <si>
    <t xml:space="preserve">     PM2.5</t>
  </si>
  <si>
    <t xml:space="preserve">     SOx</t>
  </si>
  <si>
    <t xml:space="preserve">     BC</t>
  </si>
  <si>
    <t xml:space="preserve">     OC</t>
  </si>
  <si>
    <t xml:space="preserve">     CH4</t>
  </si>
  <si>
    <t xml:space="preserve">     N2O</t>
  </si>
  <si>
    <t xml:space="preserve">     CO2</t>
  </si>
  <si>
    <t xml:space="preserve">     CO2 (VOC, CO, CO2)</t>
  </si>
  <si>
    <t xml:space="preserve">     GHGs</t>
  </si>
  <si>
    <t>4) Summary of Energy Consumption and Emissions Related to Fluids (g/lbs)</t>
  </si>
  <si>
    <t>Powertrain coolant</t>
  </si>
  <si>
    <t>ICEV (ton)</t>
  </si>
  <si>
    <t>EV (ton)</t>
  </si>
  <si>
    <t>FCV (ton)</t>
  </si>
  <si>
    <t>Total</t>
  </si>
  <si>
    <t>GHG intensity (g/kWh)</t>
  </si>
  <si>
    <t>WTT</t>
  </si>
  <si>
    <t>TTW</t>
  </si>
  <si>
    <t>Diesel Price ($/gal)</t>
  </si>
  <si>
    <t>Revenue loss per kg ($/kg)</t>
  </si>
  <si>
    <t>Electricity Cost</t>
  </si>
  <si>
    <t>Infrastructure Cost</t>
  </si>
  <si>
    <t>Trailer to Industrial Plant</t>
  </si>
  <si>
    <t>Pipeline to Pipeline Header</t>
  </si>
  <si>
    <t>Trailer to Sink (EOR)</t>
  </si>
  <si>
    <t>cost/tonne</t>
  </si>
  <si>
    <t>cost/tonne-mile</t>
  </si>
  <si>
    <t>CCS</t>
  </si>
  <si>
    <t>Cost ($/tonne)</t>
  </si>
  <si>
    <t>Charging</t>
  </si>
  <si>
    <t>GHG intensity (g/Dge)</t>
  </si>
  <si>
    <t>MGDge</t>
  </si>
  <si>
    <t>Feedstock</t>
  </si>
  <si>
    <t>Fuel</t>
  </si>
  <si>
    <t>Vehicle Operation</t>
  </si>
  <si>
    <t>mile/gallon</t>
  </si>
  <si>
    <t>g/mile</t>
  </si>
  <si>
    <t>g/Dge</t>
  </si>
  <si>
    <t>HD_WTW</t>
  </si>
  <si>
    <t>HD diesel</t>
  </si>
  <si>
    <t>HD longhaul</t>
  </si>
  <si>
    <t>CNG</t>
  </si>
  <si>
    <t>LNG</t>
  </si>
  <si>
    <t>H2</t>
  </si>
  <si>
    <t>MMBtu/Dge</t>
  </si>
  <si>
    <t>Low-sulfur diesel</t>
  </si>
  <si>
    <t>Gasoline</t>
  </si>
  <si>
    <t>LandFill Gas</t>
  </si>
  <si>
    <t xml:space="preserve">Animal Waste to NG </t>
  </si>
  <si>
    <t>Wastewater Sludge</t>
  </si>
  <si>
    <t>MSW</t>
  </si>
  <si>
    <t>Combined Waste</t>
  </si>
  <si>
    <t>Landfill Gas to NG as Intermediate Fuel</t>
  </si>
  <si>
    <t>Landfill Gas to MeOH</t>
  </si>
  <si>
    <t>Landfill Gas to CNG (Off-site Refueling)</t>
  </si>
  <si>
    <t>Landfill Gas to CNG (On-site Refueling)</t>
  </si>
  <si>
    <t>Landfill Gas to LNG</t>
  </si>
  <si>
    <t>Animal Waste to NG as Intermediate Fuel</t>
  </si>
  <si>
    <t>Animal Waste to MeOH</t>
  </si>
  <si>
    <t>Animal Waste to CNG (Off-site Refueling)</t>
  </si>
  <si>
    <t>Animal Waste to CNG (On-site Refueling)</t>
  </si>
  <si>
    <t>Animal Waste to LNG</t>
  </si>
  <si>
    <t>Wastewater Sludge to NG as Intermediate Fuel</t>
  </si>
  <si>
    <t>Wastewater Sludge to MeOH</t>
  </si>
  <si>
    <t>Wastewater Sludge to CNG (Off-site Refueling)</t>
  </si>
  <si>
    <t>Wastewater Sludge to CNG (On-site Refueling)</t>
  </si>
  <si>
    <t>Wastewater Sludge to LNG</t>
  </si>
  <si>
    <t>MSW to NG as Intermediate Fuel</t>
  </si>
  <si>
    <t>MSW to MeOH</t>
  </si>
  <si>
    <t>MSW to CNG (Off-site Refueling)</t>
  </si>
  <si>
    <t>MSW to CNG (On-site Refueling)</t>
  </si>
  <si>
    <t>MSW to LNG</t>
  </si>
  <si>
    <t>Combined Waste to NG as Intermediate Fuel</t>
  </si>
  <si>
    <t>Combined Waste to MeOH</t>
  </si>
  <si>
    <t>Combined Waste to CNG</t>
  </si>
  <si>
    <t>Combined Waste to LNG</t>
  </si>
  <si>
    <t>Wastewater Sludge to Renewable Diesel</t>
  </si>
  <si>
    <t>"RNG" row 587</t>
  </si>
  <si>
    <t>RNG (g/Mmbtu)</t>
  </si>
  <si>
    <t>RNG (g/Dge)</t>
  </si>
  <si>
    <t>Efficiency compared to diesel</t>
  </si>
  <si>
    <t xml:space="preserve">Ad-Blue? </t>
  </si>
  <si>
    <t>MCC</t>
  </si>
  <si>
    <t>H2 Station</t>
  </si>
  <si>
    <t>Station Capacity (kg/day)</t>
  </si>
  <si>
    <t>Average dispense rate (kg/day)</t>
  </si>
  <si>
    <t>Station cost ($/kg)</t>
  </si>
  <si>
    <t>Reference</t>
  </si>
  <si>
    <t>Optimistic</t>
  </si>
  <si>
    <t>Fuel Type</t>
  </si>
  <si>
    <t>Heating value (</t>
  </si>
  <si>
    <t>MCC Cost</t>
  </si>
  <si>
    <t>BEV300</t>
  </si>
  <si>
    <t>Collaborators:</t>
  </si>
  <si>
    <t>Contacts:</t>
  </si>
  <si>
    <t>© Strategic Transport Analysis Team, Aramco Americas</t>
  </si>
  <si>
    <t>Mobile Carbon Capture Total Cost of Ownership Model (MCCTCO)</t>
  </si>
  <si>
    <t>46535 Peary Ct., Novi, MI 48375, U.S.A</t>
  </si>
  <si>
    <t>4) Summary of Energy Consumption, Water Consumption, and Emissions: Btu or Gallons or Grams per mmBtu of H2 Throughput at Each Stage</t>
  </si>
  <si>
    <t>4.1) Energy Use, Water Consumption, and Total Emissions</t>
  </si>
  <si>
    <t>Loss factor</t>
  </si>
  <si>
    <t>Total energy</t>
  </si>
  <si>
    <t>Fossil fuels</t>
  </si>
  <si>
    <t>Coal</t>
  </si>
  <si>
    <t>Natural gas</t>
  </si>
  <si>
    <t>Petroleum</t>
  </si>
  <si>
    <t>Water consumption</t>
  </si>
  <si>
    <t>VOC</t>
  </si>
  <si>
    <t>CO</t>
  </si>
  <si>
    <t>NOx</t>
  </si>
  <si>
    <t>PM10</t>
  </si>
  <si>
    <t>PM2.5</t>
  </si>
  <si>
    <t>SOx</t>
  </si>
  <si>
    <t>BC</t>
  </si>
  <si>
    <t>OC</t>
  </si>
  <si>
    <t>CH4</t>
  </si>
  <si>
    <t>N2O</t>
  </si>
  <si>
    <t>CO2</t>
  </si>
  <si>
    <t>CO2 (w/ C in VOC &amp; CO)</t>
  </si>
  <si>
    <t>GHGs</t>
  </si>
  <si>
    <t>MMBtu/gal</t>
  </si>
  <si>
    <t>g/MMBtu</t>
  </si>
  <si>
    <t>Gas H2 from NG (central plant)</t>
  </si>
  <si>
    <t>Gaseous Hydrogen</t>
  </si>
  <si>
    <t>Liquid Hydrogen</t>
  </si>
  <si>
    <t>Liquid H2 from NG (central plant)</t>
  </si>
  <si>
    <t>B20 (soybean)</t>
  </si>
  <si>
    <t>Renewable Diesel</t>
  </si>
  <si>
    <t>DME (NG based)</t>
  </si>
  <si>
    <t>Transportation Use: U.S. Mix</t>
  </si>
  <si>
    <t>Authors:</t>
  </si>
  <si>
    <t>The Mobile Carbon Capture Total Cost of Ownership (MCCTCO) model calculates total cost of ownership (TCO) of 5 long-haul heavy duty (HD) vehicle powertrain technologies, including the following platforms: conventional diesel, natural gas, diesel with an MCC system, battery electric, and H2 fuel cell.  The cost of vehicle ownership consists of many factors such as: the cost of vehicle production, vehicle operation (fuel/energy, infrastructure, maintenance), and GHG emission costs.  The model considers the life cycle analysis based on cradle-to-grave GHG emissions, which includes vehicle cycle emissions and fuel cycle emissions. Moreover, the MCCTCO model can be used to calculate a break-even carbon price under various powertrain efficiencies, mobile carbon capture efficiency, and the MCC system cost.  Furthermore, MCCTCO can be used to assess the competitiveness of MCC technology under various energy/fuel cost, carbon prices, and electricity carbon intensity scenarios. The MCCTCO model was developed and updated by Strategic Transport Analysis Team (STAT) in Detroit. The model may not be distributed without permission from STAT.</t>
  </si>
  <si>
    <t>Aramco Confidential - Author permissions are required for further distribution.</t>
  </si>
  <si>
    <t>Total Vehicle Mileage (mile)</t>
  </si>
  <si>
    <t xml:space="preserve">Revenue Loss per kg ($/kg) </t>
  </si>
  <si>
    <t>Electricity Carbon Intensity (g/kWh)</t>
  </si>
  <si>
    <t>MCC Efficiency</t>
  </si>
  <si>
    <t>Diesel Truck Fuel Economy (mpg)</t>
  </si>
  <si>
    <t>Charger Power (kW)</t>
  </si>
  <si>
    <t>Charger Lifespan (year)</t>
  </si>
  <si>
    <t>Charger Utilization Rate (%)</t>
  </si>
  <si>
    <t>Total Charging Time (hr)</t>
  </si>
  <si>
    <t>Station Cost</t>
  </si>
  <si>
    <t>H2 Infrastructure</t>
  </si>
  <si>
    <t>Replacement/life Cycle</t>
  </si>
  <si>
    <t>Cost ($/kWh)</t>
  </si>
  <si>
    <t>Change Interval (miles)</t>
  </si>
  <si>
    <t>Production Incremental Cost</t>
  </si>
  <si>
    <t>xin.he@aramcoamericas.com</t>
  </si>
  <si>
    <t>Model Year</t>
  </si>
  <si>
    <t>B115</t>
  </si>
  <si>
    <t>B25</t>
  </si>
  <si>
    <t>B145</t>
  </si>
  <si>
    <t>B175</t>
  </si>
  <si>
    <t>B55</t>
  </si>
  <si>
    <t>B85</t>
  </si>
  <si>
    <t>DHV_TS</t>
  </si>
  <si>
    <t>Year</t>
  </si>
  <si>
    <t>NMC811-US</t>
  </si>
  <si>
    <t>NMC811-China</t>
  </si>
  <si>
    <t>LFP-China</t>
  </si>
  <si>
    <t>O2062</t>
  </si>
  <si>
    <t>BEV</t>
  </si>
  <si>
    <t>H2062</t>
  </si>
  <si>
    <t>Hydrogen</t>
  </si>
  <si>
    <t>Btu/ft3</t>
  </si>
  <si>
    <t>scf/kg</t>
  </si>
  <si>
    <t>MJ/kg</t>
  </si>
  <si>
    <t>D-gal/kg</t>
  </si>
  <si>
    <t>GHG (g/mi)</t>
  </si>
  <si>
    <t>Battery Cost ($/kWh)</t>
  </si>
  <si>
    <t>Diesel</t>
  </si>
  <si>
    <t>Electricity</t>
  </si>
  <si>
    <t>$/gal</t>
  </si>
  <si>
    <t>$/kg</t>
  </si>
  <si>
    <t>Natural Gas</t>
  </si>
  <si>
    <t>$/MMBTU</t>
  </si>
  <si>
    <t>Cent/kWh</t>
  </si>
  <si>
    <t>$/gal_de</t>
  </si>
  <si>
    <t>H2 tank</t>
  </si>
  <si>
    <t>$/kW</t>
  </si>
  <si>
    <t>Fuel cell system cost</t>
  </si>
  <si>
    <t>Motor cost</t>
  </si>
  <si>
    <t>Range (mi)</t>
  </si>
  <si>
    <t>Li-ion Battery</t>
  </si>
  <si>
    <t>BEV 500mile</t>
  </si>
  <si>
    <t>BEV 300mile</t>
  </si>
  <si>
    <t>Energy/component Cost Projection</t>
  </si>
  <si>
    <t>Capacity (kg-H2)</t>
  </si>
  <si>
    <t>Stack Size (kW)</t>
  </si>
  <si>
    <t>FC cost ($/kW)</t>
  </si>
  <si>
    <t>FCEV</t>
  </si>
  <si>
    <t>$/kg-H2</t>
  </si>
  <si>
    <t>H2 tank capacity</t>
  </si>
  <si>
    <t>kg-H2/kg-system</t>
  </si>
  <si>
    <t>Tank weight capacity (kg-H2/g-system)</t>
  </si>
  <si>
    <t>Tank weight (kg)</t>
  </si>
  <si>
    <t>Hourly rate ($/hr)</t>
  </si>
  <si>
    <t>Charging labor lost ($)</t>
  </si>
  <si>
    <t>Lifetime Fuel Cell Replacement</t>
  </si>
  <si>
    <t>Vehicle Weight (kg)</t>
  </si>
  <si>
    <t>H2/NG tank</t>
  </si>
  <si>
    <t>H2/NG tank cost ($/kg-H2)</t>
  </si>
  <si>
    <t>Cost ($)</t>
  </si>
  <si>
    <t>Total Cost ($)</t>
  </si>
  <si>
    <t>Motor size (kW)</t>
  </si>
  <si>
    <t>Electric Traction Drive System Cost ($/kw)</t>
  </si>
  <si>
    <t>Motor cost ($/kW)</t>
  </si>
  <si>
    <t>Engine and emission control</t>
  </si>
  <si>
    <t>Electric machines</t>
  </si>
  <si>
    <t>Battery packs</t>
  </si>
  <si>
    <t>Fuel cell system</t>
  </si>
  <si>
    <t>Hydrogen storage</t>
  </si>
  <si>
    <t>Other</t>
  </si>
  <si>
    <t>Manufacturing cost multiplier</t>
  </si>
  <si>
    <t>FC Prod Cost ($)</t>
  </si>
  <si>
    <t>MSRP Multiplier</t>
  </si>
  <si>
    <t>Production Cost ($)</t>
  </si>
  <si>
    <t>H2/NG tank Production cost ($)</t>
  </si>
  <si>
    <t>Charging Time (hr)</t>
  </si>
  <si>
    <t>Lookup Table</t>
  </si>
  <si>
    <t>Payload</t>
  </si>
  <si>
    <t>Charging labor</t>
  </si>
  <si>
    <t>factor</t>
  </si>
  <si>
    <t>Replaced at years after purchase</t>
  </si>
  <si>
    <t>Battery cost ($/kWh)</t>
  </si>
  <si>
    <t>Production cost ($)</t>
  </si>
  <si>
    <t>NG</t>
  </si>
  <si>
    <t>BEV500</t>
  </si>
  <si>
    <t>H2FCV</t>
  </si>
  <si>
    <t>H2ICEV</t>
  </si>
  <si>
    <t>Downpayment</t>
  </si>
  <si>
    <t>Tank fixed cost ($)</t>
  </si>
  <si>
    <t>Tank fixed cost</t>
  </si>
  <si>
    <t>$</t>
  </si>
  <si>
    <t>NMC95</t>
  </si>
  <si>
    <t>Battery Index for GREET</t>
  </si>
  <si>
    <t>GREET Index</t>
  </si>
  <si>
    <t>4.4) Battery Specific Power</t>
  </si>
  <si>
    <t>Li-ion Battery Specific Power (W/kg)</t>
  </si>
  <si>
    <t>Type of truck</t>
  </si>
  <si>
    <t>NMC532</t>
  </si>
  <si>
    <t>HEV</t>
  </si>
  <si>
    <t>FCV</t>
  </si>
  <si>
    <t>4.5) Battery Specific Energy</t>
  </si>
  <si>
    <t>Nominal</t>
  </si>
  <si>
    <t>Unsorted titles</t>
  </si>
  <si>
    <t>Importance ranking</t>
  </si>
  <si>
    <t>Rank</t>
  </si>
  <si>
    <t>Titles</t>
  </si>
  <si>
    <t>Low cost price</t>
  </si>
  <si>
    <t>Default price</t>
  </si>
  <si>
    <t>High price</t>
  </si>
  <si>
    <t>dL0</t>
  </si>
  <si>
    <t>dL1</t>
  </si>
  <si>
    <t>dL2</t>
  </si>
  <si>
    <t>Electricity Cost ($/kWh)</t>
  </si>
  <si>
    <t>MCC Cost ($)</t>
  </si>
  <si>
    <t>Variable</t>
  </si>
  <si>
    <t>Results</t>
  </si>
  <si>
    <t>Absolute TCO Sensitivity -- Spread ($)</t>
  </si>
  <si>
    <r>
      <t>Conditions:  λ =2, exhaust Temp = </t>
    </r>
    <r>
      <rPr>
        <b/>
        <sz val="12"/>
        <color rgb="FF222222"/>
        <rFont val="Arial"/>
        <family val="2"/>
      </rPr>
      <t>300C</t>
    </r>
  </si>
  <si>
    <t>Carbon Capture Percentage</t>
  </si>
  <si>
    <t>Extra fuel for carbon capture relative to fuel for truck operation</t>
  </si>
  <si>
    <t>Extra fuel for compression relative to fuel for truck operation</t>
  </si>
  <si>
    <t>Note: It is the percentage of CO2 from both truck operation and carbon capture, excluding CO2 from compression work</t>
  </si>
  <si>
    <t>Note: The waste heat can capture 53% CO2, that's why the extra fuel is 0 at 50% capture</t>
  </si>
  <si>
    <t>Note: Assuming 2-stage compressor, 40% efficiency from truck engine.</t>
  </si>
  <si>
    <t>FE penalty</t>
  </si>
  <si>
    <t>CO2 transportation</t>
  </si>
  <si>
    <t>Option 1: 50%</t>
  </si>
  <si>
    <t>Option 2: 75%</t>
  </si>
  <si>
    <t>MCC FE Penalty</t>
  </si>
  <si>
    <t>Vehicle Cycle Emissions (ton)</t>
  </si>
  <si>
    <t>Fuel Cycle Emissions (ton)</t>
  </si>
  <si>
    <t>DEF Price ($/gallon)</t>
    <phoneticPr fontId="22" type="noConversion"/>
  </si>
  <si>
    <t>DEF</t>
    <phoneticPr fontId="37" type="noConversion"/>
  </si>
  <si>
    <t>$/gal</t>
    <phoneticPr fontId="37" type="noConversion"/>
  </si>
  <si>
    <t>DEF Use (gallon)</t>
    <phoneticPr fontId="22" type="noConversion"/>
  </si>
  <si>
    <t>Added costs for braking [$/mi]</t>
    <phoneticPr fontId="22" type="noConversion"/>
  </si>
  <si>
    <t>Power electronics [$/mi]</t>
    <phoneticPr fontId="22" type="noConversion"/>
  </si>
  <si>
    <t>Battery related [$/mi]</t>
    <phoneticPr fontId="22" type="noConversion"/>
  </si>
  <si>
    <t>Carbon Capture Efficiency</t>
    <phoneticPr fontId="22" type="noConversion"/>
  </si>
  <si>
    <t>Fuel Cell</t>
    <phoneticPr fontId="22" type="noConversion"/>
  </si>
  <si>
    <t>Relative Energy Efficiency to Diesel</t>
    <phoneticPr fontId="22" type="noConversion"/>
  </si>
  <si>
    <t>BE charger efficiency [%]</t>
    <phoneticPr fontId="22" type="noConversion"/>
  </si>
  <si>
    <t>Other Cost (dispense, storage, etc)</t>
    <phoneticPr fontId="22" type="noConversion"/>
  </si>
  <si>
    <t>Fuel Cell Replacement/life Cycle</t>
    <phoneticPr fontId="22" type="noConversion"/>
  </si>
  <si>
    <t xml:space="preserve"> Midelife Overhaul</t>
    <phoneticPr fontId="22" type="noConversion"/>
  </si>
  <si>
    <t>Fuel Cell Replaced year x after</t>
    <phoneticPr fontId="22" type="noConversion"/>
  </si>
  <si>
    <t>Production Cost ($)</t>
    <phoneticPr fontId="22" type="noConversion"/>
  </si>
  <si>
    <t>Li-ion Battery Replacement/life Cycle</t>
    <phoneticPr fontId="22" type="noConversion"/>
  </si>
  <si>
    <t>Fuel cell related [$/mi]</t>
  </si>
  <si>
    <t>Fuel cell related [$/mi]</t>
    <phoneticPr fontId="22" type="noConversion"/>
  </si>
  <si>
    <t>MCC system related</t>
  </si>
  <si>
    <t>Dollar Value Depreciation [$2020 -&gt; $2024]</t>
    <phoneticPr fontId="22" type="noConversion"/>
  </si>
  <si>
    <t xml:space="preserve">Scheduled &amp; Unscheduled Maintenance </t>
    <phoneticPr fontId="22" type="noConversion"/>
  </si>
  <si>
    <t>Insurance</t>
    <phoneticPr fontId="22" type="noConversion"/>
  </si>
  <si>
    <t>Liability - (base insurance cost 2019 dollar)</t>
    <phoneticPr fontId="22" type="noConversion"/>
  </si>
  <si>
    <t>Dollar Value Depreciation [$2019 -&gt; $2024]</t>
    <phoneticPr fontId="22" type="noConversion"/>
  </si>
  <si>
    <t>Total Midlife Overhaul cost [$]</t>
    <phoneticPr fontId="22" type="noConversion"/>
  </si>
  <si>
    <t>Lifetime Fuel Cell Replacement</t>
    <phoneticPr fontId="22" type="noConversion"/>
  </si>
  <si>
    <t>Hydrogen/Natural Gas storage [$/mi]</t>
    <phoneticPr fontId="22" type="noConversion"/>
  </si>
  <si>
    <t>Lifetime battery replacement</t>
    <phoneticPr fontId="22" type="noConversion"/>
  </si>
  <si>
    <t>Electricity Carbon Intensity (g/kWh)</t>
    <phoneticPr fontId="22" type="noConversion"/>
  </si>
  <si>
    <t>Total Insurance cost</t>
    <phoneticPr fontId="22" type="noConversion"/>
  </si>
  <si>
    <t>Total Vehicle Mileage (mile)</t>
    <phoneticPr fontId="22" type="noConversion"/>
  </si>
  <si>
    <t>Power electronics [$/mi]</t>
  </si>
  <si>
    <t>Battery related [$/mi]</t>
  </si>
  <si>
    <t>Maintaince cost projection [$/mile]</t>
    <phoneticPr fontId="37" type="noConversion"/>
  </si>
  <si>
    <t xml:space="preserve">Tire </t>
  </si>
  <si>
    <t xml:space="preserve">Tire </t>
    <phoneticPr fontId="37" type="noConversion"/>
  </si>
  <si>
    <t xml:space="preserve">Added costs for braking </t>
    <phoneticPr fontId="37" type="noConversion"/>
  </si>
  <si>
    <t xml:space="preserve">Added costs for transmission </t>
    <phoneticPr fontId="37" type="noConversion"/>
  </si>
  <si>
    <t xml:space="preserve">Engine related - belt, oil, filters, etc. </t>
    <phoneticPr fontId="37" type="noConversion"/>
  </si>
  <si>
    <t>Common components - Fluid, coolant, etc.</t>
    <phoneticPr fontId="37" type="noConversion"/>
  </si>
  <si>
    <t>Tire wear [$/mi]</t>
    <phoneticPr fontId="22" type="noConversion"/>
  </si>
  <si>
    <t>H2 ICHEV</t>
    <phoneticPr fontId="22" type="noConversion"/>
  </si>
  <si>
    <t>H2 FCEV</t>
    <phoneticPr fontId="22" type="noConversion"/>
  </si>
  <si>
    <t xml:space="preserve">Battery EV </t>
    <phoneticPr fontId="22" type="noConversion"/>
  </si>
  <si>
    <t xml:space="preserve">500 mile </t>
    <phoneticPr fontId="22" type="noConversion"/>
  </si>
  <si>
    <t xml:space="preserve">500 mile  </t>
    <phoneticPr fontId="22" type="noConversion"/>
  </si>
  <si>
    <t xml:space="preserve">500 mile  </t>
    <phoneticPr fontId="22" type="noConversion"/>
  </si>
  <si>
    <t>Future 15 year average maintenance cost</t>
    <phoneticPr fontId="37" type="noConversion"/>
  </si>
  <si>
    <t>Future 15 year average energy cost</t>
    <phoneticPr fontId="37" type="noConversion"/>
  </si>
  <si>
    <t>Common components</t>
    <phoneticPr fontId="37" type="noConversion"/>
  </si>
  <si>
    <t>Engine related</t>
    <phoneticPr fontId="37" type="noConversion"/>
  </si>
  <si>
    <t xml:space="preserve">Added braking </t>
    <phoneticPr fontId="37" type="noConversion"/>
  </si>
  <si>
    <t xml:space="preserve">Added transmission </t>
    <phoneticPr fontId="37" type="noConversion"/>
  </si>
  <si>
    <t>MCC system</t>
    <phoneticPr fontId="37" type="noConversion"/>
  </si>
  <si>
    <t>Power electronics</t>
    <phoneticPr fontId="37" type="noConversion"/>
  </si>
  <si>
    <t>Battery</t>
    <phoneticPr fontId="37" type="noConversion"/>
  </si>
  <si>
    <t>Fuel cell</t>
    <phoneticPr fontId="37" type="noConversion"/>
  </si>
  <si>
    <t>Hydrogen storage</t>
    <phoneticPr fontId="37" type="noConversion"/>
  </si>
  <si>
    <t>Hydrogen storage [$/mi]</t>
    <phoneticPr fontId="37" type="noConversion"/>
  </si>
  <si>
    <t>$/kWh</t>
    <phoneticPr fontId="37" type="noConversion"/>
  </si>
  <si>
    <t>Total Cost [USD]</t>
    <phoneticPr fontId="22" type="noConversion"/>
  </si>
  <si>
    <t>Compare to Diesel [%]</t>
    <phoneticPr fontId="22" type="noConversion"/>
  </si>
  <si>
    <t>MCC Questions</t>
    <phoneticPr fontId="37" type="noConversion"/>
  </si>
  <si>
    <t>CO2 tranport</t>
    <phoneticPr fontId="37" type="noConversion"/>
  </si>
  <si>
    <t>Manufacturing Emissions</t>
    <phoneticPr fontId="37" type="noConversion"/>
  </si>
  <si>
    <t>Total Cost</t>
    <phoneticPr fontId="37" type="noConversion"/>
  </si>
  <si>
    <t>Vehicle Cost</t>
    <phoneticPr fontId="37" type="noConversion"/>
  </si>
  <si>
    <t>Fuel Cost</t>
    <phoneticPr fontId="37" type="noConversion"/>
  </si>
  <si>
    <t>Infrastructure Cost</t>
    <phoneticPr fontId="37" type="noConversion"/>
  </si>
  <si>
    <t>Durability Cost</t>
    <phoneticPr fontId="37" type="noConversion"/>
  </si>
  <si>
    <t>Insurance Cost</t>
    <phoneticPr fontId="37" type="noConversion"/>
  </si>
  <si>
    <t>Revenue Loss</t>
    <phoneticPr fontId="37" type="noConversion"/>
  </si>
  <si>
    <t>GHG Emission Cost</t>
    <phoneticPr fontId="37" type="noConversion"/>
  </si>
  <si>
    <t>BEV 500 mile</t>
    <phoneticPr fontId="22" type="noConversion"/>
  </si>
  <si>
    <t>Esam Hamad, Renjie Liu</t>
    <phoneticPr fontId="37" type="noConversion"/>
  </si>
  <si>
    <t xml:space="preserve">Release Date: </t>
    <phoneticPr fontId="37" type="noConversion"/>
  </si>
  <si>
    <t>Introduction:</t>
    <phoneticPr fontId="37" type="noConversion"/>
  </si>
  <si>
    <t>Xin He, Ziming Yan</t>
    <phoneticPr fontId="37" type="noConversion"/>
  </si>
  <si>
    <t>NG price                  [% of diesel]</t>
    <phoneticPr fontId="37" type="noConversion"/>
  </si>
  <si>
    <t>NMC811</t>
    <phoneticPr fontId="37" type="noConversion"/>
  </si>
  <si>
    <t>Electricity</t>
    <phoneticPr fontId="37" type="noConversion"/>
  </si>
  <si>
    <t>Fuel Economy (mpg,  kWh/mile,  mile/kg)</t>
    <phoneticPr fontId="22" type="noConversion"/>
  </si>
  <si>
    <t>Conventional Diesel</t>
    <phoneticPr fontId="37" type="noConversion"/>
  </si>
  <si>
    <t xml:space="preserve">Mobile Carbon Capture </t>
    <phoneticPr fontId="37" type="noConversion"/>
  </si>
  <si>
    <t xml:space="preserve">Breakeven Carbon Tax </t>
    <phoneticPr fontId="22" type="noConversion"/>
  </si>
  <si>
    <t>Does NG need infrstructure cost</t>
    <phoneticPr fontId="37" type="noConversion"/>
  </si>
  <si>
    <t>GHG cost for BEV and H2PV</t>
    <phoneticPr fontId="37" type="noConversion"/>
  </si>
  <si>
    <t>BEV battery replacement cycle</t>
    <phoneticPr fontId="37" type="noConversion"/>
  </si>
  <si>
    <t>Year</t>
    <phoneticPr fontId="37" type="noConversion"/>
  </si>
  <si>
    <t>FCEV Stack replacement cycle</t>
    <phoneticPr fontId="37" type="noConversion"/>
  </si>
  <si>
    <t>Is electricity cost underestimated? Or is the infrastructure cost - TESLA supercharge cost 0.25-0.5 $/ kwh, which is 2~4 times of electricity price.</t>
    <phoneticPr fontId="37" type="noConversion"/>
  </si>
  <si>
    <t>Range (mi)</t>
    <phoneticPr fontId="22" type="noConversion"/>
  </si>
  <si>
    <t>What is the "factor" in Lost of Revenue? (BEV)</t>
    <phoneticPr fontId="37" type="noConversion"/>
  </si>
  <si>
    <t>H2 Tank Cost might be overoptimistic? DOE AMR shows ~$700/kg for small scale, 533/kg for mass scale, $266/kg ultimate goal</t>
    <phoneticPr fontId="37" type="noConversion"/>
  </si>
  <si>
    <t>The current version focuses on national long-haul (1e6 mile). Do we want to expand the model to include some regional-haul?</t>
    <phoneticPr fontId="37" type="noConversion"/>
  </si>
  <si>
    <t>General Questions</t>
    <phoneticPr fontId="37" type="noConversion"/>
  </si>
  <si>
    <t>Diesel Price 
($/gal)</t>
  </si>
  <si>
    <t>Diesel Price 
($/gal)</t>
    <phoneticPr fontId="22" type="noConversion"/>
  </si>
  <si>
    <t>Lifetime battery replacement</t>
    <phoneticPr fontId="22" type="noConversion"/>
  </si>
  <si>
    <t>Do NOT Change Data in this Area</t>
    <phoneticPr fontId="22" type="noConversion"/>
  </si>
  <si>
    <t>Deviation % Decrease from Nominal</t>
  </si>
  <si>
    <t>Deviation % Increase from Nominal</t>
  </si>
  <si>
    <t>Lower bound value</t>
  </si>
  <si>
    <t>Nominal value</t>
  </si>
  <si>
    <t>Upper bound value</t>
  </si>
  <si>
    <t>Fuel Economy (mpg)</t>
  </si>
  <si>
    <t>Fuel Economy 
(mpg)</t>
  </si>
  <si>
    <t>MCC Efficiency (%)</t>
  </si>
  <si>
    <t xml:space="preserve">Revenue Loss ($/kg) </t>
  </si>
  <si>
    <t>MCC FE penalty (%)</t>
  </si>
  <si>
    <t>Total Vehicle Mile (million)</t>
  </si>
  <si>
    <t>Maintenance Cost</t>
  </si>
  <si>
    <t>APR</t>
  </si>
  <si>
    <t>.</t>
  </si>
  <si>
    <t>Durability Cost</t>
  </si>
  <si>
    <t>Travel Miles</t>
  </si>
  <si>
    <t>Discount rate 
(nominal)</t>
  </si>
  <si>
    <t>Discount rate 
(real)</t>
  </si>
  <si>
    <t>Inflation 
rate</t>
  </si>
  <si>
    <t>Loan maturity 
term (years)</t>
  </si>
  <si>
    <t xml:space="preserve">Cumulated Miles </t>
  </si>
  <si>
    <t>Annual Miles</t>
  </si>
  <si>
    <t>Total Cash Flow (Nominal)</t>
  </si>
  <si>
    <t>Battery Swap Schedule</t>
  </si>
  <si>
    <t>FC Stack Swap Schedule</t>
  </si>
  <si>
    <t>1st</t>
  </si>
  <si>
    <t>2nd</t>
  </si>
  <si>
    <t>3rd</t>
  </si>
  <si>
    <t>4th</t>
  </si>
  <si>
    <t>Battery Swap Cost [$/kWh]</t>
  </si>
  <si>
    <t>FC Stack Swap Cost [$/kW]</t>
  </si>
  <si>
    <t>Cumulated Cash Flow (Nominal)</t>
  </si>
  <si>
    <r>
      <rPr>
        <sz val="20"/>
        <color rgb="FFFF0000"/>
        <rFont val="Calibri"/>
        <family val="2"/>
        <scheme val="minor"/>
      </rPr>
      <t>Discounted</t>
    </r>
    <r>
      <rPr>
        <sz val="20"/>
        <color theme="1"/>
        <rFont val="Calibri"/>
        <family val="2"/>
        <charset val="134"/>
        <scheme val="minor"/>
      </rPr>
      <t xml:space="preserve"> Cash Flow </t>
    </r>
  </si>
  <si>
    <r>
      <rPr>
        <sz val="20"/>
        <color rgb="FFFF0000"/>
        <rFont val="Calibri"/>
        <family val="2"/>
        <scheme val="minor"/>
      </rPr>
      <t>Discounted</t>
    </r>
    <r>
      <rPr>
        <sz val="20"/>
        <color theme="1"/>
        <rFont val="Calibri"/>
        <family val="2"/>
        <charset val="134"/>
        <scheme val="minor"/>
      </rPr>
      <t xml:space="preserve"> Cumulated Cash Flow</t>
    </r>
  </si>
  <si>
    <t>Service Year</t>
  </si>
  <si>
    <t>Fuel Prices Table</t>
  </si>
  <si>
    <t>Annual Fuel Cost</t>
  </si>
  <si>
    <t>Fuel Cost (Inflated)</t>
  </si>
  <si>
    <t xml:space="preserve">Infrastructure Cost </t>
  </si>
  <si>
    <t>Maintenance Cost (Inflated)</t>
  </si>
  <si>
    <t>Insurance Cost  (Inflated)</t>
  </si>
  <si>
    <t>Revenue Loss  (Inflated)</t>
  </si>
  <si>
    <t>Overhaul schedule</t>
  </si>
  <si>
    <t>Required Swap</t>
  </si>
  <si>
    <t>Manual Input</t>
  </si>
  <si>
    <t>Index</t>
  </si>
  <si>
    <t>System weight, BOM list</t>
  </si>
  <si>
    <t>Option 4: 100%</t>
  </si>
  <si>
    <t>Option 3: 90%</t>
  </si>
  <si>
    <t>Renjie Updated on 10/18/2024</t>
  </si>
  <si>
    <t xml:space="preserve">250 mile </t>
  </si>
  <si>
    <t>BEV 250 mile</t>
  </si>
  <si>
    <t>Insurance as % of vehicle price</t>
  </si>
  <si>
    <t>Maintainance cost per year</t>
  </si>
  <si>
    <t>DEF Price 
($/gal)</t>
  </si>
  <si>
    <t>Fuel Cost ($)</t>
  </si>
  <si>
    <t>DEF Cost ($)</t>
  </si>
  <si>
    <t>Mobile Carbon Capture 50%</t>
  </si>
  <si>
    <t>Mobile Carbon Capture 90%</t>
  </si>
  <si>
    <t>Maintenance Repair and Insurance Cost</t>
  </si>
  <si>
    <t>KSA factor</t>
  </si>
  <si>
    <t>KSA Maintainance cost per year</t>
  </si>
  <si>
    <t>KSA Insurance as % of vehicle price</t>
  </si>
  <si>
    <t>Total Maintance cost [$]</t>
  </si>
  <si>
    <t>MCC System Cost</t>
  </si>
  <si>
    <t>MCC System weight [kg]</t>
  </si>
  <si>
    <t>Captured CO2 weight (Max) [kg]</t>
  </si>
  <si>
    <t>Diesel tank capacity [gallon]</t>
  </si>
  <si>
    <t>Diesel density [kg/liter]</t>
  </si>
  <si>
    <t>Mobile Carbon Capture</t>
  </si>
  <si>
    <t>Total maximum weight [kg]</t>
  </si>
  <si>
    <t>MCC extra fuel consumption</t>
  </si>
  <si>
    <t>Total maintenance cost per mile [$/mile]</t>
  </si>
  <si>
    <t>Maintenance cost per year</t>
  </si>
  <si>
    <t>MCC system related [$/mi]</t>
  </si>
  <si>
    <t>System Weight (kg)</t>
  </si>
  <si>
    <t>Captured CO2 Weight (kg)</t>
  </si>
  <si>
    <t>Maximum weight increase (kg)</t>
  </si>
  <si>
    <t>Insurance cost per year (as % of vehicle price)</t>
  </si>
  <si>
    <t xml:space="preserve">Lost of Revenue </t>
  </si>
  <si>
    <t>Mobile Carbon Capture  50%</t>
  </si>
  <si>
    <t>Mobile Carbon Capture  90%</t>
  </si>
  <si>
    <t>DEF</t>
  </si>
  <si>
    <r>
      <rPr>
        <sz val="20"/>
        <rFont val="Calibri"/>
        <family val="2"/>
        <scheme val="minor"/>
      </rPr>
      <t>Discounted Cas</t>
    </r>
    <r>
      <rPr>
        <sz val="20"/>
        <color theme="1"/>
        <rFont val="Calibri"/>
        <family val="2"/>
        <charset val="134"/>
        <scheme val="minor"/>
      </rPr>
      <t xml:space="preserve">h Flow
</t>
    </r>
    <r>
      <rPr>
        <sz val="20"/>
        <color rgb="FFFF0000"/>
        <rFont val="Calibri"/>
        <family val="2"/>
        <scheme val="minor"/>
      </rPr>
      <t>Relative to Diesel</t>
    </r>
  </si>
  <si>
    <t>GHG Emission Cost</t>
  </si>
  <si>
    <t>Total Cost</t>
  </si>
  <si>
    <t>Vehicle</t>
  </si>
  <si>
    <t xml:space="preserve">Fuel </t>
  </si>
  <si>
    <t xml:space="preserve">Infrastructure </t>
  </si>
  <si>
    <t>Maintenance</t>
  </si>
  <si>
    <t>Durability</t>
  </si>
  <si>
    <t xml:space="preserve">Insurance </t>
  </si>
  <si>
    <t>GHG Emission</t>
  </si>
  <si>
    <t xml:space="preserve">Revenue loss  </t>
  </si>
  <si>
    <t>CO2 transport cost ($/ton of CO2)</t>
  </si>
  <si>
    <t>KSA Hydrogen Pathways</t>
  </si>
  <si>
    <t>CI (kgCO2eq/kgH2)</t>
  </si>
  <si>
    <t>LHV of H2 [BTU/kg]</t>
  </si>
  <si>
    <t>Total CO2 Emissions - Fuel cycle (ton)</t>
  </si>
  <si>
    <t>Total CO2 Emissions - Life cycle (ton)</t>
  </si>
  <si>
    <t>US</t>
  </si>
  <si>
    <t>MJ/Dge</t>
  </si>
  <si>
    <t xml:space="preserve">Gasoline </t>
  </si>
  <si>
    <t xml:space="preserve">Diesel </t>
  </si>
  <si>
    <t>Total CO2 Emissions - Vehicle cycle (ton)</t>
  </si>
  <si>
    <t>Vehicle Base</t>
  </si>
  <si>
    <t>Vehicle Manufacturing Cycle</t>
  </si>
  <si>
    <t>Fuel Production (Well to Tank)</t>
  </si>
  <si>
    <t>Addition Technologies</t>
  </si>
  <si>
    <t>Gram CO2 Per Mile</t>
  </si>
  <si>
    <t>Ton of CO2</t>
  </si>
  <si>
    <t>Top</t>
  </si>
  <si>
    <t>Error bar</t>
  </si>
  <si>
    <t>CO2 Abatement Cost</t>
  </si>
  <si>
    <t>Bottom</t>
  </si>
  <si>
    <t>Public charging DCFC</t>
  </si>
  <si>
    <t>Public charging cost factor</t>
  </si>
  <si>
    <t>Total Vehicle Cost (Non-discounted)</t>
  </si>
  <si>
    <t>Total Fuel Cost (Non-discounted)</t>
  </si>
  <si>
    <t>Total Infrastructure Cost (Non-discounted)</t>
  </si>
  <si>
    <t>Total MRI Cost (Non-discounted)</t>
  </si>
  <si>
    <t>Total Revenue Loss (Non-discounted)</t>
  </si>
  <si>
    <t>Total GHG Emission Cost (Non-discounted)</t>
  </si>
  <si>
    <t xml:space="preserve">Comprehensive and collision </t>
  </si>
  <si>
    <t xml:space="preserve">Common components [$/mi] </t>
  </si>
  <si>
    <t>Engine related [$/mi]</t>
  </si>
  <si>
    <t>Added transmission costs [$/mi]</t>
  </si>
  <si>
    <t>Public charging share</t>
  </si>
  <si>
    <t>Public charging share (%)</t>
  </si>
  <si>
    <t>Private Electricity Cost (USD)</t>
  </si>
  <si>
    <t>Public Electricity Cost (USD)</t>
  </si>
  <si>
    <t>Public Electricity</t>
  </si>
  <si>
    <t>Private Electricity</t>
  </si>
  <si>
    <t>Electricity Private</t>
  </si>
  <si>
    <t>Electricity Public</t>
  </si>
  <si>
    <t>Hydrogen Price</t>
  </si>
  <si>
    <t>Hydrogen Price ($/kg)</t>
  </si>
  <si>
    <t>Charging Infstructure</t>
  </si>
  <si>
    <t>Incentives</t>
  </si>
  <si>
    <t>Hydrogen Credits ($/kg)</t>
  </si>
  <si>
    <t>Interest rate subsidies (%)</t>
  </si>
  <si>
    <t>Vehicle Purchase Credits ($)</t>
  </si>
  <si>
    <t>K.S.A. Wind Power Plant</t>
  </si>
  <si>
    <t>K.S.A. Solar Power Plant</t>
  </si>
  <si>
    <t>Steel</t>
  </si>
  <si>
    <t>g CO2 eq. / lb </t>
  </si>
  <si>
    <t>Stainless steel</t>
  </si>
  <si>
    <t>Cast iron</t>
  </si>
  <si>
    <t>Cast aluminum</t>
  </si>
  <si>
    <t>Aluminum Sheet (Automotive)</t>
  </si>
  <si>
    <t>Aluminum Extrusion (Automotive)</t>
  </si>
  <si>
    <t>Copper &amp; Brass</t>
  </si>
  <si>
    <t>Magnet</t>
  </si>
  <si>
    <t>Bronze</t>
  </si>
  <si>
    <t>Iron</t>
  </si>
  <si>
    <t>Nichrome</t>
  </si>
  <si>
    <t>Nickel</t>
  </si>
  <si>
    <t>Chromium</t>
  </si>
  <si>
    <t>Molybdenum</t>
  </si>
  <si>
    <t>Niobium</t>
  </si>
  <si>
    <t>Titanium</t>
  </si>
  <si>
    <t>Platinum</t>
  </si>
  <si>
    <t>Rubber</t>
  </si>
  <si>
    <t>Plastic (Average)</t>
  </si>
  <si>
    <t>Nylon</t>
  </si>
  <si>
    <t>Polypropylene</t>
  </si>
  <si>
    <t>HDPE</t>
  </si>
  <si>
    <t>PET</t>
  </si>
  <si>
    <t>PTFE</t>
  </si>
  <si>
    <t>PFSA</t>
  </si>
  <si>
    <t>Plastic (PPS &amp; Others)</t>
  </si>
  <si>
    <t>PFSA Nafion</t>
  </si>
  <si>
    <t>Carbon fiber reinforced composite (Tanks)</t>
  </si>
  <si>
    <t>Glass fiber-reinforced plastic</t>
  </si>
  <si>
    <t>Fiberglass</t>
  </si>
  <si>
    <t>Glass</t>
  </si>
  <si>
    <t>Graphite</t>
  </si>
  <si>
    <t>Ceramic</t>
  </si>
  <si>
    <t>Carbon</t>
  </si>
  <si>
    <t>Cotton paper</t>
  </si>
  <si>
    <t>Grease</t>
  </si>
  <si>
    <t>Damask</t>
  </si>
  <si>
    <t>Latex</t>
  </si>
  <si>
    <t>Leather</t>
  </si>
  <si>
    <t>Silica</t>
  </si>
  <si>
    <t>Carbon paper</t>
  </si>
  <si>
    <t>Wood</t>
  </si>
  <si>
    <t>Phenolic resin</t>
  </si>
  <si>
    <t>Enamel</t>
  </si>
  <si>
    <t>PBT</t>
  </si>
  <si>
    <t>Mica</t>
  </si>
  <si>
    <t>Silicone</t>
  </si>
  <si>
    <t>Epoxy resin</t>
  </si>
  <si>
    <t>Methacrylate ester resin</t>
  </si>
  <si>
    <t>Paint/Varnish</t>
  </si>
  <si>
    <t>Zinc</t>
  </si>
  <si>
    <t>Alumina</t>
  </si>
  <si>
    <t>Gold</t>
  </si>
  <si>
    <t>Polyurethane</t>
  </si>
  <si>
    <t>Zinc oxide</t>
  </si>
  <si>
    <t>Others</t>
  </si>
  <si>
    <t>g CO2 eq. / lb</t>
  </si>
  <si>
    <t>MEA</t>
  </si>
  <si>
    <t>Material</t>
  </si>
  <si>
    <t>CI</t>
  </si>
  <si>
    <t>Unit</t>
  </si>
  <si>
    <t>Hydrogen ICEV</t>
  </si>
  <si>
    <t>Hydrogen FCEV</t>
  </si>
  <si>
    <t>-</t>
  </si>
  <si>
    <t>Diesel MPG</t>
  </si>
  <si>
    <t>Efficiency relateive to Diesel</t>
  </si>
  <si>
    <t>Powertrain Technology</t>
  </si>
  <si>
    <t xml:space="preserve">CO2 transport cost </t>
  </si>
  <si>
    <t>$/ton of CO2</t>
  </si>
  <si>
    <t>Carbon Tax 
(USD/ton)</t>
  </si>
  <si>
    <t>Carbon Tax</t>
  </si>
  <si>
    <t>U.S. B20 (soybean)</t>
  </si>
  <si>
    <t>U.S. ULSDiesel</t>
  </si>
  <si>
    <t>U.S. Renewable Diesel</t>
  </si>
  <si>
    <t>U.S. DME (NG based)</t>
  </si>
  <si>
    <t>K.S.A. ULSDiesel</t>
  </si>
  <si>
    <t xml:space="preserve">K.S.A. Gasoline </t>
  </si>
  <si>
    <t>K.S.A. B20 (soybean)</t>
  </si>
  <si>
    <t>K.S.A. Renewable Diesel</t>
  </si>
  <si>
    <t>K.S.A. DME (NG based)</t>
  </si>
  <si>
    <t>KSA (CI (gCO2eq/MJ fuel)</t>
  </si>
  <si>
    <t>WTT CI  (gallon,kwh,kg H2 / g CO2)</t>
  </si>
  <si>
    <t>TTW CI  (gallon,kwh,kg H2 / g CO2)</t>
  </si>
  <si>
    <t>1000 mile</t>
  </si>
  <si>
    <t>Carbon Intensity</t>
  </si>
  <si>
    <t>MCC 50%</t>
  </si>
  <si>
    <t>MCC 90%</t>
  </si>
  <si>
    <t>BEV 500 mile</t>
  </si>
  <si>
    <t>Change [%]</t>
  </si>
  <si>
    <t>#3</t>
  </si>
  <si>
    <t>#1</t>
  </si>
  <si>
    <t>#2</t>
  </si>
  <si>
    <t>K.S.A. Petroleum</t>
  </si>
  <si>
    <t>K.S.A. NG-Fired Power Plant</t>
  </si>
  <si>
    <t>U.S. PV Power Plant</t>
  </si>
  <si>
    <t>U.S. Wind Power Plant</t>
  </si>
  <si>
    <t>U.S. Hydroelectric Power Plant</t>
  </si>
  <si>
    <t>U.S. Nuclear-PWR Power Plant</t>
  </si>
  <si>
    <t>U.S. NG-Fired Power Plant</t>
  </si>
  <si>
    <t>U.S. Coal-Fired Power Plant</t>
  </si>
  <si>
    <t>K.S.A. Transportation Use: K.S.A. Mix</t>
  </si>
  <si>
    <t>U.S.A. Transportation Use: U.S. Mix</t>
  </si>
  <si>
    <t>KSA No policy</t>
  </si>
  <si>
    <t>KSA Current Policy</t>
  </si>
  <si>
    <t>Pathway</t>
  </si>
  <si>
    <t>K.S.A. SMR w/o CC</t>
  </si>
  <si>
    <t>K.S.A. SMR w 95% CC</t>
  </si>
  <si>
    <t>K.S.A. ATR w 95% CC</t>
  </si>
  <si>
    <t>K.S.A. Wind-based (average)</t>
  </si>
  <si>
    <t>K.S.A. Solar-based (average)</t>
  </si>
  <si>
    <t>v</t>
  </si>
  <si>
    <t>KSA NDCs Continued</t>
  </si>
  <si>
    <t>K.S.A. NG-Fired Power Plant_CCS</t>
  </si>
  <si>
    <t>Fuel Utilization (Tank to Wheel)</t>
  </si>
  <si>
    <t>Addition Technology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</si>
</sst>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6" formatCode="&quot;$&quot;#,##0_);[Red]\(&quot;$&quot;#,##0\)"/>
    <numFmt numFmtId="7" formatCode="&quot;$&quot;#,##0.00_);\(&quot;$&quot;#,##0.00\)"/>
    <numFmt numFmtId="8" formatCode="&quot;$&quot;#,##0.00_);[Red]\(&quot;$&quot;#,##0.00\)"/>
    <numFmt numFmtId="42" formatCode="_(&quot;$&quot;* #,##0_);_(&quot;$&quot;* \(#,##0\);_(&quot;$&quot;* &quot;-&quot;_);_(@_)"/>
    <numFmt numFmtId="43" formatCode="_(* #,##0.00_);_(* \(#,##0.00\);_(* &quot;-&quot;??_);_(@_)"/>
    <numFmt numFmtId="164" formatCode="_ &quot;¥&quot;* #,##0.00_ ;_ &quot;¥&quot;* \-#,##0.00_ ;_ &quot;¥&quot;* &quot;-&quot;??_ ;_ @_ "/>
    <numFmt numFmtId="165" formatCode="[$$-409]#,##0"/>
    <numFmt numFmtId="166" formatCode="_-[$$-409]* #,##0_ ;_-[$$-409]* \-#,##0\ ;_-[$$-409]* &quot;-&quot;??_ ;_-@_ "/>
    <numFmt numFmtId="167" formatCode="0.0"/>
    <numFmt numFmtId="168" formatCode="_([$$-409]* #,##0.00_);_([$$-409]* \(#,##0.00\);_([$$-409]* &quot;-&quot;??_);_(@_)"/>
    <numFmt numFmtId="169" formatCode="_([$$-409]* #,##0_);_([$$-409]* \(#,##0\);_([$$-409]* &quot;-&quot;??_);_(@_)"/>
    <numFmt numFmtId="170" formatCode="0.0%"/>
    <numFmt numFmtId="171" formatCode="0.0000"/>
    <numFmt numFmtId="172" formatCode="0.000"/>
    <numFmt numFmtId="173" formatCode="#,##0.000000"/>
    <numFmt numFmtId="174" formatCode="_(* #,##0_);_(* \(#,##0\);_(* &quot;-&quot;??_);_(@_)"/>
    <numFmt numFmtId="175" formatCode="_([$$-409]* #,##0_);_([$$-409]* \(#,##0\);_([$$-409]* &quot;-&quot;???_);_(@_)"/>
    <numFmt numFmtId="176" formatCode="_([$$-409]* #,##0.000_);_([$$-409]* \(#,##0.000\);_([$$-409]* &quot;-&quot;??_);_(@_)"/>
    <numFmt numFmtId="177" formatCode="[$$-409]#,##0.00"/>
    <numFmt numFmtId="178" formatCode="&quot;$&quot;#,##0.00"/>
    <numFmt numFmtId="179" formatCode="&quot;$&quot;#,##0"/>
    <numFmt numFmtId="180" formatCode="#,##0.0"/>
    <numFmt numFmtId="181" formatCode="&quot;$&quot;#,##0.0000_);\(&quot;$&quot;#,##0.0000\)"/>
    <numFmt numFmtId="182" formatCode="&quot;$&quot;#,##0.0000"/>
    <numFmt numFmtId="183" formatCode="#,##0.000_);[Red]\(#,##0.000\)"/>
    <numFmt numFmtId="184" formatCode="&quot;$&quot;#,##0.000_);[Red]\(&quot;$&quot;#,##0.000\)"/>
    <numFmt numFmtId="185" formatCode="_([$$-409]* #,##0.000_);_([$$-409]* \(#,##0.000\);_([$$-409]* &quot;-&quot;???_);_(@_)"/>
    <numFmt numFmtId="186" formatCode="0.00_);[Red]\(0.00\)"/>
    <numFmt numFmtId="187" formatCode="0.0_ "/>
    <numFmt numFmtId="188" formatCode="&quot;$&quot;#,##0.0"/>
    <numFmt numFmtId="189" formatCode="[Red]\+0.0%;[Blue]\-0.0%"/>
  </numFmts>
  <fonts count="107">
    <font>
      <sz val="11"/>
      <color theme="1"/>
      <name val="Calibri"/>
      <family val="2"/>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charset val="134"/>
      <scheme val="minor"/>
    </font>
    <font>
      <sz val="11"/>
      <color rgb="FF006100"/>
      <name val="Calibri"/>
      <family val="2"/>
      <charset val="134"/>
      <scheme val="minor"/>
    </font>
    <font>
      <sz val="11"/>
      <color rgb="FF9C0006"/>
      <name val="Calibri"/>
      <family val="2"/>
      <charset val="134"/>
      <scheme val="minor"/>
    </font>
    <font>
      <sz val="11"/>
      <color rgb="FF3F3F76"/>
      <name val="Calibri"/>
      <family val="2"/>
      <charset val="134"/>
      <scheme val="minor"/>
    </font>
    <font>
      <b/>
      <sz val="11"/>
      <color rgb="FFFA7D00"/>
      <name val="Calibri"/>
      <family val="2"/>
      <charset val="134"/>
      <scheme val="minor"/>
    </font>
    <font>
      <sz val="11"/>
      <color rgb="FFFF0000"/>
      <name val="Calibri"/>
      <family val="2"/>
      <charset val="134"/>
      <scheme val="minor"/>
    </font>
    <font>
      <b/>
      <sz val="12"/>
      <color theme="1"/>
      <name val="Calibri"/>
      <family val="2"/>
      <scheme val="minor"/>
    </font>
    <font>
      <b/>
      <sz val="14"/>
      <color rgb="FF006100"/>
      <name val="Calibri"/>
      <family val="2"/>
      <scheme val="minor"/>
    </font>
    <font>
      <b/>
      <sz val="14"/>
      <color rgb="FF3F3F76"/>
      <name val="Calibri"/>
      <family val="2"/>
      <scheme val="minor"/>
    </font>
    <font>
      <u/>
      <sz val="11"/>
      <color theme="10"/>
      <name val="Calibri"/>
      <family val="2"/>
      <charset val="134"/>
      <scheme val="minor"/>
    </font>
    <font>
      <b/>
      <sz val="11"/>
      <color rgb="FF3F3F3F"/>
      <name val="Calibri"/>
      <family val="2"/>
      <scheme val="minor"/>
    </font>
    <font>
      <sz val="11"/>
      <color theme="0"/>
      <name val="Calibri"/>
      <family val="2"/>
      <scheme val="minor"/>
    </font>
    <font>
      <sz val="9"/>
      <color indexed="81"/>
      <name val="Tahoma"/>
      <family val="2"/>
    </font>
    <font>
      <b/>
      <sz val="9"/>
      <color indexed="81"/>
      <name val="Tahoma"/>
      <family val="2"/>
    </font>
    <font>
      <b/>
      <sz val="10"/>
      <name val="Arial"/>
      <family val="2"/>
    </font>
    <font>
      <sz val="10"/>
      <name val="Arial"/>
      <family val="2"/>
    </font>
    <font>
      <sz val="8"/>
      <name val="Calibri"/>
      <family val="2"/>
      <charset val="134"/>
      <scheme val="minor"/>
    </font>
    <font>
      <sz val="11"/>
      <color rgb="FF9C5700"/>
      <name val="Calibri"/>
      <family val="2"/>
      <scheme val="minor"/>
    </font>
    <font>
      <b/>
      <sz val="11"/>
      <color theme="1"/>
      <name val="Calibri"/>
      <family val="2"/>
      <scheme val="minor"/>
    </font>
    <font>
      <b/>
      <sz val="11"/>
      <name val="Arial"/>
      <family val="2"/>
    </font>
    <font>
      <b/>
      <sz val="11"/>
      <color rgb="FF006100"/>
      <name val="Calibri"/>
      <family val="2"/>
      <scheme val="minor"/>
    </font>
    <font>
      <b/>
      <sz val="11"/>
      <color rgb="FF9C0006"/>
      <name val="Calibri"/>
      <family val="2"/>
      <scheme val="minor"/>
    </font>
    <font>
      <sz val="16"/>
      <color rgb="FF202124"/>
      <name val="Arial"/>
      <family val="2"/>
    </font>
    <font>
      <b/>
      <sz val="16"/>
      <color rgb="FF9C0006"/>
      <name val="Calibri"/>
      <family val="2"/>
      <scheme val="minor"/>
    </font>
    <font>
      <b/>
      <sz val="15"/>
      <color theme="3"/>
      <name val="Calibri"/>
      <family val="2"/>
      <scheme val="minor"/>
    </font>
    <font>
      <b/>
      <sz val="11"/>
      <color theme="3"/>
      <name val="Calibri"/>
      <family val="2"/>
      <scheme val="minor"/>
    </font>
    <font>
      <b/>
      <sz val="14"/>
      <color rgb="FF9C0006"/>
      <name val="Calibri"/>
      <family val="2"/>
      <scheme val="minor"/>
    </font>
    <font>
      <b/>
      <sz val="16"/>
      <color rgb="FFFF0000"/>
      <name val="Calibri"/>
      <family val="2"/>
      <scheme val="minor"/>
    </font>
    <font>
      <b/>
      <sz val="14"/>
      <color rgb="FFFF0000"/>
      <name val="Calibri"/>
      <family val="2"/>
      <scheme val="minor"/>
    </font>
    <font>
      <sz val="12"/>
      <color rgb="FF222222"/>
      <name val="Arial"/>
      <family val="2"/>
    </font>
    <font>
      <b/>
      <sz val="12"/>
      <color rgb="FF222222"/>
      <name val="Arial"/>
      <family val="2"/>
    </font>
    <font>
      <sz val="9"/>
      <name val="Calibri"/>
      <family val="2"/>
      <charset val="134"/>
      <scheme val="minor"/>
    </font>
    <font>
      <sz val="11"/>
      <color theme="1"/>
      <name val="Calibri"/>
      <family val="2"/>
    </font>
    <font>
      <sz val="11"/>
      <color theme="0"/>
      <name val="Calibri"/>
      <family val="2"/>
    </font>
    <font>
      <b/>
      <sz val="11"/>
      <color theme="1"/>
      <name val="Calibri"/>
      <family val="2"/>
    </font>
    <font>
      <sz val="11"/>
      <color rgb="FF006100"/>
      <name val="Calibri"/>
      <family val="2"/>
    </font>
    <font>
      <b/>
      <sz val="14"/>
      <color rgb="FF3F3F76"/>
      <name val="Calibri"/>
      <family val="2"/>
    </font>
    <font>
      <b/>
      <sz val="12"/>
      <color rgb="FF006100"/>
      <name val="Calibri"/>
      <family val="2"/>
    </font>
    <font>
      <b/>
      <sz val="16"/>
      <color theme="1"/>
      <name val="Calibri"/>
      <family val="2"/>
    </font>
    <font>
      <sz val="11"/>
      <name val="Calibri"/>
      <family val="2"/>
    </font>
    <font>
      <b/>
      <sz val="11"/>
      <name val="Calibri"/>
      <family val="2"/>
    </font>
    <font>
      <b/>
      <sz val="12"/>
      <name val="Calibri"/>
      <family val="2"/>
    </font>
    <font>
      <sz val="12"/>
      <color rgb="FF0000FF"/>
      <name val="Calibri"/>
      <family val="2"/>
    </font>
    <font>
      <u/>
      <sz val="11"/>
      <name val="Calibri"/>
      <family val="2"/>
    </font>
    <font>
      <u/>
      <sz val="11"/>
      <color theme="10"/>
      <name val="Calibri"/>
      <family val="2"/>
    </font>
    <font>
      <sz val="11"/>
      <color rgb="FF3F3F76"/>
      <name val="Calibri"/>
      <family val="2"/>
    </font>
    <font>
      <b/>
      <sz val="11"/>
      <color rgb="FF3F3F76"/>
      <name val="Calibri"/>
      <family val="2"/>
    </font>
    <font>
      <b/>
      <sz val="11"/>
      <color rgb="FF3F3F3F"/>
      <name val="Calibri"/>
      <family val="2"/>
    </font>
    <font>
      <b/>
      <sz val="14"/>
      <color rgb="FFFF0000"/>
      <name val="Calibri"/>
      <family val="2"/>
    </font>
    <font>
      <sz val="11"/>
      <color rgb="FFFF0000"/>
      <name val="Calibri"/>
      <family val="2"/>
    </font>
    <font>
      <sz val="11"/>
      <color rgb="FF313132"/>
      <name val="Calibri"/>
      <family val="2"/>
    </font>
    <font>
      <b/>
      <sz val="16"/>
      <color theme="0"/>
      <name val="Calibri"/>
      <family val="2"/>
    </font>
    <font>
      <b/>
      <sz val="16"/>
      <name val="Calibri"/>
      <family val="2"/>
    </font>
    <font>
      <u/>
      <sz val="11"/>
      <color theme="0"/>
      <name val="Calibri"/>
      <family val="2"/>
    </font>
    <font>
      <b/>
      <sz val="11"/>
      <color rgb="FFFF0000"/>
      <name val="Calibri"/>
      <family val="2"/>
    </font>
    <font>
      <b/>
      <sz val="12"/>
      <color theme="0"/>
      <name val="Calibri"/>
      <family val="2"/>
    </font>
    <font>
      <b/>
      <sz val="12"/>
      <color theme="1"/>
      <name val="Calibri"/>
      <family val="2"/>
    </font>
    <font>
      <b/>
      <sz val="18"/>
      <color theme="1"/>
      <name val="Calibri"/>
      <family val="2"/>
    </font>
    <font>
      <sz val="12"/>
      <color theme="1"/>
      <name val="Calibri"/>
      <family val="2"/>
    </font>
    <font>
      <b/>
      <sz val="12"/>
      <color rgb="FF9C0006"/>
      <name val="Calibri"/>
      <family val="2"/>
    </font>
    <font>
      <sz val="12"/>
      <color rgb="FFFF0000"/>
      <name val="Calibri"/>
      <family val="2"/>
    </font>
    <font>
      <sz val="12"/>
      <color rgb="FF3F3F76"/>
      <name val="Calibri"/>
      <family val="2"/>
    </font>
    <font>
      <b/>
      <sz val="12"/>
      <color rgb="FFFA7D00"/>
      <name val="Calibri"/>
      <family val="2"/>
    </font>
    <font>
      <b/>
      <sz val="16"/>
      <color rgb="FF9C0006"/>
      <name val="Calibri"/>
      <family val="2"/>
    </font>
    <font>
      <b/>
      <sz val="12"/>
      <color rgb="FFC00000"/>
      <name val="Calibri"/>
      <family val="2"/>
    </font>
    <font>
      <b/>
      <sz val="16"/>
      <color rgb="FF3F3F76"/>
      <name val="Calibri"/>
      <family val="2"/>
    </font>
    <font>
      <b/>
      <sz val="22"/>
      <color theme="1"/>
      <name val="Calibri"/>
      <family val="2"/>
    </font>
    <font>
      <b/>
      <sz val="12"/>
      <color rgb="FFFF0000"/>
      <name val="Calibri"/>
      <family val="2"/>
    </font>
    <font>
      <b/>
      <sz val="10"/>
      <name val="Calibri"/>
      <family val="2"/>
    </font>
    <font>
      <b/>
      <sz val="11"/>
      <color rgb="FF9C5700"/>
      <name val="Calibri"/>
      <family val="2"/>
    </font>
    <font>
      <sz val="18"/>
      <color theme="1"/>
      <name val="Calibri"/>
      <family val="2"/>
    </font>
    <font>
      <b/>
      <sz val="11"/>
      <color theme="0"/>
      <name val="Calibri"/>
      <family val="2"/>
    </font>
    <font>
      <b/>
      <sz val="24"/>
      <color rgb="FFFA7D00"/>
      <name val="Calibri"/>
      <family val="2"/>
    </font>
    <font>
      <sz val="11"/>
      <color theme="0"/>
      <name val="Calibri"/>
      <family val="2"/>
      <charset val="134"/>
      <scheme val="minor"/>
    </font>
    <font>
      <b/>
      <sz val="16"/>
      <name val="Calibri"/>
      <family val="2"/>
      <scheme val="minor"/>
    </font>
    <font>
      <b/>
      <sz val="11"/>
      <color rgb="FF5F6369"/>
      <name val="Calibri"/>
      <family val="2"/>
      <scheme val="minor"/>
    </font>
    <font>
      <b/>
      <sz val="11"/>
      <color rgb="FF7030A0"/>
      <name val="Calibri"/>
      <family val="2"/>
      <scheme val="minor"/>
    </font>
    <font>
      <b/>
      <sz val="11"/>
      <color rgb="FF00B0F0"/>
      <name val="Calibri"/>
      <family val="2"/>
      <scheme val="minor"/>
    </font>
    <font>
      <b/>
      <sz val="11"/>
      <color rgb="FF00843D"/>
      <name val="Calibri"/>
      <family val="2"/>
      <scheme val="minor"/>
    </font>
    <font>
      <b/>
      <sz val="11"/>
      <color rgb="FF0070C0"/>
      <name val="Calibri"/>
      <family val="2"/>
      <scheme val="minor"/>
    </font>
    <font>
      <b/>
      <sz val="11"/>
      <color theme="4" tint="0.39997558519241921"/>
      <name val="Calibri"/>
      <family val="2"/>
      <scheme val="minor"/>
    </font>
    <font>
      <sz val="20"/>
      <color theme="1"/>
      <name val="Calibri"/>
      <family val="2"/>
      <charset val="134"/>
      <scheme val="minor"/>
    </font>
    <font>
      <sz val="11"/>
      <name val="Calibri"/>
      <family val="2"/>
      <charset val="134"/>
      <scheme val="minor"/>
    </font>
    <font>
      <sz val="20"/>
      <color rgb="FFFF0000"/>
      <name val="Calibri"/>
      <family val="2"/>
      <scheme val="minor"/>
    </font>
    <font>
      <sz val="20"/>
      <color theme="1"/>
      <name val="Calibri"/>
      <family val="2"/>
      <scheme val="minor"/>
    </font>
    <font>
      <b/>
      <sz val="15"/>
      <color theme="0"/>
      <name val="Calibri"/>
      <family val="2"/>
      <scheme val="minor"/>
    </font>
    <font>
      <b/>
      <sz val="14"/>
      <color rgb="FF000000"/>
      <name val="Calibri"/>
      <family val="2"/>
    </font>
    <font>
      <sz val="11"/>
      <color rgb="FF0000FF"/>
      <name val="Calibri"/>
      <family val="2"/>
    </font>
    <font>
      <sz val="12"/>
      <color theme="0"/>
      <name val="Calibri"/>
      <family val="2"/>
    </font>
    <font>
      <sz val="20"/>
      <name val="Calibri"/>
      <family val="2"/>
      <scheme val="minor"/>
    </font>
    <font>
      <b/>
      <sz val="18"/>
      <color theme="1"/>
      <name val="Calibri"/>
      <family val="2"/>
      <scheme val="minor"/>
    </font>
    <font>
      <b/>
      <sz val="16"/>
      <color rgb="FFFFFF00"/>
      <name val="Calibri"/>
      <family val="2"/>
    </font>
    <font>
      <sz val="11"/>
      <color theme="1"/>
      <name val="Aptos"/>
      <family val="2"/>
    </font>
    <font>
      <sz val="14"/>
      <color theme="1"/>
      <name val="Calibri"/>
      <family val="2"/>
    </font>
    <font>
      <b/>
      <sz val="14"/>
      <color theme="0"/>
      <name val="Calibri"/>
      <family val="2"/>
    </font>
    <font>
      <sz val="12"/>
      <name val="Calibri"/>
      <family val="2"/>
    </font>
    <font>
      <sz val="11"/>
      <name val="Calibri"/>
      <family val="2"/>
      <scheme val="minor"/>
    </font>
    <font>
      <b/>
      <sz val="18"/>
      <color rgb="FFFF0000"/>
      <name val="Calibri"/>
      <family val="2"/>
      <scheme val="minor"/>
    </font>
    <font>
      <sz val="10"/>
      <color theme="1"/>
      <name val="Calibri"/>
      <family val="2"/>
      <scheme val="minor"/>
    </font>
    <font>
      <b/>
      <sz val="10"/>
      <color theme="0"/>
      <name val="Calibri"/>
      <family val="2"/>
    </font>
    <font>
      <sz val="12"/>
      <color theme="1"/>
      <name val="Calibri"/>
      <family val="2"/>
      <charset val="134"/>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FFFFCC"/>
      </patternFill>
    </fill>
    <fill>
      <patternFill patternType="solid">
        <fgColor theme="6"/>
      </patternFill>
    </fill>
    <fill>
      <patternFill patternType="solid">
        <fgColor theme="7" tint="0.79998168889431442"/>
        <bgColor indexed="65"/>
      </patternFill>
    </fill>
    <fill>
      <patternFill patternType="solid">
        <fgColor rgb="FFFFEB9C"/>
      </patternFill>
    </fill>
    <fill>
      <patternFill patternType="solid">
        <fgColor rgb="FFFFFF00"/>
        <bgColor indexed="64"/>
      </patternFill>
    </fill>
    <fill>
      <patternFill patternType="solid">
        <fgColor theme="0" tint="-0.34998626667073579"/>
        <bgColor indexed="64"/>
      </patternFill>
    </fill>
    <fill>
      <patternFill patternType="solid">
        <fgColor theme="7"/>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1" tint="0.249977111117893"/>
        <bgColor indexed="64"/>
      </patternFill>
    </fill>
    <fill>
      <patternFill patternType="solid">
        <fgColor rgb="FFFFFFFF"/>
        <bgColor indexed="64"/>
      </patternFill>
    </fill>
    <fill>
      <patternFill patternType="solid">
        <fgColor rgb="FF92D050"/>
        <bgColor indexed="64"/>
      </patternFill>
    </fill>
    <fill>
      <patternFill patternType="solid">
        <fgColor theme="0"/>
        <bgColor indexed="64"/>
      </patternFill>
    </fill>
    <fill>
      <patternFill patternType="solid">
        <fgColor theme="1"/>
        <bgColor indexed="64"/>
      </patternFill>
    </fill>
    <fill>
      <patternFill patternType="solid">
        <fgColor rgb="FF84BD00"/>
        <bgColor indexed="64"/>
      </patternFill>
    </fill>
    <fill>
      <patternFill patternType="solid">
        <fgColor rgb="FF00A3E0"/>
        <bgColor indexed="64"/>
      </patternFill>
    </fill>
    <fill>
      <patternFill patternType="solid">
        <fgColor rgb="FF643278"/>
        <bgColor indexed="64"/>
      </patternFill>
    </fill>
    <fill>
      <patternFill patternType="solid">
        <fgColor rgb="FF5F6369"/>
        <bgColor indexed="64"/>
      </patternFill>
    </fill>
    <fill>
      <patternFill patternType="solid">
        <fgColor rgb="FF0033A0"/>
        <bgColor indexed="64"/>
      </patternFill>
    </fill>
    <fill>
      <patternFill patternType="solid">
        <fgColor rgb="FF00843D"/>
        <bgColor indexed="64"/>
      </patternFill>
    </fill>
    <fill>
      <patternFill patternType="solid">
        <fgColor rgb="FFF05F4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4" tint="0.39997558519241921"/>
        <bgColor indexed="64"/>
      </patternFill>
    </fill>
    <fill>
      <patternFill patternType="solid">
        <fgColor rgb="FFC00000"/>
        <bgColor indexed="64"/>
      </patternFill>
    </fill>
    <fill>
      <patternFill patternType="solid">
        <fgColor rgb="FF0000FF"/>
        <bgColor indexed="64"/>
      </patternFill>
    </fill>
    <fill>
      <patternFill patternType="solid">
        <fgColor rgb="FF00B050"/>
        <bgColor indexed="64"/>
      </patternFill>
    </fill>
  </fills>
  <borders count="147">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double">
        <color rgb="FF3F3F3F"/>
      </left>
      <right style="double">
        <color rgb="FF3F3F3F"/>
      </right>
      <top/>
      <bottom/>
      <diagonal/>
    </border>
    <border>
      <left style="thin">
        <color rgb="FF7F7F7F"/>
      </left>
      <right style="thin">
        <color rgb="FF7F7F7F"/>
      </right>
      <top/>
      <bottom/>
      <diagonal/>
    </border>
    <border>
      <left style="thin">
        <color indexed="64"/>
      </left>
      <right style="thin">
        <color indexed="64"/>
      </right>
      <top/>
      <bottom/>
      <diagonal/>
    </border>
    <border>
      <left style="thin">
        <color indexed="64"/>
      </left>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rgb="FF7F7F7F"/>
      </top>
      <bottom style="thin">
        <color rgb="FF7F7F7F"/>
      </bottom>
      <diagonal/>
    </border>
    <border>
      <left/>
      <right style="medium">
        <color indexed="64"/>
      </right>
      <top style="thin">
        <color rgb="FF7F7F7F"/>
      </top>
      <bottom style="thin">
        <color rgb="FF7F7F7F"/>
      </bottom>
      <diagonal/>
    </border>
    <border>
      <left style="medium">
        <color indexed="64"/>
      </left>
      <right/>
      <top/>
      <bottom/>
      <diagonal/>
    </border>
    <border>
      <left/>
      <right style="medium">
        <color indexed="64"/>
      </right>
      <top/>
      <bottom/>
      <diagonal/>
    </border>
    <border>
      <left style="medium">
        <color indexed="64"/>
      </left>
      <right style="medium">
        <color indexed="64"/>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top/>
      <bottom style="thin">
        <color rgb="FF7F7F7F"/>
      </bottom>
      <diagonal/>
    </border>
    <border>
      <left/>
      <right/>
      <top style="thin">
        <color rgb="FF7F7F7F"/>
      </top>
      <bottom style="thin">
        <color rgb="FF7F7F7F"/>
      </bottom>
      <diagonal/>
    </border>
    <border>
      <left style="medium">
        <color indexed="64"/>
      </left>
      <right style="medium">
        <color indexed="64"/>
      </right>
      <top style="thin">
        <color rgb="FFB2B2B2"/>
      </top>
      <bottom/>
      <diagonal/>
    </border>
    <border>
      <left/>
      <right/>
      <top/>
      <bottom style="thick">
        <color theme="4"/>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right style="medium">
        <color indexed="64"/>
      </right>
      <top style="thin">
        <color rgb="FF7F7F7F"/>
      </top>
      <bottom/>
      <diagonal/>
    </border>
    <border>
      <left style="medium">
        <color indexed="64"/>
      </left>
      <right style="medium">
        <color indexed="64"/>
      </right>
      <top style="thin">
        <color rgb="FF7F7F7F"/>
      </top>
      <bottom/>
      <diagonal/>
    </border>
    <border>
      <left/>
      <right style="thin">
        <color rgb="FF7F7F7F"/>
      </right>
      <top style="medium">
        <color indexed="64"/>
      </top>
      <bottom/>
      <diagonal/>
    </border>
    <border>
      <left style="medium">
        <color indexed="64"/>
      </left>
      <right style="medium">
        <color indexed="64"/>
      </right>
      <top/>
      <bottom style="medium">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thin">
        <color auto="1"/>
      </right>
      <top style="medium">
        <color indexed="64"/>
      </top>
      <bottom/>
      <diagonal/>
    </border>
    <border>
      <left style="thin">
        <color rgb="FF7F7F7F"/>
      </left>
      <right/>
      <top style="thin">
        <color rgb="FF7F7F7F"/>
      </top>
      <bottom style="thin">
        <color rgb="FF7F7F7F"/>
      </bottom>
      <diagonal/>
    </border>
    <border>
      <left/>
      <right/>
      <top style="medium">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rgb="FF7F7F7F"/>
      </bottom>
      <diagonal/>
    </border>
    <border>
      <left/>
      <right style="medium">
        <color indexed="64"/>
      </right>
      <top style="medium">
        <color indexed="64"/>
      </top>
      <bottom style="thin">
        <color rgb="FF7F7F7F"/>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rgb="FF3F3F3F"/>
      </left>
      <right style="thin">
        <color rgb="FF3F3F3F"/>
      </right>
      <top style="thin">
        <color rgb="FF3F3F3F"/>
      </top>
      <bottom/>
      <diagonal/>
    </border>
    <border>
      <left style="thin">
        <color rgb="FF7F7F7F"/>
      </left>
      <right/>
      <top/>
      <bottom style="thin">
        <color rgb="FF7F7F7F"/>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medium">
        <color indexed="64"/>
      </left>
      <right style="medium">
        <color indexed="64"/>
      </right>
      <top/>
      <bottom style="thin">
        <color indexed="64"/>
      </bottom>
      <diagonal/>
    </border>
    <border>
      <left style="medium">
        <color rgb="FF00B050"/>
      </left>
      <right style="thin">
        <color rgb="FF00B050"/>
      </right>
      <top style="medium">
        <color rgb="FF00B050"/>
      </top>
      <bottom style="thin">
        <color rgb="FF00B050"/>
      </bottom>
      <diagonal/>
    </border>
    <border>
      <left style="thin">
        <color rgb="FF00B050"/>
      </left>
      <right style="thin">
        <color rgb="FF00B050"/>
      </right>
      <top style="medium">
        <color rgb="FF00B050"/>
      </top>
      <bottom style="thin">
        <color rgb="FF00B050"/>
      </bottom>
      <diagonal/>
    </border>
    <border>
      <left style="thin">
        <color rgb="FF00B050"/>
      </left>
      <right style="medium">
        <color rgb="FF00B050"/>
      </right>
      <top style="medium">
        <color rgb="FF00B050"/>
      </top>
      <bottom style="thin">
        <color rgb="FF00B050"/>
      </bottom>
      <diagonal/>
    </border>
    <border>
      <left style="medium">
        <color rgb="FF00B050"/>
      </left>
      <right style="thin">
        <color rgb="FF00B050"/>
      </right>
      <top style="thin">
        <color rgb="FF00B050"/>
      </top>
      <bottom style="medium">
        <color rgb="FF00B050"/>
      </bottom>
      <diagonal/>
    </border>
    <border>
      <left style="thin">
        <color rgb="FF00B050"/>
      </left>
      <right style="thin">
        <color rgb="FF00B050"/>
      </right>
      <top style="thin">
        <color rgb="FF00B050"/>
      </top>
      <bottom style="medium">
        <color rgb="FF00B050"/>
      </bottom>
      <diagonal/>
    </border>
    <border>
      <left style="thin">
        <color rgb="FF00B050"/>
      </left>
      <right style="medium">
        <color rgb="FF00B050"/>
      </right>
      <top style="thin">
        <color rgb="FF00B050"/>
      </top>
      <bottom style="medium">
        <color rgb="FF00B050"/>
      </bottom>
      <diagonal/>
    </border>
    <border>
      <left style="thin">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rgb="FFFF0000"/>
      </left>
      <right/>
      <top style="medium">
        <color rgb="FFFF0000"/>
      </top>
      <bottom style="medium">
        <color rgb="FFFF0000"/>
      </bottom>
      <diagonal/>
    </border>
    <border>
      <left style="medium">
        <color indexed="64"/>
      </left>
      <right style="medium">
        <color indexed="64"/>
      </right>
      <top style="medium">
        <color rgb="FFFF0000"/>
      </top>
      <bottom style="medium">
        <color rgb="FFFF0000"/>
      </bottom>
      <diagonal/>
    </border>
    <border>
      <left/>
      <right style="medium">
        <color indexed="64"/>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rgb="FF00843D"/>
      </left>
      <right/>
      <top/>
      <bottom/>
      <diagonal/>
    </border>
    <border>
      <left style="thin">
        <color rgb="FF00843D"/>
      </left>
      <right/>
      <top/>
      <bottom style="thin">
        <color rgb="FF00843D"/>
      </bottom>
      <diagonal/>
    </border>
    <border>
      <left style="thin">
        <color rgb="FF00843D"/>
      </left>
      <right/>
      <top style="thin">
        <color rgb="FF00843D"/>
      </top>
      <bottom style="thin">
        <color rgb="FF00843D"/>
      </bottom>
      <diagonal/>
    </border>
    <border>
      <left style="thin">
        <color rgb="FF0033A0"/>
      </left>
      <right style="thin">
        <color rgb="FF0033A0"/>
      </right>
      <top style="thin">
        <color rgb="FF0033A0"/>
      </top>
      <bottom style="thin">
        <color rgb="FF0033A0"/>
      </bottom>
      <diagonal/>
    </border>
    <border>
      <left/>
      <right/>
      <top style="thin">
        <color rgb="FF0033A0"/>
      </top>
      <bottom/>
      <diagonal/>
    </border>
    <border>
      <left style="thin">
        <color rgb="FF0033A0"/>
      </left>
      <right/>
      <top style="thin">
        <color rgb="FF0033A0"/>
      </top>
      <bottom style="thin">
        <color rgb="FF0033A0"/>
      </bottom>
      <diagonal/>
    </border>
    <border>
      <left/>
      <right style="thin">
        <color rgb="FF0033A0"/>
      </right>
      <top style="thin">
        <color rgb="FF0033A0"/>
      </top>
      <bottom style="thin">
        <color rgb="FF0033A0"/>
      </bottom>
      <diagonal/>
    </border>
    <border>
      <left style="medium">
        <color indexed="64"/>
      </left>
      <right style="medium">
        <color indexed="64"/>
      </right>
      <top style="medium">
        <color indexed="64"/>
      </top>
      <bottom style="thin">
        <color rgb="FF00843D"/>
      </bottom>
      <diagonal/>
    </border>
    <border>
      <left style="medium">
        <color indexed="64"/>
      </left>
      <right style="medium">
        <color indexed="64"/>
      </right>
      <top style="thin">
        <color rgb="FF0033A0"/>
      </top>
      <bottom style="thin">
        <color rgb="FF0033A0"/>
      </bottom>
      <diagonal/>
    </border>
    <border>
      <left style="medium">
        <color indexed="64"/>
      </left>
      <right style="medium">
        <color indexed="64"/>
      </right>
      <top style="medium">
        <color indexed="64"/>
      </top>
      <bottom style="thin">
        <color rgb="FF0033A0"/>
      </bottom>
      <diagonal/>
    </border>
    <border>
      <left style="thin">
        <color rgb="FF7F7F7F"/>
      </left>
      <right style="medium">
        <color indexed="64"/>
      </right>
      <top style="medium">
        <color indexed="64"/>
      </top>
      <bottom style="thin">
        <color rgb="FF7F7F7F"/>
      </bottom>
      <diagonal/>
    </border>
    <border>
      <left style="thin">
        <color rgb="FF7F7F7F"/>
      </left>
      <right style="medium">
        <color indexed="64"/>
      </right>
      <top style="thin">
        <color rgb="FF7F7F7F"/>
      </top>
      <bottom style="thin">
        <color rgb="FF7F7F7F"/>
      </bottom>
      <diagonal/>
    </border>
    <border>
      <left style="thin">
        <color rgb="FF0033A0"/>
      </left>
      <right style="thin">
        <color rgb="FF0033A0"/>
      </right>
      <top/>
      <bottom style="thin">
        <color rgb="FF0033A0"/>
      </bottom>
      <diagonal/>
    </border>
    <border>
      <left style="medium">
        <color rgb="FFC00000"/>
      </left>
      <right style="thin">
        <color indexed="64"/>
      </right>
      <top style="medium">
        <color rgb="FFC00000"/>
      </top>
      <bottom style="thin">
        <color indexed="64"/>
      </bottom>
      <diagonal/>
    </border>
    <border>
      <left style="thin">
        <color indexed="64"/>
      </left>
      <right style="thin">
        <color indexed="64"/>
      </right>
      <top style="medium">
        <color rgb="FFC00000"/>
      </top>
      <bottom style="thin">
        <color indexed="64"/>
      </bottom>
      <diagonal/>
    </border>
    <border>
      <left style="thin">
        <color indexed="64"/>
      </left>
      <right style="medium">
        <color rgb="FFC00000"/>
      </right>
      <top style="medium">
        <color rgb="FFC00000"/>
      </top>
      <bottom style="thin">
        <color indexed="64"/>
      </bottom>
      <diagonal/>
    </border>
    <border>
      <left style="medium">
        <color rgb="FFC00000"/>
      </left>
      <right style="thin">
        <color indexed="64"/>
      </right>
      <top style="thin">
        <color indexed="64"/>
      </top>
      <bottom style="thin">
        <color indexed="64"/>
      </bottom>
      <diagonal/>
    </border>
    <border>
      <left style="thin">
        <color indexed="64"/>
      </left>
      <right style="medium">
        <color rgb="FFC00000"/>
      </right>
      <top style="thin">
        <color indexed="64"/>
      </top>
      <bottom style="thin">
        <color indexed="64"/>
      </bottom>
      <diagonal/>
    </border>
    <border>
      <left style="medium">
        <color rgb="FFC00000"/>
      </left>
      <right style="thin">
        <color indexed="64"/>
      </right>
      <top style="thin">
        <color indexed="64"/>
      </top>
      <bottom style="medium">
        <color rgb="FFC00000"/>
      </bottom>
      <diagonal/>
    </border>
    <border>
      <left style="thin">
        <color indexed="64"/>
      </left>
      <right style="thin">
        <color indexed="64"/>
      </right>
      <top style="thin">
        <color indexed="64"/>
      </top>
      <bottom style="medium">
        <color rgb="FFC00000"/>
      </bottom>
      <diagonal/>
    </border>
    <border>
      <left style="thin">
        <color indexed="64"/>
      </left>
      <right style="medium">
        <color rgb="FFC00000"/>
      </right>
      <top style="thin">
        <color indexed="64"/>
      </top>
      <bottom style="medium">
        <color rgb="FFC00000"/>
      </bottom>
      <diagonal/>
    </border>
    <border>
      <left/>
      <right style="thin">
        <color rgb="FF0033A0"/>
      </right>
      <top/>
      <bottom style="thin">
        <color rgb="FF0033A0"/>
      </bottom>
      <diagonal/>
    </border>
    <border>
      <left style="medium">
        <color theme="1"/>
      </left>
      <right style="thin">
        <color indexed="64"/>
      </right>
      <top style="medium">
        <color theme="1"/>
      </top>
      <bottom style="medium">
        <color theme="1"/>
      </bottom>
      <diagonal/>
    </border>
    <border>
      <left style="thin">
        <color indexed="64"/>
      </left>
      <right style="thin">
        <color indexed="64"/>
      </right>
      <top style="medium">
        <color theme="1"/>
      </top>
      <bottom style="medium">
        <color theme="1"/>
      </bottom>
      <diagonal/>
    </border>
    <border>
      <left style="thin">
        <color indexed="64"/>
      </left>
      <right style="medium">
        <color theme="1"/>
      </right>
      <top style="medium">
        <color theme="1"/>
      </top>
      <bottom style="medium">
        <color theme="1"/>
      </bottom>
      <diagonal/>
    </border>
    <border>
      <left style="thin">
        <color theme="1"/>
      </left>
      <right style="thin">
        <color theme="1"/>
      </right>
      <top style="thin">
        <color theme="1"/>
      </top>
      <bottom style="thin">
        <color theme="1"/>
      </bottom>
      <diagonal/>
    </border>
    <border>
      <left/>
      <right/>
      <top style="thin">
        <color rgb="FF00843D"/>
      </top>
      <bottom style="thin">
        <color rgb="FF00843D"/>
      </bottom>
      <diagonal/>
    </border>
    <border>
      <left/>
      <right/>
      <top style="thin">
        <color rgb="FF00843D"/>
      </top>
      <bottom/>
      <diagonal/>
    </border>
    <border>
      <left style="medium">
        <color rgb="FF00843D"/>
      </left>
      <right style="medium">
        <color indexed="64"/>
      </right>
      <top style="medium">
        <color rgb="FF00843D"/>
      </top>
      <bottom/>
      <diagonal/>
    </border>
    <border>
      <left style="medium">
        <color indexed="64"/>
      </left>
      <right/>
      <top style="medium">
        <color rgb="FF00843D"/>
      </top>
      <bottom style="thin">
        <color rgb="FF00843D"/>
      </bottom>
      <diagonal/>
    </border>
    <border>
      <left style="thin">
        <color theme="1"/>
      </left>
      <right style="thin">
        <color theme="1"/>
      </right>
      <top style="medium">
        <color rgb="FF00843D"/>
      </top>
      <bottom style="thin">
        <color theme="1"/>
      </bottom>
      <diagonal/>
    </border>
    <border>
      <left style="thin">
        <color theme="1"/>
      </left>
      <right style="medium">
        <color rgb="FF00843D"/>
      </right>
      <top style="medium">
        <color rgb="FF00843D"/>
      </top>
      <bottom style="thin">
        <color theme="1"/>
      </bottom>
      <diagonal/>
    </border>
    <border>
      <left style="medium">
        <color rgb="FF00843D"/>
      </left>
      <right/>
      <top/>
      <bottom/>
      <diagonal/>
    </border>
    <border>
      <left style="thin">
        <color theme="1"/>
      </left>
      <right style="medium">
        <color rgb="FF00843D"/>
      </right>
      <top style="thin">
        <color theme="1"/>
      </top>
      <bottom style="thin">
        <color theme="1"/>
      </bottom>
      <diagonal/>
    </border>
    <border>
      <left style="medium">
        <color rgb="FF00843D"/>
      </left>
      <right/>
      <top/>
      <bottom style="medium">
        <color rgb="FF00843D"/>
      </bottom>
      <diagonal/>
    </border>
    <border>
      <left/>
      <right/>
      <top/>
      <bottom style="medium">
        <color rgb="FF00843D"/>
      </bottom>
      <diagonal/>
    </border>
    <border>
      <left style="thin">
        <color theme="1"/>
      </left>
      <right style="thin">
        <color theme="1"/>
      </right>
      <top style="thin">
        <color theme="1"/>
      </top>
      <bottom style="medium">
        <color rgb="FF00843D"/>
      </bottom>
      <diagonal/>
    </border>
    <border>
      <left style="thin">
        <color theme="1"/>
      </left>
      <right style="medium">
        <color rgb="FF00843D"/>
      </right>
      <top style="thin">
        <color theme="1"/>
      </top>
      <bottom style="medium">
        <color rgb="FF00843D"/>
      </bottom>
      <diagonal/>
    </border>
  </borders>
  <cellStyleXfs count="26">
    <xf numFmtId="0" fontId="0" fillId="0" borderId="0"/>
    <xf numFmtId="164" fontId="6" fillId="0" borderId="0" applyFon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1" applyNumberFormat="0" applyAlignment="0" applyProtection="0"/>
    <xf numFmtId="0" fontId="10" fillId="5" borderId="1" applyNumberFormat="0" applyAlignment="0" applyProtection="0"/>
    <xf numFmtId="0" fontId="6" fillId="6" borderId="2" applyNumberFormat="0" applyFont="0" applyAlignment="0" applyProtection="0"/>
    <xf numFmtId="0" fontId="15" fillId="0" borderId="0" applyNumberFormat="0" applyFill="0" applyBorder="0" applyAlignment="0" applyProtection="0"/>
    <xf numFmtId="0" fontId="16" fillId="5" borderId="4" applyNumberFormat="0" applyAlignment="0" applyProtection="0"/>
    <xf numFmtId="0" fontId="17" fillId="7" borderId="0" applyNumberFormat="0" applyBorder="0" applyAlignment="0" applyProtection="0"/>
    <xf numFmtId="9" fontId="6" fillId="0" borderId="0" applyFont="0" applyFill="0" applyBorder="0" applyAlignment="0" applyProtection="0"/>
    <xf numFmtId="0" fontId="5" fillId="8" borderId="0" applyNumberFormat="0" applyBorder="0" applyAlignment="0" applyProtection="0"/>
    <xf numFmtId="43" fontId="6" fillId="0" borderId="0" applyFont="0" applyFill="0" applyBorder="0" applyAlignment="0" applyProtection="0"/>
    <xf numFmtId="0" fontId="23" fillId="9" borderId="0" applyNumberFormat="0" applyBorder="0" applyAlignment="0" applyProtection="0"/>
    <xf numFmtId="0" fontId="30" fillId="0" borderId="34" applyNumberFormat="0" applyFill="0" applyAlignment="0" applyProtection="0"/>
    <xf numFmtId="0" fontId="31" fillId="0" borderId="0" applyNumberFormat="0" applyFill="0" applyBorder="0" applyAlignment="0" applyProtection="0"/>
    <xf numFmtId="0" fontId="17"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9" fillId="25" borderId="3">
      <alignment vertical="center" wrapText="1"/>
    </xf>
    <xf numFmtId="0" fontId="39" fillId="24" borderId="3">
      <alignment vertical="center" wrapText="1"/>
    </xf>
    <xf numFmtId="0" fontId="39" fillId="23" borderId="0">
      <alignment horizontal="center" vertical="center" wrapText="1"/>
    </xf>
    <xf numFmtId="0" fontId="39" fillId="22" borderId="0">
      <alignment horizontal="center" vertical="center" wrapText="1"/>
    </xf>
    <xf numFmtId="0" fontId="45" fillId="21" borderId="0">
      <alignment horizontal="left" vertical="center" wrapText="1"/>
    </xf>
    <xf numFmtId="0" fontId="2" fillId="0" borderId="0"/>
  </cellStyleXfs>
  <cellXfs count="1301">
    <xf numFmtId="0" fontId="0" fillId="0" borderId="0" xfId="0"/>
    <xf numFmtId="0" fontId="10" fillId="5" borderId="1" xfId="5"/>
    <xf numFmtId="0" fontId="11" fillId="0" borderId="0" xfId="0" applyFont="1"/>
    <xf numFmtId="0" fontId="0" fillId="0" borderId="0" xfId="0" applyAlignment="1">
      <alignment wrapText="1"/>
    </xf>
    <xf numFmtId="167" fontId="0" fillId="0" borderId="0" xfId="0" applyNumberFormat="1"/>
    <xf numFmtId="170" fontId="5" fillId="0" borderId="0" xfId="10" applyNumberFormat="1" applyFont="1"/>
    <xf numFmtId="171" fontId="0" fillId="0" borderId="0" xfId="0" applyNumberFormat="1"/>
    <xf numFmtId="0" fontId="20" fillId="0" borderId="0" xfId="0" applyFont="1" applyAlignment="1">
      <alignment horizontal="right" wrapText="1"/>
    </xf>
    <xf numFmtId="0" fontId="20" fillId="0" borderId="3" xfId="0" applyFont="1" applyBorder="1" applyAlignment="1">
      <alignment horizontal="right" wrapText="1"/>
    </xf>
    <xf numFmtId="169" fontId="0" fillId="0" borderId="0" xfId="0" applyNumberFormat="1"/>
    <xf numFmtId="0" fontId="0" fillId="0" borderId="3" xfId="0" applyBorder="1" applyAlignment="1">
      <alignment horizontal="right" wrapText="1"/>
    </xf>
    <xf numFmtId="0" fontId="20" fillId="0" borderId="0" xfId="0" applyFont="1"/>
    <xf numFmtId="0" fontId="24" fillId="0" borderId="0" xfId="0" applyFont="1"/>
    <xf numFmtId="2" fontId="11" fillId="0" borderId="0" xfId="0" applyNumberFormat="1" applyFont="1"/>
    <xf numFmtId="0" fontId="25" fillId="0" borderId="0" xfId="0" applyFont="1"/>
    <xf numFmtId="173" fontId="0" fillId="0" borderId="15" xfId="0" applyNumberFormat="1" applyBorder="1"/>
    <xf numFmtId="0" fontId="23" fillId="9" borderId="3" xfId="13" applyBorder="1"/>
    <xf numFmtId="0" fontId="23" fillId="9" borderId="3" xfId="13" applyBorder="1" applyAlignment="1">
      <alignment wrapText="1"/>
    </xf>
    <xf numFmtId="3" fontId="5" fillId="8" borderId="3" xfId="11" applyNumberFormat="1" applyBorder="1" applyAlignment="1">
      <alignment wrapText="1"/>
    </xf>
    <xf numFmtId="0" fontId="9" fillId="4" borderId="1" xfId="4" applyAlignment="1">
      <alignment wrapText="1"/>
    </xf>
    <xf numFmtId="0" fontId="0" fillId="6" borderId="23" xfId="6" applyFont="1" applyBorder="1" applyAlignment="1">
      <alignment wrapText="1"/>
    </xf>
    <xf numFmtId="9" fontId="9" fillId="4" borderId="1" xfId="4" applyNumberFormat="1" applyAlignment="1">
      <alignment wrapText="1"/>
    </xf>
    <xf numFmtId="1" fontId="10" fillId="5" borderId="1" xfId="5" applyNumberFormat="1" applyAlignment="1">
      <alignment wrapText="1"/>
    </xf>
    <xf numFmtId="174" fontId="0" fillId="0" borderId="0" xfId="0" applyNumberFormat="1" applyAlignment="1">
      <alignment wrapText="1"/>
    </xf>
    <xf numFmtId="174" fontId="0" fillId="0" borderId="0" xfId="12" applyNumberFormat="1" applyFont="1" applyAlignment="1">
      <alignment wrapText="1"/>
    </xf>
    <xf numFmtId="170" fontId="5" fillId="0" borderId="0" xfId="10" applyNumberFormat="1" applyFont="1" applyAlignment="1">
      <alignment wrapText="1"/>
    </xf>
    <xf numFmtId="0" fontId="12" fillId="0" borderId="0" xfId="0" applyFont="1" applyAlignment="1">
      <alignment wrapText="1"/>
    </xf>
    <xf numFmtId="0" fontId="10" fillId="5" borderId="1" xfId="5" applyAlignment="1">
      <alignment wrapText="1"/>
    </xf>
    <xf numFmtId="0" fontId="24" fillId="0" borderId="0" xfId="0" applyFont="1" applyAlignment="1">
      <alignment wrapText="1"/>
    </xf>
    <xf numFmtId="0" fontId="26" fillId="0" borderId="0" xfId="0" applyFont="1" applyAlignment="1">
      <alignment wrapText="1"/>
    </xf>
    <xf numFmtId="0" fontId="27" fillId="0" borderId="0" xfId="0" applyFont="1" applyAlignment="1">
      <alignment wrapText="1"/>
    </xf>
    <xf numFmtId="0" fontId="0" fillId="0" borderId="3" xfId="0" applyBorder="1" applyAlignment="1">
      <alignment wrapText="1"/>
    </xf>
    <xf numFmtId="9" fontId="0" fillId="0" borderId="0" xfId="0" applyNumberFormat="1" applyAlignment="1">
      <alignment wrapText="1"/>
    </xf>
    <xf numFmtId="0" fontId="0" fillId="0" borderId="15" xfId="0" applyBorder="1" applyAlignment="1">
      <alignment wrapText="1"/>
    </xf>
    <xf numFmtId="173" fontId="21" fillId="0" borderId="15" xfId="12" applyNumberFormat="1" applyFont="1" applyBorder="1" applyAlignment="1">
      <alignment wrapText="1"/>
    </xf>
    <xf numFmtId="1" fontId="0" fillId="0" borderId="0" xfId="0" applyNumberFormat="1" applyAlignment="1">
      <alignment wrapText="1"/>
    </xf>
    <xf numFmtId="2" fontId="0" fillId="0" borderId="3" xfId="0" applyNumberFormat="1" applyBorder="1" applyAlignment="1">
      <alignment wrapText="1"/>
    </xf>
    <xf numFmtId="2" fontId="0" fillId="0" borderId="0" xfId="0" applyNumberFormat="1" applyAlignment="1">
      <alignment wrapText="1"/>
    </xf>
    <xf numFmtId="0" fontId="11" fillId="10" borderId="0" xfId="0" applyFont="1" applyFill="1" applyAlignment="1">
      <alignment wrapText="1"/>
    </xf>
    <xf numFmtId="9" fontId="0" fillId="0" borderId="0" xfId="10" applyFont="1" applyAlignment="1">
      <alignment wrapText="1"/>
    </xf>
    <xf numFmtId="0" fontId="28" fillId="0" borderId="0" xfId="0" applyFont="1"/>
    <xf numFmtId="3" fontId="23" fillId="9" borderId="3" xfId="13" applyNumberFormat="1" applyBorder="1" applyAlignment="1">
      <alignment wrapText="1"/>
    </xf>
    <xf numFmtId="43" fontId="23" fillId="9" borderId="3" xfId="13" applyNumberFormat="1" applyBorder="1" applyAlignment="1">
      <alignment horizontal="right"/>
    </xf>
    <xf numFmtId="171" fontId="23" fillId="9" borderId="3" xfId="13" applyNumberFormat="1" applyBorder="1" applyAlignment="1">
      <alignment wrapText="1"/>
    </xf>
    <xf numFmtId="2" fontId="23" fillId="9" borderId="3" xfId="13" applyNumberFormat="1" applyBorder="1" applyAlignment="1">
      <alignment wrapText="1"/>
    </xf>
    <xf numFmtId="167" fontId="0" fillId="0" borderId="0" xfId="0" applyNumberFormat="1" applyAlignment="1">
      <alignment wrapText="1"/>
    </xf>
    <xf numFmtId="167" fontId="23" fillId="9" borderId="3" xfId="13" applyNumberFormat="1" applyBorder="1"/>
    <xf numFmtId="0" fontId="23" fillId="9" borderId="3" xfId="13" applyBorder="1" applyAlignment="1">
      <alignment horizontal="right" wrapText="1"/>
    </xf>
    <xf numFmtId="9" fontId="23" fillId="9" borderId="3" xfId="13" applyNumberFormat="1" applyBorder="1" applyAlignment="1">
      <alignment wrapText="1"/>
    </xf>
    <xf numFmtId="0" fontId="0" fillId="0" borderId="3" xfId="0" applyBorder="1"/>
    <xf numFmtId="167" fontId="0" fillId="0" borderId="3" xfId="0" applyNumberFormat="1" applyBorder="1"/>
    <xf numFmtId="177" fontId="9" fillId="4" borderId="32" xfId="4" applyNumberFormat="1" applyBorder="1" applyAlignment="1">
      <alignment wrapText="1"/>
    </xf>
    <xf numFmtId="169" fontId="0" fillId="11" borderId="23" xfId="6" applyNumberFormat="1" applyFont="1" applyFill="1" applyBorder="1" applyAlignment="1">
      <alignment wrapText="1"/>
    </xf>
    <xf numFmtId="178" fontId="0" fillId="6" borderId="23" xfId="6" applyNumberFormat="1" applyFont="1" applyBorder="1" applyAlignment="1">
      <alignment horizontal="right" wrapText="1"/>
    </xf>
    <xf numFmtId="178" fontId="0" fillId="6" borderId="23" xfId="6" applyNumberFormat="1" applyFont="1" applyBorder="1" applyAlignment="1">
      <alignment wrapText="1"/>
    </xf>
    <xf numFmtId="1" fontId="0" fillId="6" borderId="33" xfId="6" applyNumberFormat="1" applyFont="1" applyBorder="1" applyAlignment="1">
      <alignment wrapText="1"/>
    </xf>
    <xf numFmtId="0" fontId="9" fillId="4" borderId="1" xfId="4" applyAlignment="1">
      <alignment textRotation="45"/>
    </xf>
    <xf numFmtId="0" fontId="9" fillId="4" borderId="1" xfId="4" applyAlignment="1">
      <alignment textRotation="45" wrapText="1"/>
    </xf>
    <xf numFmtId="0" fontId="0" fillId="6" borderId="23" xfId="6" applyNumberFormat="1" applyFont="1" applyBorder="1" applyAlignment="1">
      <alignment wrapText="1"/>
    </xf>
    <xf numFmtId="178" fontId="0" fillId="6" borderId="2" xfId="6" applyNumberFormat="1" applyFont="1" applyAlignment="1">
      <alignment wrapText="1"/>
    </xf>
    <xf numFmtId="0" fontId="0" fillId="6" borderId="2" xfId="6" applyNumberFormat="1" applyFont="1" applyAlignment="1">
      <alignment wrapText="1"/>
    </xf>
    <xf numFmtId="0" fontId="0" fillId="6" borderId="2" xfId="6" applyFont="1" applyAlignment="1">
      <alignment wrapText="1"/>
    </xf>
    <xf numFmtId="169" fontId="9" fillId="4" borderId="20" xfId="4" applyNumberFormat="1" applyBorder="1" applyAlignment="1">
      <alignment wrapText="1"/>
    </xf>
    <xf numFmtId="1" fontId="9" fillId="4" borderId="20" xfId="4" applyNumberFormat="1" applyBorder="1" applyAlignment="1">
      <alignment wrapText="1"/>
    </xf>
    <xf numFmtId="178" fontId="9" fillId="4" borderId="20" xfId="4" applyNumberFormat="1" applyBorder="1" applyAlignment="1">
      <alignment wrapText="1"/>
    </xf>
    <xf numFmtId="0" fontId="9" fillId="4" borderId="20" xfId="4" applyNumberFormat="1" applyBorder="1" applyAlignment="1">
      <alignment wrapText="1"/>
    </xf>
    <xf numFmtId="0" fontId="9" fillId="4" borderId="20" xfId="4" applyBorder="1" applyAlignment="1">
      <alignment wrapText="1"/>
    </xf>
    <xf numFmtId="165" fontId="9" fillId="4" borderId="35" xfId="4" applyNumberFormat="1" applyBorder="1" applyAlignment="1">
      <alignment wrapText="1"/>
    </xf>
    <xf numFmtId="1" fontId="9" fillId="4" borderId="36" xfId="4" applyNumberFormat="1" applyBorder="1" applyAlignment="1">
      <alignment wrapText="1"/>
    </xf>
    <xf numFmtId="178" fontId="9" fillId="4" borderId="8" xfId="4" applyNumberFormat="1" applyBorder="1" applyAlignment="1">
      <alignment wrapText="1"/>
    </xf>
    <xf numFmtId="1" fontId="9" fillId="4" borderId="8" xfId="4" applyNumberFormat="1" applyBorder="1" applyAlignment="1">
      <alignment wrapText="1"/>
    </xf>
    <xf numFmtId="1" fontId="9" fillId="4" borderId="19" xfId="4" applyNumberFormat="1" applyBorder="1" applyAlignment="1">
      <alignment wrapText="1"/>
    </xf>
    <xf numFmtId="175" fontId="9" fillId="4" borderId="19" xfId="4" applyNumberFormat="1" applyBorder="1" applyAlignment="1">
      <alignment wrapText="1"/>
    </xf>
    <xf numFmtId="165" fontId="9" fillId="4" borderId="19" xfId="4" applyNumberFormat="1" applyBorder="1" applyAlignment="1">
      <alignment wrapText="1"/>
    </xf>
    <xf numFmtId="0" fontId="9" fillId="4" borderId="19" xfId="4" applyNumberFormat="1" applyBorder="1" applyAlignment="1">
      <alignment wrapText="1"/>
    </xf>
    <xf numFmtId="177" fontId="9" fillId="4" borderId="19" xfId="4" applyNumberFormat="1" applyBorder="1" applyAlignment="1">
      <alignment wrapText="1"/>
    </xf>
    <xf numFmtId="0" fontId="9" fillId="4" borderId="18" xfId="4" applyNumberFormat="1" applyBorder="1" applyAlignment="1">
      <alignment wrapText="1"/>
    </xf>
    <xf numFmtId="1" fontId="9" fillId="4" borderId="38" xfId="4" applyNumberFormat="1" applyBorder="1" applyAlignment="1">
      <alignment wrapText="1"/>
    </xf>
    <xf numFmtId="178" fontId="9" fillId="4" borderId="16" xfId="4" applyNumberFormat="1" applyBorder="1" applyAlignment="1">
      <alignment wrapText="1"/>
    </xf>
    <xf numFmtId="1" fontId="9" fillId="4" borderId="16" xfId="4" applyNumberFormat="1" applyBorder="1" applyAlignment="1">
      <alignment wrapText="1"/>
    </xf>
    <xf numFmtId="3" fontId="5" fillId="10" borderId="3" xfId="11" applyNumberFormat="1" applyFill="1" applyBorder="1" applyAlignment="1">
      <alignment wrapText="1"/>
    </xf>
    <xf numFmtId="179" fontId="0" fillId="6" borderId="23" xfId="6" applyNumberFormat="1" applyFont="1" applyBorder="1" applyAlignment="1">
      <alignment wrapText="1"/>
    </xf>
    <xf numFmtId="179" fontId="9" fillId="4" borderId="19" xfId="4" applyNumberFormat="1" applyBorder="1" applyAlignment="1">
      <alignment wrapText="1"/>
    </xf>
    <xf numFmtId="179" fontId="9" fillId="4" borderId="20" xfId="4" applyNumberFormat="1" applyBorder="1" applyAlignment="1">
      <alignment wrapText="1"/>
    </xf>
    <xf numFmtId="2" fontId="9" fillId="4" borderId="16" xfId="4" applyNumberFormat="1" applyBorder="1" applyAlignment="1">
      <alignment wrapText="1"/>
    </xf>
    <xf numFmtId="2" fontId="9" fillId="4" borderId="8" xfId="4" applyNumberFormat="1" applyBorder="1" applyAlignment="1">
      <alignment wrapText="1"/>
    </xf>
    <xf numFmtId="1" fontId="9" fillId="4" borderId="17" xfId="4" applyNumberFormat="1" applyBorder="1" applyAlignment="1">
      <alignment wrapText="1"/>
    </xf>
    <xf numFmtId="1" fontId="9" fillId="4" borderId="39" xfId="4" applyNumberFormat="1" applyBorder="1" applyAlignment="1">
      <alignment wrapText="1"/>
    </xf>
    <xf numFmtId="1" fontId="0" fillId="6" borderId="17" xfId="6" applyNumberFormat="1" applyFont="1" applyBorder="1" applyAlignment="1">
      <alignment wrapText="1"/>
    </xf>
    <xf numFmtId="166" fontId="9" fillId="4" borderId="40" xfId="4" applyNumberFormat="1" applyBorder="1" applyAlignment="1">
      <alignment wrapText="1"/>
    </xf>
    <xf numFmtId="168" fontId="9" fillId="4" borderId="29" xfId="4" applyNumberFormat="1" applyBorder="1" applyAlignment="1">
      <alignment wrapText="1"/>
    </xf>
    <xf numFmtId="169" fontId="0" fillId="6" borderId="40" xfId="6" applyNumberFormat="1" applyFont="1" applyBorder="1" applyAlignment="1">
      <alignment wrapText="1"/>
    </xf>
    <xf numFmtId="0" fontId="0" fillId="6" borderId="23" xfId="6" applyNumberFormat="1" applyFont="1" applyBorder="1" applyAlignment="1">
      <alignment horizontal="right" wrapText="1"/>
    </xf>
    <xf numFmtId="7" fontId="0" fillId="0" borderId="0" xfId="0" applyNumberFormat="1"/>
    <xf numFmtId="172" fontId="0" fillId="0" borderId="0" xfId="0" applyNumberFormat="1"/>
    <xf numFmtId="9" fontId="0" fillId="0" borderId="3" xfId="0" applyNumberFormat="1" applyBorder="1" applyAlignment="1">
      <alignment wrapText="1"/>
    </xf>
    <xf numFmtId="0" fontId="0" fillId="0" borderId="44" xfId="0" applyBorder="1" applyAlignment="1">
      <alignment horizontal="center"/>
    </xf>
    <xf numFmtId="1" fontId="9" fillId="4" borderId="37" xfId="4" applyNumberFormat="1" applyBorder="1" applyAlignment="1">
      <alignment wrapText="1"/>
    </xf>
    <xf numFmtId="0" fontId="35" fillId="17" borderId="45" xfId="0" applyFont="1" applyFill="1" applyBorder="1" applyAlignment="1">
      <alignment vertical="center"/>
    </xf>
    <xf numFmtId="0" fontId="35" fillId="17" borderId="46" xfId="0" applyFont="1" applyFill="1" applyBorder="1" applyAlignment="1">
      <alignment vertical="top"/>
    </xf>
    <xf numFmtId="0" fontId="35" fillId="17" borderId="40" xfId="0" applyFont="1" applyFill="1" applyBorder="1" applyAlignment="1">
      <alignment vertical="center" wrapText="1"/>
    </xf>
    <xf numFmtId="0" fontId="35" fillId="17" borderId="29" xfId="0" applyFont="1" applyFill="1" applyBorder="1" applyAlignment="1">
      <alignment vertical="center" wrapText="1"/>
    </xf>
    <xf numFmtId="9" fontId="35" fillId="17" borderId="40" xfId="0" applyNumberFormat="1" applyFont="1" applyFill="1" applyBorder="1" applyAlignment="1">
      <alignment vertical="center"/>
    </xf>
    <xf numFmtId="0" fontId="36" fillId="17" borderId="29" xfId="0" applyFont="1" applyFill="1" applyBorder="1" applyAlignment="1">
      <alignment vertical="center"/>
    </xf>
    <xf numFmtId="10" fontId="36" fillId="17" borderId="29" xfId="0" applyNumberFormat="1" applyFont="1" applyFill="1" applyBorder="1" applyAlignment="1">
      <alignment vertical="center"/>
    </xf>
    <xf numFmtId="9" fontId="0" fillId="0" borderId="3" xfId="0" applyNumberFormat="1" applyBorder="1" applyAlignment="1">
      <alignment vertical="center"/>
    </xf>
    <xf numFmtId="10" fontId="0" fillId="0" borderId="3" xfId="0" applyNumberFormat="1" applyBorder="1"/>
    <xf numFmtId="0" fontId="38" fillId="0" borderId="0" xfId="0" applyFont="1" applyAlignment="1">
      <alignment vertical="center" wrapText="1"/>
    </xf>
    <xf numFmtId="0" fontId="38" fillId="0" borderId="0" xfId="0" applyFont="1" applyAlignment="1">
      <alignment horizontal="left" wrapText="1"/>
    </xf>
    <xf numFmtId="0" fontId="38" fillId="0" borderId="0" xfId="0" applyFont="1" applyAlignment="1">
      <alignment wrapText="1"/>
    </xf>
    <xf numFmtId="0" fontId="40" fillId="8" borderId="3" xfId="11" applyFont="1" applyBorder="1" applyAlignment="1">
      <alignment horizontal="left" wrapText="1"/>
    </xf>
    <xf numFmtId="0" fontId="38" fillId="0" borderId="0" xfId="0" applyFont="1" applyAlignment="1">
      <alignment horizontal="right" wrapText="1"/>
    </xf>
    <xf numFmtId="179" fontId="38" fillId="0" borderId="0" xfId="0" applyNumberFormat="1" applyFont="1" applyAlignment="1">
      <alignment horizontal="right" wrapText="1"/>
    </xf>
    <xf numFmtId="0" fontId="52" fillId="4" borderId="1" xfId="4" applyFont="1" applyAlignment="1">
      <alignment wrapText="1"/>
    </xf>
    <xf numFmtId="0" fontId="53" fillId="5" borderId="4" xfId="8" applyFont="1" applyAlignment="1">
      <alignment wrapText="1"/>
    </xf>
    <xf numFmtId="0" fontId="54" fillId="10" borderId="3" xfId="11" applyFont="1" applyFill="1" applyBorder="1" applyAlignment="1">
      <alignment horizontal="left" wrapText="1"/>
    </xf>
    <xf numFmtId="0" fontId="54" fillId="10" borderId="0" xfId="0" applyFont="1" applyFill="1" applyAlignment="1">
      <alignment wrapText="1"/>
    </xf>
    <xf numFmtId="0" fontId="51" fillId="4" borderId="1" xfId="4" applyFont="1" applyAlignment="1">
      <alignment wrapText="1"/>
    </xf>
    <xf numFmtId="179" fontId="51" fillId="4" borderId="1" xfId="4" applyNumberFormat="1" applyFont="1" applyAlignment="1">
      <alignment wrapText="1"/>
    </xf>
    <xf numFmtId="9" fontId="51" fillId="4" borderId="1" xfId="10" applyFont="1" applyFill="1" applyBorder="1" applyAlignment="1">
      <alignment wrapText="1"/>
    </xf>
    <xf numFmtId="10" fontId="51" fillId="4" borderId="1" xfId="10" applyNumberFormat="1" applyFont="1" applyFill="1" applyBorder="1" applyAlignment="1">
      <alignment wrapText="1"/>
    </xf>
    <xf numFmtId="167" fontId="53" fillId="5" borderId="4" xfId="8" applyNumberFormat="1" applyFont="1" applyAlignment="1">
      <alignment wrapText="1"/>
    </xf>
    <xf numFmtId="11" fontId="41" fillId="0" borderId="3" xfId="0" applyNumberFormat="1" applyFont="1" applyBorder="1"/>
    <xf numFmtId="0" fontId="41" fillId="0" borderId="3" xfId="0" applyFont="1" applyBorder="1"/>
    <xf numFmtId="0" fontId="40" fillId="8" borderId="3" xfId="11" applyFont="1" applyBorder="1" applyAlignment="1">
      <alignment wrapText="1"/>
    </xf>
    <xf numFmtId="0" fontId="51" fillId="18" borderId="1" xfId="4" applyFont="1" applyFill="1" applyAlignment="1">
      <alignment wrapText="1"/>
    </xf>
    <xf numFmtId="179" fontId="51" fillId="18" borderId="1" xfId="4" applyNumberFormat="1" applyFont="1" applyFill="1" applyAlignment="1">
      <alignment wrapText="1"/>
    </xf>
    <xf numFmtId="9" fontId="51" fillId="18" borderId="1" xfId="10" applyFont="1" applyFill="1" applyBorder="1" applyAlignment="1">
      <alignment wrapText="1"/>
    </xf>
    <xf numFmtId="10" fontId="51" fillId="18" borderId="1" xfId="10" applyNumberFormat="1" applyFont="1" applyFill="1" applyBorder="1" applyAlignment="1">
      <alignment wrapText="1"/>
    </xf>
    <xf numFmtId="167" fontId="53" fillId="18" borderId="4" xfId="8" applyNumberFormat="1" applyFont="1" applyFill="1" applyAlignment="1">
      <alignment wrapText="1"/>
    </xf>
    <xf numFmtId="2" fontId="41" fillId="0" borderId="3" xfId="0" applyNumberFormat="1" applyFont="1" applyBorder="1"/>
    <xf numFmtId="181" fontId="41" fillId="0" borderId="3" xfId="0" applyNumberFormat="1" applyFont="1" applyBorder="1"/>
    <xf numFmtId="9" fontId="41" fillId="0" borderId="3" xfId="0" applyNumberFormat="1" applyFont="1" applyBorder="1" applyAlignment="1">
      <alignment wrapText="1"/>
    </xf>
    <xf numFmtId="7" fontId="41" fillId="0" borderId="3" xfId="0" applyNumberFormat="1" applyFont="1" applyBorder="1"/>
    <xf numFmtId="172" fontId="41" fillId="0" borderId="3" xfId="0" applyNumberFormat="1" applyFont="1" applyBorder="1"/>
    <xf numFmtId="0" fontId="56" fillId="0" borderId="0" xfId="0" applyFont="1" applyAlignment="1">
      <alignment wrapText="1"/>
    </xf>
    <xf numFmtId="0" fontId="38" fillId="19" borderId="0" xfId="0" applyFont="1" applyFill="1" applyAlignment="1">
      <alignment wrapText="1"/>
    </xf>
    <xf numFmtId="0" fontId="38" fillId="19" borderId="0" xfId="0" applyFont="1" applyFill="1" applyAlignment="1">
      <alignment horizontal="right" wrapText="1"/>
    </xf>
    <xf numFmtId="0" fontId="38" fillId="19" borderId="0" xfId="0" applyFont="1" applyFill="1" applyAlignment="1">
      <alignment horizontal="left" vertical="center" wrapText="1"/>
    </xf>
    <xf numFmtId="0" fontId="38" fillId="21" borderId="3" xfId="0" applyFont="1" applyFill="1" applyBorder="1" applyAlignment="1">
      <alignment horizontal="left" vertical="center" wrapText="1"/>
    </xf>
    <xf numFmtId="0" fontId="38" fillId="21" borderId="3" xfId="0" applyFont="1" applyFill="1" applyBorder="1" applyAlignment="1">
      <alignment vertical="center" wrapText="1"/>
    </xf>
    <xf numFmtId="1" fontId="38" fillId="19" borderId="0" xfId="9" applyNumberFormat="1" applyFont="1" applyFill="1" applyBorder="1" applyAlignment="1">
      <alignment horizontal="left" vertical="center" wrapText="1"/>
    </xf>
    <xf numFmtId="165" fontId="38" fillId="19" borderId="0" xfId="9" applyNumberFormat="1" applyFont="1" applyFill="1" applyBorder="1" applyAlignment="1">
      <alignment horizontal="left" vertical="center" wrapText="1"/>
    </xf>
    <xf numFmtId="172" fontId="38" fillId="19" borderId="0" xfId="9" applyNumberFormat="1" applyFont="1" applyFill="1" applyBorder="1" applyAlignment="1">
      <alignment horizontal="left" vertical="center" wrapText="1"/>
    </xf>
    <xf numFmtId="0" fontId="38" fillId="19" borderId="0" xfId="9" applyFont="1" applyFill="1" applyBorder="1" applyAlignment="1">
      <alignment horizontal="left" vertical="center" wrapText="1"/>
    </xf>
    <xf numFmtId="0" fontId="38" fillId="19" borderId="0" xfId="9" applyNumberFormat="1" applyFont="1" applyFill="1" applyBorder="1" applyAlignment="1">
      <alignment horizontal="left" vertical="center" wrapText="1"/>
    </xf>
    <xf numFmtId="178" fontId="38" fillId="19" borderId="0" xfId="0" applyNumberFormat="1" applyFont="1" applyFill="1" applyAlignment="1">
      <alignment horizontal="left" vertical="center" wrapText="1"/>
    </xf>
    <xf numFmtId="179" fontId="38" fillId="19" borderId="0" xfId="0" applyNumberFormat="1" applyFont="1" applyFill="1" applyAlignment="1">
      <alignment horizontal="left" vertical="center" wrapText="1"/>
    </xf>
    <xf numFmtId="182" fontId="38" fillId="19" borderId="0" xfId="4" applyNumberFormat="1" applyFont="1" applyFill="1" applyBorder="1" applyAlignment="1">
      <alignment horizontal="left" vertical="center" wrapText="1"/>
    </xf>
    <xf numFmtId="9" fontId="38" fillId="19" borderId="0" xfId="10" applyFont="1" applyFill="1" applyBorder="1" applyAlignment="1">
      <alignment horizontal="left" vertical="center" wrapText="1"/>
    </xf>
    <xf numFmtId="9" fontId="38" fillId="19" borderId="0" xfId="6" applyNumberFormat="1" applyFont="1" applyFill="1" applyBorder="1" applyAlignment="1">
      <alignment horizontal="left" vertical="center" wrapText="1"/>
    </xf>
    <xf numFmtId="9" fontId="38" fillId="19" borderId="0" xfId="4" applyNumberFormat="1" applyFont="1" applyFill="1" applyBorder="1" applyAlignment="1">
      <alignment horizontal="left" vertical="center" wrapText="1"/>
    </xf>
    <xf numFmtId="183" fontId="38" fillId="19" borderId="0" xfId="9" applyNumberFormat="1" applyFont="1" applyFill="1" applyBorder="1" applyAlignment="1">
      <alignment horizontal="left" vertical="center" wrapText="1"/>
    </xf>
    <xf numFmtId="183" fontId="38" fillId="19" borderId="0" xfId="5" applyNumberFormat="1" applyFont="1" applyFill="1" applyBorder="1" applyAlignment="1">
      <alignment horizontal="left" vertical="center" wrapText="1"/>
    </xf>
    <xf numFmtId="0" fontId="39" fillId="25" borderId="3" xfId="0" applyFont="1" applyFill="1" applyBorder="1" applyAlignment="1">
      <alignment horizontal="left" vertical="center" wrapText="1"/>
    </xf>
    <xf numFmtId="0" fontId="38" fillId="21" borderId="0" xfId="4" applyFont="1" applyFill="1" applyBorder="1" applyAlignment="1">
      <alignment horizontal="left" vertical="center" wrapText="1"/>
    </xf>
    <xf numFmtId="1" fontId="38" fillId="21" borderId="0" xfId="4" applyNumberFormat="1" applyFont="1" applyFill="1" applyBorder="1" applyAlignment="1">
      <alignment horizontal="left" vertical="center" wrapText="1"/>
    </xf>
    <xf numFmtId="178" fontId="38" fillId="21" borderId="0" xfId="4" applyNumberFormat="1" applyFont="1" applyFill="1" applyBorder="1" applyAlignment="1">
      <alignment horizontal="left" vertical="center" wrapText="1"/>
    </xf>
    <xf numFmtId="0" fontId="39" fillId="22" borderId="3" xfId="0" applyFont="1" applyFill="1" applyBorder="1" applyAlignment="1">
      <alignment horizontal="left" vertical="center" wrapText="1"/>
    </xf>
    <xf numFmtId="0" fontId="39" fillId="24" borderId="3" xfId="0" applyFont="1" applyFill="1" applyBorder="1" applyAlignment="1">
      <alignment horizontal="left" vertical="center" wrapText="1"/>
    </xf>
    <xf numFmtId="0" fontId="39" fillId="24" borderId="0" xfId="4" applyFont="1" applyFill="1" applyBorder="1" applyAlignment="1">
      <alignment horizontal="left" vertical="center" wrapText="1"/>
    </xf>
    <xf numFmtId="1" fontId="39" fillId="24" borderId="0" xfId="4" applyNumberFormat="1" applyFont="1" applyFill="1" applyBorder="1" applyAlignment="1">
      <alignment horizontal="left" vertical="center" wrapText="1"/>
    </xf>
    <xf numFmtId="178" fontId="39" fillId="24" borderId="0" xfId="4" applyNumberFormat="1" applyFont="1" applyFill="1" applyBorder="1" applyAlignment="1">
      <alignment horizontal="left" vertical="center" wrapText="1"/>
    </xf>
    <xf numFmtId="0" fontId="39" fillId="24" borderId="0" xfId="0" applyFont="1" applyFill="1" applyAlignment="1">
      <alignment horizontal="left" vertical="center" wrapText="1"/>
    </xf>
    <xf numFmtId="2" fontId="39" fillId="24" borderId="0" xfId="0" applyNumberFormat="1" applyFont="1" applyFill="1" applyAlignment="1">
      <alignment horizontal="left" vertical="center" wrapText="1"/>
    </xf>
    <xf numFmtId="1" fontId="39" fillId="24" borderId="0" xfId="0" applyNumberFormat="1" applyFont="1" applyFill="1" applyAlignment="1">
      <alignment horizontal="left" vertical="center" wrapText="1"/>
    </xf>
    <xf numFmtId="0" fontId="39" fillId="25" borderId="0" xfId="19" applyFont="1" applyFill="1" applyBorder="1" applyAlignment="1">
      <alignment horizontal="left" vertical="center" wrapText="1"/>
    </xf>
    <xf numFmtId="1" fontId="39" fillId="25" borderId="0" xfId="19" applyNumberFormat="1" applyFont="1" applyFill="1" applyBorder="1" applyAlignment="1">
      <alignment horizontal="left" vertical="center" wrapText="1"/>
    </xf>
    <xf numFmtId="172" fontId="39" fillId="25" borderId="0" xfId="19" applyNumberFormat="1" applyFont="1" applyFill="1" applyBorder="1" applyAlignment="1">
      <alignment horizontal="left" vertical="center" wrapText="1"/>
    </xf>
    <xf numFmtId="178" fontId="39" fillId="25" borderId="0" xfId="19" applyNumberFormat="1" applyFont="1" applyFill="1" applyBorder="1" applyAlignment="1">
      <alignment horizontal="left" vertical="center" wrapText="1"/>
    </xf>
    <xf numFmtId="0" fontId="39" fillId="25" borderId="0" xfId="19" applyNumberFormat="1" applyFont="1" applyFill="1" applyBorder="1" applyAlignment="1">
      <alignment horizontal="left" vertical="center" wrapText="1"/>
    </xf>
    <xf numFmtId="0" fontId="39" fillId="20" borderId="3" xfId="0" applyFont="1" applyFill="1" applyBorder="1" applyAlignment="1">
      <alignment horizontal="left" vertical="center" wrapText="1"/>
    </xf>
    <xf numFmtId="167" fontId="39" fillId="20" borderId="0" xfId="0" applyNumberFormat="1" applyFont="1" applyFill="1" applyAlignment="1">
      <alignment horizontal="left" vertical="center" wrapText="1"/>
    </xf>
    <xf numFmtId="167" fontId="39" fillId="20" borderId="0" xfId="5" applyNumberFormat="1" applyFont="1" applyFill="1" applyBorder="1" applyAlignment="1">
      <alignment horizontal="left" vertical="center" wrapText="1"/>
    </xf>
    <xf numFmtId="167" fontId="39" fillId="20" borderId="0" xfId="4" applyNumberFormat="1" applyFont="1" applyFill="1" applyBorder="1" applyAlignment="1">
      <alignment horizontal="left" vertical="center" wrapText="1"/>
    </xf>
    <xf numFmtId="167" fontId="39" fillId="20" borderId="0" xfId="6" applyNumberFormat="1" applyFont="1" applyFill="1" applyBorder="1" applyAlignment="1">
      <alignment horizontal="left" vertical="center" wrapText="1"/>
    </xf>
    <xf numFmtId="0" fontId="39" fillId="20" borderId="50" xfId="0" applyFont="1" applyFill="1" applyBorder="1" applyAlignment="1">
      <alignment horizontal="left" vertical="center" wrapText="1"/>
    </xf>
    <xf numFmtId="165" fontId="39" fillId="20" borderId="25" xfId="0" applyNumberFormat="1" applyFont="1" applyFill="1" applyBorder="1" applyAlignment="1">
      <alignment horizontal="left" vertical="center" wrapText="1"/>
    </xf>
    <xf numFmtId="165" fontId="39" fillId="20" borderId="25" xfId="5" applyNumberFormat="1" applyFont="1" applyFill="1" applyBorder="1" applyAlignment="1">
      <alignment horizontal="left" vertical="center" wrapText="1"/>
    </xf>
    <xf numFmtId="167" fontId="39" fillId="20" borderId="22" xfId="6" applyNumberFormat="1" applyFont="1" applyFill="1" applyBorder="1" applyAlignment="1">
      <alignment horizontal="left" vertical="center" wrapText="1"/>
    </xf>
    <xf numFmtId="165" fontId="38" fillId="21" borderId="22" xfId="0" applyNumberFormat="1" applyFont="1" applyFill="1" applyBorder="1" applyAlignment="1">
      <alignment horizontal="left" vertical="center" wrapText="1"/>
    </xf>
    <xf numFmtId="0" fontId="38" fillId="21" borderId="22" xfId="0" applyFont="1" applyFill="1" applyBorder="1" applyAlignment="1">
      <alignment horizontal="left" vertical="center" wrapText="1"/>
    </xf>
    <xf numFmtId="172" fontId="38" fillId="21" borderId="22" xfId="0" applyNumberFormat="1" applyFont="1" applyFill="1" applyBorder="1" applyAlignment="1">
      <alignment horizontal="left" vertical="center" wrapText="1"/>
    </xf>
    <xf numFmtId="0" fontId="38" fillId="19" borderId="22" xfId="9" applyFont="1" applyFill="1" applyBorder="1" applyAlignment="1">
      <alignment horizontal="left" vertical="center" wrapText="1"/>
    </xf>
    <xf numFmtId="178" fontId="45" fillId="21" borderId="22" xfId="0" applyNumberFormat="1" applyFont="1" applyFill="1" applyBorder="1" applyAlignment="1">
      <alignment horizontal="left" vertical="center" wrapText="1"/>
    </xf>
    <xf numFmtId="0" fontId="45" fillId="21" borderId="22" xfId="0" applyFont="1" applyFill="1" applyBorder="1" applyAlignment="1">
      <alignment horizontal="left" vertical="center" wrapText="1"/>
    </xf>
    <xf numFmtId="0" fontId="39" fillId="25" borderId="22" xfId="19" applyFont="1" applyFill="1" applyBorder="1" applyAlignment="1">
      <alignment horizontal="left" vertical="center" wrapText="1"/>
    </xf>
    <xf numFmtId="1" fontId="39" fillId="25" borderId="22" xfId="19" applyNumberFormat="1" applyFont="1" applyFill="1" applyBorder="1" applyAlignment="1">
      <alignment horizontal="left" vertical="center" wrapText="1"/>
    </xf>
    <xf numFmtId="172" fontId="39" fillId="25" borderId="22" xfId="19" applyNumberFormat="1" applyFont="1" applyFill="1" applyBorder="1" applyAlignment="1">
      <alignment horizontal="left" vertical="center" wrapText="1"/>
    </xf>
    <xf numFmtId="178" fontId="39" fillId="25" borderId="22" xfId="19" applyNumberFormat="1" applyFont="1" applyFill="1" applyBorder="1" applyAlignment="1">
      <alignment horizontal="left" vertical="center" wrapText="1"/>
    </xf>
    <xf numFmtId="0" fontId="39" fillId="25" borderId="22" xfId="19" applyNumberFormat="1" applyFont="1" applyFill="1" applyBorder="1" applyAlignment="1">
      <alignment horizontal="left" vertical="center" wrapText="1"/>
    </xf>
    <xf numFmtId="0" fontId="39" fillId="24" borderId="22" xfId="0" applyFont="1" applyFill="1" applyBorder="1" applyAlignment="1">
      <alignment horizontal="left" vertical="center" wrapText="1"/>
    </xf>
    <xf numFmtId="178" fontId="39" fillId="24" borderId="22" xfId="0" applyNumberFormat="1" applyFont="1" applyFill="1" applyBorder="1" applyAlignment="1">
      <alignment horizontal="left" vertical="center" wrapText="1"/>
    </xf>
    <xf numFmtId="1" fontId="39" fillId="24" borderId="22" xfId="0" applyNumberFormat="1" applyFont="1" applyFill="1" applyBorder="1" applyAlignment="1">
      <alignment horizontal="left" vertical="center" wrapText="1"/>
    </xf>
    <xf numFmtId="165" fontId="38" fillId="19" borderId="22" xfId="9" applyNumberFormat="1" applyFont="1" applyFill="1" applyBorder="1" applyAlignment="1">
      <alignment horizontal="left" vertical="center" wrapText="1"/>
    </xf>
    <xf numFmtId="165" fontId="38" fillId="19" borderId="25" xfId="9" applyNumberFormat="1" applyFont="1" applyFill="1" applyBorder="1" applyAlignment="1">
      <alignment horizontal="left" vertical="center" wrapText="1"/>
    </xf>
    <xf numFmtId="0" fontId="38" fillId="19" borderId="25" xfId="5" applyFont="1" applyFill="1" applyBorder="1" applyAlignment="1">
      <alignment horizontal="left" vertical="center" wrapText="1"/>
    </xf>
    <xf numFmtId="0" fontId="38" fillId="19" borderId="26" xfId="9" applyFont="1" applyFill="1" applyBorder="1" applyAlignment="1">
      <alignment horizontal="left" vertical="center" wrapText="1"/>
    </xf>
    <xf numFmtId="0" fontId="38" fillId="19" borderId="25" xfId="9" applyFont="1" applyFill="1" applyBorder="1" applyAlignment="1">
      <alignment horizontal="left" vertical="center" wrapText="1"/>
    </xf>
    <xf numFmtId="183" fontId="38" fillId="19" borderId="22" xfId="9" applyNumberFormat="1" applyFont="1" applyFill="1" applyBorder="1" applyAlignment="1">
      <alignment horizontal="left" vertical="center" wrapText="1"/>
    </xf>
    <xf numFmtId="9" fontId="38" fillId="19" borderId="22" xfId="6" applyNumberFormat="1" applyFont="1" applyFill="1" applyBorder="1" applyAlignment="1">
      <alignment horizontal="left" vertical="center" wrapText="1"/>
    </xf>
    <xf numFmtId="0" fontId="45" fillId="21" borderId="3" xfId="0" applyFont="1" applyFill="1" applyBorder="1" applyAlignment="1">
      <alignment horizontal="left" vertical="center" wrapText="1"/>
    </xf>
    <xf numFmtId="0" fontId="45" fillId="21" borderId="0" xfId="6" applyFont="1" applyFill="1" applyBorder="1" applyAlignment="1">
      <alignment horizontal="left" vertical="center" wrapText="1"/>
    </xf>
    <xf numFmtId="0" fontId="45" fillId="21" borderId="22" xfId="6" applyFont="1" applyFill="1" applyBorder="1" applyAlignment="1">
      <alignment horizontal="left" vertical="center" wrapText="1"/>
    </xf>
    <xf numFmtId="178" fontId="45" fillId="21" borderId="0" xfId="6" applyNumberFormat="1" applyFont="1" applyFill="1" applyBorder="1" applyAlignment="1">
      <alignment horizontal="left" vertical="center" wrapText="1"/>
    </xf>
    <xf numFmtId="178" fontId="45" fillId="21" borderId="22" xfId="6" applyNumberFormat="1" applyFont="1" applyFill="1" applyBorder="1" applyAlignment="1">
      <alignment horizontal="left" vertical="center" wrapText="1"/>
    </xf>
    <xf numFmtId="0" fontId="45" fillId="21" borderId="0" xfId="4" applyFont="1" applyFill="1" applyBorder="1" applyAlignment="1">
      <alignment horizontal="left" vertical="center" wrapText="1"/>
    </xf>
    <xf numFmtId="2" fontId="45" fillId="21" borderId="0" xfId="4" applyNumberFormat="1" applyFont="1" applyFill="1" applyBorder="1" applyAlignment="1">
      <alignment horizontal="left" vertical="center" wrapText="1"/>
    </xf>
    <xf numFmtId="2" fontId="45" fillId="21" borderId="22" xfId="0" applyNumberFormat="1" applyFont="1" applyFill="1" applyBorder="1" applyAlignment="1">
      <alignment horizontal="left" vertical="center" wrapText="1"/>
    </xf>
    <xf numFmtId="1" fontId="45" fillId="21" borderId="0" xfId="4" applyNumberFormat="1" applyFont="1" applyFill="1" applyBorder="1" applyAlignment="1">
      <alignment horizontal="left" vertical="center" wrapText="1"/>
    </xf>
    <xf numFmtId="178" fontId="45" fillId="21" borderId="0" xfId="4" applyNumberFormat="1" applyFont="1" applyFill="1" applyBorder="1" applyAlignment="1">
      <alignment horizontal="left" vertical="center" wrapText="1"/>
    </xf>
    <xf numFmtId="0" fontId="45" fillId="21" borderId="0" xfId="4" applyNumberFormat="1" applyFont="1" applyFill="1" applyBorder="1" applyAlignment="1">
      <alignment horizontal="left" vertical="center" wrapText="1"/>
    </xf>
    <xf numFmtId="165" fontId="39" fillId="24" borderId="0" xfId="5" applyNumberFormat="1" applyFont="1" applyFill="1" applyBorder="1" applyAlignment="1">
      <alignment horizontal="left" vertical="center" wrapText="1"/>
    </xf>
    <xf numFmtId="1" fontId="39" fillId="24" borderId="0" xfId="5" applyNumberFormat="1" applyFont="1" applyFill="1" applyBorder="1" applyAlignment="1">
      <alignment horizontal="left" vertical="center" wrapText="1"/>
    </xf>
    <xf numFmtId="172" fontId="39" fillId="24" borderId="0" xfId="5" applyNumberFormat="1" applyFont="1" applyFill="1" applyBorder="1" applyAlignment="1">
      <alignment horizontal="left" vertical="center" wrapText="1"/>
    </xf>
    <xf numFmtId="2" fontId="39" fillId="24" borderId="0" xfId="5" applyNumberFormat="1" applyFont="1" applyFill="1" applyBorder="1" applyAlignment="1">
      <alignment horizontal="left" vertical="center" wrapText="1"/>
    </xf>
    <xf numFmtId="169" fontId="39" fillId="24" borderId="0" xfId="4" applyNumberFormat="1" applyFont="1" applyFill="1" applyBorder="1" applyAlignment="1">
      <alignment horizontal="left" vertical="center" wrapText="1"/>
    </xf>
    <xf numFmtId="3" fontId="39" fillId="24" borderId="0" xfId="4" applyNumberFormat="1" applyFont="1" applyFill="1" applyBorder="1" applyAlignment="1">
      <alignment horizontal="left" vertical="center" wrapText="1"/>
    </xf>
    <xf numFmtId="3" fontId="39" fillId="24" borderId="22" xfId="0" applyNumberFormat="1" applyFont="1" applyFill="1" applyBorder="1" applyAlignment="1">
      <alignment horizontal="left" vertical="center" wrapText="1"/>
    </xf>
    <xf numFmtId="170" fontId="39" fillId="22" borderId="0" xfId="10" applyNumberFormat="1" applyFont="1" applyFill="1" applyBorder="1" applyAlignment="1">
      <alignment horizontal="left" vertical="center" wrapText="1"/>
    </xf>
    <xf numFmtId="9" fontId="38" fillId="21" borderId="0" xfId="10" applyFont="1" applyFill="1" applyBorder="1" applyAlignment="1">
      <alignment horizontal="left" vertical="center" wrapText="1"/>
    </xf>
    <xf numFmtId="2" fontId="38" fillId="21" borderId="0" xfId="4" applyNumberFormat="1" applyFont="1" applyFill="1" applyBorder="1" applyAlignment="1">
      <alignment horizontal="left" vertical="center" wrapText="1"/>
    </xf>
    <xf numFmtId="182" fontId="38" fillId="21" borderId="25" xfId="4" applyNumberFormat="1" applyFont="1" applyFill="1" applyBorder="1" applyAlignment="1">
      <alignment horizontal="left" vertical="center" wrapText="1"/>
    </xf>
    <xf numFmtId="178" fontId="39" fillId="25" borderId="25" xfId="6" applyNumberFormat="1" applyFont="1" applyFill="1" applyBorder="1" applyAlignment="1">
      <alignment horizontal="left" vertical="center" wrapText="1"/>
    </xf>
    <xf numFmtId="178" fontId="39" fillId="25" borderId="0" xfId="6" applyNumberFormat="1" applyFont="1" applyFill="1" applyBorder="1" applyAlignment="1">
      <alignment horizontal="left" vertical="center" wrapText="1"/>
    </xf>
    <xf numFmtId="2" fontId="39" fillId="25" borderId="22" xfId="0" applyNumberFormat="1" applyFont="1" applyFill="1" applyBorder="1" applyAlignment="1">
      <alignment horizontal="left" vertical="center" wrapText="1"/>
    </xf>
    <xf numFmtId="9" fontId="39" fillId="25" borderId="22" xfId="0" applyNumberFormat="1" applyFont="1" applyFill="1" applyBorder="1" applyAlignment="1">
      <alignment horizontal="left" vertical="center" wrapText="1"/>
    </xf>
    <xf numFmtId="1" fontId="39" fillId="25" borderId="0" xfId="6" applyNumberFormat="1" applyFont="1" applyFill="1" applyBorder="1" applyAlignment="1">
      <alignment horizontal="left" vertical="center" wrapText="1"/>
    </xf>
    <xf numFmtId="1" fontId="39" fillId="25" borderId="22" xfId="6" applyNumberFormat="1" applyFont="1" applyFill="1" applyBorder="1" applyAlignment="1">
      <alignment horizontal="left" vertical="center" wrapText="1"/>
    </xf>
    <xf numFmtId="178" fontId="39" fillId="22" borderId="25" xfId="5" applyNumberFormat="1" applyFont="1" applyFill="1" applyBorder="1" applyAlignment="1">
      <alignment horizontal="left" vertical="center" wrapText="1"/>
    </xf>
    <xf numFmtId="2" fontId="39" fillId="22" borderId="0" xfId="5" applyNumberFormat="1" applyFont="1" applyFill="1" applyBorder="1" applyAlignment="1">
      <alignment horizontal="left" vertical="center" wrapText="1"/>
    </xf>
    <xf numFmtId="1" fontId="39" fillId="22" borderId="0" xfId="5" applyNumberFormat="1" applyFont="1" applyFill="1" applyBorder="1" applyAlignment="1">
      <alignment horizontal="left" vertical="center" wrapText="1"/>
    </xf>
    <xf numFmtId="2" fontId="39" fillId="24" borderId="25" xfId="0" applyNumberFormat="1" applyFont="1" applyFill="1" applyBorder="1" applyAlignment="1">
      <alignment horizontal="left" vertical="center" wrapText="1"/>
    </xf>
    <xf numFmtId="165" fontId="39" fillId="19" borderId="0" xfId="9" applyNumberFormat="1" applyFont="1" applyFill="1" applyBorder="1" applyAlignment="1">
      <alignment horizontal="left" vertical="center" wrapText="1"/>
    </xf>
    <xf numFmtId="0" fontId="39" fillId="22" borderId="50" xfId="0" applyFont="1" applyFill="1" applyBorder="1" applyAlignment="1">
      <alignment horizontal="left" vertical="center" wrapText="1"/>
    </xf>
    <xf numFmtId="178" fontId="39" fillId="22" borderId="0" xfId="4" applyNumberFormat="1" applyFont="1" applyFill="1" applyBorder="1" applyAlignment="1">
      <alignment horizontal="left" vertical="center" wrapText="1"/>
    </xf>
    <xf numFmtId="8" fontId="38" fillId="19" borderId="0" xfId="9" applyNumberFormat="1" applyFont="1" applyFill="1" applyBorder="1" applyAlignment="1">
      <alignment horizontal="left" vertical="center" wrapText="1"/>
    </xf>
    <xf numFmtId="8" fontId="38" fillId="19" borderId="22" xfId="9" applyNumberFormat="1" applyFont="1" applyFill="1" applyBorder="1" applyAlignment="1">
      <alignment horizontal="left" vertical="center" wrapText="1"/>
    </xf>
    <xf numFmtId="8" fontId="38" fillId="21" borderId="0" xfId="4" applyNumberFormat="1" applyFont="1" applyFill="1" applyBorder="1" applyAlignment="1">
      <alignment horizontal="left" vertical="center" wrapText="1"/>
    </xf>
    <xf numFmtId="9" fontId="38" fillId="21" borderId="0" xfId="4" applyNumberFormat="1" applyFont="1" applyFill="1" applyBorder="1" applyAlignment="1">
      <alignment horizontal="left" vertical="center" wrapText="1"/>
    </xf>
    <xf numFmtId="165" fontId="38" fillId="21" borderId="3" xfId="0" applyNumberFormat="1" applyFont="1" applyFill="1" applyBorder="1" applyAlignment="1">
      <alignment horizontal="left" vertical="center" wrapText="1"/>
    </xf>
    <xf numFmtId="0" fontId="39" fillId="25" borderId="0" xfId="6" applyFont="1" applyFill="1" applyBorder="1" applyAlignment="1">
      <alignment horizontal="left" vertical="center" wrapText="1"/>
    </xf>
    <xf numFmtId="0" fontId="38" fillId="21" borderId="0" xfId="4" applyNumberFormat="1" applyFont="1" applyFill="1" applyBorder="1" applyAlignment="1">
      <alignment horizontal="left" vertical="center" wrapText="1"/>
    </xf>
    <xf numFmtId="165" fontId="38" fillId="21" borderId="0" xfId="4" applyNumberFormat="1" applyFont="1" applyFill="1" applyBorder="1" applyAlignment="1">
      <alignment horizontal="left" vertical="center" wrapText="1"/>
    </xf>
    <xf numFmtId="177" fontId="38" fillId="21" borderId="0" xfId="4" applyNumberFormat="1" applyFont="1" applyFill="1" applyBorder="1" applyAlignment="1">
      <alignment horizontal="left" vertical="center" wrapText="1"/>
    </xf>
    <xf numFmtId="0" fontId="38" fillId="21" borderId="0" xfId="6" applyNumberFormat="1" applyFont="1" applyFill="1" applyBorder="1" applyAlignment="1">
      <alignment horizontal="left" vertical="center" wrapText="1"/>
    </xf>
    <xf numFmtId="0" fontId="38" fillId="21" borderId="22" xfId="6" applyNumberFormat="1" applyFont="1" applyFill="1" applyBorder="1" applyAlignment="1">
      <alignment horizontal="left" vertical="center" wrapText="1"/>
    </xf>
    <xf numFmtId="0" fontId="38" fillId="21" borderId="0" xfId="6" applyFont="1" applyFill="1" applyBorder="1" applyAlignment="1">
      <alignment horizontal="left" vertical="center" wrapText="1"/>
    </xf>
    <xf numFmtId="0" fontId="38" fillId="21" borderId="22" xfId="6" applyFont="1" applyFill="1" applyBorder="1" applyAlignment="1">
      <alignment horizontal="left" vertical="center" wrapText="1"/>
    </xf>
    <xf numFmtId="178" fontId="38" fillId="21" borderId="0" xfId="6" applyNumberFormat="1" applyFont="1" applyFill="1" applyBorder="1" applyAlignment="1">
      <alignment horizontal="left" vertical="center" wrapText="1"/>
    </xf>
    <xf numFmtId="178" fontId="38" fillId="21" borderId="22" xfId="6" applyNumberFormat="1" applyFont="1" applyFill="1" applyBorder="1" applyAlignment="1">
      <alignment horizontal="left" vertical="center" wrapText="1"/>
    </xf>
    <xf numFmtId="183" fontId="39" fillId="22" borderId="0" xfId="5" applyNumberFormat="1" applyFont="1" applyFill="1" applyBorder="1" applyAlignment="1">
      <alignment horizontal="left" vertical="center" wrapText="1"/>
    </xf>
    <xf numFmtId="183" fontId="39" fillId="20" borderId="22" xfId="0" applyNumberFormat="1" applyFont="1" applyFill="1" applyBorder="1" applyAlignment="1">
      <alignment horizontal="left" vertical="center" wrapText="1"/>
    </xf>
    <xf numFmtId="183" fontId="39" fillId="24" borderId="0" xfId="9" applyNumberFormat="1" applyFont="1" applyFill="1" applyBorder="1" applyAlignment="1">
      <alignment horizontal="left" vertical="center" wrapText="1"/>
    </xf>
    <xf numFmtId="183" fontId="39" fillId="24" borderId="22" xfId="9" applyNumberFormat="1" applyFont="1" applyFill="1" applyBorder="1" applyAlignment="1">
      <alignment horizontal="left" vertical="center" wrapText="1"/>
    </xf>
    <xf numFmtId="183" fontId="38" fillId="21" borderId="0" xfId="9" applyNumberFormat="1" applyFont="1" applyFill="1" applyBorder="1" applyAlignment="1">
      <alignment horizontal="left" vertical="center" wrapText="1"/>
    </xf>
    <xf numFmtId="183" fontId="45" fillId="21" borderId="0" xfId="9" applyNumberFormat="1" applyFont="1" applyFill="1" applyBorder="1" applyAlignment="1">
      <alignment horizontal="left" vertical="center" wrapText="1"/>
    </xf>
    <xf numFmtId="183" fontId="39" fillId="25" borderId="0" xfId="9" applyNumberFormat="1" applyFont="1" applyFill="1" applyBorder="1" applyAlignment="1">
      <alignment horizontal="left" vertical="center" wrapText="1"/>
    </xf>
    <xf numFmtId="183" fontId="39" fillId="25" borderId="22" xfId="9" applyNumberFormat="1" applyFont="1" applyFill="1" applyBorder="1" applyAlignment="1">
      <alignment horizontal="left" vertical="center" wrapText="1"/>
    </xf>
    <xf numFmtId="183" fontId="39" fillId="20" borderId="0" xfId="9" applyNumberFormat="1" applyFont="1" applyFill="1" applyBorder="1" applyAlignment="1">
      <alignment horizontal="left" vertical="center" wrapText="1"/>
    </xf>
    <xf numFmtId="183" fontId="39" fillId="20" borderId="22" xfId="9" applyNumberFormat="1" applyFont="1" applyFill="1" applyBorder="1" applyAlignment="1">
      <alignment horizontal="left" vertical="center" wrapText="1"/>
    </xf>
    <xf numFmtId="0" fontId="38" fillId="21" borderId="6" xfId="0" applyFont="1" applyFill="1" applyBorder="1" applyAlignment="1">
      <alignment vertical="center" wrapText="1"/>
    </xf>
    <xf numFmtId="0" fontId="39" fillId="25" borderId="66" xfId="0" applyFont="1" applyFill="1" applyBorder="1" applyAlignment="1">
      <alignment vertical="center" wrapText="1"/>
    </xf>
    <xf numFmtId="0" fontId="39" fillId="25" borderId="6" xfId="0" applyFont="1" applyFill="1" applyBorder="1" applyAlignment="1">
      <alignment vertical="center" wrapText="1"/>
    </xf>
    <xf numFmtId="0" fontId="39" fillId="20" borderId="6" xfId="0" applyFont="1" applyFill="1" applyBorder="1" applyAlignment="1">
      <alignment vertical="center" wrapText="1"/>
    </xf>
    <xf numFmtId="0" fontId="39" fillId="24" borderId="6" xfId="0" applyFont="1" applyFill="1" applyBorder="1" applyAlignment="1">
      <alignment vertical="center" wrapText="1"/>
    </xf>
    <xf numFmtId="0" fontId="39" fillId="22" borderId="6" xfId="0" applyFont="1" applyFill="1" applyBorder="1" applyAlignment="1">
      <alignment vertical="center" wrapText="1"/>
    </xf>
    <xf numFmtId="0" fontId="38" fillId="8" borderId="8" xfId="11" applyFont="1" applyBorder="1" applyAlignment="1"/>
    <xf numFmtId="179" fontId="38" fillId="21" borderId="0" xfId="4" applyNumberFormat="1" applyFont="1" applyFill="1" applyBorder="1" applyAlignment="1">
      <alignment horizontal="left" vertical="center" wrapText="1"/>
    </xf>
    <xf numFmtId="179" fontId="39" fillId="22" borderId="0" xfId="5" applyNumberFormat="1" applyFont="1" applyFill="1" applyBorder="1" applyAlignment="1">
      <alignment horizontal="left" vertical="center" wrapText="1"/>
    </xf>
    <xf numFmtId="179" fontId="39" fillId="25" borderId="0" xfId="6" applyNumberFormat="1" applyFont="1" applyFill="1" applyBorder="1" applyAlignment="1">
      <alignment horizontal="left" vertical="center" wrapText="1"/>
    </xf>
    <xf numFmtId="179" fontId="39" fillId="25" borderId="22" xfId="6" applyNumberFormat="1" applyFont="1" applyFill="1" applyBorder="1" applyAlignment="1">
      <alignment horizontal="left" vertical="center" wrapText="1"/>
    </xf>
    <xf numFmtId="0" fontId="39" fillId="25" borderId="47" xfId="0" applyFont="1" applyFill="1" applyBorder="1" applyAlignment="1">
      <alignment horizontal="left" vertical="center" wrapText="1"/>
    </xf>
    <xf numFmtId="0" fontId="39" fillId="19" borderId="0" xfId="0" applyFont="1" applyFill="1" applyAlignment="1">
      <alignment wrapText="1"/>
    </xf>
    <xf numFmtId="178" fontId="39" fillId="19" borderId="0" xfId="6" applyNumberFormat="1" applyFont="1" applyFill="1" applyBorder="1" applyAlignment="1">
      <alignment horizontal="left" vertical="center" wrapText="1"/>
    </xf>
    <xf numFmtId="178" fontId="59" fillId="19" borderId="22" xfId="7" applyNumberFormat="1" applyFont="1" applyFill="1" applyBorder="1" applyAlignment="1">
      <alignment horizontal="left" vertical="center" wrapText="1"/>
    </xf>
    <xf numFmtId="165" fontId="39" fillId="19" borderId="22" xfId="9" applyNumberFormat="1" applyFont="1" applyFill="1" applyBorder="1" applyAlignment="1">
      <alignment horizontal="left" vertical="center" wrapText="1"/>
    </xf>
    <xf numFmtId="0" fontId="45" fillId="19" borderId="0" xfId="0" applyFont="1" applyFill="1" applyAlignment="1">
      <alignment horizontal="left" vertical="center" wrapText="1"/>
    </xf>
    <xf numFmtId="0" fontId="40" fillId="19" borderId="0" xfId="11" applyFont="1" applyFill="1" applyBorder="1" applyAlignment="1">
      <alignment horizontal="left" wrapText="1"/>
    </xf>
    <xf numFmtId="0" fontId="48" fillId="19" borderId="0" xfId="0" applyFont="1" applyFill="1" applyAlignment="1">
      <alignment horizontal="center"/>
    </xf>
    <xf numFmtId="0" fontId="38" fillId="19" borderId="0" xfId="0" applyFont="1" applyFill="1" applyAlignment="1">
      <alignment horizontal="left" wrapText="1"/>
    </xf>
    <xf numFmtId="0" fontId="50" fillId="19" borderId="0" xfId="7" applyFont="1" applyFill="1" applyBorder="1" applyAlignment="1">
      <alignment wrapText="1"/>
    </xf>
    <xf numFmtId="179" fontId="57" fillId="27" borderId="63" xfId="0" applyNumberFormat="1" applyFont="1" applyFill="1" applyBorder="1" applyAlignment="1">
      <alignment horizontal="left" vertical="center" wrapText="1"/>
    </xf>
    <xf numFmtId="0" fontId="39" fillId="20" borderId="66" xfId="0" applyFont="1" applyFill="1" applyBorder="1" applyAlignment="1">
      <alignment vertical="center" wrapText="1"/>
    </xf>
    <xf numFmtId="183" fontId="39" fillId="20" borderId="25" xfId="0" applyNumberFormat="1" applyFont="1" applyFill="1" applyBorder="1" applyAlignment="1">
      <alignment horizontal="left" vertical="center" wrapText="1"/>
    </xf>
    <xf numFmtId="0" fontId="38" fillId="28" borderId="67" xfId="0" applyFont="1" applyFill="1" applyBorder="1" applyAlignment="1">
      <alignment vertical="center" wrapText="1"/>
    </xf>
    <xf numFmtId="165" fontId="38" fillId="28" borderId="28" xfId="9" applyNumberFormat="1" applyFont="1" applyFill="1" applyBorder="1" applyAlignment="1">
      <alignment horizontal="left" vertical="center" wrapText="1"/>
    </xf>
    <xf numFmtId="165" fontId="38" fillId="28" borderId="29" xfId="9" applyNumberFormat="1" applyFont="1" applyFill="1" applyBorder="1" applyAlignment="1">
      <alignment horizontal="left" vertical="center" wrapText="1"/>
    </xf>
    <xf numFmtId="179" fontId="38" fillId="28" borderId="28" xfId="0" applyNumberFormat="1" applyFont="1" applyFill="1" applyBorder="1" applyAlignment="1">
      <alignment horizontal="left" vertical="center" wrapText="1"/>
    </xf>
    <xf numFmtId="179" fontId="38" fillId="28" borderId="29" xfId="0" applyNumberFormat="1" applyFont="1" applyFill="1" applyBorder="1" applyAlignment="1">
      <alignment horizontal="left" vertical="center" wrapText="1"/>
    </xf>
    <xf numFmtId="179" fontId="62" fillId="27" borderId="63" xfId="0" applyNumberFormat="1" applyFont="1" applyFill="1" applyBorder="1" applyAlignment="1">
      <alignment horizontal="left" vertical="center" wrapText="1"/>
    </xf>
    <xf numFmtId="179" fontId="62" fillId="27" borderId="46" xfId="0" applyNumberFormat="1" applyFont="1" applyFill="1" applyBorder="1" applyAlignment="1">
      <alignment horizontal="left" vertical="center" wrapText="1"/>
    </xf>
    <xf numFmtId="179" fontId="62" fillId="27" borderId="63" xfId="1" applyNumberFormat="1" applyFont="1" applyFill="1" applyBorder="1" applyAlignment="1">
      <alignment horizontal="left" vertical="center" wrapText="1"/>
    </xf>
    <xf numFmtId="8" fontId="62" fillId="27" borderId="63" xfId="0" applyNumberFormat="1" applyFont="1" applyFill="1" applyBorder="1" applyAlignment="1">
      <alignment horizontal="left" vertical="center" wrapText="1"/>
    </xf>
    <xf numFmtId="8" fontId="62" fillId="27" borderId="63" xfId="5" applyNumberFormat="1" applyFont="1" applyFill="1" applyBorder="1" applyAlignment="1">
      <alignment horizontal="left" vertical="center" wrapText="1"/>
    </xf>
    <xf numFmtId="8" fontId="62" fillId="27" borderId="63" xfId="4" applyNumberFormat="1" applyFont="1" applyFill="1" applyBorder="1" applyAlignment="1">
      <alignment horizontal="left" vertical="center" wrapText="1"/>
    </xf>
    <xf numFmtId="8" fontId="62" fillId="27" borderId="63" xfId="6" applyNumberFormat="1" applyFont="1" applyFill="1" applyBorder="1" applyAlignment="1">
      <alignment horizontal="left" vertical="center" wrapText="1"/>
    </xf>
    <xf numFmtId="8" fontId="62" fillId="27" borderId="46" xfId="9" applyNumberFormat="1" applyFont="1" applyFill="1" applyBorder="1" applyAlignment="1">
      <alignment horizontal="left" vertical="center" wrapText="1"/>
    </xf>
    <xf numFmtId="0" fontId="38" fillId="0" borderId="0" xfId="0" applyFont="1"/>
    <xf numFmtId="0" fontId="65" fillId="0" borderId="0" xfId="0" applyFont="1" applyAlignment="1">
      <alignment wrapText="1"/>
    </xf>
    <xf numFmtId="0" fontId="64" fillId="0" borderId="0" xfId="0" applyFont="1" applyAlignment="1">
      <alignment wrapText="1"/>
    </xf>
    <xf numFmtId="9" fontId="66" fillId="10" borderId="0" xfId="0" applyNumberFormat="1" applyFont="1" applyFill="1" applyAlignment="1">
      <alignment wrapText="1"/>
    </xf>
    <xf numFmtId="0" fontId="68" fillId="5" borderId="1" xfId="5" applyFont="1" applyAlignment="1">
      <alignment textRotation="45"/>
    </xf>
    <xf numFmtId="0" fontId="68" fillId="5" borderId="1" xfId="5" applyFont="1" applyAlignment="1">
      <alignment textRotation="45" wrapText="1"/>
    </xf>
    <xf numFmtId="168" fontId="64" fillId="0" borderId="0" xfId="1" applyNumberFormat="1" applyFont="1"/>
    <xf numFmtId="168" fontId="64" fillId="0" borderId="0" xfId="1" applyNumberFormat="1" applyFont="1" applyAlignment="1">
      <alignment wrapText="1"/>
    </xf>
    <xf numFmtId="176" fontId="64" fillId="0" borderId="0" xfId="1" applyNumberFormat="1" applyFont="1" applyAlignment="1">
      <alignment wrapText="1"/>
    </xf>
    <xf numFmtId="168" fontId="64" fillId="0" borderId="0" xfId="0" applyNumberFormat="1" applyFont="1" applyAlignment="1">
      <alignment wrapText="1"/>
    </xf>
    <xf numFmtId="0" fontId="64" fillId="0" borderId="0" xfId="0" applyFont="1"/>
    <xf numFmtId="168" fontId="64" fillId="0" borderId="0" xfId="0" applyNumberFormat="1" applyFont="1"/>
    <xf numFmtId="0" fontId="64" fillId="0" borderId="21" xfId="0" applyFont="1" applyBorder="1" applyAlignment="1">
      <alignment wrapText="1"/>
    </xf>
    <xf numFmtId="0" fontId="64" fillId="0" borderId="0" xfId="1" applyNumberFormat="1" applyFont="1" applyBorder="1"/>
    <xf numFmtId="0" fontId="64" fillId="0" borderId="22" xfId="1" applyNumberFormat="1" applyFont="1" applyBorder="1"/>
    <xf numFmtId="0" fontId="64" fillId="0" borderId="22" xfId="0" applyFont="1" applyBorder="1"/>
    <xf numFmtId="0" fontId="64" fillId="0" borderId="27" xfId="0" applyFont="1" applyBorder="1" applyAlignment="1">
      <alignment wrapText="1"/>
    </xf>
    <xf numFmtId="168" fontId="64" fillId="0" borderId="28" xfId="0" applyNumberFormat="1" applyFont="1" applyBorder="1"/>
    <xf numFmtId="0" fontId="64" fillId="0" borderId="28" xfId="0" applyFont="1" applyBorder="1"/>
    <xf numFmtId="0" fontId="64" fillId="0" borderId="29" xfId="0" applyFont="1" applyBorder="1"/>
    <xf numFmtId="185" fontId="64" fillId="0" borderId="0" xfId="0" applyNumberFormat="1" applyFont="1"/>
    <xf numFmtId="185" fontId="64" fillId="0" borderId="22" xfId="0" applyNumberFormat="1" applyFont="1" applyBorder="1"/>
    <xf numFmtId="185" fontId="64" fillId="0" borderId="28" xfId="0" applyNumberFormat="1" applyFont="1" applyBorder="1"/>
    <xf numFmtId="185" fontId="64" fillId="0" borderId="29" xfId="0" applyNumberFormat="1" applyFont="1" applyBorder="1"/>
    <xf numFmtId="0" fontId="67" fillId="19" borderId="1" xfId="4" applyFont="1" applyFill="1" applyAlignment="1">
      <alignment wrapText="1"/>
    </xf>
    <xf numFmtId="10" fontId="57" fillId="27" borderId="63" xfId="0" applyNumberFormat="1" applyFont="1" applyFill="1" applyBorder="1" applyAlignment="1">
      <alignment horizontal="left" vertical="center" wrapText="1"/>
    </xf>
    <xf numFmtId="0" fontId="38" fillId="21" borderId="47" xfId="0" applyFont="1" applyFill="1" applyBorder="1" applyAlignment="1">
      <alignment horizontal="left" vertical="center" wrapText="1"/>
    </xf>
    <xf numFmtId="1" fontId="39" fillId="22" borderId="25" xfId="0" applyNumberFormat="1" applyFont="1" applyFill="1" applyBorder="1" applyAlignment="1">
      <alignment horizontal="left" vertical="center" wrapText="1"/>
    </xf>
    <xf numFmtId="0" fontId="39" fillId="22" borderId="0" xfId="5" applyFont="1" applyFill="1" applyBorder="1" applyAlignment="1">
      <alignment horizontal="left" vertical="center" wrapText="1"/>
    </xf>
    <xf numFmtId="1" fontId="38" fillId="21" borderId="25" xfId="4" applyNumberFormat="1" applyFont="1" applyFill="1" applyBorder="1" applyAlignment="1">
      <alignment horizontal="left" vertical="center" wrapText="1"/>
    </xf>
    <xf numFmtId="1" fontId="39" fillId="25" borderId="25" xfId="6" applyNumberFormat="1" applyFont="1" applyFill="1" applyBorder="1" applyAlignment="1">
      <alignment horizontal="left" vertical="center" wrapText="1"/>
    </xf>
    <xf numFmtId="1" fontId="39" fillId="25" borderId="26" xfId="6" applyNumberFormat="1" applyFont="1" applyFill="1" applyBorder="1" applyAlignment="1">
      <alignment horizontal="left" vertical="center" wrapText="1"/>
    </xf>
    <xf numFmtId="0" fontId="39" fillId="25" borderId="22" xfId="6" applyFont="1" applyFill="1" applyBorder="1" applyAlignment="1">
      <alignment horizontal="left" vertical="center" wrapText="1"/>
    </xf>
    <xf numFmtId="1" fontId="39" fillId="24" borderId="25" xfId="0" applyNumberFormat="1" applyFont="1" applyFill="1" applyBorder="1" applyAlignment="1">
      <alignment horizontal="left" vertical="center" wrapText="1"/>
    </xf>
    <xf numFmtId="9" fontId="39" fillId="22" borderId="0" xfId="5" applyNumberFormat="1" applyFont="1" applyFill="1" applyBorder="1" applyAlignment="1">
      <alignment horizontal="left" vertical="center" wrapText="1"/>
    </xf>
    <xf numFmtId="167" fontId="39" fillId="24" borderId="0" xfId="0" applyNumberFormat="1" applyFont="1" applyFill="1" applyAlignment="1">
      <alignment horizontal="left" vertical="center" wrapText="1"/>
    </xf>
    <xf numFmtId="167" fontId="39" fillId="22" borderId="0" xfId="5" applyNumberFormat="1" applyFont="1" applyFill="1" applyBorder="1" applyAlignment="1">
      <alignment horizontal="left" vertical="center" wrapText="1"/>
    </xf>
    <xf numFmtId="0" fontId="39" fillId="24" borderId="50" xfId="0" applyFont="1" applyFill="1" applyBorder="1" applyAlignment="1">
      <alignment horizontal="left" vertical="center" wrapText="1"/>
    </xf>
    <xf numFmtId="167" fontId="38" fillId="21" borderId="0" xfId="4" applyNumberFormat="1" applyFont="1" applyFill="1" applyBorder="1" applyAlignment="1">
      <alignment horizontal="left" vertical="center" wrapText="1"/>
    </xf>
    <xf numFmtId="167" fontId="39" fillId="25" borderId="0" xfId="6" applyNumberFormat="1" applyFont="1" applyFill="1" applyBorder="1" applyAlignment="1">
      <alignment horizontal="left" vertical="center" wrapText="1"/>
    </xf>
    <xf numFmtId="167" fontId="39" fillId="25" borderId="22" xfId="6" applyNumberFormat="1" applyFont="1" applyFill="1" applyBorder="1" applyAlignment="1">
      <alignment horizontal="left" vertical="center" wrapText="1"/>
    </xf>
    <xf numFmtId="179" fontId="62" fillId="27" borderId="63" xfId="5" applyNumberFormat="1" applyFont="1" applyFill="1" applyBorder="1" applyAlignment="1">
      <alignment horizontal="left" vertical="center" wrapText="1"/>
    </xf>
    <xf numFmtId="179" fontId="62" fillId="27" borderId="63" xfId="4" applyNumberFormat="1" applyFont="1" applyFill="1" applyBorder="1" applyAlignment="1">
      <alignment horizontal="left" vertical="center" wrapText="1"/>
    </xf>
    <xf numFmtId="179" fontId="62" fillId="27" borderId="63" xfId="6" applyNumberFormat="1" applyFont="1" applyFill="1" applyBorder="1" applyAlignment="1">
      <alignment horizontal="left" vertical="center" wrapText="1"/>
    </xf>
    <xf numFmtId="179" fontId="62" fillId="27" borderId="46" xfId="6" applyNumberFormat="1" applyFont="1" applyFill="1" applyBorder="1" applyAlignment="1">
      <alignment horizontal="left" vertical="center" wrapText="1"/>
    </xf>
    <xf numFmtId="0" fontId="39" fillId="20" borderId="3" xfId="0" applyFont="1" applyFill="1" applyBorder="1" applyAlignment="1">
      <alignment horizontal="left" vertical="center"/>
    </xf>
    <xf numFmtId="0" fontId="39" fillId="19" borderId="0" xfId="0" applyFont="1" applyFill="1" applyAlignment="1">
      <alignment horizontal="left" wrapText="1"/>
    </xf>
    <xf numFmtId="0" fontId="39" fillId="19" borderId="0" xfId="0" applyFont="1" applyFill="1" applyAlignment="1">
      <alignment vertical="center" wrapText="1"/>
    </xf>
    <xf numFmtId="0" fontId="50" fillId="19" borderId="0" xfId="7" applyFont="1" applyFill="1" applyAlignment="1">
      <alignment horizontal="right" wrapText="1"/>
    </xf>
    <xf numFmtId="0" fontId="55" fillId="19" borderId="0" xfId="0" applyFont="1" applyFill="1" applyAlignment="1">
      <alignment wrapText="1"/>
    </xf>
    <xf numFmtId="0" fontId="50" fillId="19" borderId="0" xfId="7" applyFont="1" applyFill="1" applyAlignment="1">
      <alignment wrapText="1"/>
    </xf>
    <xf numFmtId="0" fontId="38" fillId="0" borderId="21" xfId="0" applyFont="1" applyBorder="1"/>
    <xf numFmtId="1" fontId="45" fillId="21" borderId="22" xfId="0" applyNumberFormat="1" applyFont="1" applyFill="1" applyBorder="1" applyAlignment="1">
      <alignment horizontal="left" vertical="center" wrapText="1"/>
    </xf>
    <xf numFmtId="0" fontId="38" fillId="0" borderId="72" xfId="0" applyFont="1" applyBorder="1"/>
    <xf numFmtId="0" fontId="57" fillId="24" borderId="50" xfId="0" applyFont="1" applyFill="1" applyBorder="1" applyAlignment="1">
      <alignment horizontal="center" vertical="center" wrapText="1"/>
    </xf>
    <xf numFmtId="0" fontId="57" fillId="23" borderId="50" xfId="0" applyFont="1" applyFill="1" applyBorder="1" applyAlignment="1">
      <alignment horizontal="center" vertical="center" wrapText="1"/>
    </xf>
    <xf numFmtId="0" fontId="57" fillId="22" borderId="50" xfId="5" applyFont="1" applyFill="1" applyBorder="1" applyAlignment="1">
      <alignment horizontal="center" vertical="center" wrapText="1"/>
    </xf>
    <xf numFmtId="0" fontId="58" fillId="21" borderId="50" xfId="4" applyFont="1" applyFill="1" applyBorder="1" applyAlignment="1">
      <alignment horizontal="center" vertical="center" wrapText="1"/>
    </xf>
    <xf numFmtId="0" fontId="57" fillId="25" borderId="50" xfId="6" applyFont="1" applyFill="1" applyBorder="1" applyAlignment="1">
      <alignment horizontal="center" vertical="center" wrapText="1"/>
    </xf>
    <xf numFmtId="0" fontId="57" fillId="25" borderId="51" xfId="6" applyFont="1" applyFill="1" applyBorder="1" applyAlignment="1">
      <alignment horizontal="center" vertical="center" wrapText="1"/>
    </xf>
    <xf numFmtId="0" fontId="38" fillId="0" borderId="0" xfId="0" applyFont="1" applyAlignment="1">
      <alignment vertical="center"/>
    </xf>
    <xf numFmtId="0" fontId="38" fillId="0" borderId="21" xfId="0" applyFont="1" applyBorder="1" applyAlignment="1">
      <alignment horizontal="left"/>
    </xf>
    <xf numFmtId="0" fontId="38" fillId="0" borderId="22" xfId="0" applyFont="1" applyBorder="1"/>
    <xf numFmtId="0" fontId="73" fillId="0" borderId="0" xfId="0" applyFont="1"/>
    <xf numFmtId="0" fontId="40" fillId="0" borderId="21" xfId="0" applyFont="1" applyBorder="1"/>
    <xf numFmtId="0" fontId="38" fillId="0" borderId="27" xfId="0" applyFont="1" applyBorder="1"/>
    <xf numFmtId="0" fontId="38" fillId="0" borderId="28" xfId="0" applyFont="1" applyBorder="1" applyAlignment="1">
      <alignment vertical="center" wrapText="1"/>
    </xf>
    <xf numFmtId="0" fontId="38" fillId="0" borderId="29" xfId="0" applyFont="1" applyBorder="1"/>
    <xf numFmtId="0" fontId="38" fillId="0" borderId="24" xfId="0" applyFont="1" applyBorder="1"/>
    <xf numFmtId="0" fontId="38" fillId="0" borderId="25" xfId="0" applyFont="1" applyBorder="1"/>
    <xf numFmtId="0" fontId="38" fillId="0" borderId="26" xfId="0" applyFont="1" applyBorder="1"/>
    <xf numFmtId="0" fontId="74" fillId="0" borderId="0" xfId="0" applyFont="1"/>
    <xf numFmtId="0" fontId="40" fillId="0" borderId="0" xfId="0" applyFont="1"/>
    <xf numFmtId="15" fontId="38" fillId="0" borderId="0" xfId="0" applyNumberFormat="1" applyFont="1"/>
    <xf numFmtId="0" fontId="50" fillId="0" borderId="0" xfId="7" applyFont="1" applyBorder="1"/>
    <xf numFmtId="0" fontId="38" fillId="0" borderId="21" xfId="0" applyFont="1" applyBorder="1" applyAlignment="1">
      <alignment vertical="center"/>
    </xf>
    <xf numFmtId="0" fontId="55" fillId="0" borderId="0" xfId="0" applyFont="1"/>
    <xf numFmtId="0" fontId="46" fillId="0" borderId="27" xfId="0" applyFont="1" applyBorder="1"/>
    <xf numFmtId="14" fontId="40" fillId="0" borderId="28" xfId="0" applyNumberFormat="1" applyFont="1" applyBorder="1" applyAlignment="1">
      <alignment horizontal="left" vertical="center"/>
    </xf>
    <xf numFmtId="0" fontId="38" fillId="0" borderId="6" xfId="0" applyFont="1" applyBorder="1" applyAlignment="1">
      <alignment horizontal="left"/>
    </xf>
    <xf numFmtId="180" fontId="38" fillId="0" borderId="6" xfId="0" applyNumberFormat="1" applyFont="1" applyBorder="1" applyAlignment="1">
      <alignment horizontal="center"/>
    </xf>
    <xf numFmtId="180" fontId="38" fillId="0" borderId="7" xfId="0" applyNumberFormat="1" applyFont="1" applyBorder="1"/>
    <xf numFmtId="180" fontId="38" fillId="0" borderId="8" xfId="0" applyNumberFormat="1" applyFont="1" applyBorder="1"/>
    <xf numFmtId="0" fontId="38" fillId="0" borderId="15" xfId="0" applyFont="1" applyBorder="1"/>
    <xf numFmtId="0" fontId="38" fillId="0" borderId="9" xfId="0" applyFont="1" applyBorder="1"/>
    <xf numFmtId="3" fontId="38" fillId="10" borderId="9" xfId="0" applyNumberFormat="1" applyFont="1" applyFill="1" applyBorder="1" applyAlignment="1">
      <alignment horizontal="right"/>
    </xf>
    <xf numFmtId="3" fontId="38" fillId="10" borderId="10" xfId="0" applyNumberFormat="1" applyFont="1" applyFill="1" applyBorder="1" applyAlignment="1">
      <alignment horizontal="right"/>
    </xf>
    <xf numFmtId="3" fontId="38" fillId="10" borderId="11" xfId="0" applyNumberFormat="1" applyFont="1" applyFill="1" applyBorder="1" applyAlignment="1">
      <alignment horizontal="right"/>
    </xf>
    <xf numFmtId="0" fontId="38" fillId="0" borderId="41" xfId="0" applyFont="1" applyBorder="1" applyAlignment="1">
      <alignment horizontal="left"/>
    </xf>
    <xf numFmtId="3" fontId="38" fillId="10" borderId="15" xfId="0" applyNumberFormat="1" applyFont="1" applyFill="1" applyBorder="1" applyAlignment="1">
      <alignment horizontal="right"/>
    </xf>
    <xf numFmtId="3" fontId="38" fillId="10" borderId="0" xfId="0" applyNumberFormat="1" applyFont="1" applyFill="1" applyAlignment="1">
      <alignment horizontal="right"/>
    </xf>
    <xf numFmtId="3" fontId="38" fillId="10" borderId="30" xfId="0" applyNumberFormat="1" applyFont="1" applyFill="1" applyBorder="1" applyAlignment="1">
      <alignment horizontal="right"/>
    </xf>
    <xf numFmtId="2" fontId="38" fillId="0" borderId="0" xfId="0" applyNumberFormat="1" applyFont="1"/>
    <xf numFmtId="0" fontId="38" fillId="0" borderId="3" xfId="0" applyFont="1" applyBorder="1" applyAlignment="1">
      <alignment wrapText="1"/>
    </xf>
    <xf numFmtId="0" fontId="38" fillId="0" borderId="5" xfId="0" applyFont="1" applyBorder="1" applyAlignment="1">
      <alignment wrapText="1"/>
    </xf>
    <xf numFmtId="0" fontId="38" fillId="0" borderId="12" xfId="0" applyFont="1" applyBorder="1" applyAlignment="1">
      <alignment wrapText="1"/>
    </xf>
    <xf numFmtId="2" fontId="38" fillId="0" borderId="0" xfId="0" applyNumberFormat="1" applyFont="1" applyAlignment="1">
      <alignment wrapText="1"/>
    </xf>
    <xf numFmtId="0" fontId="51" fillId="4" borderId="1" xfId="4" applyFont="1" applyAlignment="1">
      <alignment horizontal="left" vertical="center" wrapText="1"/>
    </xf>
    <xf numFmtId="0" fontId="38" fillId="0" borderId="14" xfId="0" applyFont="1" applyBorder="1" applyAlignment="1">
      <alignment wrapText="1"/>
    </xf>
    <xf numFmtId="0" fontId="60" fillId="0" borderId="0" xfId="0" applyFont="1"/>
    <xf numFmtId="167" fontId="51" fillId="4" borderId="1" xfId="4" applyNumberFormat="1" applyFont="1" applyAlignment="1">
      <alignment wrapText="1"/>
    </xf>
    <xf numFmtId="167" fontId="51" fillId="4" borderId="13" xfId="4" applyNumberFormat="1" applyFont="1" applyBorder="1" applyAlignment="1">
      <alignment wrapText="1"/>
    </xf>
    <xf numFmtId="0" fontId="64" fillId="0" borderId="0" xfId="0" applyFont="1" applyAlignment="1">
      <alignment horizontal="center" wrapText="1"/>
    </xf>
    <xf numFmtId="0" fontId="64" fillId="0" borderId="24" xfId="0" applyFont="1" applyBorder="1" applyAlignment="1">
      <alignment wrapText="1"/>
    </xf>
    <xf numFmtId="0" fontId="68" fillId="5" borderId="75" xfId="5" applyFont="1" applyBorder="1" applyAlignment="1">
      <alignment textRotation="45"/>
    </xf>
    <xf numFmtId="0" fontId="68" fillId="5" borderId="75" xfId="5" applyFont="1" applyBorder="1" applyAlignment="1">
      <alignment textRotation="45" wrapText="1"/>
    </xf>
    <xf numFmtId="0" fontId="68" fillId="5" borderId="76" xfId="5" applyFont="1" applyBorder="1" applyAlignment="1">
      <alignment textRotation="45"/>
    </xf>
    <xf numFmtId="3" fontId="39" fillId="16" borderId="41" xfId="0" applyNumberFormat="1" applyFont="1" applyFill="1" applyBorder="1"/>
    <xf numFmtId="3" fontId="39" fillId="16" borderId="42" xfId="0" applyNumberFormat="1" applyFont="1" applyFill="1" applyBorder="1"/>
    <xf numFmtId="3" fontId="39" fillId="16" borderId="43" xfId="0" applyNumberFormat="1" applyFont="1" applyFill="1" applyBorder="1"/>
    <xf numFmtId="3" fontId="39" fillId="16" borderId="41" xfId="0" applyNumberFormat="1" applyFont="1" applyFill="1" applyBorder="1" applyAlignment="1">
      <alignment horizontal="right"/>
    </xf>
    <xf numFmtId="3" fontId="39" fillId="16" borderId="42" xfId="0" applyNumberFormat="1" applyFont="1" applyFill="1" applyBorder="1" applyAlignment="1">
      <alignment horizontal="right"/>
    </xf>
    <xf numFmtId="3" fontId="39" fillId="16" borderId="43" xfId="0" applyNumberFormat="1" applyFont="1" applyFill="1" applyBorder="1" applyAlignment="1">
      <alignment horizontal="right"/>
    </xf>
    <xf numFmtId="0" fontId="68" fillId="5" borderId="48" xfId="5" applyFont="1" applyBorder="1" applyAlignment="1">
      <alignment textRotation="45"/>
    </xf>
    <xf numFmtId="0" fontId="64" fillId="0" borderId="3" xfId="0" applyFont="1" applyBorder="1" applyAlignment="1">
      <alignment wrapText="1"/>
    </xf>
    <xf numFmtId="178" fontId="38" fillId="19" borderId="0" xfId="0" applyNumberFormat="1" applyFont="1" applyFill="1" applyAlignment="1">
      <alignment wrapText="1"/>
    </xf>
    <xf numFmtId="186" fontId="64" fillId="0" borderId="3" xfId="1" applyNumberFormat="1" applyFont="1" applyBorder="1"/>
    <xf numFmtId="186" fontId="64" fillId="0" borderId="3" xfId="1" applyNumberFormat="1" applyFont="1" applyBorder="1" applyAlignment="1">
      <alignment wrapText="1"/>
    </xf>
    <xf numFmtId="186" fontId="64" fillId="0" borderId="3" xfId="0" applyNumberFormat="1" applyFont="1" applyBorder="1" applyAlignment="1">
      <alignment wrapText="1"/>
    </xf>
    <xf numFmtId="186" fontId="67" fillId="0" borderId="3" xfId="4" applyNumberFormat="1" applyFont="1" applyFill="1" applyBorder="1" applyAlignment="1">
      <alignment wrapText="1"/>
    </xf>
    <xf numFmtId="0" fontId="76" fillId="0" borderId="0" xfId="0" applyFont="1"/>
    <xf numFmtId="0" fontId="76" fillId="30" borderId="0" xfId="0" applyFont="1" applyFill="1"/>
    <xf numFmtId="0" fontId="76" fillId="10" borderId="0" xfId="0" applyFont="1" applyFill="1"/>
    <xf numFmtId="0" fontId="40" fillId="8" borderId="78" xfId="11" applyFont="1" applyBorder="1" applyAlignment="1">
      <alignment horizontal="center" vertical="center" wrapText="1"/>
    </xf>
    <xf numFmtId="0" fontId="40" fillId="8" borderId="79" xfId="11" applyFont="1" applyBorder="1" applyAlignment="1">
      <alignment horizontal="center" vertical="center" wrapText="1"/>
    </xf>
    <xf numFmtId="0" fontId="38" fillId="19" borderId="0" xfId="0" applyFont="1" applyFill="1"/>
    <xf numFmtId="6" fontId="38" fillId="19" borderId="0" xfId="0" applyNumberFormat="1" applyFont="1" applyFill="1"/>
    <xf numFmtId="0" fontId="60" fillId="19" borderId="52" xfId="0" applyFont="1" applyFill="1" applyBorder="1" applyAlignment="1">
      <alignment horizontal="left"/>
    </xf>
    <xf numFmtId="0" fontId="60" fillId="19" borderId="52" xfId="0" applyFont="1" applyFill="1" applyBorder="1"/>
    <xf numFmtId="6" fontId="38" fillId="19" borderId="3" xfId="0" applyNumberFormat="1" applyFont="1" applyFill="1" applyBorder="1"/>
    <xf numFmtId="6" fontId="38" fillId="19" borderId="53" xfId="0" applyNumberFormat="1" applyFont="1" applyFill="1" applyBorder="1"/>
    <xf numFmtId="0" fontId="77" fillId="27" borderId="59" xfId="0" applyFont="1" applyFill="1" applyBorder="1"/>
    <xf numFmtId="6" fontId="77" fillId="27" borderId="55" xfId="0" applyNumberFormat="1" applyFont="1" applyFill="1" applyBorder="1"/>
    <xf numFmtId="6" fontId="77" fillId="27" borderId="56" xfId="0" applyNumberFormat="1" applyFont="1" applyFill="1" applyBorder="1"/>
    <xf numFmtId="9" fontId="51" fillId="19" borderId="0" xfId="10" applyFont="1" applyFill="1" applyBorder="1" applyAlignment="1">
      <alignment wrapText="1"/>
    </xf>
    <xf numFmtId="0" fontId="51" fillId="19" borderId="0" xfId="4" applyFont="1" applyFill="1" applyBorder="1" applyAlignment="1">
      <alignment wrapText="1"/>
    </xf>
    <xf numFmtId="2" fontId="53" fillId="19" borderId="0" xfId="8" applyNumberFormat="1" applyFont="1" applyFill="1" applyBorder="1" applyAlignment="1">
      <alignment wrapText="1"/>
    </xf>
    <xf numFmtId="0" fontId="51" fillId="0" borderId="48" xfId="4" applyFont="1" applyFill="1" applyBorder="1" applyAlignment="1">
      <alignment wrapText="1"/>
    </xf>
    <xf numFmtId="179" fontId="51" fillId="0" borderId="48" xfId="4" applyNumberFormat="1" applyFont="1" applyFill="1" applyBorder="1" applyAlignment="1">
      <alignment wrapText="1"/>
    </xf>
    <xf numFmtId="9" fontId="51" fillId="0" borderId="48" xfId="10" applyFont="1" applyFill="1" applyBorder="1" applyAlignment="1">
      <alignment wrapText="1"/>
    </xf>
    <xf numFmtId="10" fontId="51" fillId="0" borderId="48" xfId="10" applyNumberFormat="1" applyFont="1" applyFill="1" applyBorder="1" applyAlignment="1">
      <alignment wrapText="1"/>
    </xf>
    <xf numFmtId="167" fontId="53" fillId="0" borderId="80" xfId="8" applyNumberFormat="1" applyFont="1" applyFill="1" applyBorder="1" applyAlignment="1">
      <alignment wrapText="1"/>
    </xf>
    <xf numFmtId="0" fontId="51" fillId="4" borderId="3" xfId="4" applyFont="1" applyBorder="1" applyAlignment="1">
      <alignment wrapText="1"/>
    </xf>
    <xf numFmtId="179" fontId="51" fillId="4" borderId="3" xfId="4" applyNumberFormat="1" applyFont="1" applyBorder="1" applyAlignment="1">
      <alignment wrapText="1"/>
    </xf>
    <xf numFmtId="9" fontId="51" fillId="4" borderId="3" xfId="10" applyFont="1" applyFill="1" applyBorder="1" applyAlignment="1">
      <alignment wrapText="1"/>
    </xf>
    <xf numFmtId="10" fontId="51" fillId="4" borderId="3" xfId="10" applyNumberFormat="1" applyFont="1" applyFill="1" applyBorder="1" applyAlignment="1">
      <alignment wrapText="1"/>
    </xf>
    <xf numFmtId="167" fontId="53" fillId="5" borderId="3" xfId="8" applyNumberFormat="1" applyFont="1" applyBorder="1" applyAlignment="1">
      <alignment wrapText="1"/>
    </xf>
    <xf numFmtId="0" fontId="51" fillId="18" borderId="3" xfId="4" applyFont="1" applyFill="1" applyBorder="1" applyAlignment="1">
      <alignment wrapText="1"/>
    </xf>
    <xf numFmtId="179" fontId="51" fillId="18" borderId="3" xfId="4" applyNumberFormat="1" applyFont="1" applyFill="1" applyBorder="1" applyAlignment="1">
      <alignment wrapText="1"/>
    </xf>
    <xf numFmtId="9" fontId="51" fillId="18" borderId="3" xfId="10" applyFont="1" applyFill="1" applyBorder="1" applyAlignment="1">
      <alignment wrapText="1"/>
    </xf>
    <xf numFmtId="10" fontId="51" fillId="18" borderId="3" xfId="10" applyNumberFormat="1" applyFont="1" applyFill="1" applyBorder="1" applyAlignment="1">
      <alignment wrapText="1"/>
    </xf>
    <xf numFmtId="167" fontId="53" fillId="18" borderId="3" xfId="8" applyNumberFormat="1" applyFont="1" applyFill="1" applyBorder="1" applyAlignment="1">
      <alignment wrapText="1"/>
    </xf>
    <xf numFmtId="168" fontId="38" fillId="19" borderId="0" xfId="0" applyNumberFormat="1" applyFont="1" applyFill="1" applyAlignment="1">
      <alignment wrapText="1"/>
    </xf>
    <xf numFmtId="0" fontId="0" fillId="0" borderId="0" xfId="0" applyAlignment="1">
      <alignment vertical="center"/>
    </xf>
    <xf numFmtId="0" fontId="0" fillId="19" borderId="0" xfId="0" applyFill="1"/>
    <xf numFmtId="0" fontId="0" fillId="19" borderId="0" xfId="0" applyFill="1" applyAlignment="1">
      <alignment horizontal="center" vertical="center"/>
    </xf>
    <xf numFmtId="0" fontId="0" fillId="19" borderId="0" xfId="0" applyFill="1" applyAlignment="1">
      <alignment wrapText="1"/>
    </xf>
    <xf numFmtId="0" fontId="0" fillId="19" borderId="0" xfId="0" applyFill="1" applyAlignment="1">
      <alignment vertical="center" wrapText="1"/>
    </xf>
    <xf numFmtId="9" fontId="0" fillId="19" borderId="0" xfId="0" applyNumberFormat="1" applyFill="1" applyAlignment="1">
      <alignment horizontal="center" vertical="center"/>
    </xf>
    <xf numFmtId="0" fontId="0" fillId="19" borderId="0" xfId="0" applyFill="1" applyAlignment="1">
      <alignment vertical="center"/>
    </xf>
    <xf numFmtId="9" fontId="0" fillId="19" borderId="0" xfId="0" applyNumberFormat="1" applyFill="1"/>
    <xf numFmtId="1" fontId="0" fillId="19" borderId="0" xfId="0" applyNumberFormat="1" applyFill="1"/>
    <xf numFmtId="2" fontId="0" fillId="19" borderId="0" xfId="0" applyNumberFormat="1" applyFill="1"/>
    <xf numFmtId="0" fontId="33" fillId="19" borderId="0" xfId="0" applyFont="1" applyFill="1"/>
    <xf numFmtId="0" fontId="24" fillId="19" borderId="0" xfId="11" applyFont="1" applyFill="1" applyBorder="1" applyAlignment="1">
      <alignment wrapText="1"/>
    </xf>
    <xf numFmtId="0" fontId="0" fillId="19" borderId="3" xfId="0" applyFill="1" applyBorder="1" applyAlignment="1">
      <alignment horizontal="center" vertical="center"/>
    </xf>
    <xf numFmtId="1" fontId="0" fillId="19" borderId="3" xfId="10" applyNumberFormat="1" applyFont="1" applyFill="1" applyBorder="1" applyAlignment="1">
      <alignment horizontal="center" vertical="center"/>
    </xf>
    <xf numFmtId="9" fontId="0" fillId="19" borderId="3" xfId="0" applyNumberFormat="1" applyFill="1" applyBorder="1" applyAlignment="1">
      <alignment horizontal="center" vertical="center"/>
    </xf>
    <xf numFmtId="2" fontId="0" fillId="19" borderId="3" xfId="0" applyNumberFormat="1" applyFill="1" applyBorder="1" applyAlignment="1">
      <alignment horizontal="center" vertical="center"/>
    </xf>
    <xf numFmtId="1" fontId="0" fillId="19" borderId="3" xfId="0" applyNumberFormat="1" applyFill="1" applyBorder="1" applyAlignment="1">
      <alignment horizontal="center" vertical="center"/>
    </xf>
    <xf numFmtId="0" fontId="14" fillId="19" borderId="45" xfId="4" applyFont="1" applyFill="1" applyBorder="1" applyAlignment="1">
      <alignment horizontal="center" vertical="center" wrapText="1"/>
    </xf>
    <xf numFmtId="0" fontId="0" fillId="31" borderId="16" xfId="0" applyFill="1" applyBorder="1" applyAlignment="1">
      <alignment horizontal="center" vertical="center"/>
    </xf>
    <xf numFmtId="0" fontId="0" fillId="19" borderId="53" xfId="0" applyFill="1" applyBorder="1" applyAlignment="1">
      <alignment horizontal="center" vertical="center"/>
    </xf>
    <xf numFmtId="0" fontId="0" fillId="19" borderId="55" xfId="0" applyFill="1" applyBorder="1" applyAlignment="1">
      <alignment horizontal="center" vertical="center"/>
    </xf>
    <xf numFmtId="0" fontId="0" fillId="31" borderId="62" xfId="0" applyFill="1" applyBorder="1" applyAlignment="1">
      <alignment horizontal="center" vertical="center"/>
    </xf>
    <xf numFmtId="0" fontId="0" fillId="31" borderId="60" xfId="0" applyFill="1" applyBorder="1" applyAlignment="1">
      <alignment horizontal="center" vertical="center"/>
    </xf>
    <xf numFmtId="0" fontId="0" fillId="19" borderId="56" xfId="0" applyFill="1" applyBorder="1" applyAlignment="1">
      <alignment horizontal="center" vertical="center"/>
    </xf>
    <xf numFmtId="0" fontId="4" fillId="19" borderId="63" xfId="11" applyFont="1" applyFill="1" applyBorder="1" applyAlignment="1">
      <alignment horizontal="center" vertical="center" wrapText="1"/>
    </xf>
    <xf numFmtId="0" fontId="0" fillId="19" borderId="70" xfId="0" applyFill="1" applyBorder="1" applyAlignment="1">
      <alignment horizontal="center" vertical="center"/>
    </xf>
    <xf numFmtId="0" fontId="0" fillId="19" borderId="7" xfId="0" applyFill="1" applyBorder="1" applyAlignment="1">
      <alignment horizontal="center" vertical="center"/>
    </xf>
    <xf numFmtId="0" fontId="0" fillId="19" borderId="86" xfId="0" applyFill="1" applyBorder="1" applyAlignment="1">
      <alignment horizontal="center" vertical="center"/>
    </xf>
    <xf numFmtId="0" fontId="24" fillId="19" borderId="45" xfId="11" applyFont="1" applyFill="1" applyBorder="1" applyAlignment="1">
      <alignment horizontal="center" vertical="center" wrapText="1"/>
    </xf>
    <xf numFmtId="0" fontId="0" fillId="19" borderId="62" xfId="0" applyFill="1" applyBorder="1" applyAlignment="1">
      <alignment horizontal="center" vertical="center"/>
    </xf>
    <xf numFmtId="0" fontId="0" fillId="19" borderId="16" xfId="0" applyFill="1" applyBorder="1" applyAlignment="1">
      <alignment horizontal="center" vertical="center"/>
    </xf>
    <xf numFmtId="0" fontId="0" fillId="19" borderId="60" xfId="0" applyFill="1" applyBorder="1" applyAlignment="1">
      <alignment horizontal="center" vertical="center"/>
    </xf>
    <xf numFmtId="0" fontId="0" fillId="29" borderId="62" xfId="0" applyFill="1" applyBorder="1" applyAlignment="1">
      <alignment horizontal="center" vertical="center"/>
    </xf>
    <xf numFmtId="0" fontId="0" fillId="29" borderId="16" xfId="0" applyFill="1" applyBorder="1" applyAlignment="1">
      <alignment horizontal="center" vertical="center"/>
    </xf>
    <xf numFmtId="0" fontId="0" fillId="29" borderId="60" xfId="0" applyFill="1" applyBorder="1" applyAlignment="1">
      <alignment horizontal="center" vertical="center"/>
    </xf>
    <xf numFmtId="0" fontId="0" fillId="32" borderId="62" xfId="0" applyFill="1" applyBorder="1" applyAlignment="1">
      <alignment horizontal="center" vertical="center"/>
    </xf>
    <xf numFmtId="0" fontId="0" fillId="32" borderId="16" xfId="0" applyFill="1" applyBorder="1" applyAlignment="1">
      <alignment horizontal="center" vertical="center"/>
    </xf>
    <xf numFmtId="0" fontId="0" fillId="32" borderId="60" xfId="0" applyFill="1" applyBorder="1" applyAlignment="1">
      <alignment horizontal="center" vertical="center"/>
    </xf>
    <xf numFmtId="0" fontId="79" fillId="33" borderId="62" xfId="0" applyFont="1" applyFill="1" applyBorder="1" applyAlignment="1">
      <alignment horizontal="center" vertical="center"/>
    </xf>
    <xf numFmtId="0" fontId="79" fillId="33" borderId="16" xfId="0" applyFont="1" applyFill="1" applyBorder="1" applyAlignment="1">
      <alignment horizontal="center" vertical="center"/>
    </xf>
    <xf numFmtId="0" fontId="79" fillId="33" borderId="60" xfId="0" applyFont="1" applyFill="1" applyBorder="1" applyAlignment="1">
      <alignment horizontal="center" vertical="center"/>
    </xf>
    <xf numFmtId="0" fontId="79" fillId="34" borderId="62" xfId="0" applyFont="1" applyFill="1" applyBorder="1" applyAlignment="1">
      <alignment horizontal="center" vertical="center"/>
    </xf>
    <xf numFmtId="0" fontId="79" fillId="34" borderId="16" xfId="0" applyFont="1" applyFill="1" applyBorder="1" applyAlignment="1">
      <alignment horizontal="center" vertical="center"/>
    </xf>
    <xf numFmtId="0" fontId="79" fillId="34" borderId="60" xfId="0" applyFont="1" applyFill="1" applyBorder="1" applyAlignment="1">
      <alignment horizontal="center" vertical="center"/>
    </xf>
    <xf numFmtId="0" fontId="0" fillId="35" borderId="62" xfId="0" applyFill="1" applyBorder="1" applyAlignment="1">
      <alignment horizontal="center" vertical="center"/>
    </xf>
    <xf numFmtId="0" fontId="0" fillId="35" borderId="16" xfId="0" applyFill="1" applyBorder="1" applyAlignment="1">
      <alignment horizontal="center" vertical="center"/>
    </xf>
    <xf numFmtId="0" fontId="0" fillId="35" borderId="60" xfId="0" applyFill="1" applyBorder="1" applyAlignment="1">
      <alignment horizontal="center" vertical="center"/>
    </xf>
    <xf numFmtId="0" fontId="0" fillId="36" borderId="62" xfId="0" applyFill="1" applyBorder="1" applyAlignment="1">
      <alignment horizontal="center" vertical="center"/>
    </xf>
    <xf numFmtId="0" fontId="0" fillId="36" borderId="16" xfId="0" applyFill="1" applyBorder="1" applyAlignment="1">
      <alignment horizontal="center" vertical="center"/>
    </xf>
    <xf numFmtId="0" fontId="0" fillId="36" borderId="60" xfId="0" applyFill="1" applyBorder="1" applyAlignment="1">
      <alignment horizontal="center" vertical="center"/>
    </xf>
    <xf numFmtId="0" fontId="0" fillId="37" borderId="62" xfId="0" applyFill="1" applyBorder="1" applyAlignment="1">
      <alignment horizontal="center" vertical="center"/>
    </xf>
    <xf numFmtId="0" fontId="0" fillId="37" borderId="16" xfId="0" applyFill="1" applyBorder="1" applyAlignment="1">
      <alignment horizontal="center" vertical="center"/>
    </xf>
    <xf numFmtId="0" fontId="0" fillId="37" borderId="60" xfId="0" applyFill="1" applyBorder="1" applyAlignment="1">
      <alignment horizontal="center" vertical="center"/>
    </xf>
    <xf numFmtId="0" fontId="79" fillId="38" borderId="62" xfId="0" applyFont="1" applyFill="1" applyBorder="1" applyAlignment="1">
      <alignment horizontal="center" vertical="center"/>
    </xf>
    <xf numFmtId="0" fontId="79" fillId="38" borderId="16" xfId="0" applyFont="1" applyFill="1" applyBorder="1" applyAlignment="1">
      <alignment horizontal="center" vertical="center"/>
    </xf>
    <xf numFmtId="0" fontId="79" fillId="38" borderId="60" xfId="0" applyFont="1" applyFill="1" applyBorder="1" applyAlignment="1">
      <alignment horizontal="center" vertical="center"/>
    </xf>
    <xf numFmtId="0" fontId="79" fillId="39" borderId="62" xfId="0" applyFont="1" applyFill="1" applyBorder="1" applyAlignment="1">
      <alignment horizontal="center" vertical="center"/>
    </xf>
    <xf numFmtId="0" fontId="79" fillId="39" borderId="16" xfId="0" applyFont="1" applyFill="1" applyBorder="1" applyAlignment="1">
      <alignment horizontal="center" vertical="center"/>
    </xf>
    <xf numFmtId="0" fontId="79" fillId="39" borderId="60" xfId="0" applyFont="1" applyFill="1" applyBorder="1" applyAlignment="1">
      <alignment horizontal="center" vertical="center"/>
    </xf>
    <xf numFmtId="10" fontId="0" fillId="19" borderId="0" xfId="0" applyNumberFormat="1" applyFill="1" applyAlignment="1">
      <alignment horizontal="center" vertical="center"/>
    </xf>
    <xf numFmtId="2" fontId="0" fillId="19" borderId="55" xfId="0" applyNumberFormat="1" applyFill="1" applyBorder="1" applyAlignment="1">
      <alignment horizontal="center" vertical="center"/>
    </xf>
    <xf numFmtId="0" fontId="40" fillId="8" borderId="17" xfId="11" applyFont="1" applyBorder="1" applyAlignment="1">
      <alignment horizontal="center" vertical="center" wrapText="1"/>
    </xf>
    <xf numFmtId="0" fontId="40" fillId="8" borderId="50" xfId="11" applyFont="1" applyBorder="1" applyAlignment="1">
      <alignment horizontal="center" vertical="center" wrapText="1"/>
    </xf>
    <xf numFmtId="0" fontId="40" fillId="8" borderId="51" xfId="11" applyFont="1" applyBorder="1" applyAlignment="1">
      <alignment horizontal="center" vertical="center" wrapText="1"/>
    </xf>
    <xf numFmtId="9" fontId="0" fillId="19" borderId="50" xfId="0" applyNumberFormat="1" applyFill="1" applyBorder="1" applyAlignment="1">
      <alignment horizontal="center" vertical="center"/>
    </xf>
    <xf numFmtId="9" fontId="0" fillId="19" borderId="51" xfId="0" applyNumberFormat="1" applyFill="1" applyBorder="1" applyAlignment="1">
      <alignment horizontal="center" vertical="center"/>
    </xf>
    <xf numFmtId="9" fontId="0" fillId="19" borderId="55" xfId="0" applyNumberFormat="1" applyFill="1" applyBorder="1" applyAlignment="1">
      <alignment horizontal="center" vertical="center"/>
    </xf>
    <xf numFmtId="9" fontId="0" fillId="19" borderId="56" xfId="0" applyNumberFormat="1" applyFill="1" applyBorder="1" applyAlignment="1">
      <alignment horizontal="center" vertical="center"/>
    </xf>
    <xf numFmtId="0" fontId="40" fillId="8" borderId="49" xfId="11" applyFont="1" applyBorder="1" applyAlignment="1">
      <alignment horizontal="center" vertical="center" wrapText="1"/>
    </xf>
    <xf numFmtId="0" fontId="0" fillId="10" borderId="47" xfId="0" applyFill="1" applyBorder="1" applyAlignment="1">
      <alignment horizontal="center" vertical="center"/>
    </xf>
    <xf numFmtId="182" fontId="0" fillId="10" borderId="47" xfId="0" applyNumberFormat="1" applyFill="1" applyBorder="1" applyAlignment="1">
      <alignment horizontal="center" vertical="center"/>
    </xf>
    <xf numFmtId="9" fontId="0" fillId="10" borderId="47" xfId="0" applyNumberFormat="1" applyFill="1" applyBorder="1" applyAlignment="1">
      <alignment horizontal="center" vertical="center"/>
    </xf>
    <xf numFmtId="2" fontId="0" fillId="10" borderId="47" xfId="0" applyNumberFormat="1" applyFill="1" applyBorder="1" applyAlignment="1">
      <alignment horizontal="center" vertical="center"/>
    </xf>
    <xf numFmtId="0" fontId="0" fillId="19" borderId="50" xfId="0" applyFill="1" applyBorder="1" applyAlignment="1">
      <alignment horizontal="center" vertical="center"/>
    </xf>
    <xf numFmtId="1" fontId="0" fillId="19" borderId="50" xfId="0" applyNumberFormat="1" applyFill="1" applyBorder="1" applyAlignment="1">
      <alignment horizontal="center" vertical="center"/>
    </xf>
    <xf numFmtId="2" fontId="0" fillId="19" borderId="50" xfId="0" applyNumberFormat="1" applyFill="1" applyBorder="1" applyAlignment="1">
      <alignment horizontal="center" vertical="center"/>
    </xf>
    <xf numFmtId="179" fontId="0" fillId="19" borderId="0" xfId="0" applyNumberFormat="1" applyFill="1"/>
    <xf numFmtId="0" fontId="20" fillId="19" borderId="0" xfId="0" applyFont="1" applyFill="1"/>
    <xf numFmtId="0" fontId="34" fillId="19" borderId="0" xfId="0" applyFont="1" applyFill="1"/>
    <xf numFmtId="0" fontId="0" fillId="19" borderId="49" xfId="0" applyFill="1" applyBorder="1"/>
    <xf numFmtId="0" fontId="0" fillId="19" borderId="52" xfId="0" applyFill="1" applyBorder="1"/>
    <xf numFmtId="0" fontId="0" fillId="19" borderId="54" xfId="0" applyFill="1" applyBorder="1"/>
    <xf numFmtId="10" fontId="0" fillId="10" borderId="58" xfId="10" applyNumberFormat="1" applyFont="1" applyFill="1" applyBorder="1" applyAlignment="1">
      <alignment horizontal="center" vertical="center"/>
    </xf>
    <xf numFmtId="171" fontId="0" fillId="19" borderId="50" xfId="0" applyNumberFormat="1" applyFill="1" applyBorder="1" applyAlignment="1">
      <alignment horizontal="center" vertical="center"/>
    </xf>
    <xf numFmtId="171" fontId="0" fillId="19" borderId="3" xfId="0" applyNumberFormat="1" applyFill="1" applyBorder="1" applyAlignment="1">
      <alignment horizontal="center" vertical="center"/>
    </xf>
    <xf numFmtId="171" fontId="0" fillId="19" borderId="55" xfId="0" applyNumberFormat="1" applyFill="1" applyBorder="1" applyAlignment="1">
      <alignment horizontal="center" vertical="center"/>
    </xf>
    <xf numFmtId="167" fontId="0" fillId="19" borderId="50" xfId="0" applyNumberFormat="1" applyFill="1" applyBorder="1" applyAlignment="1">
      <alignment horizontal="center" vertical="center"/>
    </xf>
    <xf numFmtId="167" fontId="0" fillId="19" borderId="3" xfId="0" applyNumberFormat="1" applyFill="1" applyBorder="1" applyAlignment="1">
      <alignment horizontal="center" vertical="center"/>
    </xf>
    <xf numFmtId="167" fontId="0" fillId="19" borderId="55" xfId="0" applyNumberFormat="1" applyFill="1" applyBorder="1" applyAlignment="1">
      <alignment horizontal="center" vertical="center"/>
    </xf>
    <xf numFmtId="10" fontId="0" fillId="19" borderId="51" xfId="0" applyNumberFormat="1" applyFill="1" applyBorder="1" applyAlignment="1">
      <alignment horizontal="center" vertical="center"/>
    </xf>
    <xf numFmtId="10" fontId="0" fillId="19" borderId="53" xfId="0" applyNumberFormat="1" applyFill="1" applyBorder="1" applyAlignment="1">
      <alignment horizontal="center" vertical="center"/>
    </xf>
    <xf numFmtId="10" fontId="0" fillId="19" borderId="56" xfId="0" applyNumberFormat="1" applyFill="1" applyBorder="1" applyAlignment="1">
      <alignment horizontal="center" vertical="center"/>
    </xf>
    <xf numFmtId="0" fontId="0" fillId="10" borderId="57" xfId="0" applyFill="1" applyBorder="1" applyAlignment="1">
      <alignment horizontal="center" vertical="center"/>
    </xf>
    <xf numFmtId="179" fontId="81" fillId="19" borderId="85" xfId="0" applyNumberFormat="1" applyFont="1" applyFill="1" applyBorder="1" applyAlignment="1">
      <alignment wrapText="1"/>
    </xf>
    <xf numFmtId="179" fontId="81" fillId="19" borderId="52" xfId="0" applyNumberFormat="1" applyFont="1" applyFill="1" applyBorder="1" applyAlignment="1">
      <alignment wrapText="1"/>
    </xf>
    <xf numFmtId="179" fontId="81" fillId="19" borderId="54" xfId="0" applyNumberFormat="1" applyFont="1" applyFill="1" applyBorder="1" applyAlignment="1">
      <alignment wrapText="1"/>
    </xf>
    <xf numFmtId="179" fontId="81" fillId="19" borderId="49" xfId="0" applyNumberFormat="1" applyFont="1" applyFill="1" applyBorder="1" applyAlignment="1">
      <alignment wrapText="1"/>
    </xf>
    <xf numFmtId="179" fontId="81" fillId="19" borderId="57" xfId="0" applyNumberFormat="1" applyFont="1" applyFill="1" applyBorder="1" applyAlignment="1">
      <alignment wrapText="1"/>
    </xf>
    <xf numFmtId="179" fontId="82" fillId="19" borderId="82" xfId="0" applyNumberFormat="1" applyFont="1" applyFill="1" applyBorder="1" applyAlignment="1">
      <alignment wrapText="1"/>
    </xf>
    <xf numFmtId="179" fontId="82" fillId="19" borderId="3" xfId="0" applyNumberFormat="1" applyFont="1" applyFill="1" applyBorder="1" applyAlignment="1">
      <alignment wrapText="1"/>
    </xf>
    <xf numFmtId="179" fontId="82" fillId="19" borderId="55" xfId="0" applyNumberFormat="1" applyFont="1" applyFill="1" applyBorder="1" applyAlignment="1">
      <alignment wrapText="1"/>
    </xf>
    <xf numFmtId="179" fontId="82" fillId="19" borderId="50" xfId="0" applyNumberFormat="1" applyFont="1" applyFill="1" applyBorder="1" applyAlignment="1">
      <alignment wrapText="1"/>
    </xf>
    <xf numFmtId="179" fontId="82" fillId="19" borderId="47" xfId="0" applyNumberFormat="1" applyFont="1" applyFill="1" applyBorder="1" applyAlignment="1">
      <alignment wrapText="1"/>
    </xf>
    <xf numFmtId="179" fontId="83" fillId="19" borderId="82" xfId="5" applyNumberFormat="1" applyFont="1" applyFill="1" applyBorder="1" applyAlignment="1">
      <alignment wrapText="1"/>
    </xf>
    <xf numFmtId="179" fontId="83" fillId="19" borderId="3" xfId="5" applyNumberFormat="1" applyFont="1" applyFill="1" applyBorder="1" applyAlignment="1">
      <alignment wrapText="1"/>
    </xf>
    <xf numFmtId="179" fontId="83" fillId="19" borderId="55" xfId="5" applyNumberFormat="1" applyFont="1" applyFill="1" applyBorder="1" applyAlignment="1">
      <alignment wrapText="1"/>
    </xf>
    <xf numFmtId="179" fontId="83" fillId="19" borderId="50" xfId="5" applyNumberFormat="1" applyFont="1" applyFill="1" applyBorder="1" applyAlignment="1">
      <alignment wrapText="1"/>
    </xf>
    <xf numFmtId="179" fontId="83" fillId="19" borderId="47" xfId="5" applyNumberFormat="1" applyFont="1" applyFill="1" applyBorder="1" applyAlignment="1">
      <alignment wrapText="1"/>
    </xf>
    <xf numFmtId="179" fontId="84" fillId="19" borderId="82" xfId="4" applyNumberFormat="1" applyFont="1" applyFill="1" applyBorder="1" applyAlignment="1">
      <alignment wrapText="1"/>
    </xf>
    <xf numFmtId="179" fontId="84" fillId="19" borderId="3" xfId="4" applyNumberFormat="1" applyFont="1" applyFill="1" applyBorder="1" applyAlignment="1">
      <alignment wrapText="1"/>
    </xf>
    <xf numFmtId="179" fontId="84" fillId="19" borderId="55" xfId="4" applyNumberFormat="1" applyFont="1" applyFill="1" applyBorder="1" applyAlignment="1">
      <alignment wrapText="1"/>
    </xf>
    <xf numFmtId="179" fontId="84" fillId="19" borderId="50" xfId="4" applyNumberFormat="1" applyFont="1" applyFill="1" applyBorder="1" applyAlignment="1">
      <alignment wrapText="1"/>
    </xf>
    <xf numFmtId="179" fontId="84" fillId="19" borderId="47" xfId="4" applyNumberFormat="1" applyFont="1" applyFill="1" applyBorder="1" applyAlignment="1">
      <alignment wrapText="1"/>
    </xf>
    <xf numFmtId="179" fontId="85" fillId="19" borderId="83" xfId="6" applyNumberFormat="1" applyFont="1" applyFill="1" applyBorder="1" applyAlignment="1">
      <alignment wrapText="1"/>
    </xf>
    <xf numFmtId="179" fontId="85" fillId="19" borderId="53" xfId="6" applyNumberFormat="1" applyFont="1" applyFill="1" applyBorder="1" applyAlignment="1">
      <alignment wrapText="1"/>
    </xf>
    <xf numFmtId="179" fontId="85" fillId="19" borderId="56" xfId="6" applyNumberFormat="1" applyFont="1" applyFill="1" applyBorder="1" applyAlignment="1">
      <alignment wrapText="1"/>
    </xf>
    <xf numFmtId="179" fontId="85" fillId="19" borderId="51" xfId="6" applyNumberFormat="1" applyFont="1" applyFill="1" applyBorder="1" applyAlignment="1">
      <alignment wrapText="1"/>
    </xf>
    <xf numFmtId="179" fontId="85" fillId="19" borderId="58" xfId="6" applyNumberFormat="1" applyFont="1" applyFill="1" applyBorder="1" applyAlignment="1">
      <alignment wrapText="1"/>
    </xf>
    <xf numFmtId="0" fontId="24" fillId="19" borderId="0" xfId="11" applyFont="1" applyFill="1" applyBorder="1" applyAlignment="1"/>
    <xf numFmtId="3" fontId="81" fillId="19" borderId="52" xfId="0" applyNumberFormat="1" applyFont="1" applyFill="1" applyBorder="1" applyAlignment="1">
      <alignment wrapText="1"/>
    </xf>
    <xf numFmtId="3" fontId="82" fillId="19" borderId="3" xfId="0" applyNumberFormat="1" applyFont="1" applyFill="1" applyBorder="1" applyAlignment="1">
      <alignment wrapText="1"/>
    </xf>
    <xf numFmtId="3" fontId="83" fillId="19" borderId="3" xfId="5" applyNumberFormat="1" applyFont="1" applyFill="1" applyBorder="1" applyAlignment="1">
      <alignment wrapText="1"/>
    </xf>
    <xf numFmtId="3" fontId="84" fillId="19" borderId="3" xfId="4" applyNumberFormat="1" applyFont="1" applyFill="1" applyBorder="1" applyAlignment="1">
      <alignment wrapText="1"/>
    </xf>
    <xf numFmtId="3" fontId="85" fillId="19" borderId="3" xfId="6" applyNumberFormat="1" applyFont="1" applyFill="1" applyBorder="1" applyAlignment="1">
      <alignment wrapText="1"/>
    </xf>
    <xf numFmtId="3" fontId="85" fillId="19" borderId="53" xfId="6" applyNumberFormat="1" applyFont="1" applyFill="1" applyBorder="1" applyAlignment="1">
      <alignment wrapText="1"/>
    </xf>
    <xf numFmtId="0" fontId="57" fillId="24" borderId="49" xfId="0" applyFont="1" applyFill="1" applyBorder="1" applyAlignment="1">
      <alignment horizontal="center" vertical="center" wrapText="1"/>
    </xf>
    <xf numFmtId="3" fontId="81" fillId="19" borderId="54" xfId="0" applyNumberFormat="1" applyFont="1" applyFill="1" applyBorder="1" applyAlignment="1">
      <alignment wrapText="1"/>
    </xf>
    <xf numFmtId="3" fontId="82" fillId="19" borderId="55" xfId="0" applyNumberFormat="1" applyFont="1" applyFill="1" applyBorder="1" applyAlignment="1">
      <alignment wrapText="1"/>
    </xf>
    <xf numFmtId="3" fontId="83" fillId="19" borderId="55" xfId="5" applyNumberFormat="1" applyFont="1" applyFill="1" applyBorder="1" applyAlignment="1">
      <alignment wrapText="1"/>
    </xf>
    <xf numFmtId="3" fontId="84" fillId="19" borderId="55" xfId="4" applyNumberFormat="1" applyFont="1" applyFill="1" applyBorder="1" applyAlignment="1">
      <alignment wrapText="1"/>
    </xf>
    <xf numFmtId="3" fontId="85" fillId="19" borderId="55" xfId="6" applyNumberFormat="1" applyFont="1" applyFill="1" applyBorder="1" applyAlignment="1">
      <alignment wrapText="1"/>
    </xf>
    <xf numFmtId="3" fontId="85" fillId="19" borderId="56" xfId="6" applyNumberFormat="1" applyFont="1" applyFill="1" applyBorder="1" applyAlignment="1">
      <alignment wrapText="1"/>
    </xf>
    <xf numFmtId="0" fontId="34" fillId="0" borderId="49" xfId="0" applyFont="1" applyBorder="1" applyAlignment="1">
      <alignment horizontal="center" vertical="center"/>
    </xf>
    <xf numFmtId="179" fontId="81" fillId="19" borderId="59" xfId="0" applyNumberFormat="1" applyFont="1" applyFill="1" applyBorder="1" applyAlignment="1">
      <alignment wrapText="1"/>
    </xf>
    <xf numFmtId="179" fontId="82" fillId="19" borderId="87" xfId="0" applyNumberFormat="1" applyFont="1" applyFill="1" applyBorder="1" applyAlignment="1">
      <alignment wrapText="1"/>
    </xf>
    <xf numFmtId="179" fontId="83" fillId="19" borderId="87" xfId="5" applyNumberFormat="1" applyFont="1" applyFill="1" applyBorder="1" applyAlignment="1">
      <alignment wrapText="1"/>
    </xf>
    <xf numFmtId="179" fontId="84" fillId="19" borderId="87" xfId="4" applyNumberFormat="1" applyFont="1" applyFill="1" applyBorder="1" applyAlignment="1">
      <alignment wrapText="1"/>
    </xf>
    <xf numFmtId="179" fontId="85" fillId="19" borderId="88" xfId="6" applyNumberFormat="1" applyFont="1" applyFill="1" applyBorder="1" applyAlignment="1">
      <alignment wrapText="1"/>
    </xf>
    <xf numFmtId="0" fontId="44" fillId="40" borderId="50" xfId="6" applyFont="1" applyFill="1" applyBorder="1" applyAlignment="1">
      <alignment horizontal="center" vertical="center" wrapText="1"/>
    </xf>
    <xf numFmtId="179" fontId="86" fillId="19" borderId="82" xfId="6" applyNumberFormat="1" applyFont="1" applyFill="1" applyBorder="1" applyAlignment="1">
      <alignment wrapText="1"/>
    </xf>
    <xf numFmtId="179" fontId="86" fillId="19" borderId="3" xfId="6" applyNumberFormat="1" applyFont="1" applyFill="1" applyBorder="1" applyAlignment="1">
      <alignment wrapText="1"/>
    </xf>
    <xf numFmtId="179" fontId="86" fillId="19" borderId="55" xfId="6" applyNumberFormat="1" applyFont="1" applyFill="1" applyBorder="1" applyAlignment="1">
      <alignment wrapText="1"/>
    </xf>
    <xf numFmtId="179" fontId="86" fillId="19" borderId="50" xfId="6" applyNumberFormat="1" applyFont="1" applyFill="1" applyBorder="1" applyAlignment="1">
      <alignment wrapText="1"/>
    </xf>
    <xf numFmtId="179" fontId="86" fillId="19" borderId="47" xfId="6" applyNumberFormat="1" applyFont="1" applyFill="1" applyBorder="1" applyAlignment="1">
      <alignment wrapText="1"/>
    </xf>
    <xf numFmtId="179" fontId="86" fillId="19" borderId="87" xfId="6" applyNumberFormat="1" applyFont="1" applyFill="1" applyBorder="1" applyAlignment="1">
      <alignment wrapText="1"/>
    </xf>
    <xf numFmtId="0" fontId="80" fillId="10" borderId="17" xfId="0" applyFont="1" applyFill="1" applyBorder="1"/>
    <xf numFmtId="0" fontId="0" fillId="19" borderId="3" xfId="0" applyFill="1" applyBorder="1" applyAlignment="1">
      <alignment horizontal="right" vertical="center"/>
    </xf>
    <xf numFmtId="0" fontId="20" fillId="19" borderId="49" xfId="0" applyFont="1" applyFill="1" applyBorder="1" applyAlignment="1">
      <alignment horizontal="right" vertical="center"/>
    </xf>
    <xf numFmtId="0" fontId="20" fillId="19" borderId="50" xfId="0" applyFont="1" applyFill="1" applyBorder="1" applyAlignment="1">
      <alignment horizontal="right" vertical="center"/>
    </xf>
    <xf numFmtId="0" fontId="20" fillId="19" borderId="50" xfId="0" applyFont="1" applyFill="1" applyBorder="1" applyAlignment="1">
      <alignment horizontal="center" vertical="center"/>
    </xf>
    <xf numFmtId="0" fontId="20" fillId="19" borderId="51" xfId="0" applyFont="1" applyFill="1" applyBorder="1" applyAlignment="1">
      <alignment horizontal="center" vertical="center"/>
    </xf>
    <xf numFmtId="0" fontId="0" fillId="19" borderId="52" xfId="0" applyFill="1" applyBorder="1" applyAlignment="1">
      <alignment horizontal="right" vertical="center"/>
    </xf>
    <xf numFmtId="0" fontId="0" fillId="19" borderId="54" xfId="0" applyFill="1" applyBorder="1" applyAlignment="1">
      <alignment horizontal="right" vertical="center"/>
    </xf>
    <xf numFmtId="0" fontId="0" fillId="19" borderId="55" xfId="0" applyFill="1" applyBorder="1" applyAlignment="1">
      <alignment horizontal="right" vertical="center"/>
    </xf>
    <xf numFmtId="179" fontId="0" fillId="19" borderId="3" xfId="0" applyNumberFormat="1" applyFill="1" applyBorder="1" applyAlignment="1">
      <alignment horizontal="center" vertical="center"/>
    </xf>
    <xf numFmtId="179" fontId="0" fillId="19" borderId="53" xfId="0" applyNumberFormat="1" applyFill="1" applyBorder="1" applyAlignment="1">
      <alignment horizontal="center" vertical="center"/>
    </xf>
    <xf numFmtId="0" fontId="57" fillId="24" borderId="84" xfId="0" applyFont="1" applyFill="1" applyBorder="1" applyAlignment="1">
      <alignment horizontal="center" vertical="center" wrapText="1"/>
    </xf>
    <xf numFmtId="0" fontId="57" fillId="23" borderId="78" xfId="0" applyFont="1" applyFill="1" applyBorder="1" applyAlignment="1">
      <alignment horizontal="center" vertical="center" wrapText="1"/>
    </xf>
    <xf numFmtId="0" fontId="57" fillId="22" borderId="78" xfId="5" applyFont="1" applyFill="1" applyBorder="1" applyAlignment="1">
      <alignment horizontal="center" vertical="center" wrapText="1"/>
    </xf>
    <xf numFmtId="0" fontId="58" fillId="21" borderId="78" xfId="4" applyFont="1" applyFill="1" applyBorder="1" applyAlignment="1">
      <alignment horizontal="center" vertical="center" wrapText="1"/>
    </xf>
    <xf numFmtId="0" fontId="44" fillId="40" borderId="78" xfId="6" applyFont="1" applyFill="1" applyBorder="1" applyAlignment="1">
      <alignment horizontal="center" vertical="center" wrapText="1"/>
    </xf>
    <xf numFmtId="0" fontId="57" fillId="25" borderId="79" xfId="6" applyFont="1" applyFill="1" applyBorder="1" applyAlignment="1">
      <alignment horizontal="center" vertical="center" wrapText="1"/>
    </xf>
    <xf numFmtId="11" fontId="0" fillId="10" borderId="47" xfId="10" applyNumberFormat="1" applyFont="1" applyFill="1" applyBorder="1" applyAlignment="1">
      <alignment horizontal="center" vertical="center"/>
    </xf>
    <xf numFmtId="1" fontId="39" fillId="22" borderId="0" xfId="0" applyNumberFormat="1" applyFont="1" applyFill="1" applyAlignment="1">
      <alignment horizontal="left" vertical="center" wrapText="1"/>
    </xf>
    <xf numFmtId="0" fontId="55" fillId="19" borderId="0" xfId="0" applyFont="1" applyFill="1" applyAlignment="1">
      <alignment horizontal="left" wrapText="1"/>
    </xf>
    <xf numFmtId="177" fontId="38" fillId="0" borderId="0" xfId="0" applyNumberFormat="1" applyFont="1" applyAlignment="1">
      <alignment wrapText="1"/>
    </xf>
    <xf numFmtId="180" fontId="38" fillId="21" borderId="0" xfId="4" applyNumberFormat="1" applyFont="1" applyFill="1" applyBorder="1" applyAlignment="1">
      <alignment horizontal="left" vertical="center" wrapText="1"/>
    </xf>
    <xf numFmtId="180" fontId="38" fillId="21" borderId="22" xfId="4" applyNumberFormat="1" applyFont="1" applyFill="1" applyBorder="1" applyAlignment="1">
      <alignment horizontal="left" vertical="center" wrapText="1"/>
    </xf>
    <xf numFmtId="180" fontId="39" fillId="25" borderId="25" xfId="6" applyNumberFormat="1" applyFont="1" applyFill="1" applyBorder="1" applyAlignment="1">
      <alignment horizontal="left" vertical="center" wrapText="1"/>
    </xf>
    <xf numFmtId="0" fontId="57" fillId="24" borderId="62" xfId="0" applyFont="1" applyFill="1" applyBorder="1" applyAlignment="1">
      <alignment horizontal="center" vertical="center" wrapText="1"/>
    </xf>
    <xf numFmtId="0" fontId="57" fillId="22" borderId="62" xfId="5" applyFont="1" applyFill="1" applyBorder="1" applyAlignment="1">
      <alignment horizontal="center" vertical="center" wrapText="1"/>
    </xf>
    <xf numFmtId="0" fontId="58" fillId="21" borderId="62" xfId="4" applyFont="1" applyFill="1" applyBorder="1" applyAlignment="1">
      <alignment horizontal="center" vertical="center" wrapText="1"/>
    </xf>
    <xf numFmtId="0" fontId="57" fillId="25" borderId="91" xfId="6" applyFont="1" applyFill="1" applyBorder="1" applyAlignment="1">
      <alignment horizontal="center" vertical="center" wrapText="1"/>
    </xf>
    <xf numFmtId="42" fontId="0" fillId="19" borderId="21" xfId="0" applyNumberFormat="1" applyFill="1" applyBorder="1"/>
    <xf numFmtId="42" fontId="0" fillId="19" borderId="18" xfId="0" applyNumberFormat="1" applyFill="1" applyBorder="1"/>
    <xf numFmtId="42" fontId="0" fillId="19" borderId="0" xfId="0" applyNumberFormat="1" applyFill="1"/>
    <xf numFmtId="42" fontId="0" fillId="19" borderId="22" xfId="0" applyNumberFormat="1" applyFill="1" applyBorder="1"/>
    <xf numFmtId="42" fontId="0" fillId="19" borderId="24" xfId="0" applyNumberFormat="1" applyFill="1" applyBorder="1"/>
    <xf numFmtId="42" fontId="0" fillId="19" borderId="17" xfId="0" applyNumberFormat="1" applyFill="1" applyBorder="1"/>
    <xf numFmtId="42" fontId="0" fillId="19" borderId="25" xfId="0" applyNumberFormat="1" applyFill="1" applyBorder="1"/>
    <xf numFmtId="42" fontId="0" fillId="19" borderId="26" xfId="0" applyNumberFormat="1" applyFill="1" applyBorder="1"/>
    <xf numFmtId="42" fontId="0" fillId="19" borderId="27" xfId="0" applyNumberFormat="1" applyFill="1" applyBorder="1"/>
    <xf numFmtId="42" fontId="0" fillId="19" borderId="40" xfId="0" applyNumberFormat="1" applyFill="1" applyBorder="1"/>
    <xf numFmtId="42" fontId="0" fillId="19" borderId="28" xfId="0" applyNumberFormat="1" applyFill="1" applyBorder="1"/>
    <xf numFmtId="42" fontId="0" fillId="19" borderId="29" xfId="0" applyNumberFormat="1" applyFill="1" applyBorder="1"/>
    <xf numFmtId="42" fontId="0" fillId="19" borderId="64" xfId="0" applyNumberFormat="1" applyFill="1" applyBorder="1"/>
    <xf numFmtId="42" fontId="0" fillId="19" borderId="45" xfId="0" applyNumberFormat="1" applyFill="1" applyBorder="1"/>
    <xf numFmtId="42" fontId="0" fillId="19" borderId="63" xfId="0" applyNumberFormat="1" applyFill="1" applyBorder="1"/>
    <xf numFmtId="42" fontId="0" fillId="19" borderId="46" xfId="0" applyNumberFormat="1" applyFill="1" applyBorder="1"/>
    <xf numFmtId="1" fontId="9" fillId="19" borderId="8" xfId="4" applyNumberFormat="1" applyFill="1" applyBorder="1"/>
    <xf numFmtId="0" fontId="0" fillId="19" borderId="53" xfId="0" applyFill="1" applyBorder="1"/>
    <xf numFmtId="0" fontId="0" fillId="19" borderId="56" xfId="0" applyFill="1" applyBorder="1"/>
    <xf numFmtId="1" fontId="9" fillId="19" borderId="61" xfId="4" applyNumberFormat="1" applyFill="1" applyBorder="1" applyAlignment="1">
      <alignment horizontal="center" vertical="center"/>
    </xf>
    <xf numFmtId="0" fontId="0" fillId="19" borderId="51" xfId="0" applyFill="1" applyBorder="1" applyAlignment="1">
      <alignment horizontal="center" vertical="center"/>
    </xf>
    <xf numFmtId="1" fontId="0" fillId="19" borderId="53" xfId="0" applyNumberFormat="1" applyFill="1" applyBorder="1"/>
    <xf numFmtId="1" fontId="0" fillId="19" borderId="56" xfId="0" applyNumberFormat="1" applyFill="1" applyBorder="1"/>
    <xf numFmtId="0" fontId="91" fillId="41" borderId="64" xfId="14" applyFont="1" applyFill="1" applyBorder="1" applyAlignment="1">
      <alignment horizontal="center" vertical="center" wrapText="1"/>
    </xf>
    <xf numFmtId="0" fontId="91" fillId="41" borderId="45" xfId="0" applyFont="1" applyFill="1" applyBorder="1" applyAlignment="1">
      <alignment horizontal="center" vertical="center" wrapText="1"/>
    </xf>
    <xf numFmtId="10" fontId="0" fillId="19" borderId="0" xfId="0" applyNumberFormat="1" applyFill="1"/>
    <xf numFmtId="8" fontId="0" fillId="19" borderId="0" xfId="0" applyNumberFormat="1" applyFill="1"/>
    <xf numFmtId="0" fontId="0" fillId="19" borderId="45" xfId="0" applyFill="1" applyBorder="1" applyAlignment="1">
      <alignment horizontal="center" vertical="center" wrapText="1"/>
    </xf>
    <xf numFmtId="2" fontId="31" fillId="19" borderId="45" xfId="15" applyNumberFormat="1" applyFill="1" applyBorder="1" applyAlignment="1">
      <alignment horizontal="center" vertical="center" wrapText="1"/>
    </xf>
    <xf numFmtId="2" fontId="31" fillId="19" borderId="46" xfId="15" applyNumberFormat="1" applyFill="1" applyBorder="1" applyAlignment="1">
      <alignment horizontal="center" vertical="center" wrapText="1"/>
    </xf>
    <xf numFmtId="0" fontId="31" fillId="19" borderId="45" xfId="15" applyFill="1" applyBorder="1" applyAlignment="1">
      <alignment horizontal="center" vertical="center" wrapText="1"/>
    </xf>
    <xf numFmtId="0" fontId="0" fillId="19" borderId="85" xfId="0" applyFill="1" applyBorder="1"/>
    <xf numFmtId="0" fontId="0" fillId="19" borderId="82" xfId="0" applyFill="1" applyBorder="1"/>
    <xf numFmtId="0" fontId="0" fillId="19" borderId="83" xfId="0" applyFill="1" applyBorder="1"/>
    <xf numFmtId="1" fontId="0" fillId="19" borderId="3" xfId="0" applyNumberFormat="1" applyFill="1" applyBorder="1"/>
    <xf numFmtId="0" fontId="0" fillId="19" borderId="89" xfId="0" applyFill="1" applyBorder="1"/>
    <xf numFmtId="0" fontId="0" fillId="19" borderId="90" xfId="0" applyFill="1" applyBorder="1"/>
    <xf numFmtId="1" fontId="0" fillId="19" borderId="55" xfId="0" applyNumberFormat="1" applyFill="1" applyBorder="1"/>
    <xf numFmtId="0" fontId="0" fillId="19" borderId="27" xfId="0" applyFill="1" applyBorder="1"/>
    <xf numFmtId="1" fontId="0" fillId="19" borderId="27" xfId="0" applyNumberFormat="1" applyFill="1" applyBorder="1"/>
    <xf numFmtId="1" fontId="0" fillId="19" borderId="29" xfId="0" applyNumberFormat="1" applyFill="1" applyBorder="1"/>
    <xf numFmtId="0" fontId="0" fillId="19" borderId="17" xfId="0" applyFill="1" applyBorder="1"/>
    <xf numFmtId="0" fontId="31" fillId="19" borderId="62" xfId="15" applyFill="1" applyBorder="1" applyAlignment="1">
      <alignment horizontal="center" vertical="center"/>
    </xf>
    <xf numFmtId="0" fontId="31" fillId="19" borderId="72" xfId="15" applyFill="1" applyBorder="1" applyAlignment="1">
      <alignment horizontal="center" vertical="center"/>
    </xf>
    <xf numFmtId="2" fontId="0" fillId="19" borderId="16" xfId="0" applyNumberFormat="1" applyFill="1" applyBorder="1"/>
    <xf numFmtId="2" fontId="0" fillId="19" borderId="89" xfId="0" applyNumberFormat="1" applyFill="1" applyBorder="1"/>
    <xf numFmtId="2" fontId="0" fillId="19" borderId="60" xfId="0" applyNumberFormat="1" applyFill="1" applyBorder="1"/>
    <xf numFmtId="2" fontId="0" fillId="19" borderId="90" xfId="0" applyNumberFormat="1" applyFill="1" applyBorder="1"/>
    <xf numFmtId="1" fontId="9" fillId="19" borderId="77" xfId="4" applyNumberFormat="1" applyFill="1" applyBorder="1"/>
    <xf numFmtId="0" fontId="0" fillId="19" borderId="3" xfId="0" applyFill="1" applyBorder="1" applyAlignment="1">
      <alignment horizontal="center" vertical="center" wrapText="1"/>
    </xf>
    <xf numFmtId="0" fontId="88" fillId="19" borderId="0" xfId="0" applyFont="1" applyFill="1"/>
    <xf numFmtId="0" fontId="79" fillId="25" borderId="51" xfId="0" applyFont="1" applyFill="1" applyBorder="1" applyAlignment="1">
      <alignment horizontal="center" vertical="center" wrapText="1"/>
    </xf>
    <xf numFmtId="0" fontId="79" fillId="25" borderId="53" xfId="0" applyFont="1" applyFill="1" applyBorder="1"/>
    <xf numFmtId="0" fontId="79" fillId="25" borderId="56" xfId="0" applyFont="1" applyFill="1" applyBorder="1"/>
    <xf numFmtId="0" fontId="0" fillId="21" borderId="49" xfId="0" applyFill="1" applyBorder="1" applyAlignment="1">
      <alignment horizontal="center" vertical="center" wrapText="1"/>
    </xf>
    <xf numFmtId="0" fontId="0" fillId="21" borderId="51" xfId="0" applyFill="1" applyBorder="1" applyAlignment="1">
      <alignment horizontal="center" vertical="center" wrapText="1"/>
    </xf>
    <xf numFmtId="0" fontId="0" fillId="21" borderId="52" xfId="0" applyFill="1" applyBorder="1"/>
    <xf numFmtId="0" fontId="0" fillId="21" borderId="53" xfId="0" applyFill="1" applyBorder="1"/>
    <xf numFmtId="0" fontId="0" fillId="21" borderId="54" xfId="0" applyFill="1" applyBorder="1"/>
    <xf numFmtId="0" fontId="0" fillId="21" borderId="56" xfId="0" applyFill="1" applyBorder="1"/>
    <xf numFmtId="0" fontId="79" fillId="25" borderId="49" xfId="0" applyFont="1" applyFill="1" applyBorder="1" applyAlignment="1">
      <alignment horizontal="center" vertical="center" wrapText="1"/>
    </xf>
    <xf numFmtId="0" fontId="79" fillId="25" borderId="52" xfId="0" applyFont="1" applyFill="1" applyBorder="1"/>
    <xf numFmtId="0" fontId="79" fillId="25" borderId="54" xfId="0" applyFont="1" applyFill="1" applyBorder="1"/>
    <xf numFmtId="10" fontId="0" fillId="19" borderId="3" xfId="0" applyNumberFormat="1" applyFill="1" applyBorder="1"/>
    <xf numFmtId="1" fontId="0" fillId="19" borderId="16" xfId="0" applyNumberFormat="1" applyFill="1" applyBorder="1"/>
    <xf numFmtId="1" fontId="0" fillId="19" borderId="60" xfId="0" applyNumberFormat="1" applyFill="1" applyBorder="1"/>
    <xf numFmtId="0" fontId="0" fillId="19" borderId="45" xfId="0" applyFill="1" applyBorder="1" applyAlignment="1">
      <alignment horizontal="right" vertical="center"/>
    </xf>
    <xf numFmtId="7" fontId="38" fillId="0" borderId="0" xfId="0" applyNumberFormat="1" applyFont="1" applyAlignment="1">
      <alignment wrapText="1"/>
    </xf>
    <xf numFmtId="0" fontId="57" fillId="27" borderId="63" xfId="0" applyFont="1" applyFill="1" applyBorder="1" applyAlignment="1">
      <alignment horizontal="left" vertical="center" wrapText="1"/>
    </xf>
    <xf numFmtId="0" fontId="35" fillId="17" borderId="29" xfId="0" applyFont="1" applyFill="1" applyBorder="1" applyAlignment="1">
      <alignment vertical="top"/>
    </xf>
    <xf numFmtId="0" fontId="0" fillId="0" borderId="45" xfId="0" applyBorder="1"/>
    <xf numFmtId="0" fontId="38" fillId="19" borderId="0" xfId="0" applyFont="1" applyFill="1" applyAlignment="1">
      <alignment horizontal="center" wrapText="1"/>
    </xf>
    <xf numFmtId="0" fontId="40" fillId="19" borderId="0" xfId="11" applyFont="1" applyFill="1" applyBorder="1" applyAlignment="1">
      <alignment horizontal="center" vertical="center" wrapText="1"/>
    </xf>
    <xf numFmtId="178" fontId="39" fillId="22" borderId="0" xfId="5" applyNumberFormat="1" applyFont="1" applyFill="1" applyBorder="1" applyAlignment="1">
      <alignment horizontal="left" vertical="center" wrapText="1"/>
    </xf>
    <xf numFmtId="170" fontId="38" fillId="0" borderId="0" xfId="0" applyNumberFormat="1" applyFont="1" applyAlignment="1">
      <alignment wrapText="1"/>
    </xf>
    <xf numFmtId="0" fontId="39" fillId="22" borderId="8" xfId="0" applyFont="1" applyFill="1" applyBorder="1" applyAlignment="1">
      <alignment horizontal="left" vertical="center" wrapText="1"/>
    </xf>
    <xf numFmtId="0" fontId="39" fillId="20" borderId="43" xfId="0" applyFont="1" applyFill="1" applyBorder="1" applyAlignment="1">
      <alignment horizontal="left" vertical="center" wrapText="1"/>
    </xf>
    <xf numFmtId="0" fontId="91" fillId="41" borderId="63" xfId="14" applyFont="1" applyFill="1" applyBorder="1" applyAlignment="1">
      <alignment horizontal="center" vertical="center" wrapText="1"/>
    </xf>
    <xf numFmtId="0" fontId="91" fillId="41" borderId="46" xfId="14" applyFont="1" applyFill="1" applyBorder="1" applyAlignment="1">
      <alignment horizontal="center" vertical="center" wrapText="1"/>
    </xf>
    <xf numFmtId="0" fontId="0" fillId="0" borderId="0" xfId="0" applyAlignment="1">
      <alignment horizontal="center"/>
    </xf>
    <xf numFmtId="0" fontId="38" fillId="19" borderId="0" xfId="0" applyFont="1" applyFill="1" applyAlignment="1">
      <alignment horizontal="center" vertical="center" wrapText="1"/>
    </xf>
    <xf numFmtId="0" fontId="50" fillId="19" borderId="0" xfId="7" applyFont="1" applyFill="1" applyBorder="1" applyAlignment="1">
      <alignment horizontal="center" vertical="center" wrapText="1"/>
    </xf>
    <xf numFmtId="0" fontId="93" fillId="19" borderId="0" xfId="0" applyFont="1" applyFill="1" applyAlignment="1">
      <alignment horizontal="center" vertical="center" wrapText="1"/>
    </xf>
    <xf numFmtId="178" fontId="38" fillId="0" borderId="0" xfId="0" applyNumberFormat="1" applyFont="1" applyAlignment="1">
      <alignment wrapText="1"/>
    </xf>
    <xf numFmtId="186" fontId="64" fillId="0" borderId="3" xfId="1" applyNumberFormat="1" applyFont="1" applyFill="1" applyBorder="1"/>
    <xf numFmtId="186" fontId="64" fillId="0" borderId="3" xfId="1" applyNumberFormat="1" applyFont="1" applyFill="1" applyBorder="1" applyAlignment="1">
      <alignment wrapText="1"/>
    </xf>
    <xf numFmtId="0" fontId="39" fillId="24" borderId="30" xfId="0" applyFont="1" applyFill="1" applyBorder="1" applyAlignment="1">
      <alignment horizontal="left" vertical="center" wrapText="1"/>
    </xf>
    <xf numFmtId="0" fontId="39" fillId="20" borderId="41" xfId="0" applyFont="1" applyFill="1" applyBorder="1" applyAlignment="1">
      <alignment vertical="center" wrapText="1"/>
    </xf>
    <xf numFmtId="0" fontId="39" fillId="20" borderId="9" xfId="0" applyFont="1" applyFill="1" applyBorder="1" applyAlignment="1">
      <alignment vertical="center" wrapText="1"/>
    </xf>
    <xf numFmtId="179" fontId="39" fillId="20" borderId="0" xfId="0" applyNumberFormat="1" applyFont="1" applyFill="1" applyAlignment="1">
      <alignment horizontal="left" vertical="center" wrapText="1"/>
    </xf>
    <xf numFmtId="0" fontId="38" fillId="28" borderId="0" xfId="0" applyFont="1" applyFill="1" applyAlignment="1">
      <alignment vertical="center" wrapText="1"/>
    </xf>
    <xf numFmtId="170" fontId="38" fillId="28" borderId="0" xfId="0" applyNumberFormat="1" applyFont="1" applyFill="1" applyAlignment="1">
      <alignment horizontal="left" vertical="center" wrapText="1"/>
    </xf>
    <xf numFmtId="179" fontId="38" fillId="28" borderId="0" xfId="0" applyNumberFormat="1" applyFont="1" applyFill="1" applyAlignment="1">
      <alignment horizontal="left" vertical="center" wrapText="1"/>
    </xf>
    <xf numFmtId="183" fontId="39" fillId="20" borderId="26" xfId="0" applyNumberFormat="1" applyFont="1" applyFill="1" applyBorder="1" applyAlignment="1">
      <alignment horizontal="left" vertical="center" wrapText="1"/>
    </xf>
    <xf numFmtId="183" fontId="39" fillId="24" borderId="0" xfId="0" applyNumberFormat="1" applyFont="1" applyFill="1" applyAlignment="1">
      <alignment horizontal="left" vertical="center" wrapText="1"/>
    </xf>
    <xf numFmtId="183" fontId="39" fillId="24" borderId="22" xfId="0" applyNumberFormat="1" applyFont="1" applyFill="1" applyBorder="1" applyAlignment="1">
      <alignment horizontal="left" vertical="center" wrapText="1"/>
    </xf>
    <xf numFmtId="183" fontId="38" fillId="19" borderId="0" xfId="0" applyNumberFormat="1" applyFont="1" applyFill="1" applyAlignment="1">
      <alignment horizontal="left" vertical="center" wrapText="1"/>
    </xf>
    <xf numFmtId="183" fontId="39" fillId="20" borderId="0" xfId="0" applyNumberFormat="1" applyFont="1" applyFill="1" applyAlignment="1">
      <alignment horizontal="left" vertical="center" wrapText="1"/>
    </xf>
    <xf numFmtId="184" fontId="39" fillId="20" borderId="0" xfId="0" applyNumberFormat="1" applyFont="1" applyFill="1" applyAlignment="1">
      <alignment horizontal="left" vertical="center" wrapText="1"/>
    </xf>
    <xf numFmtId="170" fontId="38" fillId="28" borderId="22" xfId="0" applyNumberFormat="1" applyFont="1" applyFill="1" applyBorder="1" applyAlignment="1">
      <alignment horizontal="left" vertical="center" wrapText="1"/>
    </xf>
    <xf numFmtId="179" fontId="39" fillId="20" borderId="22" xfId="0" applyNumberFormat="1" applyFont="1" applyFill="1" applyBorder="1" applyAlignment="1">
      <alignment horizontal="left" vertical="center" wrapText="1"/>
    </xf>
    <xf numFmtId="179" fontId="39" fillId="24" borderId="0" xfId="0" applyNumberFormat="1" applyFont="1" applyFill="1" applyAlignment="1">
      <alignment horizontal="left" vertical="center" wrapText="1"/>
    </xf>
    <xf numFmtId="179" fontId="0" fillId="0" borderId="3" xfId="0" applyNumberFormat="1" applyBorder="1"/>
    <xf numFmtId="0" fontId="0" fillId="0" borderId="3" xfId="0" applyBorder="1" applyAlignment="1">
      <alignment horizontal="center" vertical="center" wrapText="1"/>
    </xf>
    <xf numFmtId="1" fontId="0" fillId="0" borderId="3" xfId="0" applyNumberFormat="1" applyBorder="1"/>
    <xf numFmtId="3" fontId="0" fillId="0" borderId="3" xfId="0" applyNumberFormat="1" applyBorder="1"/>
    <xf numFmtId="179" fontId="39" fillId="22" borderId="0" xfId="10" applyNumberFormat="1" applyFont="1" applyFill="1" applyBorder="1" applyAlignment="1">
      <alignment horizontal="left" vertical="center" wrapText="1"/>
    </xf>
    <xf numFmtId="1" fontId="39" fillId="22" borderId="0" xfId="10" applyNumberFormat="1" applyFont="1" applyFill="1" applyBorder="1" applyAlignment="1">
      <alignment horizontal="left" vertical="center" wrapText="1"/>
    </xf>
    <xf numFmtId="0" fontId="61" fillId="22" borderId="76" xfId="5" applyFont="1" applyFill="1" applyBorder="1" applyAlignment="1">
      <alignment textRotation="45"/>
    </xf>
    <xf numFmtId="183" fontId="39" fillId="22" borderId="0" xfId="0" applyNumberFormat="1" applyFont="1" applyFill="1" applyAlignment="1">
      <alignment horizontal="left" vertical="center" wrapText="1"/>
    </xf>
    <xf numFmtId="0" fontId="57" fillId="24" borderId="78" xfId="0" applyFont="1" applyFill="1" applyBorder="1" applyAlignment="1">
      <alignment horizontal="center" vertical="center" wrapText="1"/>
    </xf>
    <xf numFmtId="0" fontId="57" fillId="22" borderId="66" xfId="5" applyFont="1" applyFill="1" applyBorder="1" applyAlignment="1">
      <alignment horizontal="center" vertical="center" wrapText="1"/>
    </xf>
    <xf numFmtId="0" fontId="58" fillId="21" borderId="70" xfId="4" applyFont="1" applyFill="1" applyBorder="1" applyAlignment="1">
      <alignment horizontal="center" vertical="center" wrapText="1"/>
    </xf>
    <xf numFmtId="42" fontId="38" fillId="19" borderId="3" xfId="0" applyNumberFormat="1" applyFont="1" applyFill="1" applyBorder="1"/>
    <xf numFmtId="0" fontId="44" fillId="30" borderId="51" xfId="6" applyFont="1" applyFill="1" applyBorder="1" applyAlignment="1">
      <alignment horizontal="center" vertical="center" wrapText="1"/>
    </xf>
    <xf numFmtId="0" fontId="87" fillId="19" borderId="0" xfId="0" applyFont="1" applyFill="1" applyAlignment="1">
      <alignment horizontal="center" vertical="center" textRotation="90"/>
    </xf>
    <xf numFmtId="0" fontId="0" fillId="19" borderId="0" xfId="0" applyFill="1" applyAlignment="1">
      <alignment horizontal="center"/>
    </xf>
    <xf numFmtId="0" fontId="90" fillId="19" borderId="0" xfId="0" applyFont="1" applyFill="1" applyAlignment="1">
      <alignment horizontal="center" vertical="center" textRotation="90"/>
    </xf>
    <xf numFmtId="1" fontId="0" fillId="19" borderId="6" xfId="0" applyNumberFormat="1" applyFill="1" applyBorder="1"/>
    <xf numFmtId="1" fontId="0" fillId="19" borderId="67" xfId="0" applyNumberFormat="1" applyFill="1" applyBorder="1"/>
    <xf numFmtId="1" fontId="9" fillId="19" borderId="0" xfId="4" applyNumberFormat="1" applyFill="1" applyBorder="1" applyAlignment="1">
      <alignment horizontal="center" vertical="center"/>
    </xf>
    <xf numFmtId="0" fontId="57" fillId="19" borderId="0" xfId="0" applyFont="1" applyFill="1" applyAlignment="1">
      <alignment horizontal="center" vertical="center" wrapText="1"/>
    </xf>
    <xf numFmtId="0" fontId="57" fillId="19" borderId="0" xfId="5" applyFont="1" applyFill="1" applyBorder="1" applyAlignment="1">
      <alignment horizontal="center" vertical="center" wrapText="1"/>
    </xf>
    <xf numFmtId="0" fontId="58" fillId="19" borderId="0" xfId="4" applyFont="1" applyFill="1" applyBorder="1" applyAlignment="1">
      <alignment horizontal="center" vertical="center" wrapText="1"/>
    </xf>
    <xf numFmtId="0" fontId="57" fillId="19" borderId="0" xfId="6" applyFont="1" applyFill="1" applyBorder="1" applyAlignment="1">
      <alignment horizontal="center" vertical="center" wrapText="1"/>
    </xf>
    <xf numFmtId="1" fontId="9" fillId="19" borderId="0" xfId="4" applyNumberFormat="1" applyFill="1" applyBorder="1"/>
    <xf numFmtId="0" fontId="57" fillId="20" borderId="50" xfId="0" applyFont="1" applyFill="1" applyBorder="1" applyAlignment="1">
      <alignment horizontal="center" vertical="center" wrapText="1"/>
    </xf>
    <xf numFmtId="0" fontId="57" fillId="20" borderId="78" xfId="5" applyFont="1" applyFill="1" applyBorder="1" applyAlignment="1">
      <alignment horizontal="center" vertical="center" wrapText="1"/>
    </xf>
    <xf numFmtId="0" fontId="57" fillId="20" borderId="50" xfId="5" applyFont="1" applyFill="1" applyBorder="1" applyAlignment="1">
      <alignment horizontal="center" vertical="center" wrapText="1"/>
    </xf>
    <xf numFmtId="0" fontId="57" fillId="20" borderId="50" xfId="6" applyFont="1" applyFill="1" applyBorder="1" applyAlignment="1">
      <alignment horizontal="center" vertical="center" wrapText="1"/>
    </xf>
    <xf numFmtId="0" fontId="57" fillId="20" borderId="51" xfId="6" applyFont="1" applyFill="1" applyBorder="1" applyAlignment="1">
      <alignment horizontal="center" vertical="center" wrapText="1"/>
    </xf>
    <xf numFmtId="0" fontId="57" fillId="20" borderId="50" xfId="4" applyFont="1" applyFill="1" applyBorder="1" applyAlignment="1">
      <alignment horizontal="center" vertical="center" wrapText="1"/>
    </xf>
    <xf numFmtId="0" fontId="97" fillId="20" borderId="51" xfId="6" applyFont="1" applyFill="1" applyBorder="1" applyAlignment="1">
      <alignment horizontal="center" vertical="center" wrapText="1"/>
    </xf>
    <xf numFmtId="0" fontId="0" fillId="10" borderId="3" xfId="0" applyFill="1" applyBorder="1"/>
    <xf numFmtId="178" fontId="39" fillId="25" borderId="26" xfId="7" applyNumberFormat="1" applyFont="1" applyFill="1" applyBorder="1" applyAlignment="1">
      <alignment horizontal="left" vertical="center" wrapText="1"/>
    </xf>
    <xf numFmtId="0" fontId="39" fillId="20" borderId="30" xfId="0" applyFont="1" applyFill="1" applyBorder="1" applyAlignment="1">
      <alignment horizontal="left" vertical="center" wrapText="1"/>
    </xf>
    <xf numFmtId="0" fontId="39" fillId="20" borderId="42" xfId="0" applyFont="1" applyFill="1" applyBorder="1" applyAlignment="1">
      <alignment horizontal="left" vertical="center"/>
    </xf>
    <xf numFmtId="0" fontId="39" fillId="22" borderId="7" xfId="0" applyFont="1" applyFill="1" applyBorder="1" applyAlignment="1">
      <alignment horizontal="left" vertical="center"/>
    </xf>
    <xf numFmtId="0" fontId="24" fillId="0" borderId="0" xfId="0" applyFont="1" applyAlignment="1">
      <alignment vertical="center" wrapText="1"/>
    </xf>
    <xf numFmtId="0" fontId="0" fillId="0" borderId="0" xfId="0" applyAlignment="1">
      <alignment vertical="center" wrapText="1"/>
    </xf>
    <xf numFmtId="0" fontId="0" fillId="0" borderId="3" xfId="0" applyBorder="1" applyAlignment="1">
      <alignment vertical="center" wrapText="1"/>
    </xf>
    <xf numFmtId="0" fontId="98" fillId="0" borderId="0" xfId="0" applyFont="1"/>
    <xf numFmtId="0" fontId="98" fillId="0" borderId="3" xfId="0" applyFont="1" applyBorder="1"/>
    <xf numFmtId="167" fontId="38" fillId="19" borderId="25" xfId="9" applyNumberFormat="1" applyFont="1" applyFill="1" applyBorder="1" applyAlignment="1">
      <alignment horizontal="left" vertical="center" wrapText="1"/>
    </xf>
    <xf numFmtId="167" fontId="39" fillId="22" borderId="25" xfId="5" applyNumberFormat="1" applyFont="1" applyFill="1" applyBorder="1" applyAlignment="1">
      <alignment horizontal="left" vertical="center" wrapText="1"/>
    </xf>
    <xf numFmtId="167" fontId="38" fillId="19" borderId="26" xfId="9" applyNumberFormat="1" applyFont="1" applyFill="1" applyBorder="1" applyAlignment="1">
      <alignment horizontal="left" vertical="center" wrapText="1"/>
    </xf>
    <xf numFmtId="167" fontId="38" fillId="19" borderId="0" xfId="9" applyNumberFormat="1" applyFont="1" applyFill="1" applyBorder="1" applyAlignment="1">
      <alignment horizontal="left" vertical="center" wrapText="1"/>
    </xf>
    <xf numFmtId="167" fontId="38" fillId="19" borderId="22" xfId="9" applyNumberFormat="1" applyFont="1" applyFill="1" applyBorder="1" applyAlignment="1">
      <alignment horizontal="left" vertical="center" wrapText="1"/>
    </xf>
    <xf numFmtId="167" fontId="38" fillId="19" borderId="0" xfId="4" applyNumberFormat="1" applyFont="1" applyFill="1" applyBorder="1" applyAlignment="1">
      <alignment horizontal="left" vertical="center" wrapText="1"/>
    </xf>
    <xf numFmtId="167" fontId="38" fillId="19" borderId="0" xfId="6" applyNumberFormat="1" applyFont="1" applyFill="1" applyBorder="1" applyAlignment="1">
      <alignment horizontal="left" vertical="center" wrapText="1"/>
    </xf>
    <xf numFmtId="167" fontId="38" fillId="19" borderId="22" xfId="6" applyNumberFormat="1" applyFont="1" applyFill="1" applyBorder="1" applyAlignment="1">
      <alignment horizontal="left" vertical="center" wrapText="1"/>
    </xf>
    <xf numFmtId="0" fontId="54" fillId="19" borderId="52" xfId="0" applyFont="1" applyFill="1" applyBorder="1" applyAlignment="1">
      <alignment horizontal="left"/>
    </xf>
    <xf numFmtId="42" fontId="99" fillId="19" borderId="3" xfId="0" applyNumberFormat="1" applyFont="1" applyFill="1" applyBorder="1"/>
    <xf numFmtId="6" fontId="99" fillId="19" borderId="3" xfId="0" applyNumberFormat="1" applyFont="1" applyFill="1" applyBorder="1"/>
    <xf numFmtId="6" fontId="99" fillId="19" borderId="53" xfId="0" applyNumberFormat="1" applyFont="1" applyFill="1" applyBorder="1"/>
    <xf numFmtId="0" fontId="54" fillId="19" borderId="52" xfId="0" applyFont="1" applyFill="1" applyBorder="1"/>
    <xf numFmtId="0" fontId="100" fillId="27" borderId="59" xfId="0" applyFont="1" applyFill="1" applyBorder="1"/>
    <xf numFmtId="6" fontId="100" fillId="27" borderId="55" xfId="0" applyNumberFormat="1" applyFont="1" applyFill="1" applyBorder="1"/>
    <xf numFmtId="6" fontId="100" fillId="27" borderId="56" xfId="0" applyNumberFormat="1" applyFont="1" applyFill="1" applyBorder="1"/>
    <xf numFmtId="0" fontId="55" fillId="19" borderId="0" xfId="0" applyFont="1" applyFill="1"/>
    <xf numFmtId="0" fontId="49" fillId="0" borderId="0" xfId="7" applyFont="1" applyFill="1" applyBorder="1" applyAlignment="1">
      <alignment wrapText="1"/>
    </xf>
    <xf numFmtId="0" fontId="40" fillId="8" borderId="84" xfId="11" applyFont="1" applyBorder="1" applyAlignment="1">
      <alignment horizontal="center" vertical="center" wrapText="1"/>
    </xf>
    <xf numFmtId="178" fontId="39" fillId="25" borderId="22" xfId="7" applyNumberFormat="1" applyFont="1" applyFill="1" applyBorder="1" applyAlignment="1">
      <alignment horizontal="left" vertical="center" wrapText="1"/>
    </xf>
    <xf numFmtId="11" fontId="38" fillId="0" borderId="0" xfId="0" applyNumberFormat="1" applyFont="1" applyAlignment="1">
      <alignment wrapText="1"/>
    </xf>
    <xf numFmtId="10" fontId="0" fillId="19" borderId="96" xfId="0" applyNumberFormat="1" applyFill="1" applyBorder="1" applyAlignment="1">
      <alignment horizontal="center" vertical="center" wrapText="1"/>
    </xf>
    <xf numFmtId="1" fontId="0" fillId="19" borderId="97" xfId="0" applyNumberFormat="1" applyFill="1" applyBorder="1"/>
    <xf numFmtId="179" fontId="0" fillId="19" borderId="99" xfId="0" applyNumberFormat="1" applyFill="1" applyBorder="1" applyAlignment="1">
      <alignment horizontal="center" vertical="center"/>
    </xf>
    <xf numFmtId="10" fontId="0" fillId="19" borderId="99" xfId="0" applyNumberFormat="1" applyFill="1" applyBorder="1" applyAlignment="1">
      <alignment horizontal="center" vertical="center"/>
    </xf>
    <xf numFmtId="1" fontId="0" fillId="19" borderId="100" xfId="0" applyNumberFormat="1" applyFill="1" applyBorder="1"/>
    <xf numFmtId="0" fontId="38" fillId="0" borderId="10" xfId="0" applyFont="1" applyBorder="1" applyAlignment="1">
      <alignment wrapText="1"/>
    </xf>
    <xf numFmtId="0" fontId="38" fillId="0" borderId="3" xfId="0" applyFont="1" applyBorder="1" applyAlignment="1">
      <alignment horizontal="left" vertical="center" wrapText="1"/>
    </xf>
    <xf numFmtId="0" fontId="64" fillId="0" borderId="0" xfId="0" applyFont="1" applyAlignment="1">
      <alignment horizontal="center" vertical="center" wrapText="1"/>
    </xf>
    <xf numFmtId="0" fontId="64" fillId="0" borderId="22" xfId="0" applyFont="1" applyBorder="1" applyAlignment="1">
      <alignment wrapText="1"/>
    </xf>
    <xf numFmtId="168" fontId="64" fillId="0" borderId="0" xfId="0" applyNumberFormat="1" applyFont="1" applyAlignment="1">
      <alignment horizontal="center" vertical="center" wrapText="1"/>
    </xf>
    <xf numFmtId="0" fontId="64" fillId="18" borderId="3" xfId="0" applyFont="1" applyFill="1" applyBorder="1" applyAlignment="1">
      <alignment wrapText="1"/>
    </xf>
    <xf numFmtId="186" fontId="64" fillId="18" borderId="3" xfId="1" applyNumberFormat="1" applyFont="1" applyFill="1" applyBorder="1" applyAlignment="1">
      <alignment wrapText="1"/>
    </xf>
    <xf numFmtId="186" fontId="64" fillId="18" borderId="3" xfId="0" applyNumberFormat="1" applyFont="1" applyFill="1" applyBorder="1" applyAlignment="1">
      <alignment wrapText="1"/>
    </xf>
    <xf numFmtId="0" fontId="64" fillId="18" borderId="0" xfId="0" applyFont="1" applyFill="1" applyAlignment="1">
      <alignment wrapText="1"/>
    </xf>
    <xf numFmtId="0" fontId="94" fillId="25" borderId="3" xfId="0" applyFont="1" applyFill="1" applyBorder="1" applyAlignment="1">
      <alignment wrapText="1"/>
    </xf>
    <xf numFmtId="186" fontId="94" fillId="25" borderId="3" xfId="1" applyNumberFormat="1" applyFont="1" applyFill="1" applyBorder="1"/>
    <xf numFmtId="186" fontId="94" fillId="25" borderId="3" xfId="1" applyNumberFormat="1" applyFont="1" applyFill="1" applyBorder="1" applyAlignment="1">
      <alignment wrapText="1"/>
    </xf>
    <xf numFmtId="186" fontId="94" fillId="25" borderId="3" xfId="0" applyNumberFormat="1" applyFont="1" applyFill="1" applyBorder="1" applyAlignment="1">
      <alignment wrapText="1"/>
    </xf>
    <xf numFmtId="0" fontId="64" fillId="32" borderId="0" xfId="0" applyFont="1" applyFill="1" applyAlignment="1">
      <alignment wrapText="1"/>
    </xf>
    <xf numFmtId="0" fontId="64" fillId="32" borderId="3" xfId="0" applyFont="1" applyFill="1" applyBorder="1" applyAlignment="1">
      <alignment wrapText="1"/>
    </xf>
    <xf numFmtId="186" fontId="64" fillId="32" borderId="3" xfId="1" applyNumberFormat="1" applyFont="1" applyFill="1" applyBorder="1" applyAlignment="1">
      <alignment wrapText="1"/>
    </xf>
    <xf numFmtId="186" fontId="64" fillId="32" borderId="3" xfId="0" applyNumberFormat="1" applyFont="1" applyFill="1" applyBorder="1" applyAlignment="1">
      <alignment wrapText="1"/>
    </xf>
    <xf numFmtId="0" fontId="94" fillId="25" borderId="0" xfId="0" applyFont="1" applyFill="1" applyAlignment="1">
      <alignment wrapText="1"/>
    </xf>
    <xf numFmtId="0" fontId="64" fillId="0" borderId="3" xfId="0" applyFont="1" applyBorder="1" applyAlignment="1">
      <alignment horizontal="center" vertical="center" wrapText="1"/>
    </xf>
    <xf numFmtId="0" fontId="64" fillId="0" borderId="28" xfId="0" applyFont="1" applyBorder="1" applyAlignment="1">
      <alignment wrapText="1"/>
    </xf>
    <xf numFmtId="170" fontId="64" fillId="0" borderId="0" xfId="0" applyNumberFormat="1" applyFont="1" applyAlignment="1">
      <alignment wrapText="1"/>
    </xf>
    <xf numFmtId="170" fontId="64" fillId="32" borderId="0" xfId="0" applyNumberFormat="1" applyFont="1" applyFill="1" applyAlignment="1">
      <alignment wrapText="1"/>
    </xf>
    <xf numFmtId="170" fontId="64" fillId="18" borderId="0" xfId="0" applyNumberFormat="1" applyFont="1" applyFill="1" applyAlignment="1">
      <alignment wrapText="1"/>
    </xf>
    <xf numFmtId="170" fontId="94" fillId="25" borderId="0" xfId="0" applyNumberFormat="1" applyFont="1" applyFill="1" applyAlignment="1">
      <alignment wrapText="1"/>
    </xf>
    <xf numFmtId="2" fontId="64" fillId="0" borderId="0" xfId="0" applyNumberFormat="1" applyFont="1" applyAlignment="1">
      <alignment wrapText="1"/>
    </xf>
    <xf numFmtId="2" fontId="64" fillId="32" borderId="0" xfId="0" applyNumberFormat="1" applyFont="1" applyFill="1" applyAlignment="1">
      <alignment wrapText="1"/>
    </xf>
    <xf numFmtId="2" fontId="64" fillId="18" borderId="0" xfId="0" applyNumberFormat="1" applyFont="1" applyFill="1" applyAlignment="1">
      <alignment wrapText="1"/>
    </xf>
    <xf numFmtId="2" fontId="94" fillId="25" borderId="0" xfId="0" applyNumberFormat="1" applyFont="1" applyFill="1" applyAlignment="1">
      <alignment wrapText="1"/>
    </xf>
    <xf numFmtId="0" fontId="101" fillId="10" borderId="84" xfId="0" applyFont="1" applyFill="1" applyBorder="1" applyAlignment="1">
      <alignment horizontal="center" vertical="center"/>
    </xf>
    <xf numFmtId="11" fontId="101" fillId="10" borderId="78" xfId="0" applyNumberFormat="1" applyFont="1" applyFill="1" applyBorder="1" applyAlignment="1">
      <alignment horizontal="center" vertical="center"/>
    </xf>
    <xf numFmtId="0" fontId="101" fillId="10" borderId="78" xfId="0" applyFont="1" applyFill="1" applyBorder="1" applyAlignment="1">
      <alignment horizontal="center" vertical="center"/>
    </xf>
    <xf numFmtId="7" fontId="101" fillId="10" borderId="101" xfId="0" applyNumberFormat="1" applyFont="1" applyFill="1" applyBorder="1" applyAlignment="1">
      <alignment horizontal="center" vertical="center"/>
    </xf>
    <xf numFmtId="9" fontId="101" fillId="10" borderId="101" xfId="0" applyNumberFormat="1" applyFont="1" applyFill="1" applyBorder="1" applyAlignment="1">
      <alignment horizontal="center" vertical="center"/>
    </xf>
    <xf numFmtId="7" fontId="101" fillId="10" borderId="68" xfId="0" applyNumberFormat="1" applyFont="1" applyFill="1" applyBorder="1" applyAlignment="1">
      <alignment horizontal="center" vertical="center"/>
    </xf>
    <xf numFmtId="0" fontId="101" fillId="10" borderId="79" xfId="0" applyFont="1" applyFill="1" applyBorder="1" applyAlignment="1">
      <alignment horizontal="center" vertical="center"/>
    </xf>
    <xf numFmtId="0" fontId="101" fillId="0" borderId="102" xfId="0" applyFont="1" applyBorder="1" applyAlignment="1">
      <alignment horizontal="center" vertical="center" wrapText="1"/>
    </xf>
    <xf numFmtId="0" fontId="101" fillId="0" borderId="103" xfId="0" applyFont="1" applyBorder="1" applyAlignment="1">
      <alignment horizontal="center" vertical="center" wrapText="1"/>
    </xf>
    <xf numFmtId="0" fontId="101" fillId="0" borderId="104" xfId="0" applyFont="1" applyBorder="1" applyAlignment="1">
      <alignment horizontal="center" vertical="center" wrapText="1"/>
    </xf>
    <xf numFmtId="0" fontId="44" fillId="19" borderId="0" xfId="0" applyFont="1" applyFill="1" applyAlignment="1">
      <alignment vertical="center" wrapText="1"/>
    </xf>
    <xf numFmtId="0" fontId="44" fillId="0" borderId="0" xfId="0" applyFont="1" applyAlignment="1">
      <alignment vertical="center" wrapText="1"/>
    </xf>
    <xf numFmtId="0" fontId="45" fillId="0" borderId="0" xfId="0" applyFont="1" applyAlignment="1">
      <alignment horizontal="left" wrapText="1"/>
    </xf>
    <xf numFmtId="3" fontId="45" fillId="0" borderId="0" xfId="11" applyNumberFormat="1" applyFont="1" applyFill="1" applyBorder="1" applyAlignment="1">
      <alignment wrapText="1"/>
    </xf>
    <xf numFmtId="9" fontId="45" fillId="0" borderId="0" xfId="10" applyFont="1" applyFill="1" applyBorder="1" applyAlignment="1">
      <alignment wrapText="1"/>
    </xf>
    <xf numFmtId="0" fontId="45" fillId="0" borderId="0" xfId="0" applyFont="1" applyAlignment="1">
      <alignment wrapText="1"/>
    </xf>
    <xf numFmtId="0" fontId="57" fillId="22" borderId="25" xfId="5" applyFont="1" applyFill="1" applyBorder="1" applyAlignment="1">
      <alignment vertical="center" wrapText="1"/>
    </xf>
    <xf numFmtId="0" fontId="57" fillId="25" borderId="25" xfId="6" applyFont="1" applyFill="1" applyBorder="1" applyAlignment="1">
      <alignment horizontal="center" vertical="center" wrapText="1"/>
    </xf>
    <xf numFmtId="0" fontId="57" fillId="25" borderId="26" xfId="6" applyFont="1" applyFill="1" applyBorder="1" applyAlignment="1">
      <alignment horizontal="center" vertical="center" wrapText="1"/>
    </xf>
    <xf numFmtId="9" fontId="57" fillId="22" borderId="28" xfId="5" applyNumberFormat="1" applyFont="1" applyFill="1" applyBorder="1" applyAlignment="1">
      <alignment horizontal="center" vertical="center" wrapText="1"/>
    </xf>
    <xf numFmtId="0" fontId="58" fillId="21" borderId="28" xfId="4" applyFont="1" applyFill="1" applyBorder="1" applyAlignment="1">
      <alignment horizontal="center" vertical="center" wrapText="1"/>
    </xf>
    <xf numFmtId="0" fontId="57" fillId="25" borderId="28" xfId="6" applyFont="1" applyFill="1" applyBorder="1" applyAlignment="1">
      <alignment horizontal="center" vertical="center" wrapText="1"/>
    </xf>
    <xf numFmtId="0" fontId="57" fillId="25" borderId="29" xfId="6" applyFont="1" applyFill="1" applyBorder="1" applyAlignment="1">
      <alignment horizontal="center" vertical="center" wrapText="1"/>
    </xf>
    <xf numFmtId="0" fontId="39" fillId="20" borderId="17" xfId="0" applyFont="1" applyFill="1" applyBorder="1" applyAlignment="1">
      <alignment vertical="center" wrapText="1"/>
    </xf>
    <xf numFmtId="0" fontId="39" fillId="24" borderId="25" xfId="0" applyFont="1" applyFill="1" applyBorder="1" applyAlignment="1">
      <alignment horizontal="center" vertical="center" wrapText="1"/>
    </xf>
    <xf numFmtId="0" fontId="39" fillId="25" borderId="25" xfId="6" applyFont="1" applyFill="1" applyBorder="1" applyAlignment="1">
      <alignment horizontal="center" vertical="center" wrapText="1"/>
    </xf>
    <xf numFmtId="0" fontId="39" fillId="25" borderId="26" xfId="6" applyFont="1" applyFill="1" applyBorder="1" applyAlignment="1">
      <alignment horizontal="center" vertical="center" wrapText="1"/>
    </xf>
    <xf numFmtId="165" fontId="39" fillId="20" borderId="26" xfId="5" applyNumberFormat="1" applyFont="1" applyFill="1" applyBorder="1" applyAlignment="1">
      <alignment horizontal="left" vertical="center" wrapText="1"/>
    </xf>
    <xf numFmtId="165" fontId="39" fillId="24" borderId="0" xfId="0" applyNumberFormat="1" applyFont="1" applyFill="1" applyAlignment="1">
      <alignment horizontal="left" vertical="center" wrapText="1"/>
    </xf>
    <xf numFmtId="172" fontId="39" fillId="24" borderId="0" xfId="0" applyNumberFormat="1" applyFont="1" applyFill="1" applyAlignment="1">
      <alignment horizontal="left" vertical="center" wrapText="1"/>
    </xf>
    <xf numFmtId="0" fontId="39" fillId="25" borderId="0" xfId="0" applyFont="1" applyFill="1" applyAlignment="1">
      <alignment horizontal="left" vertical="center" wrapText="1"/>
    </xf>
    <xf numFmtId="1" fontId="39" fillId="25" borderId="0" xfId="0" applyNumberFormat="1" applyFont="1" applyFill="1" applyAlignment="1">
      <alignment horizontal="left" vertical="center" wrapText="1"/>
    </xf>
    <xf numFmtId="178" fontId="39" fillId="25" borderId="0" xfId="0" applyNumberFormat="1" applyFont="1" applyFill="1" applyAlignment="1">
      <alignment horizontal="left" vertical="center" wrapText="1"/>
    </xf>
    <xf numFmtId="178" fontId="39" fillId="24" borderId="0" xfId="0" applyNumberFormat="1" applyFont="1" applyFill="1" applyAlignment="1">
      <alignment horizontal="left" vertical="center" wrapText="1"/>
    </xf>
    <xf numFmtId="0" fontId="45" fillId="21" borderId="0" xfId="0" applyFont="1" applyFill="1" applyAlignment="1">
      <alignment horizontal="left" vertical="center" wrapText="1"/>
    </xf>
    <xf numFmtId="178" fontId="45" fillId="21" borderId="0" xfId="0" applyNumberFormat="1" applyFont="1" applyFill="1" applyAlignment="1">
      <alignment horizontal="left" vertical="center" wrapText="1"/>
    </xf>
    <xf numFmtId="2" fontId="45" fillId="21" borderId="0" xfId="0" applyNumberFormat="1" applyFont="1" applyFill="1" applyAlignment="1">
      <alignment horizontal="left" vertical="center" wrapText="1"/>
    </xf>
    <xf numFmtId="1" fontId="45" fillId="21" borderId="0" xfId="0" applyNumberFormat="1" applyFont="1" applyFill="1" applyAlignment="1">
      <alignment horizontal="left" vertical="center" wrapText="1"/>
    </xf>
    <xf numFmtId="3" fontId="39" fillId="24" borderId="0" xfId="0" applyNumberFormat="1" applyFont="1" applyFill="1" applyAlignment="1">
      <alignment horizontal="left" vertical="center" wrapText="1"/>
    </xf>
    <xf numFmtId="0" fontId="39" fillId="22" borderId="55" xfId="0" applyFont="1" applyFill="1" applyBorder="1" applyAlignment="1">
      <alignment horizontal="left" vertical="center" wrapText="1"/>
    </xf>
    <xf numFmtId="165" fontId="38" fillId="19" borderId="28" xfId="9" applyNumberFormat="1" applyFont="1" applyFill="1" applyBorder="1" applyAlignment="1">
      <alignment horizontal="left" vertical="center" wrapText="1"/>
    </xf>
    <xf numFmtId="0" fontId="39" fillId="22" borderId="28" xfId="16" applyNumberFormat="1" applyFont="1" applyFill="1" applyBorder="1" applyAlignment="1">
      <alignment horizontal="left" vertical="center" wrapText="1"/>
    </xf>
    <xf numFmtId="165" fontId="38" fillId="19" borderId="29" xfId="9" applyNumberFormat="1" applyFont="1" applyFill="1" applyBorder="1" applyAlignment="1">
      <alignment horizontal="left" vertical="center" wrapText="1"/>
    </xf>
    <xf numFmtId="0" fontId="46" fillId="30" borderId="49" xfId="11" applyFont="1" applyFill="1" applyBorder="1" applyAlignment="1">
      <alignment horizontal="center" vertical="center" wrapText="1"/>
    </xf>
    <xf numFmtId="0" fontId="46" fillId="30" borderId="50" xfId="11" applyFont="1" applyFill="1" applyBorder="1" applyAlignment="1">
      <alignment horizontal="center" vertical="center" wrapText="1"/>
    </xf>
    <xf numFmtId="0" fontId="46" fillId="30" borderId="51" xfId="11" applyFont="1" applyFill="1" applyBorder="1" applyAlignment="1">
      <alignment horizontal="center" vertical="center" wrapText="1"/>
    </xf>
    <xf numFmtId="2" fontId="45" fillId="30" borderId="55" xfId="11" applyNumberFormat="1" applyFont="1" applyFill="1" applyBorder="1" applyAlignment="1">
      <alignment horizontal="center" vertical="center" wrapText="1"/>
    </xf>
    <xf numFmtId="182" fontId="45" fillId="30" borderId="55" xfId="11" applyNumberFormat="1" applyFont="1" applyFill="1" applyBorder="1" applyAlignment="1">
      <alignment horizontal="center" vertical="center" wrapText="1"/>
    </xf>
    <xf numFmtId="170" fontId="45" fillId="30" borderId="55" xfId="11" applyNumberFormat="1" applyFont="1" applyFill="1" applyBorder="1" applyAlignment="1">
      <alignment horizontal="center" vertical="center" wrapText="1"/>
    </xf>
    <xf numFmtId="0" fontId="46" fillId="30" borderId="54" xfId="11" applyNumberFormat="1" applyFont="1" applyFill="1" applyBorder="1" applyAlignment="1">
      <alignment horizontal="center" vertical="center" wrapText="1"/>
    </xf>
    <xf numFmtId="3" fontId="46" fillId="30" borderId="55" xfId="11" applyNumberFormat="1" applyFont="1" applyFill="1" applyBorder="1" applyAlignment="1">
      <alignment horizontal="center" vertical="center" wrapText="1"/>
    </xf>
    <xf numFmtId="7" fontId="45" fillId="30" borderId="54" xfId="7" applyNumberFormat="1" applyFont="1" applyFill="1" applyBorder="1" applyAlignment="1">
      <alignment horizontal="center" vertical="center" wrapText="1"/>
    </xf>
    <xf numFmtId="172" fontId="45" fillId="30" borderId="55" xfId="11" applyNumberFormat="1" applyFont="1" applyFill="1" applyBorder="1" applyAlignment="1">
      <alignment horizontal="center" vertical="center" wrapText="1"/>
    </xf>
    <xf numFmtId="187" fontId="45" fillId="30" borderId="56" xfId="11" applyNumberFormat="1" applyFont="1" applyFill="1" applyBorder="1" applyAlignment="1">
      <alignment horizontal="center" vertical="center" wrapText="1"/>
    </xf>
    <xf numFmtId="0" fontId="46" fillId="30" borderId="54" xfId="11" applyFont="1" applyFill="1" applyBorder="1" applyAlignment="1">
      <alignment horizontal="center" vertical="center" wrapText="1"/>
    </xf>
    <xf numFmtId="2" fontId="101" fillId="10" borderId="78" xfId="0" applyNumberFormat="1" applyFont="1" applyFill="1" applyBorder="1" applyAlignment="1">
      <alignment horizontal="center" vertical="center"/>
    </xf>
    <xf numFmtId="1" fontId="64" fillId="0" borderId="3" xfId="0" applyNumberFormat="1" applyFont="1" applyBorder="1" applyAlignment="1">
      <alignment wrapText="1"/>
    </xf>
    <xf numFmtId="1" fontId="64" fillId="32" borderId="0" xfId="0" applyNumberFormat="1" applyFont="1" applyFill="1" applyAlignment="1">
      <alignment wrapText="1"/>
    </xf>
    <xf numFmtId="1" fontId="64" fillId="0" borderId="3" xfId="1" applyNumberFormat="1" applyFont="1" applyBorder="1" applyAlignment="1">
      <alignment wrapText="1"/>
    </xf>
    <xf numFmtId="1" fontId="64" fillId="18" borderId="0" xfId="0" applyNumberFormat="1" applyFont="1" applyFill="1" applyAlignment="1">
      <alignment wrapText="1"/>
    </xf>
    <xf numFmtId="1" fontId="94" fillId="25" borderId="0" xfId="0" applyNumberFormat="1" applyFont="1" applyFill="1" applyAlignment="1">
      <alignment wrapText="1"/>
    </xf>
    <xf numFmtId="0" fontId="42" fillId="19" borderId="0" xfId="4" applyFont="1" applyFill="1" applyBorder="1" applyAlignment="1">
      <alignment horizontal="center" vertical="center" wrapText="1"/>
    </xf>
    <xf numFmtId="0" fontId="0" fillId="0" borderId="3" xfId="0" applyBorder="1" applyAlignment="1">
      <alignment horizontal="left" vertical="center" wrapText="1"/>
    </xf>
    <xf numFmtId="0" fontId="39" fillId="22" borderId="25" xfId="0" applyFont="1" applyFill="1" applyBorder="1" applyAlignment="1">
      <alignment horizontal="center" vertical="center" wrapText="1"/>
    </xf>
    <xf numFmtId="0" fontId="23" fillId="9" borderId="3" xfId="13" applyBorder="1" applyAlignment="1"/>
    <xf numFmtId="0" fontId="46" fillId="10" borderId="54" xfId="11" applyNumberFormat="1" applyFont="1" applyFill="1" applyBorder="1" applyAlignment="1">
      <alignment horizontal="center" vertical="center" wrapText="1"/>
    </xf>
    <xf numFmtId="3" fontId="46" fillId="10" borderId="55" xfId="11" applyNumberFormat="1" applyFont="1" applyFill="1" applyBorder="1" applyAlignment="1">
      <alignment horizontal="center" vertical="center" wrapText="1"/>
    </xf>
    <xf numFmtId="172" fontId="45" fillId="10" borderId="55" xfId="11" applyNumberFormat="1" applyFont="1" applyFill="1" applyBorder="1" applyAlignment="1">
      <alignment horizontal="center" vertical="center" wrapText="1"/>
    </xf>
    <xf numFmtId="2" fontId="45" fillId="10" borderId="55" xfId="11" applyNumberFormat="1" applyFont="1" applyFill="1" applyBorder="1" applyAlignment="1">
      <alignment horizontal="center" vertical="center" wrapText="1"/>
    </xf>
    <xf numFmtId="182" fontId="45" fillId="10" borderId="55" xfId="11" applyNumberFormat="1" applyFont="1" applyFill="1" applyBorder="1" applyAlignment="1">
      <alignment horizontal="center" vertical="center" wrapText="1"/>
    </xf>
    <xf numFmtId="170" fontId="45" fillId="10" borderId="55" xfId="11" applyNumberFormat="1" applyFont="1" applyFill="1" applyBorder="1" applyAlignment="1">
      <alignment horizontal="center" vertical="center" wrapText="1"/>
    </xf>
    <xf numFmtId="187" fontId="45" fillId="10" borderId="56" xfId="11" applyNumberFormat="1" applyFont="1" applyFill="1" applyBorder="1" applyAlignment="1">
      <alignment horizontal="center" vertical="center" wrapText="1"/>
    </xf>
    <xf numFmtId="7" fontId="45" fillId="10" borderId="54" xfId="7" applyNumberFormat="1" applyFont="1" applyFill="1" applyBorder="1" applyAlignment="1">
      <alignment horizontal="center" vertical="center" wrapText="1"/>
    </xf>
    <xf numFmtId="0" fontId="46" fillId="10" borderId="54" xfId="11" applyFont="1" applyFill="1" applyBorder="1" applyAlignment="1">
      <alignment horizontal="center" vertical="center" wrapText="1"/>
    </xf>
    <xf numFmtId="2" fontId="45" fillId="10" borderId="56" xfId="11" applyNumberFormat="1" applyFont="1" applyFill="1" applyBorder="1" applyAlignment="1">
      <alignment horizontal="center" vertical="center" wrapText="1"/>
    </xf>
    <xf numFmtId="0" fontId="77" fillId="20" borderId="49" xfId="11" applyFont="1" applyFill="1" applyBorder="1" applyAlignment="1">
      <alignment horizontal="center" vertical="center" wrapText="1"/>
    </xf>
    <xf numFmtId="0" fontId="77" fillId="20" borderId="50" xfId="11" applyFont="1" applyFill="1" applyBorder="1" applyAlignment="1">
      <alignment horizontal="center" vertical="center" wrapText="1"/>
    </xf>
    <xf numFmtId="0" fontId="77" fillId="20" borderId="51" xfId="11" applyFont="1" applyFill="1" applyBorder="1" applyAlignment="1">
      <alignment horizontal="center" vertical="center" wrapText="1"/>
    </xf>
    <xf numFmtId="0" fontId="47" fillId="0" borderId="0" xfId="0" applyFont="1"/>
    <xf numFmtId="0" fontId="0" fillId="21" borderId="25" xfId="0" applyFill="1" applyBorder="1" applyAlignment="1">
      <alignment horizontal="center" vertical="center" wrapText="1"/>
    </xf>
    <xf numFmtId="0" fontId="70" fillId="19" borderId="0" xfId="0" applyFont="1" applyFill="1" applyAlignment="1">
      <alignment horizontal="center" vertical="center" wrapText="1"/>
    </xf>
    <xf numFmtId="0" fontId="48" fillId="19" borderId="0" xfId="0" applyFont="1" applyFill="1" applyAlignment="1">
      <alignment horizontal="center" vertical="center" wrapText="1"/>
    </xf>
    <xf numFmtId="0" fontId="48" fillId="19" borderId="0" xfId="0" applyFont="1" applyFill="1" applyAlignment="1">
      <alignment horizontal="center" vertical="center"/>
    </xf>
    <xf numFmtId="0" fontId="58" fillId="21" borderId="29" xfId="4" applyFont="1" applyFill="1" applyBorder="1" applyAlignment="1">
      <alignment horizontal="center" vertical="center" wrapText="1"/>
    </xf>
    <xf numFmtId="0" fontId="0" fillId="0" borderId="22" xfId="0" applyBorder="1"/>
    <xf numFmtId="167" fontId="38" fillId="21" borderId="22" xfId="4" applyNumberFormat="1" applyFont="1" applyFill="1" applyBorder="1" applyAlignment="1">
      <alignment horizontal="left" vertical="center" wrapText="1"/>
    </xf>
    <xf numFmtId="170" fontId="0" fillId="0" borderId="22" xfId="0" applyNumberFormat="1" applyBorder="1"/>
    <xf numFmtId="9" fontId="57" fillId="22" borderId="40" xfId="5" applyNumberFormat="1" applyFont="1" applyFill="1" applyBorder="1" applyAlignment="1">
      <alignment horizontal="center" vertical="center" wrapText="1"/>
    </xf>
    <xf numFmtId="0" fontId="0" fillId="0" borderId="18" xfId="0" applyBorder="1"/>
    <xf numFmtId="167" fontId="39" fillId="22" borderId="18" xfId="5" applyNumberFormat="1" applyFont="1" applyFill="1" applyBorder="1" applyAlignment="1">
      <alignment horizontal="left" vertical="center" wrapText="1"/>
    </xf>
    <xf numFmtId="170" fontId="0" fillId="0" borderId="18" xfId="0" applyNumberFormat="1" applyBorder="1"/>
    <xf numFmtId="0" fontId="58" fillId="21" borderId="40" xfId="4" applyFont="1" applyFill="1" applyBorder="1" applyAlignment="1">
      <alignment horizontal="center" vertical="center" wrapText="1"/>
    </xf>
    <xf numFmtId="167" fontId="38" fillId="21" borderId="18" xfId="4" applyNumberFormat="1" applyFont="1" applyFill="1" applyBorder="1" applyAlignment="1">
      <alignment horizontal="left" vertical="center" wrapText="1"/>
    </xf>
    <xf numFmtId="0" fontId="57" fillId="25" borderId="40" xfId="6" applyFont="1" applyFill="1" applyBorder="1" applyAlignment="1">
      <alignment horizontal="center" vertical="center" wrapText="1"/>
    </xf>
    <xf numFmtId="167" fontId="39" fillId="25" borderId="18" xfId="6" applyNumberFormat="1" applyFont="1" applyFill="1" applyBorder="1" applyAlignment="1">
      <alignment horizontal="left" vertical="center" wrapText="1"/>
    </xf>
    <xf numFmtId="0" fontId="57" fillId="25" borderId="46" xfId="6" applyFont="1" applyFill="1" applyBorder="1" applyAlignment="1">
      <alignment horizontal="center" vertical="center" wrapText="1"/>
    </xf>
    <xf numFmtId="0" fontId="39" fillId="20" borderId="16" xfId="0" applyFont="1" applyFill="1" applyBorder="1" applyAlignment="1">
      <alignment horizontal="left" vertical="center" wrapText="1"/>
    </xf>
    <xf numFmtId="0" fontId="57" fillId="22" borderId="45" xfId="5" applyFont="1" applyFill="1" applyBorder="1" applyAlignment="1">
      <alignment horizontal="center" vertical="center" wrapText="1"/>
    </xf>
    <xf numFmtId="167" fontId="39" fillId="0" borderId="18" xfId="0" applyNumberFormat="1" applyFont="1" applyBorder="1" applyAlignment="1">
      <alignment horizontal="left" vertical="center" wrapText="1"/>
    </xf>
    <xf numFmtId="0" fontId="45" fillId="0" borderId="60" xfId="0" applyFont="1" applyBorder="1" applyAlignment="1">
      <alignment horizontal="left" vertical="center" wrapText="1"/>
    </xf>
    <xf numFmtId="167" fontId="45" fillId="0" borderId="40" xfId="5" applyNumberFormat="1" applyFont="1" applyFill="1" applyBorder="1" applyAlignment="1">
      <alignment horizontal="left" vertical="center" wrapText="1"/>
    </xf>
    <xf numFmtId="167" fontId="45" fillId="0" borderId="40" xfId="4" applyNumberFormat="1" applyFont="1" applyFill="1" applyBorder="1" applyAlignment="1">
      <alignment horizontal="left" vertical="center" wrapText="1"/>
    </xf>
    <xf numFmtId="167" fontId="45" fillId="0" borderId="29" xfId="4" applyNumberFormat="1" applyFont="1" applyFill="1" applyBorder="1" applyAlignment="1">
      <alignment horizontal="left" vertical="center" wrapText="1"/>
    </xf>
    <xf numFmtId="167" fontId="45" fillId="0" borderId="40" xfId="6" applyNumberFormat="1" applyFont="1" applyFill="1" applyBorder="1" applyAlignment="1">
      <alignment horizontal="left" vertical="center" wrapText="1"/>
    </xf>
    <xf numFmtId="167" fontId="45" fillId="0" borderId="29" xfId="6" applyNumberFormat="1" applyFont="1" applyFill="1" applyBorder="1" applyAlignment="1">
      <alignment horizontal="left" vertical="center" wrapText="1"/>
    </xf>
    <xf numFmtId="1" fontId="0" fillId="0" borderId="18" xfId="0" applyNumberFormat="1" applyBorder="1"/>
    <xf numFmtId="0" fontId="58" fillId="21" borderId="64" xfId="4" applyFont="1" applyFill="1" applyBorder="1" applyAlignment="1">
      <alignment horizontal="center" vertical="center" wrapText="1"/>
    </xf>
    <xf numFmtId="167" fontId="39" fillId="0" borderId="22" xfId="0" applyNumberFormat="1" applyFont="1" applyBorder="1" applyAlignment="1">
      <alignment horizontal="left" vertical="center" wrapText="1"/>
    </xf>
    <xf numFmtId="0" fontId="39" fillId="0" borderId="0" xfId="0" applyFont="1" applyAlignment="1">
      <alignment vertical="center"/>
    </xf>
    <xf numFmtId="0" fontId="57" fillId="24" borderId="29" xfId="0" applyFont="1" applyFill="1" applyBorder="1" applyAlignment="1">
      <alignment horizontal="center" vertical="center" wrapText="1"/>
    </xf>
    <xf numFmtId="167" fontId="39" fillId="24" borderId="22" xfId="0" applyNumberFormat="1" applyFont="1" applyFill="1" applyBorder="1" applyAlignment="1">
      <alignment horizontal="left" vertical="center" wrapText="1"/>
    </xf>
    <xf numFmtId="167" fontId="45" fillId="0" borderId="29" xfId="0" applyNumberFormat="1" applyFont="1" applyBorder="1" applyAlignment="1">
      <alignment horizontal="left" vertical="center" wrapText="1"/>
    </xf>
    <xf numFmtId="0" fontId="17" fillId="20" borderId="18" xfId="0" applyFont="1" applyFill="1" applyBorder="1"/>
    <xf numFmtId="0" fontId="17" fillId="20" borderId="18" xfId="0" applyFont="1" applyFill="1" applyBorder="1" applyAlignment="1">
      <alignment horizontal="left" vertical="center"/>
    </xf>
    <xf numFmtId="0" fontId="39" fillId="20" borderId="18" xfId="0" applyFont="1" applyFill="1" applyBorder="1" applyAlignment="1">
      <alignment horizontal="left" vertical="center" wrapText="1"/>
    </xf>
    <xf numFmtId="0" fontId="39" fillId="20" borderId="92" xfId="0" applyFont="1" applyFill="1" applyBorder="1" applyAlignment="1">
      <alignment horizontal="left" vertical="center" wrapText="1"/>
    </xf>
    <xf numFmtId="0" fontId="39" fillId="0" borderId="18" xfId="0" applyFont="1" applyBorder="1" applyAlignment="1">
      <alignment horizontal="left" vertical="center"/>
    </xf>
    <xf numFmtId="0" fontId="0" fillId="0" borderId="0" xfId="0" applyAlignment="1">
      <alignment horizontal="center" vertical="center"/>
    </xf>
    <xf numFmtId="0" fontId="57" fillId="24" borderId="46" xfId="0" applyFont="1" applyFill="1" applyBorder="1" applyAlignment="1">
      <alignment horizontal="center" vertical="center" wrapText="1"/>
    </xf>
    <xf numFmtId="1" fontId="45" fillId="10" borderId="18" xfId="0" applyNumberFormat="1" applyFont="1" applyFill="1" applyBorder="1" applyAlignment="1">
      <alignment horizontal="left" vertical="center" wrapText="1"/>
    </xf>
    <xf numFmtId="1" fontId="0" fillId="10" borderId="22" xfId="0" applyNumberFormat="1" applyFill="1" applyBorder="1"/>
    <xf numFmtId="1" fontId="0" fillId="10" borderId="18" xfId="0" applyNumberFormat="1" applyFill="1" applyBorder="1"/>
    <xf numFmtId="0" fontId="79" fillId="41" borderId="0" xfId="0" applyFont="1" applyFill="1" applyAlignment="1">
      <alignment horizontal="center" vertical="center" wrapText="1"/>
    </xf>
    <xf numFmtId="0" fontId="0" fillId="0" borderId="18" xfId="0" applyBorder="1" applyAlignment="1">
      <alignment horizontal="center" vertical="center"/>
    </xf>
    <xf numFmtId="0" fontId="0" fillId="0" borderId="22" xfId="0" applyBorder="1" applyAlignment="1">
      <alignment horizontal="center" vertical="center"/>
    </xf>
    <xf numFmtId="0" fontId="79" fillId="41" borderId="18" xfId="0" applyFont="1" applyFill="1" applyBorder="1" applyAlignment="1">
      <alignment horizontal="right" vertical="center"/>
    </xf>
    <xf numFmtId="188" fontId="79" fillId="41" borderId="22" xfId="0" applyNumberFormat="1" applyFont="1" applyFill="1" applyBorder="1" applyAlignment="1">
      <alignment horizontal="right" vertical="center"/>
    </xf>
    <xf numFmtId="188" fontId="79" fillId="41" borderId="18" xfId="0" applyNumberFormat="1" applyFont="1" applyFill="1" applyBorder="1" applyAlignment="1">
      <alignment horizontal="right" vertical="center"/>
    </xf>
    <xf numFmtId="189" fontId="0" fillId="0" borderId="22" xfId="0" applyNumberFormat="1" applyBorder="1"/>
    <xf numFmtId="189" fontId="0" fillId="0" borderId="18" xfId="0" applyNumberFormat="1" applyBorder="1"/>
    <xf numFmtId="0" fontId="57" fillId="27" borderId="64" xfId="0" applyFont="1" applyFill="1" applyBorder="1" applyAlignment="1">
      <alignment horizontal="left" vertical="center"/>
    </xf>
    <xf numFmtId="0" fontId="45" fillId="0" borderId="94" xfId="0" applyFont="1" applyBorder="1" applyAlignment="1">
      <alignment horizontal="left" vertical="center" wrapText="1"/>
    </xf>
    <xf numFmtId="167" fontId="45" fillId="0" borderId="22" xfId="0" applyNumberFormat="1" applyFont="1" applyBorder="1" applyAlignment="1">
      <alignment horizontal="left" vertical="center" wrapText="1"/>
    </xf>
    <xf numFmtId="167" fontId="45" fillId="0" borderId="18" xfId="5" applyNumberFormat="1" applyFont="1" applyFill="1" applyBorder="1" applyAlignment="1">
      <alignment horizontal="left" vertical="center" wrapText="1"/>
    </xf>
    <xf numFmtId="167" fontId="45" fillId="0" borderId="18" xfId="4" applyNumberFormat="1" applyFont="1" applyFill="1" applyBorder="1" applyAlignment="1">
      <alignment horizontal="left" vertical="center" wrapText="1"/>
    </xf>
    <xf numFmtId="167" fontId="45" fillId="0" borderId="18" xfId="6" applyNumberFormat="1" applyFont="1" applyFill="1" applyBorder="1" applyAlignment="1">
      <alignment horizontal="left" vertical="center" wrapText="1"/>
    </xf>
    <xf numFmtId="167" fontId="45" fillId="0" borderId="22" xfId="6" applyNumberFormat="1" applyFont="1" applyFill="1" applyBorder="1" applyAlignment="1">
      <alignment horizontal="left" vertical="center" wrapText="1"/>
    </xf>
    <xf numFmtId="0" fontId="103" fillId="19" borderId="105" xfId="0" applyFont="1" applyFill="1" applyBorder="1" applyAlignment="1">
      <alignment horizontal="center" vertical="center"/>
    </xf>
    <xf numFmtId="0" fontId="39" fillId="20" borderId="106" xfId="0" applyFont="1" applyFill="1" applyBorder="1" applyAlignment="1">
      <alignment vertical="center" wrapText="1"/>
    </xf>
    <xf numFmtId="0" fontId="77" fillId="24" borderId="107" xfId="0" applyFont="1" applyFill="1" applyBorder="1" applyAlignment="1">
      <alignment horizontal="center" vertical="center" wrapText="1"/>
    </xf>
    <xf numFmtId="0" fontId="77" fillId="22" borderId="106" xfId="0" applyFont="1" applyFill="1" applyBorder="1" applyAlignment="1">
      <alignment horizontal="center" vertical="center" wrapText="1"/>
    </xf>
    <xf numFmtId="0" fontId="24" fillId="21" borderId="106" xfId="0" applyFont="1" applyFill="1" applyBorder="1" applyAlignment="1">
      <alignment horizontal="center" vertical="center" wrapText="1"/>
    </xf>
    <xf numFmtId="0" fontId="24" fillId="21" borderId="107" xfId="0" applyFont="1" applyFill="1" applyBorder="1" applyAlignment="1">
      <alignment horizontal="center" vertical="center" wrapText="1"/>
    </xf>
    <xf numFmtId="0" fontId="77" fillId="25" borderId="106" xfId="6" applyFont="1" applyFill="1" applyBorder="1" applyAlignment="1">
      <alignment horizontal="center" vertical="center" wrapText="1"/>
    </xf>
    <xf numFmtId="0" fontId="77" fillId="25" borderId="108" xfId="6" applyFont="1" applyFill="1" applyBorder="1" applyAlignment="1">
      <alignment horizontal="center" vertical="center" wrapText="1"/>
    </xf>
    <xf numFmtId="0" fontId="104" fillId="0" borderId="0" xfId="0" applyFont="1" applyAlignment="1">
      <alignment horizontal="center" vertical="center"/>
    </xf>
    <xf numFmtId="0" fontId="105" fillId="24" borderId="50" xfId="0" applyFont="1" applyFill="1" applyBorder="1" applyAlignment="1">
      <alignment horizontal="center" vertical="center" wrapText="1"/>
    </xf>
    <xf numFmtId="0" fontId="105" fillId="22" borderId="50" xfId="5" applyFont="1" applyFill="1" applyBorder="1" applyAlignment="1">
      <alignment horizontal="center" vertical="center" wrapText="1"/>
    </xf>
    <xf numFmtId="0" fontId="74" fillId="21" borderId="50" xfId="4" applyFont="1" applyFill="1" applyBorder="1" applyAlignment="1">
      <alignment horizontal="center" vertical="center" wrapText="1"/>
    </xf>
    <xf numFmtId="0" fontId="105" fillId="25" borderId="51" xfId="6" applyFont="1" applyFill="1" applyBorder="1" applyAlignment="1">
      <alignment horizontal="center" vertical="center" wrapText="1"/>
    </xf>
    <xf numFmtId="170" fontId="0" fillId="0" borderId="0" xfId="0" applyNumberFormat="1"/>
    <xf numFmtId="0" fontId="105" fillId="27" borderId="50" xfId="6" applyFont="1" applyFill="1" applyBorder="1" applyAlignment="1">
      <alignment horizontal="center" vertical="center" wrapText="1"/>
    </xf>
    <xf numFmtId="0" fontId="57" fillId="27" borderId="50" xfId="6" applyFont="1" applyFill="1" applyBorder="1" applyAlignment="1">
      <alignment horizontal="center" vertical="center" wrapText="1"/>
    </xf>
    <xf numFmtId="0" fontId="57" fillId="27" borderId="62" xfId="6" applyFont="1" applyFill="1" applyBorder="1" applyAlignment="1">
      <alignment horizontal="center" vertical="center" wrapText="1"/>
    </xf>
    <xf numFmtId="0" fontId="57" fillId="27" borderId="78" xfId="6" applyFont="1" applyFill="1" applyBorder="1" applyAlignment="1">
      <alignment horizontal="center" vertical="center" wrapText="1"/>
    </xf>
    <xf numFmtId="0" fontId="57" fillId="27" borderId="45" xfId="6" applyFont="1" applyFill="1" applyBorder="1" applyAlignment="1">
      <alignment horizontal="center" vertical="center" wrapText="1"/>
    </xf>
    <xf numFmtId="0" fontId="105" fillId="0" borderId="0" xfId="0" applyFont="1" applyAlignment="1">
      <alignment horizontal="center" vertical="center" wrapText="1"/>
    </xf>
    <xf numFmtId="0" fontId="105" fillId="0" borderId="0" xfId="5" applyFont="1" applyFill="1" applyBorder="1" applyAlignment="1">
      <alignment horizontal="center" vertical="center" wrapText="1"/>
    </xf>
    <xf numFmtId="0" fontId="74" fillId="0" borderId="0" xfId="4" applyFont="1" applyFill="1" applyBorder="1" applyAlignment="1">
      <alignment horizontal="center" vertical="center" wrapText="1"/>
    </xf>
    <xf numFmtId="0" fontId="105" fillId="0" borderId="0" xfId="6" applyFont="1" applyFill="1" applyBorder="1" applyAlignment="1">
      <alignment horizontal="center" vertical="center" wrapText="1"/>
    </xf>
    <xf numFmtId="167" fontId="0" fillId="0" borderId="18" xfId="0" applyNumberFormat="1" applyBorder="1"/>
    <xf numFmtId="0" fontId="0" fillId="0" borderId="6" xfId="0" applyBorder="1"/>
    <xf numFmtId="0" fontId="0" fillId="0" borderId="110" xfId="0" applyBorder="1"/>
    <xf numFmtId="0" fontId="0" fillId="0" borderId="111" xfId="0" applyBorder="1"/>
    <xf numFmtId="0" fontId="0" fillId="0" borderId="113" xfId="0" applyBorder="1"/>
    <xf numFmtId="167" fontId="0" fillId="0" borderId="112" xfId="0" applyNumberFormat="1" applyBorder="1"/>
    <xf numFmtId="167" fontId="79" fillId="25" borderId="116" xfId="0" applyNumberFormat="1" applyFont="1" applyFill="1" applyBorder="1"/>
    <xf numFmtId="167" fontId="79" fillId="25" borderId="117" xfId="0" applyNumberFormat="1" applyFont="1" applyFill="1" applyBorder="1"/>
    <xf numFmtId="0" fontId="0" fillId="0" borderId="114" xfId="0" applyBorder="1"/>
    <xf numFmtId="0" fontId="79" fillId="25" borderId="118" xfId="0" applyFont="1" applyFill="1" applyBorder="1"/>
    <xf numFmtId="0" fontId="79" fillId="25" borderId="117" xfId="0" applyFont="1" applyFill="1" applyBorder="1"/>
    <xf numFmtId="0" fontId="106" fillId="0" borderId="113" xfId="0" applyFont="1" applyBorder="1" applyAlignment="1">
      <alignment horizontal="left" vertical="center"/>
    </xf>
    <xf numFmtId="167" fontId="0" fillId="0" borderId="115" xfId="0" applyNumberFormat="1" applyBorder="1"/>
    <xf numFmtId="167" fontId="88" fillId="0" borderId="112" xfId="0" applyNumberFormat="1" applyFont="1" applyBorder="1"/>
    <xf numFmtId="167" fontId="2" fillId="0" borderId="3" xfId="25" applyNumberFormat="1" applyBorder="1"/>
    <xf numFmtId="0" fontId="23" fillId="9" borderId="47" xfId="13" applyBorder="1"/>
    <xf numFmtId="0" fontId="10" fillId="5" borderId="48" xfId="5" applyBorder="1"/>
    <xf numFmtId="0" fontId="23" fillId="9" borderId="50" xfId="13" applyBorder="1" applyAlignment="1">
      <alignment wrapText="1"/>
    </xf>
    <xf numFmtId="167" fontId="0" fillId="0" borderId="25" xfId="0" applyNumberFormat="1" applyBorder="1"/>
    <xf numFmtId="167" fontId="23" fillId="9" borderId="50" xfId="13" applyNumberFormat="1" applyBorder="1"/>
    <xf numFmtId="167" fontId="10" fillId="5" borderId="119" xfId="5" applyNumberFormat="1" applyBorder="1"/>
    <xf numFmtId="167" fontId="10" fillId="5" borderId="120" xfId="5" applyNumberFormat="1" applyBorder="1"/>
    <xf numFmtId="0" fontId="23" fillId="9" borderId="55" xfId="13" applyBorder="1" applyAlignment="1">
      <alignment wrapText="1"/>
    </xf>
    <xf numFmtId="167" fontId="0" fillId="0" borderId="28" xfId="0" applyNumberFormat="1" applyBorder="1"/>
    <xf numFmtId="167" fontId="23" fillId="9" borderId="55" xfId="13" applyNumberFormat="1" applyBorder="1"/>
    <xf numFmtId="167" fontId="10" fillId="5" borderId="76" xfId="5" applyNumberFormat="1" applyBorder="1"/>
    <xf numFmtId="0" fontId="0" fillId="0" borderId="82" xfId="0" applyBorder="1" applyAlignment="1">
      <alignment horizontal="right" vertical="center"/>
    </xf>
    <xf numFmtId="0" fontId="1" fillId="0" borderId="3" xfId="25" applyFont="1" applyBorder="1"/>
    <xf numFmtId="0" fontId="91" fillId="20" borderId="45" xfId="0" applyFont="1" applyFill="1" applyBorder="1" applyAlignment="1">
      <alignment horizontal="center" vertical="center" wrapText="1"/>
    </xf>
    <xf numFmtId="167" fontId="88" fillId="0" borderId="121" xfId="0" applyNumberFormat="1" applyFont="1" applyBorder="1"/>
    <xf numFmtId="167" fontId="79" fillId="25" borderId="121" xfId="0" applyNumberFormat="1" applyFont="1" applyFill="1" applyBorder="1"/>
    <xf numFmtId="167" fontId="79" fillId="26" borderId="0" xfId="0" applyNumberFormat="1" applyFont="1" applyFill="1"/>
    <xf numFmtId="0" fontId="0" fillId="22" borderId="0" xfId="0" applyFill="1"/>
    <xf numFmtId="0" fontId="0" fillId="21" borderId="0" xfId="0" applyFill="1"/>
    <xf numFmtId="0" fontId="79" fillId="24" borderId="0" xfId="0" applyFont="1" applyFill="1"/>
    <xf numFmtId="0" fontId="0" fillId="0" borderId="109" xfId="0" applyBorder="1"/>
    <xf numFmtId="0" fontId="79" fillId="26" borderId="18" xfId="0" applyFont="1" applyFill="1" applyBorder="1"/>
    <xf numFmtId="0" fontId="79" fillId="26" borderId="0" xfId="0" applyFont="1" applyFill="1"/>
    <xf numFmtId="167" fontId="84" fillId="0" borderId="3" xfId="0" applyNumberFormat="1" applyFont="1" applyBorder="1"/>
    <xf numFmtId="0" fontId="84" fillId="0" borderId="3" xfId="0" applyFont="1" applyBorder="1"/>
    <xf numFmtId="0" fontId="84" fillId="0" borderId="0" xfId="0" applyFont="1"/>
    <xf numFmtId="167" fontId="84" fillId="0" borderId="49" xfId="0" applyNumberFormat="1" applyFont="1" applyBorder="1"/>
    <xf numFmtId="0" fontId="84" fillId="0" borderId="50" xfId="0" applyFont="1" applyBorder="1"/>
    <xf numFmtId="167" fontId="84" fillId="0" borderId="50" xfId="0" applyNumberFormat="1" applyFont="1" applyBorder="1"/>
    <xf numFmtId="0" fontId="84" fillId="0" borderId="51" xfId="0" applyFont="1" applyBorder="1"/>
    <xf numFmtId="167" fontId="84" fillId="0" borderId="52" xfId="0" applyNumberFormat="1" applyFont="1" applyBorder="1"/>
    <xf numFmtId="0" fontId="84" fillId="0" borderId="53" xfId="0" applyFont="1" applyBorder="1"/>
    <xf numFmtId="0" fontId="84" fillId="0" borderId="52" xfId="0" applyFont="1" applyBorder="1"/>
    <xf numFmtId="0" fontId="84" fillId="0" borderId="54" xfId="0" applyFont="1" applyBorder="1"/>
    <xf numFmtId="0" fontId="84" fillId="0" borderId="55" xfId="0" applyFont="1" applyBorder="1"/>
    <xf numFmtId="0" fontId="84" fillId="0" borderId="56" xfId="0" applyFont="1" applyBorder="1"/>
    <xf numFmtId="167" fontId="0" fillId="0" borderId="6" xfId="0" applyNumberFormat="1" applyBorder="1"/>
    <xf numFmtId="0" fontId="0" fillId="0" borderId="122" xfId="0" applyBorder="1"/>
    <xf numFmtId="0" fontId="0" fillId="0" borderId="123" xfId="0" applyBorder="1"/>
    <xf numFmtId="0" fontId="0" fillId="0" borderId="124" xfId="0" applyBorder="1"/>
    <xf numFmtId="167" fontId="84" fillId="0" borderId="125" xfId="0" applyNumberFormat="1" applyFont="1" applyBorder="1"/>
    <xf numFmtId="0" fontId="84" fillId="0" borderId="126" xfId="0" applyFont="1" applyBorder="1"/>
    <xf numFmtId="0" fontId="84" fillId="0" borderId="125" xfId="0" applyFont="1" applyBorder="1"/>
    <xf numFmtId="0" fontId="84" fillId="0" borderId="127" xfId="0" applyFont="1" applyBorder="1"/>
    <xf numFmtId="0" fontId="84" fillId="0" borderId="128" xfId="0" applyFont="1" applyBorder="1"/>
    <xf numFmtId="0" fontId="84" fillId="0" borderId="129" xfId="0" applyFont="1" applyBorder="1"/>
    <xf numFmtId="167" fontId="79" fillId="25" borderId="130" xfId="0" applyNumberFormat="1" applyFont="1" applyFill="1" applyBorder="1"/>
    <xf numFmtId="0" fontId="0" fillId="0" borderId="131" xfId="0" applyBorder="1"/>
    <xf numFmtId="0" fontId="0" fillId="0" borderId="132" xfId="0" applyBorder="1"/>
    <xf numFmtId="0" fontId="0" fillId="0" borderId="133" xfId="0" applyBorder="1"/>
    <xf numFmtId="167" fontId="79" fillId="26" borderId="135" xfId="0" applyNumberFormat="1" applyFont="1" applyFill="1" applyBorder="1"/>
    <xf numFmtId="167" fontId="79" fillId="26" borderId="136" xfId="0" applyNumberFormat="1" applyFont="1" applyFill="1" applyBorder="1"/>
    <xf numFmtId="167" fontId="0" fillId="0" borderId="134" xfId="0" applyNumberFormat="1" applyBorder="1"/>
    <xf numFmtId="0" fontId="79" fillId="26" borderId="137" xfId="0" applyFont="1" applyFill="1" applyBorder="1"/>
    <xf numFmtId="167" fontId="79" fillId="26" borderId="138" xfId="0" applyNumberFormat="1" applyFont="1" applyFill="1" applyBorder="1"/>
    <xf numFmtId="167" fontId="79" fillId="26" borderId="139" xfId="0" applyNumberFormat="1" applyFont="1" applyFill="1" applyBorder="1"/>
    <xf numFmtId="167" fontId="88" fillId="0" borderId="139" xfId="0" applyNumberFormat="1" applyFont="1" applyBorder="1"/>
    <xf numFmtId="167" fontId="79" fillId="26" borderId="140" xfId="0" applyNumberFormat="1" applyFont="1" applyFill="1" applyBorder="1"/>
    <xf numFmtId="0" fontId="79" fillId="26" borderId="141" xfId="0" applyFont="1" applyFill="1" applyBorder="1"/>
    <xf numFmtId="167" fontId="0" fillId="0" borderId="142" xfId="0" applyNumberFormat="1" applyBorder="1"/>
    <xf numFmtId="0" fontId="79" fillId="26" borderId="143" xfId="0" applyFont="1" applyFill="1" applyBorder="1"/>
    <xf numFmtId="167" fontId="79" fillId="26" borderId="144" xfId="0" applyNumberFormat="1" applyFont="1" applyFill="1" applyBorder="1"/>
    <xf numFmtId="0" fontId="0" fillId="0" borderId="145" xfId="0" applyBorder="1"/>
    <xf numFmtId="167" fontId="0" fillId="0" borderId="145" xfId="0" applyNumberFormat="1" applyBorder="1"/>
    <xf numFmtId="0" fontId="0" fillId="0" borderId="146" xfId="0" applyBorder="1"/>
    <xf numFmtId="0" fontId="72" fillId="0" borderId="24" xfId="0" applyFont="1" applyBorder="1" applyAlignment="1">
      <alignment horizontal="center"/>
    </xf>
    <xf numFmtId="0" fontId="72" fillId="0" borderId="25" xfId="0" applyFont="1" applyBorder="1" applyAlignment="1">
      <alignment horizontal="center"/>
    </xf>
    <xf numFmtId="0" fontId="72" fillId="0" borderId="26" xfId="0" applyFont="1" applyBorder="1" applyAlignment="1">
      <alignment horizontal="center"/>
    </xf>
    <xf numFmtId="0" fontId="42" fillId="19" borderId="0" xfId="4" applyFont="1" applyFill="1" applyBorder="1" applyAlignment="1">
      <alignment horizontal="center" vertical="center" wrapText="1"/>
    </xf>
    <xf numFmtId="0" fontId="44" fillId="30" borderId="17" xfId="0" applyFont="1" applyFill="1" applyBorder="1" applyAlignment="1">
      <alignment horizontal="center" vertical="center" wrapText="1"/>
    </xf>
    <xf numFmtId="0" fontId="44" fillId="30" borderId="40" xfId="0" applyFont="1" applyFill="1" applyBorder="1" applyAlignment="1">
      <alignment horizontal="center" vertical="center" wrapText="1"/>
    </xf>
    <xf numFmtId="0" fontId="78" fillId="5" borderId="81" xfId="5" applyFont="1" applyBorder="1" applyAlignment="1">
      <alignment horizontal="center" vertical="center" wrapText="1"/>
    </xf>
    <xf numFmtId="0" fontId="78" fillId="5" borderId="31" xfId="5" applyFont="1" applyBorder="1" applyAlignment="1">
      <alignment horizontal="center" vertical="center" wrapText="1"/>
    </xf>
    <xf numFmtId="0" fontId="62" fillId="21" borderId="43" xfId="0" applyFont="1" applyFill="1" applyBorder="1" applyAlignment="1">
      <alignment horizontal="center" vertical="center" wrapText="1"/>
    </xf>
    <xf numFmtId="0" fontId="62" fillId="21" borderId="30" xfId="0" applyFont="1" applyFill="1" applyBorder="1" applyAlignment="1">
      <alignment horizontal="center" vertical="center" wrapText="1"/>
    </xf>
    <xf numFmtId="0" fontId="63" fillId="19" borderId="62" xfId="17" applyFont="1" applyFill="1" applyBorder="1" applyAlignment="1">
      <alignment horizontal="center" vertical="center" textRotation="90" wrapText="1"/>
    </xf>
    <xf numFmtId="0" fontId="63" fillId="19" borderId="16" xfId="17" applyFont="1" applyFill="1" applyBorder="1" applyAlignment="1">
      <alignment horizontal="center" vertical="center" textRotation="90" wrapText="1"/>
    </xf>
    <xf numFmtId="0" fontId="63" fillId="19" borderId="60" xfId="17" applyFont="1" applyFill="1" applyBorder="1" applyAlignment="1">
      <alignment horizontal="center" vertical="center" textRotation="90" wrapText="1"/>
    </xf>
    <xf numFmtId="0" fontId="61" fillId="26" borderId="68" xfId="0" applyFont="1" applyFill="1" applyBorder="1" applyAlignment="1">
      <alignment horizontal="center" vertical="center" wrapText="1"/>
    </xf>
    <xf numFmtId="0" fontId="61" fillId="26" borderId="30" xfId="0" applyFont="1" applyFill="1" applyBorder="1" applyAlignment="1">
      <alignment horizontal="center" vertical="center" wrapText="1"/>
    </xf>
    <xf numFmtId="0" fontId="61" fillId="26" borderId="71" xfId="0" applyFont="1" applyFill="1" applyBorder="1" applyAlignment="1">
      <alignment horizontal="center" vertical="center" wrapText="1"/>
    </xf>
    <xf numFmtId="0" fontId="62" fillId="27" borderId="64" xfId="0" applyFont="1" applyFill="1" applyBorder="1" applyAlignment="1">
      <alignment horizontal="left" vertical="center" wrapText="1"/>
    </xf>
    <xf numFmtId="0" fontId="62" fillId="27" borderId="65" xfId="0" applyFont="1" applyFill="1" applyBorder="1" applyAlignment="1">
      <alignment horizontal="left" vertical="center" wrapText="1"/>
    </xf>
    <xf numFmtId="0" fontId="61" fillId="22" borderId="57" xfId="0" applyFont="1" applyFill="1" applyBorder="1" applyAlignment="1">
      <alignment horizontal="center" vertical="center" wrapText="1"/>
    </xf>
    <xf numFmtId="0" fontId="61" fillId="22" borderId="93" xfId="0" applyFont="1" applyFill="1" applyBorder="1" applyAlignment="1">
      <alignment horizontal="center" vertical="center" wrapText="1"/>
    </xf>
    <xf numFmtId="0" fontId="61" fillId="22" borderId="59" xfId="0" applyFont="1" applyFill="1" applyBorder="1" applyAlignment="1">
      <alignment horizontal="center" vertical="center" wrapText="1"/>
    </xf>
    <xf numFmtId="0" fontId="61" fillId="25" borderId="57" xfId="0" applyFont="1" applyFill="1" applyBorder="1" applyAlignment="1">
      <alignment horizontal="center" vertical="center" wrapText="1"/>
    </xf>
    <xf numFmtId="0" fontId="61" fillId="25" borderId="93" xfId="0" applyFont="1" applyFill="1" applyBorder="1" applyAlignment="1">
      <alignment horizontal="center" vertical="center" wrapText="1"/>
    </xf>
    <xf numFmtId="0" fontId="61" fillId="25" borderId="85" xfId="0" applyFont="1" applyFill="1" applyBorder="1" applyAlignment="1">
      <alignment horizontal="center" vertical="center" wrapText="1"/>
    </xf>
    <xf numFmtId="0" fontId="58" fillId="21" borderId="25" xfId="4" applyFont="1" applyFill="1" applyBorder="1" applyAlignment="1">
      <alignment horizontal="center" vertical="center" wrapText="1"/>
    </xf>
    <xf numFmtId="0" fontId="63" fillId="19" borderId="62" xfId="5" applyFont="1" applyFill="1" applyBorder="1" applyAlignment="1">
      <alignment horizontal="center" vertical="center" textRotation="90" wrapText="1"/>
    </xf>
    <xf numFmtId="0" fontId="63" fillId="19" borderId="94" xfId="5" applyFont="1" applyFill="1" applyBorder="1" applyAlignment="1">
      <alignment horizontal="center" vertical="center" textRotation="90" wrapText="1"/>
    </xf>
    <xf numFmtId="0" fontId="63" fillId="19" borderId="16" xfId="5" applyFont="1" applyFill="1" applyBorder="1" applyAlignment="1">
      <alignment horizontal="center" vertical="center" textRotation="90" wrapText="1"/>
    </xf>
    <xf numFmtId="0" fontId="63" fillId="19" borderId="92" xfId="5" applyFont="1" applyFill="1" applyBorder="1" applyAlignment="1">
      <alignment horizontal="center" vertical="center" textRotation="90" wrapText="1"/>
    </xf>
    <xf numFmtId="0" fontId="63" fillId="19" borderId="60" xfId="5" applyFont="1" applyFill="1" applyBorder="1" applyAlignment="1">
      <alignment horizontal="center" vertical="center" textRotation="90" wrapText="1"/>
    </xf>
    <xf numFmtId="0" fontId="63" fillId="19" borderId="17" xfId="0" applyFont="1" applyFill="1" applyBorder="1" applyAlignment="1">
      <alignment horizontal="center" vertical="center" textRotation="90"/>
    </xf>
    <xf numFmtId="0" fontId="63" fillId="19" borderId="18" xfId="0" applyFont="1" applyFill="1" applyBorder="1" applyAlignment="1">
      <alignment horizontal="center" vertical="center" textRotation="90"/>
    </xf>
    <xf numFmtId="0" fontId="63" fillId="19" borderId="40" xfId="0" applyFont="1" applyFill="1" applyBorder="1" applyAlignment="1">
      <alignment horizontal="center" vertical="center" textRotation="90"/>
    </xf>
    <xf numFmtId="0" fontId="61" fillId="24" borderId="57" xfId="0" applyFont="1" applyFill="1" applyBorder="1" applyAlignment="1">
      <alignment horizontal="center" vertical="center" wrapText="1"/>
    </xf>
    <xf numFmtId="0" fontId="61" fillId="24" borderId="93" xfId="0" applyFont="1" applyFill="1" applyBorder="1" applyAlignment="1">
      <alignment horizontal="center" vertical="center" wrapText="1"/>
    </xf>
    <xf numFmtId="0" fontId="61" fillId="24" borderId="85" xfId="0" applyFont="1" applyFill="1" applyBorder="1" applyAlignment="1">
      <alignment horizontal="center" vertical="center" wrapText="1"/>
    </xf>
    <xf numFmtId="0" fontId="44" fillId="19" borderId="17" xfId="0" applyFont="1" applyFill="1" applyBorder="1" applyAlignment="1">
      <alignment horizontal="center" vertical="center"/>
    </xf>
    <xf numFmtId="0" fontId="44" fillId="19" borderId="40" xfId="0" applyFont="1" applyFill="1" applyBorder="1" applyAlignment="1">
      <alignment horizontal="center" vertical="center"/>
    </xf>
    <xf numFmtId="0" fontId="39" fillId="20" borderId="89" xfId="0" applyFont="1" applyFill="1" applyBorder="1" applyAlignment="1">
      <alignment horizontal="left" vertical="center"/>
    </xf>
    <xf numFmtId="0" fontId="39" fillId="20" borderId="8" xfId="0" applyFont="1" applyFill="1" applyBorder="1" applyAlignment="1">
      <alignment horizontal="left" vertical="center"/>
    </xf>
    <xf numFmtId="0" fontId="61" fillId="24" borderId="84" xfId="0" applyFont="1" applyFill="1" applyBorder="1" applyAlignment="1">
      <alignment horizontal="center" vertical="center" wrapText="1"/>
    </xf>
    <xf numFmtId="0" fontId="39" fillId="20" borderId="7" xfId="0" applyFont="1" applyFill="1" applyBorder="1" applyAlignment="1">
      <alignment horizontal="left" vertical="center" wrapText="1"/>
    </xf>
    <xf numFmtId="0" fontId="39" fillId="20" borderId="8" xfId="0" applyFont="1" applyFill="1" applyBorder="1" applyAlignment="1">
      <alignment horizontal="left" vertical="center" wrapText="1"/>
    </xf>
    <xf numFmtId="0" fontId="61" fillId="24" borderId="68" xfId="0" applyFont="1" applyFill="1" applyBorder="1" applyAlignment="1">
      <alignment horizontal="center" vertical="center" wrapText="1"/>
    </xf>
    <xf numFmtId="0" fontId="61" fillId="24" borderId="30" xfId="0" applyFont="1" applyFill="1" applyBorder="1" applyAlignment="1">
      <alignment horizontal="center" vertical="center" wrapText="1"/>
    </xf>
    <xf numFmtId="0" fontId="61" fillId="24" borderId="0" xfId="0" applyFont="1" applyFill="1" applyAlignment="1">
      <alignment horizontal="center" vertical="center" wrapText="1"/>
    </xf>
    <xf numFmtId="0" fontId="61" fillId="24" borderId="28" xfId="0" applyFont="1" applyFill="1" applyBorder="1" applyAlignment="1">
      <alignment horizontal="center" vertical="center" wrapText="1"/>
    </xf>
    <xf numFmtId="0" fontId="61" fillId="20" borderId="43" xfId="0" applyFont="1" applyFill="1" applyBorder="1" applyAlignment="1">
      <alignment horizontal="center" vertical="center" wrapText="1"/>
    </xf>
    <xf numFmtId="0" fontId="61" fillId="20" borderId="30" xfId="0" applyFont="1" applyFill="1" applyBorder="1" applyAlignment="1">
      <alignment horizontal="center" vertical="center" wrapText="1"/>
    </xf>
    <xf numFmtId="0" fontId="61" fillId="20" borderId="11" xfId="0" applyFont="1" applyFill="1" applyBorder="1" applyAlignment="1">
      <alignment horizontal="center" vertical="center" wrapText="1"/>
    </xf>
    <xf numFmtId="0" fontId="61" fillId="22" borderId="68" xfId="0" applyFont="1" applyFill="1" applyBorder="1" applyAlignment="1">
      <alignment horizontal="center" vertical="center" wrapText="1"/>
    </xf>
    <xf numFmtId="0" fontId="61" fillId="22" borderId="11" xfId="0" applyFont="1" applyFill="1" applyBorder="1" applyAlignment="1">
      <alignment horizontal="center" vertical="center" wrapText="1"/>
    </xf>
    <xf numFmtId="0" fontId="62" fillId="21" borderId="11" xfId="0" applyFont="1" applyFill="1" applyBorder="1" applyAlignment="1">
      <alignment horizontal="center" vertical="center" wrapText="1"/>
    </xf>
    <xf numFmtId="0" fontId="61" fillId="25" borderId="43" xfId="0" applyFont="1" applyFill="1" applyBorder="1" applyAlignment="1">
      <alignment horizontal="center" vertical="center" wrapText="1"/>
    </xf>
    <xf numFmtId="0" fontId="61" fillId="25" borderId="30" xfId="0" applyFont="1" applyFill="1" applyBorder="1" applyAlignment="1">
      <alignment horizontal="center" vertical="center" wrapText="1"/>
    </xf>
    <xf numFmtId="0" fontId="62" fillId="27" borderId="63" xfId="0" applyFont="1" applyFill="1" applyBorder="1" applyAlignment="1">
      <alignment horizontal="left" vertical="center" wrapText="1"/>
    </xf>
    <xf numFmtId="0" fontId="39" fillId="22" borderId="7" xfId="0" applyFont="1" applyFill="1" applyBorder="1" applyAlignment="1">
      <alignment horizontal="left" vertical="center" wrapText="1"/>
    </xf>
    <xf numFmtId="0" fontId="39" fillId="22" borderId="8" xfId="0" applyFont="1" applyFill="1" applyBorder="1" applyAlignment="1">
      <alignment horizontal="left" vertical="center" wrapText="1"/>
    </xf>
    <xf numFmtId="0" fontId="39" fillId="24" borderId="42" xfId="0" applyFont="1" applyFill="1" applyBorder="1" applyAlignment="1">
      <alignment horizontal="left" vertical="center" wrapText="1"/>
    </xf>
    <xf numFmtId="0" fontId="39" fillId="24" borderId="43" xfId="0" applyFont="1" applyFill="1" applyBorder="1" applyAlignment="1">
      <alignment horizontal="left" vertical="center" wrapText="1"/>
    </xf>
    <xf numFmtId="0" fontId="38" fillId="21" borderId="7" xfId="0" applyFont="1" applyFill="1" applyBorder="1" applyAlignment="1">
      <alignment horizontal="left" vertical="center" wrapText="1"/>
    </xf>
    <xf numFmtId="0" fontId="38" fillId="21" borderId="8" xfId="0" applyFont="1" applyFill="1" applyBorder="1" applyAlignment="1">
      <alignment horizontal="left" vertical="center" wrapText="1"/>
    </xf>
    <xf numFmtId="0" fontId="63" fillId="19" borderId="17" xfId="5" applyFont="1" applyFill="1" applyBorder="1" applyAlignment="1">
      <alignment horizontal="center" vertical="center" textRotation="90" wrapText="1"/>
    </xf>
    <xf numFmtId="0" fontId="63" fillId="19" borderId="18" xfId="5" applyFont="1" applyFill="1" applyBorder="1" applyAlignment="1">
      <alignment horizontal="center" vertical="center" textRotation="90" wrapText="1"/>
    </xf>
    <xf numFmtId="0" fontId="63" fillId="19" borderId="40" xfId="5" applyFont="1" applyFill="1" applyBorder="1" applyAlignment="1">
      <alignment horizontal="center" vertical="center" textRotation="90" wrapText="1"/>
    </xf>
    <xf numFmtId="0" fontId="57" fillId="24" borderId="25" xfId="0" applyFont="1" applyFill="1" applyBorder="1" applyAlignment="1">
      <alignment horizontal="center" vertical="center" wrapText="1"/>
    </xf>
    <xf numFmtId="0" fontId="57" fillId="24" borderId="28" xfId="0" applyFont="1" applyFill="1" applyBorder="1" applyAlignment="1">
      <alignment horizontal="center" vertical="center" wrapText="1"/>
    </xf>
    <xf numFmtId="0" fontId="61" fillId="20" borderId="84" xfId="0" applyFont="1" applyFill="1" applyBorder="1" applyAlignment="1">
      <alignment horizontal="center" vertical="center" wrapText="1"/>
    </xf>
    <xf numFmtId="0" fontId="61" fillId="20" borderId="85" xfId="0" applyFont="1" applyFill="1" applyBorder="1" applyAlignment="1">
      <alignment horizontal="center" vertical="center" wrapText="1"/>
    </xf>
    <xf numFmtId="0" fontId="61" fillId="20" borderId="68" xfId="0" applyFont="1" applyFill="1" applyBorder="1" applyAlignment="1">
      <alignment horizontal="center" vertical="center" wrapText="1"/>
    </xf>
    <xf numFmtId="0" fontId="39" fillId="20" borderId="70" xfId="0" applyFont="1" applyFill="1" applyBorder="1" applyAlignment="1">
      <alignment horizontal="left" vertical="center" wrapText="1"/>
    </xf>
    <xf numFmtId="0" fontId="39" fillId="20" borderId="61" xfId="0" applyFont="1" applyFill="1" applyBorder="1" applyAlignment="1">
      <alignment horizontal="left" vertical="center" wrapText="1"/>
    </xf>
    <xf numFmtId="0" fontId="61" fillId="20" borderId="93" xfId="0" applyFont="1" applyFill="1" applyBorder="1" applyAlignment="1">
      <alignment horizontal="center" vertical="center" wrapText="1"/>
    </xf>
    <xf numFmtId="0" fontId="61" fillId="20" borderId="59" xfId="0" applyFont="1" applyFill="1" applyBorder="1" applyAlignment="1">
      <alignment horizontal="center" vertical="center" wrapText="1"/>
    </xf>
    <xf numFmtId="0" fontId="47" fillId="21" borderId="57" xfId="0" applyFont="1" applyFill="1" applyBorder="1" applyAlignment="1">
      <alignment horizontal="center" vertical="center" wrapText="1"/>
    </xf>
    <xf numFmtId="0" fontId="47" fillId="21" borderId="93" xfId="0" applyFont="1" applyFill="1" applyBorder="1" applyAlignment="1">
      <alignment horizontal="center" vertical="center" wrapText="1"/>
    </xf>
    <xf numFmtId="0" fontId="47" fillId="21" borderId="85" xfId="0" applyFont="1" applyFill="1" applyBorder="1" applyAlignment="1">
      <alignment horizontal="center" vertical="center" wrapText="1"/>
    </xf>
    <xf numFmtId="0" fontId="63" fillId="19" borderId="17" xfId="0" applyFont="1" applyFill="1" applyBorder="1" applyAlignment="1">
      <alignment horizontal="center" vertical="center" textRotation="90" wrapText="1"/>
    </xf>
    <xf numFmtId="0" fontId="63" fillId="19" borderId="18" xfId="0" applyFont="1" applyFill="1" applyBorder="1" applyAlignment="1">
      <alignment horizontal="center" vertical="center" textRotation="90" wrapText="1"/>
    </xf>
    <xf numFmtId="0" fontId="63" fillId="19" borderId="40" xfId="0" applyFont="1" applyFill="1" applyBorder="1" applyAlignment="1">
      <alignment horizontal="center" vertical="center" textRotation="90" wrapText="1"/>
    </xf>
    <xf numFmtId="0" fontId="39" fillId="24" borderId="7" xfId="0" applyFont="1" applyFill="1" applyBorder="1" applyAlignment="1">
      <alignment horizontal="left" vertical="center" wrapText="1"/>
    </xf>
    <xf numFmtId="0" fontId="39" fillId="24" borderId="8" xfId="0" applyFont="1" applyFill="1" applyBorder="1" applyAlignment="1">
      <alignment horizontal="left" vertical="center" wrapText="1"/>
    </xf>
    <xf numFmtId="0" fontId="62" fillId="27" borderId="63" xfId="0" applyFont="1" applyFill="1" applyBorder="1" applyAlignment="1">
      <alignment horizontal="left" vertical="center"/>
    </xf>
    <xf numFmtId="0" fontId="62" fillId="27" borderId="65" xfId="0" applyFont="1" applyFill="1" applyBorder="1" applyAlignment="1">
      <alignment horizontal="left" vertical="center"/>
    </xf>
    <xf numFmtId="0" fontId="79" fillId="20" borderId="0" xfId="0" applyFont="1" applyFill="1" applyAlignment="1">
      <alignment horizontal="center" vertical="center" wrapText="1"/>
    </xf>
    <xf numFmtId="0" fontId="102" fillId="0" borderId="21" xfId="0" applyFont="1" applyBorder="1" applyAlignment="1">
      <alignment horizontal="center" vertical="center" wrapText="1"/>
    </xf>
    <xf numFmtId="0" fontId="102" fillId="0" borderId="27" xfId="0" applyFont="1" applyBorder="1" applyAlignment="1">
      <alignment horizontal="center" vertical="center" wrapText="1"/>
    </xf>
    <xf numFmtId="0" fontId="0" fillId="18" borderId="95" xfId="0" applyFill="1" applyBorder="1" applyAlignment="1">
      <alignment horizontal="center" vertical="center"/>
    </xf>
    <xf numFmtId="0" fontId="0" fillId="18" borderId="98" xfId="0" applyFill="1" applyBorder="1" applyAlignment="1">
      <alignment horizontal="center" vertical="center"/>
    </xf>
    <xf numFmtId="0" fontId="0" fillId="19" borderId="64" xfId="0" applyFill="1" applyBorder="1" applyAlignment="1">
      <alignment horizontal="center"/>
    </xf>
    <xf numFmtId="0" fontId="0" fillId="19" borderId="46" xfId="0" applyFill="1" applyBorder="1" applyAlignment="1">
      <alignment horizontal="center"/>
    </xf>
    <xf numFmtId="0" fontId="90" fillId="19" borderId="17" xfId="0" applyFont="1" applyFill="1" applyBorder="1" applyAlignment="1">
      <alignment horizontal="center" vertical="center" textRotation="90" wrapText="1"/>
    </xf>
    <xf numFmtId="0" fontId="90" fillId="19" borderId="18" xfId="0" applyFont="1" applyFill="1" applyBorder="1" applyAlignment="1">
      <alignment horizontal="center" vertical="center" textRotation="90" wrapText="1"/>
    </xf>
    <xf numFmtId="0" fontId="90" fillId="19" borderId="40" xfId="0" applyFont="1" applyFill="1" applyBorder="1" applyAlignment="1">
      <alignment horizontal="center" vertical="center" textRotation="90" wrapText="1"/>
    </xf>
    <xf numFmtId="0" fontId="0" fillId="19" borderId="0" xfId="0" applyFill="1" applyAlignment="1">
      <alignment horizontal="center"/>
    </xf>
    <xf numFmtId="0" fontId="87" fillId="19" borderId="17" xfId="0" applyFont="1" applyFill="1" applyBorder="1" applyAlignment="1">
      <alignment horizontal="center" vertical="center" textRotation="90"/>
    </xf>
    <xf numFmtId="0" fontId="87" fillId="19" borderId="18" xfId="0" applyFont="1" applyFill="1" applyBorder="1" applyAlignment="1">
      <alignment horizontal="center" vertical="center" textRotation="90"/>
    </xf>
    <xf numFmtId="0" fontId="87" fillId="19" borderId="40" xfId="0" applyFont="1" applyFill="1" applyBorder="1" applyAlignment="1">
      <alignment horizontal="center" vertical="center" textRotation="90"/>
    </xf>
    <xf numFmtId="0" fontId="90" fillId="19" borderId="0" xfId="0" applyFont="1" applyFill="1" applyAlignment="1">
      <alignment horizontal="center" vertical="center" textRotation="90" wrapText="1"/>
    </xf>
    <xf numFmtId="0" fontId="0" fillId="19" borderId="63" xfId="0" applyFill="1" applyBorder="1" applyAlignment="1">
      <alignment horizontal="center"/>
    </xf>
    <xf numFmtId="0" fontId="90" fillId="19" borderId="17" xfId="0" applyFont="1" applyFill="1" applyBorder="1" applyAlignment="1">
      <alignment horizontal="center" vertical="center" textRotation="90"/>
    </xf>
    <xf numFmtId="0" fontId="90" fillId="19" borderId="18" xfId="0" applyFont="1" applyFill="1" applyBorder="1" applyAlignment="1">
      <alignment horizontal="center" vertical="center" textRotation="90"/>
    </xf>
    <xf numFmtId="0" fontId="90" fillId="19" borderId="40" xfId="0" applyFont="1" applyFill="1" applyBorder="1" applyAlignment="1">
      <alignment horizontal="center" vertical="center" textRotation="90"/>
    </xf>
    <xf numFmtId="0" fontId="96" fillId="10" borderId="64" xfId="0" applyFont="1" applyFill="1" applyBorder="1" applyAlignment="1">
      <alignment horizontal="left" vertical="center"/>
    </xf>
    <xf numFmtId="0" fontId="96" fillId="10" borderId="63" xfId="0" applyFont="1" applyFill="1" applyBorder="1" applyAlignment="1">
      <alignment horizontal="left" vertical="center"/>
    </xf>
    <xf numFmtId="0" fontId="96" fillId="10" borderId="46" xfId="0" applyFont="1" applyFill="1" applyBorder="1" applyAlignment="1">
      <alignment horizontal="left" vertical="center"/>
    </xf>
    <xf numFmtId="0" fontId="71" fillId="4" borderId="64" xfId="4" applyFont="1" applyBorder="1" applyAlignment="1">
      <alignment horizontal="center"/>
    </xf>
    <xf numFmtId="0" fontId="71" fillId="4" borderId="46" xfId="4" applyFont="1" applyBorder="1" applyAlignment="1">
      <alignment horizontal="center"/>
    </xf>
    <xf numFmtId="0" fontId="79" fillId="39" borderId="24" xfId="0" applyFont="1" applyFill="1" applyBorder="1" applyAlignment="1">
      <alignment horizontal="center" vertical="center"/>
    </xf>
    <xf numFmtId="0" fontId="79" fillId="39" borderId="21" xfId="0" applyFont="1" applyFill="1" applyBorder="1" applyAlignment="1">
      <alignment horizontal="center" vertical="center"/>
    </xf>
    <xf numFmtId="0" fontId="79" fillId="39" borderId="27" xfId="0" applyFont="1" applyFill="1" applyBorder="1" applyAlignment="1">
      <alignment horizontal="center" vertical="center"/>
    </xf>
    <xf numFmtId="0" fontId="0" fillId="31" borderId="62" xfId="0" applyFill="1" applyBorder="1" applyAlignment="1">
      <alignment horizontal="center" vertical="center" wrapText="1"/>
    </xf>
    <xf numFmtId="0" fontId="0" fillId="31" borderId="16" xfId="0" applyFill="1" applyBorder="1" applyAlignment="1">
      <alignment horizontal="center" vertical="center" wrapText="1"/>
    </xf>
    <xf numFmtId="0" fontId="0" fillId="31" borderId="60" xfId="0" applyFill="1" applyBorder="1" applyAlignment="1">
      <alignment horizontal="center" vertical="center" wrapText="1"/>
    </xf>
    <xf numFmtId="0" fontId="0" fillId="29" borderId="62" xfId="0" applyFill="1" applyBorder="1" applyAlignment="1">
      <alignment horizontal="center" vertical="center" wrapText="1"/>
    </xf>
    <xf numFmtId="0" fontId="0" fillId="29" borderId="16" xfId="0" applyFill="1" applyBorder="1" applyAlignment="1">
      <alignment horizontal="center" vertical="center" wrapText="1"/>
    </xf>
    <xf numFmtId="0" fontId="0" fillId="29" borderId="60" xfId="0" applyFill="1" applyBorder="1" applyAlignment="1">
      <alignment horizontal="center" vertical="center" wrapText="1"/>
    </xf>
    <xf numFmtId="0" fontId="0" fillId="32" borderId="62" xfId="0" applyFill="1" applyBorder="1" applyAlignment="1">
      <alignment horizontal="center" vertical="center" wrapText="1"/>
    </xf>
    <xf numFmtId="0" fontId="0" fillId="32" borderId="16" xfId="0" applyFill="1" applyBorder="1" applyAlignment="1">
      <alignment horizontal="center" vertical="center" wrapText="1"/>
    </xf>
    <xf numFmtId="0" fontId="0" fillId="32" borderId="60" xfId="0" applyFill="1" applyBorder="1" applyAlignment="1">
      <alignment horizontal="center" vertical="center" wrapText="1"/>
    </xf>
    <xf numFmtId="0" fontId="79" fillId="33" borderId="62" xfId="0" applyFont="1" applyFill="1" applyBorder="1" applyAlignment="1">
      <alignment horizontal="center" vertical="center" wrapText="1"/>
    </xf>
    <xf numFmtId="0" fontId="79" fillId="33" borderId="16" xfId="0" applyFont="1" applyFill="1" applyBorder="1" applyAlignment="1">
      <alignment horizontal="center" vertical="center" wrapText="1"/>
    </xf>
    <xf numFmtId="0" fontId="79" fillId="33" borderId="60" xfId="0" applyFont="1" applyFill="1" applyBorder="1" applyAlignment="1">
      <alignment horizontal="center" vertical="center" wrapText="1"/>
    </xf>
    <xf numFmtId="0" fontId="79" fillId="34" borderId="62" xfId="0" applyFont="1" applyFill="1" applyBorder="1" applyAlignment="1">
      <alignment horizontal="center" vertical="center" wrapText="1"/>
    </xf>
    <xf numFmtId="0" fontId="79" fillId="34" borderId="16" xfId="0" applyFont="1" applyFill="1" applyBorder="1" applyAlignment="1">
      <alignment horizontal="center" vertical="center" wrapText="1"/>
    </xf>
    <xf numFmtId="0" fontId="79" fillId="34" borderId="60" xfId="0" applyFont="1" applyFill="1" applyBorder="1" applyAlignment="1">
      <alignment horizontal="center" vertical="center" wrapText="1"/>
    </xf>
    <xf numFmtId="0" fontId="79" fillId="39" borderId="17" xfId="0" applyFont="1" applyFill="1" applyBorder="1" applyAlignment="1">
      <alignment horizontal="center" vertical="center"/>
    </xf>
    <xf numFmtId="0" fontId="79" fillId="39" borderId="18" xfId="0" applyFont="1" applyFill="1" applyBorder="1" applyAlignment="1">
      <alignment horizontal="center" vertical="center"/>
    </xf>
    <xf numFmtId="0" fontId="79" fillId="39" borderId="40" xfId="0" applyFont="1" applyFill="1" applyBorder="1" applyAlignment="1">
      <alignment horizontal="center" vertical="center"/>
    </xf>
    <xf numFmtId="0" fontId="32" fillId="19" borderId="64" xfId="0" applyFont="1" applyFill="1" applyBorder="1" applyAlignment="1">
      <alignment horizontal="center"/>
    </xf>
    <xf numFmtId="0" fontId="32" fillId="19" borderId="63" xfId="0" applyFont="1" applyFill="1" applyBorder="1" applyAlignment="1">
      <alignment horizontal="center"/>
    </xf>
    <xf numFmtId="0" fontId="32" fillId="19" borderId="46" xfId="0" applyFont="1" applyFill="1" applyBorder="1" applyAlignment="1">
      <alignment horizontal="center"/>
    </xf>
    <xf numFmtId="0" fontId="0" fillId="35" borderId="62" xfId="0" applyFill="1" applyBorder="1" applyAlignment="1">
      <alignment horizontal="center" vertical="center" wrapText="1"/>
    </xf>
    <xf numFmtId="0" fontId="0" fillId="35" borderId="16" xfId="0" applyFill="1" applyBorder="1" applyAlignment="1">
      <alignment horizontal="center" vertical="center" wrapText="1"/>
    </xf>
    <xf numFmtId="0" fontId="0" fillId="35" borderId="60" xfId="0" applyFill="1" applyBorder="1" applyAlignment="1">
      <alignment horizontal="center" vertical="center" wrapText="1"/>
    </xf>
    <xf numFmtId="0" fontId="79" fillId="39" borderId="62" xfId="0" applyFont="1" applyFill="1" applyBorder="1" applyAlignment="1">
      <alignment horizontal="center" vertical="center" wrapText="1"/>
    </xf>
    <xf numFmtId="0" fontId="79" fillId="39" borderId="16" xfId="0" applyFont="1" applyFill="1" applyBorder="1" applyAlignment="1">
      <alignment horizontal="center" vertical="center" wrapText="1"/>
    </xf>
    <xf numFmtId="0" fontId="79" fillId="39" borderId="60" xfId="0" applyFont="1" applyFill="1" applyBorder="1" applyAlignment="1">
      <alignment horizontal="center" vertical="center" wrapText="1"/>
    </xf>
    <xf numFmtId="0" fontId="0" fillId="36" borderId="62" xfId="0" applyFill="1" applyBorder="1" applyAlignment="1">
      <alignment horizontal="center" vertical="center" wrapText="1"/>
    </xf>
    <xf numFmtId="0" fontId="0" fillId="36" borderId="16" xfId="0" applyFill="1" applyBorder="1" applyAlignment="1">
      <alignment horizontal="center" vertical="center" wrapText="1"/>
    </xf>
    <xf numFmtId="0" fontId="0" fillId="36" borderId="60" xfId="0" applyFill="1" applyBorder="1" applyAlignment="1">
      <alignment horizontal="center" vertical="center" wrapText="1"/>
    </xf>
    <xf numFmtId="0" fontId="0" fillId="37" borderId="62" xfId="0" applyFill="1" applyBorder="1" applyAlignment="1">
      <alignment horizontal="center" vertical="center" wrapText="1"/>
    </xf>
    <xf numFmtId="0" fontId="0" fillId="37" borderId="16" xfId="0" applyFill="1" applyBorder="1" applyAlignment="1">
      <alignment horizontal="center" vertical="center" wrapText="1"/>
    </xf>
    <xf numFmtId="0" fontId="0" fillId="37" borderId="60" xfId="0" applyFill="1" applyBorder="1" applyAlignment="1">
      <alignment horizontal="center" vertical="center" wrapText="1"/>
    </xf>
    <xf numFmtId="0" fontId="79" fillId="38" borderId="62" xfId="0" applyFont="1" applyFill="1" applyBorder="1" applyAlignment="1">
      <alignment horizontal="center" vertical="center" wrapText="1"/>
    </xf>
    <xf numFmtId="0" fontId="79" fillId="38" borderId="16" xfId="0" applyFont="1" applyFill="1" applyBorder="1" applyAlignment="1">
      <alignment horizontal="center" vertical="center" wrapText="1"/>
    </xf>
    <xf numFmtId="0" fontId="79" fillId="38" borderId="60" xfId="0" applyFont="1" applyFill="1" applyBorder="1" applyAlignment="1">
      <alignment horizontal="center" vertical="center" wrapText="1"/>
    </xf>
    <xf numFmtId="0" fontId="0" fillId="36" borderId="17" xfId="0" applyFill="1" applyBorder="1" applyAlignment="1">
      <alignment horizontal="center" vertical="center"/>
    </xf>
    <xf numFmtId="0" fontId="0" fillId="36" borderId="18" xfId="0" applyFill="1" applyBorder="1" applyAlignment="1">
      <alignment horizontal="center" vertical="center"/>
    </xf>
    <xf numFmtId="0" fontId="0" fillId="36" borderId="40" xfId="0" applyFill="1" applyBorder="1" applyAlignment="1">
      <alignment horizontal="center" vertical="center"/>
    </xf>
    <xf numFmtId="0" fontId="0" fillId="37" borderId="17" xfId="0" applyFill="1" applyBorder="1" applyAlignment="1">
      <alignment horizontal="center" vertical="center"/>
    </xf>
    <xf numFmtId="0" fontId="0" fillId="37" borderId="18" xfId="0" applyFill="1" applyBorder="1" applyAlignment="1">
      <alignment horizontal="center" vertical="center"/>
    </xf>
    <xf numFmtId="0" fontId="0" fillId="37" borderId="40" xfId="0" applyFill="1" applyBorder="1" applyAlignment="1">
      <alignment horizontal="center" vertical="center"/>
    </xf>
    <xf numFmtId="0" fontId="79" fillId="38" borderId="17" xfId="0" applyFont="1" applyFill="1" applyBorder="1" applyAlignment="1">
      <alignment horizontal="center" vertical="center"/>
    </xf>
    <xf numFmtId="0" fontId="79" fillId="38" borderId="18" xfId="0" applyFont="1" applyFill="1" applyBorder="1" applyAlignment="1">
      <alignment horizontal="center" vertical="center"/>
    </xf>
    <xf numFmtId="0" fontId="79" fillId="38" borderId="40" xfId="0" applyFont="1" applyFill="1" applyBorder="1" applyAlignment="1">
      <alignment horizontal="center" vertical="center"/>
    </xf>
    <xf numFmtId="0" fontId="0" fillId="19" borderId="52" xfId="0" applyFill="1" applyBorder="1" applyAlignment="1">
      <alignment horizontal="center" vertical="center"/>
    </xf>
    <xf numFmtId="0" fontId="0" fillId="19" borderId="3" xfId="0" applyFill="1" applyBorder="1" applyAlignment="1">
      <alignment horizontal="center" vertical="center"/>
    </xf>
    <xf numFmtId="0" fontId="0" fillId="19" borderId="54" xfId="0" applyFill="1" applyBorder="1" applyAlignment="1">
      <alignment horizontal="center" vertical="center"/>
    </xf>
    <xf numFmtId="0" fontId="0" fillId="19" borderId="55" xfId="0" applyFill="1" applyBorder="1" applyAlignment="1">
      <alignment horizontal="center" vertical="center"/>
    </xf>
    <xf numFmtId="0" fontId="0" fillId="31" borderId="62" xfId="0" applyFill="1" applyBorder="1" applyAlignment="1">
      <alignment horizontal="center" vertical="center"/>
    </xf>
    <xf numFmtId="0" fontId="0" fillId="31" borderId="16" xfId="0" applyFill="1" applyBorder="1" applyAlignment="1">
      <alignment horizontal="center" vertical="center"/>
    </xf>
    <xf numFmtId="0" fontId="0" fillId="31" borderId="60" xfId="0" applyFill="1" applyBorder="1" applyAlignment="1">
      <alignment horizontal="center" vertical="center"/>
    </xf>
    <xf numFmtId="0" fontId="0" fillId="19" borderId="49" xfId="0" applyFill="1" applyBorder="1" applyAlignment="1">
      <alignment horizontal="center" vertical="center" wrapText="1"/>
    </xf>
    <xf numFmtId="0" fontId="0" fillId="19" borderId="50" xfId="0" applyFill="1" applyBorder="1" applyAlignment="1">
      <alignment horizontal="center" vertical="center" wrapText="1"/>
    </xf>
    <xf numFmtId="0" fontId="0" fillId="19" borderId="54" xfId="0" applyFill="1" applyBorder="1" applyAlignment="1">
      <alignment horizontal="center" vertical="center" wrapText="1"/>
    </xf>
    <xf numFmtId="0" fontId="0" fillId="19" borderId="55" xfId="0" applyFill="1" applyBorder="1" applyAlignment="1">
      <alignment horizontal="center" vertical="center" wrapText="1"/>
    </xf>
    <xf numFmtId="0" fontId="0" fillId="19" borderId="0" xfId="0" applyFill="1" applyAlignment="1">
      <alignment horizontal="center" vertical="center"/>
    </xf>
    <xf numFmtId="0" fontId="0" fillId="19" borderId="49" xfId="0" applyFill="1" applyBorder="1" applyAlignment="1">
      <alignment horizontal="center" vertical="center"/>
    </xf>
    <xf numFmtId="0" fontId="0" fillId="19" borderId="50" xfId="0" applyFill="1" applyBorder="1" applyAlignment="1">
      <alignment horizontal="center" vertical="center"/>
    </xf>
    <xf numFmtId="0" fontId="32" fillId="19" borderId="0" xfId="0" applyFont="1" applyFill="1" applyAlignment="1">
      <alignment horizontal="center"/>
    </xf>
    <xf numFmtId="0" fontId="0" fillId="31" borderId="17" xfId="0" applyFill="1" applyBorder="1" applyAlignment="1">
      <alignment horizontal="center" vertical="center"/>
    </xf>
    <xf numFmtId="0" fontId="0" fillId="31" borderId="18" xfId="0" applyFill="1" applyBorder="1" applyAlignment="1">
      <alignment horizontal="center" vertical="center"/>
    </xf>
    <xf numFmtId="0" fontId="0" fillId="31" borderId="40" xfId="0" applyFill="1" applyBorder="1" applyAlignment="1">
      <alignment horizontal="center" vertical="center"/>
    </xf>
    <xf numFmtId="0" fontId="0" fillId="29" borderId="17" xfId="0" applyFill="1" applyBorder="1" applyAlignment="1">
      <alignment horizontal="center" vertical="center"/>
    </xf>
    <xf numFmtId="0" fontId="0" fillId="29" borderId="18" xfId="0" applyFill="1" applyBorder="1" applyAlignment="1">
      <alignment horizontal="center" vertical="center"/>
    </xf>
    <xf numFmtId="0" fontId="0" fillId="29" borderId="40" xfId="0" applyFill="1" applyBorder="1" applyAlignment="1">
      <alignment horizontal="center" vertical="center"/>
    </xf>
    <xf numFmtId="0" fontId="0" fillId="32" borderId="17" xfId="0" applyFill="1" applyBorder="1" applyAlignment="1">
      <alignment horizontal="center" vertical="center"/>
    </xf>
    <xf numFmtId="0" fontId="0" fillId="32" borderId="18" xfId="0" applyFill="1" applyBorder="1" applyAlignment="1">
      <alignment horizontal="center" vertical="center"/>
    </xf>
    <xf numFmtId="0" fontId="0" fillId="32" borderId="40" xfId="0" applyFill="1" applyBorder="1" applyAlignment="1">
      <alignment horizontal="center" vertical="center"/>
    </xf>
    <xf numFmtId="0" fontId="79" fillId="33" borderId="17" xfId="0" applyFont="1" applyFill="1" applyBorder="1" applyAlignment="1">
      <alignment horizontal="center" vertical="center"/>
    </xf>
    <xf numFmtId="0" fontId="79" fillId="33" borderId="18" xfId="0" applyFont="1" applyFill="1" applyBorder="1" applyAlignment="1">
      <alignment horizontal="center" vertical="center"/>
    </xf>
    <xf numFmtId="0" fontId="79" fillId="33" borderId="40" xfId="0" applyFont="1" applyFill="1" applyBorder="1" applyAlignment="1">
      <alignment horizontal="center" vertical="center"/>
    </xf>
    <xf numFmtId="0" fontId="79" fillId="34" borderId="17" xfId="0" applyFont="1" applyFill="1" applyBorder="1" applyAlignment="1">
      <alignment horizontal="center" vertical="center"/>
    </xf>
    <xf numFmtId="0" fontId="79" fillId="34" borderId="18" xfId="0" applyFont="1" applyFill="1" applyBorder="1" applyAlignment="1">
      <alignment horizontal="center" vertical="center"/>
    </xf>
    <xf numFmtId="0" fontId="79" fillId="34" borderId="40" xfId="0" applyFont="1" applyFill="1" applyBorder="1" applyAlignment="1">
      <alignment horizontal="center" vertical="center"/>
    </xf>
    <xf numFmtId="0" fontId="0" fillId="35" borderId="17" xfId="0" applyFill="1" applyBorder="1" applyAlignment="1">
      <alignment horizontal="center" vertical="center"/>
    </xf>
    <xf numFmtId="0" fontId="0" fillId="35" borderId="18" xfId="0" applyFill="1" applyBorder="1" applyAlignment="1">
      <alignment horizontal="center" vertical="center"/>
    </xf>
    <xf numFmtId="0" fontId="0" fillId="35" borderId="40" xfId="0" applyFill="1" applyBorder="1" applyAlignment="1">
      <alignment horizontal="center" vertical="center"/>
    </xf>
    <xf numFmtId="0" fontId="79" fillId="33" borderId="24" xfId="0" applyFont="1" applyFill="1" applyBorder="1" applyAlignment="1">
      <alignment horizontal="center" vertical="center"/>
    </xf>
    <xf numFmtId="0" fontId="79" fillId="33" borderId="21" xfId="0" applyFont="1" applyFill="1" applyBorder="1" applyAlignment="1">
      <alignment horizontal="center" vertical="center"/>
    </xf>
    <xf numFmtId="0" fontId="79" fillId="33" borderId="27" xfId="0" applyFont="1" applyFill="1" applyBorder="1" applyAlignment="1">
      <alignment horizontal="center" vertical="center"/>
    </xf>
    <xf numFmtId="0" fontId="79" fillId="34" borderId="24" xfId="0" applyFont="1" applyFill="1" applyBorder="1" applyAlignment="1">
      <alignment horizontal="center" vertical="center"/>
    </xf>
    <xf numFmtId="0" fontId="79" fillId="34" borderId="21" xfId="0" applyFont="1" applyFill="1" applyBorder="1" applyAlignment="1">
      <alignment horizontal="center" vertical="center"/>
    </xf>
    <xf numFmtId="0" fontId="79" fillId="34" borderId="27" xfId="0" applyFont="1" applyFill="1" applyBorder="1" applyAlignment="1">
      <alignment horizontal="center" vertical="center"/>
    </xf>
    <xf numFmtId="0" fontId="0" fillId="35" borderId="24" xfId="0" applyFill="1" applyBorder="1" applyAlignment="1">
      <alignment horizontal="center" vertical="center"/>
    </xf>
    <xf numFmtId="0" fontId="0" fillId="35" borderId="21" xfId="0" applyFill="1" applyBorder="1" applyAlignment="1">
      <alignment horizontal="center" vertical="center"/>
    </xf>
    <xf numFmtId="0" fontId="0" fillId="35" borderId="27" xfId="0" applyFill="1" applyBorder="1" applyAlignment="1">
      <alignment horizontal="center" vertical="center"/>
    </xf>
    <xf numFmtId="0" fontId="0" fillId="36" borderId="24" xfId="0" applyFill="1" applyBorder="1" applyAlignment="1">
      <alignment horizontal="center" vertical="center"/>
    </xf>
    <xf numFmtId="0" fontId="0" fillId="36" borderId="21" xfId="0" applyFill="1" applyBorder="1" applyAlignment="1">
      <alignment horizontal="center" vertical="center"/>
    </xf>
    <xf numFmtId="0" fontId="0" fillId="36" borderId="27" xfId="0" applyFill="1" applyBorder="1" applyAlignment="1">
      <alignment horizontal="center" vertical="center"/>
    </xf>
    <xf numFmtId="0" fontId="0" fillId="37" borderId="24" xfId="0" applyFill="1" applyBorder="1" applyAlignment="1">
      <alignment horizontal="center" vertical="center"/>
    </xf>
    <xf numFmtId="0" fontId="0" fillId="37" borderId="21" xfId="0" applyFill="1" applyBorder="1" applyAlignment="1">
      <alignment horizontal="center" vertical="center"/>
    </xf>
    <xf numFmtId="0" fontId="0" fillId="37" borderId="27" xfId="0" applyFill="1" applyBorder="1" applyAlignment="1">
      <alignment horizontal="center" vertical="center"/>
    </xf>
    <xf numFmtId="0" fontId="79" fillId="38" borderId="24" xfId="0" applyFont="1" applyFill="1" applyBorder="1" applyAlignment="1">
      <alignment horizontal="center" vertical="center"/>
    </xf>
    <xf numFmtId="0" fontId="79" fillId="38" borderId="21" xfId="0" applyFont="1" applyFill="1" applyBorder="1" applyAlignment="1">
      <alignment horizontal="center" vertical="center"/>
    </xf>
    <xf numFmtId="0" fontId="79" fillId="38" borderId="27" xfId="0" applyFont="1" applyFill="1" applyBorder="1" applyAlignment="1">
      <alignment horizontal="center" vertical="center"/>
    </xf>
    <xf numFmtId="0" fontId="65" fillId="0" borderId="0" xfId="0" applyFont="1" applyAlignment="1">
      <alignment horizontal="center" wrapText="1"/>
    </xf>
    <xf numFmtId="0" fontId="43" fillId="0" borderId="73" xfId="0" applyFont="1" applyBorder="1" applyAlignment="1">
      <alignment horizontal="center" wrapText="1"/>
    </xf>
    <xf numFmtId="0" fontId="43" fillId="0" borderId="74" xfId="0" applyFont="1" applyBorder="1" applyAlignment="1">
      <alignment horizontal="center" wrapText="1"/>
    </xf>
    <xf numFmtId="0" fontId="69" fillId="0" borderId="24" xfId="0" applyFont="1" applyBorder="1" applyAlignment="1">
      <alignment horizontal="center" wrapText="1"/>
    </xf>
    <xf numFmtId="0" fontId="69" fillId="0" borderId="25" xfId="0" applyFont="1" applyBorder="1" applyAlignment="1">
      <alignment horizontal="center" wrapText="1"/>
    </xf>
    <xf numFmtId="0" fontId="69" fillId="0" borderId="26" xfId="0" applyFont="1" applyBorder="1" applyAlignment="1">
      <alignment horizontal="center" wrapText="1"/>
    </xf>
    <xf numFmtId="0" fontId="43" fillId="0" borderId="0" xfId="0" applyFont="1" applyAlignment="1">
      <alignment horizontal="left" vertical="center" wrapText="1"/>
    </xf>
    <xf numFmtId="0" fontId="67" fillId="4" borderId="69" xfId="4" applyFont="1" applyBorder="1" applyAlignment="1">
      <alignment horizontal="center" wrapText="1"/>
    </xf>
    <xf numFmtId="0" fontId="67" fillId="4" borderId="35" xfId="4" applyFont="1" applyBorder="1" applyAlignment="1">
      <alignment horizontal="center" wrapText="1"/>
    </xf>
    <xf numFmtId="0" fontId="0" fillId="0" borderId="3" xfId="0" applyBorder="1" applyAlignment="1">
      <alignment horizontal="center" vertical="center" wrapText="1"/>
    </xf>
    <xf numFmtId="0" fontId="23" fillId="9" borderId="3" xfId="13" applyBorder="1" applyAlignment="1">
      <alignment horizontal="center"/>
    </xf>
    <xf numFmtId="0" fontId="23" fillId="9" borderId="47" xfId="13" applyBorder="1" applyAlignment="1">
      <alignment horizontal="center"/>
    </xf>
    <xf numFmtId="0" fontId="0" fillId="0" borderId="84" xfId="0" applyBorder="1" applyAlignment="1">
      <alignment horizontal="center" vertical="center" textRotation="90"/>
    </xf>
    <xf numFmtId="0" fontId="0" fillId="0" borderId="93" xfId="0" applyBorder="1" applyAlignment="1">
      <alignment horizontal="center" vertical="center" textRotation="90"/>
    </xf>
    <xf numFmtId="0" fontId="0" fillId="0" borderId="59" xfId="0" applyBorder="1" applyAlignment="1">
      <alignment horizontal="center" vertical="center" textRotation="90"/>
    </xf>
    <xf numFmtId="0" fontId="79" fillId="43" borderId="0" xfId="0" applyFont="1" applyFill="1" applyAlignment="1">
      <alignment horizontal="center" wrapText="1"/>
    </xf>
    <xf numFmtId="0" fontId="79" fillId="43" borderId="30" xfId="0" applyFont="1" applyFill="1" applyBorder="1" applyAlignment="1">
      <alignment horizontal="center" wrapText="1"/>
    </xf>
    <xf numFmtId="0" fontId="79" fillId="42" borderId="0" xfId="0" applyFont="1" applyFill="1" applyAlignment="1">
      <alignment horizontal="center" wrapText="1"/>
    </xf>
    <xf numFmtId="0" fontId="79" fillId="42" borderId="30" xfId="0" applyFont="1" applyFill="1" applyBorder="1" applyAlignment="1">
      <alignment horizontal="center" wrapText="1"/>
    </xf>
    <xf numFmtId="0" fontId="0" fillId="0" borderId="0" xfId="0" applyAlignment="1">
      <alignment horizontal="center" wrapText="1"/>
    </xf>
    <xf numFmtId="0" fontId="13" fillId="0" borderId="3" xfId="0" applyFont="1" applyBorder="1" applyAlignment="1">
      <alignment horizontal="center" wrapText="1"/>
    </xf>
    <xf numFmtId="0" fontId="0" fillId="0" borderId="3" xfId="0" applyBorder="1" applyAlignment="1">
      <alignment horizontal="center" wrapText="1"/>
    </xf>
    <xf numFmtId="0" fontId="29" fillId="0" borderId="10" xfId="0" applyFont="1" applyBorder="1" applyAlignment="1">
      <alignment horizontal="center" wrapText="1"/>
    </xf>
    <xf numFmtId="0" fontId="69" fillId="0" borderId="31" xfId="0" applyFont="1" applyBorder="1" applyAlignment="1">
      <alignment horizontal="center" vertical="center" wrapText="1"/>
    </xf>
    <xf numFmtId="0" fontId="38" fillId="0" borderId="6" xfId="0" applyFont="1" applyBorder="1" applyAlignment="1">
      <alignment horizontal="left"/>
    </xf>
    <xf numFmtId="0" fontId="38" fillId="0" borderId="7" xfId="0" applyFont="1" applyBorder="1" applyAlignment="1">
      <alignment horizontal="left"/>
    </xf>
    <xf numFmtId="0" fontId="38" fillId="0" borderId="8" xfId="0" applyFont="1" applyBorder="1" applyAlignment="1">
      <alignment horizontal="left"/>
    </xf>
    <xf numFmtId="0" fontId="38" fillId="0" borderId="9" xfId="0" applyFont="1" applyBorder="1" applyAlignment="1">
      <alignment horizontal="center"/>
    </xf>
    <xf numFmtId="0" fontId="38" fillId="0" borderId="10" xfId="0" applyFont="1" applyBorder="1" applyAlignment="1">
      <alignment horizontal="center"/>
    </xf>
    <xf numFmtId="0" fontId="75" fillId="9" borderId="0" xfId="13" applyFont="1" applyAlignment="1">
      <alignment horizontal="center" wrapText="1"/>
    </xf>
    <xf numFmtId="0" fontId="0" fillId="0" borderId="0" xfId="0" applyAlignment="1">
      <alignment horizontal="center"/>
    </xf>
    <xf numFmtId="0" fontId="0" fillId="0" borderId="47" xfId="0" applyBorder="1" applyAlignment="1">
      <alignment horizontal="center"/>
    </xf>
    <xf numFmtId="0" fontId="24" fillId="0" borderId="0" xfId="0" applyFont="1" applyAlignment="1">
      <alignment horizontal="center" wrapText="1"/>
    </xf>
  </cellXfs>
  <cellStyles count="26">
    <cellStyle name="20% - Accent4" xfId="11" builtinId="42"/>
    <cellStyle name="20% - Accent5" xfId="18" builtinId="46" hidden="1"/>
    <cellStyle name="40% - Accent4" xfId="17" builtinId="43"/>
    <cellStyle name="40% - Accent5" xfId="19" builtinId="47"/>
    <cellStyle name="Accent3" xfId="9" builtinId="37"/>
    <cellStyle name="Accent4" xfId="16" builtinId="41"/>
    <cellStyle name="Bad" xfId="3" builtinId="27" hidden="1"/>
    <cellStyle name="Calculation" xfId="5" builtinId="22"/>
    <cellStyle name="Comma" xfId="12" builtinId="3"/>
    <cellStyle name="Currency" xfId="1" builtinId="4"/>
    <cellStyle name="EVs" xfId="21" xr:uid="{00000000-0005-0000-0000-00000A000000}"/>
    <cellStyle name="Fuel Cell" xfId="20" xr:uid="{00000000-0005-0000-0000-00000B000000}"/>
    <cellStyle name="Good" xfId="2" builtinId="26" hidden="1"/>
    <cellStyle name="Heading 1" xfId="14" builtinId="16"/>
    <cellStyle name="Heading 4" xfId="15" builtinId="19"/>
    <cellStyle name="Hyperlink" xfId="7" builtinId="8"/>
    <cellStyle name="ICE" xfId="24" xr:uid="{00000000-0005-0000-0000-000011000000}"/>
    <cellStyle name="Input" xfId="4" builtinId="20"/>
    <cellStyle name="MCC" xfId="23" xr:uid="{00000000-0005-0000-0000-000013000000}"/>
    <cellStyle name="Natural Gas" xfId="22" xr:uid="{00000000-0005-0000-0000-000014000000}"/>
    <cellStyle name="Neutral" xfId="13" builtinId="28"/>
    <cellStyle name="Normal" xfId="0" builtinId="0"/>
    <cellStyle name="Normal 2" xfId="25" xr:uid="{1A374989-9C09-44C3-BA77-CEE7A20655B5}"/>
    <cellStyle name="Note" xfId="6" builtinId="10"/>
    <cellStyle name="Output" xfId="8" builtinId="21"/>
    <cellStyle name="Percent" xfId="10" builtinId="5"/>
  </cellStyles>
  <dxfs count="5">
    <dxf>
      <fill>
        <patternFill>
          <bgColor rgb="FF92D050"/>
        </patternFill>
      </fill>
    </dxf>
    <dxf>
      <fill>
        <patternFill>
          <bgColor rgb="FF92D050"/>
        </patternFill>
      </fill>
    </dxf>
    <dxf>
      <fill>
        <patternFill>
          <bgColor rgb="FF92D050"/>
        </patternFill>
      </fill>
    </dxf>
    <dxf>
      <font>
        <color rgb="FF0033A0"/>
      </font>
      <fill>
        <patternFill>
          <bgColor rgb="FF92D050"/>
        </patternFill>
      </fill>
    </dxf>
    <dxf>
      <font>
        <b/>
        <i val="0"/>
        <color rgb="FFC00000"/>
      </font>
      <fill>
        <patternFill patternType="none">
          <bgColor auto="1"/>
        </patternFill>
      </fill>
    </dxf>
  </dxfs>
  <tableStyles count="0" defaultTableStyle="TableStyleMedium2" defaultPivotStyle="PivotStyleLight16"/>
  <colors>
    <mruColors>
      <color rgb="FF00A3E0"/>
      <color rgb="FFF05F41"/>
      <color rgb="FF0000FF"/>
      <color rgb="FF5F6369"/>
      <color rgb="FF00843D"/>
      <color rgb="FF84BD00"/>
      <color rgb="FF0033A0"/>
      <color rgb="FF643278"/>
      <color rgb="FFEAEA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7.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9.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3.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4.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9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'TCO Calculation'!$S$13</c:f>
              <c:strCache>
                <c:ptCount val="1"/>
                <c:pt idx="0">
                  <c:v>Breakeven Carbon Tax </c:v>
                </c:pt>
              </c:strCache>
            </c:strRef>
          </c:tx>
          <c:spPr>
            <a:solidFill>
              <a:schemeClr val="accent1"/>
            </a:solidFill>
            <a:ln>
              <a:noFill/>
            </a:ln>
            <a:effectLst/>
          </c:spPr>
          <c:invertIfNegative val="0"/>
          <c:dPt>
            <c:idx val="3"/>
            <c:invertIfNegative val="0"/>
            <c:bubble3D val="0"/>
            <c:spPr>
              <a:solidFill>
                <a:srgbClr val="0070C0"/>
              </a:solidFill>
              <a:ln>
                <a:noFill/>
              </a:ln>
              <a:effectLst/>
            </c:spPr>
            <c:extLst>
              <c:ext xmlns:c16="http://schemas.microsoft.com/office/drawing/2014/chart" uri="{C3380CC4-5D6E-409C-BE32-E72D297353CC}">
                <c16:uniqueId val="{00000005-15F2-4DD8-92BE-0D48D4873456}"/>
              </c:ext>
            </c:extLst>
          </c:dPt>
          <c:dPt>
            <c:idx val="4"/>
            <c:invertIfNegative val="0"/>
            <c:bubble3D val="0"/>
            <c:spPr>
              <a:solidFill>
                <a:srgbClr val="00B050"/>
              </a:solidFill>
              <a:ln>
                <a:noFill/>
              </a:ln>
              <a:effectLst/>
            </c:spPr>
            <c:extLst>
              <c:ext xmlns:c16="http://schemas.microsoft.com/office/drawing/2014/chart" uri="{C3380CC4-5D6E-409C-BE32-E72D297353CC}">
                <c16:uniqueId val="{00000006-355F-4B77-A77A-76CF0E5170A2}"/>
              </c:ext>
            </c:extLst>
          </c:dPt>
          <c:dPt>
            <c:idx val="11"/>
            <c:invertIfNegative val="0"/>
            <c:bubble3D val="0"/>
            <c:spPr>
              <a:solidFill>
                <a:srgbClr val="0070C0"/>
              </a:solidFill>
              <a:ln>
                <a:noFill/>
              </a:ln>
              <a:effectLst/>
            </c:spPr>
            <c:extLst>
              <c:ext xmlns:c16="http://schemas.microsoft.com/office/drawing/2014/chart" uri="{C3380CC4-5D6E-409C-BE32-E72D297353CC}">
                <c16:uniqueId val="{00000003-23B0-413E-8467-8FBA62FA20E5}"/>
              </c:ext>
            </c:extLst>
          </c:dPt>
          <c:dPt>
            <c:idx val="12"/>
            <c:invertIfNegative val="0"/>
            <c:bubble3D val="0"/>
            <c:spPr>
              <a:solidFill>
                <a:srgbClr val="00B050"/>
              </a:solidFill>
              <a:ln>
                <a:noFill/>
              </a:ln>
              <a:effectLst/>
            </c:spPr>
            <c:extLst>
              <c:ext xmlns:c16="http://schemas.microsoft.com/office/drawing/2014/chart" uri="{C3380CC4-5D6E-409C-BE32-E72D297353CC}">
                <c16:uniqueId val="{00000007-355F-4B77-A77A-76CF0E5170A2}"/>
              </c:ext>
            </c:extLst>
          </c:dPt>
          <c:dPt>
            <c:idx val="19"/>
            <c:invertIfNegative val="0"/>
            <c:bubble3D val="0"/>
            <c:spPr>
              <a:solidFill>
                <a:srgbClr val="0070C0"/>
              </a:solidFill>
              <a:ln>
                <a:noFill/>
              </a:ln>
              <a:effectLst/>
            </c:spPr>
            <c:extLst>
              <c:ext xmlns:c16="http://schemas.microsoft.com/office/drawing/2014/chart" uri="{C3380CC4-5D6E-409C-BE32-E72D297353CC}">
                <c16:uniqueId val="{00000005-23B0-413E-8467-8FBA62FA20E5}"/>
              </c:ext>
            </c:extLst>
          </c:dPt>
          <c:dPt>
            <c:idx val="20"/>
            <c:invertIfNegative val="0"/>
            <c:bubble3D val="0"/>
            <c:spPr>
              <a:solidFill>
                <a:srgbClr val="00B050"/>
              </a:solidFill>
              <a:ln>
                <a:noFill/>
              </a:ln>
              <a:effectLst/>
            </c:spPr>
            <c:extLst>
              <c:ext xmlns:c16="http://schemas.microsoft.com/office/drawing/2014/chart" uri="{C3380CC4-5D6E-409C-BE32-E72D297353CC}">
                <c16:uniqueId val="{00000008-355F-4B77-A77A-76CF0E5170A2}"/>
              </c:ext>
            </c:extLst>
          </c:dPt>
          <c:cat>
            <c:numRef>
              <c:f>'TCO Calculation'!$N$14:$N$36</c:f>
              <c:numCache>
                <c:formatCode>General</c:formatCode>
                <c:ptCount val="23"/>
                <c:pt idx="0">
                  <c:v>3</c:v>
                </c:pt>
                <c:pt idx="1">
                  <c:v>4</c:v>
                </c:pt>
                <c:pt idx="2">
                  <c:v>5</c:v>
                </c:pt>
                <c:pt idx="3">
                  <c:v>6</c:v>
                </c:pt>
                <c:pt idx="4">
                  <c:v>7</c:v>
                </c:pt>
                <c:pt idx="5">
                  <c:v>8</c:v>
                </c:pt>
                <c:pt idx="6">
                  <c:v>9</c:v>
                </c:pt>
                <c:pt idx="8">
                  <c:v>3</c:v>
                </c:pt>
                <c:pt idx="9">
                  <c:v>4</c:v>
                </c:pt>
                <c:pt idx="10">
                  <c:v>5</c:v>
                </c:pt>
                <c:pt idx="11">
                  <c:v>6</c:v>
                </c:pt>
                <c:pt idx="12">
                  <c:v>7</c:v>
                </c:pt>
                <c:pt idx="13">
                  <c:v>8</c:v>
                </c:pt>
                <c:pt idx="14">
                  <c:v>9</c:v>
                </c:pt>
                <c:pt idx="16">
                  <c:v>3</c:v>
                </c:pt>
                <c:pt idx="17">
                  <c:v>4</c:v>
                </c:pt>
                <c:pt idx="18">
                  <c:v>5</c:v>
                </c:pt>
                <c:pt idx="19">
                  <c:v>6</c:v>
                </c:pt>
                <c:pt idx="20">
                  <c:v>7</c:v>
                </c:pt>
                <c:pt idx="21">
                  <c:v>8</c:v>
                </c:pt>
                <c:pt idx="22">
                  <c:v>9</c:v>
                </c:pt>
              </c:numCache>
            </c:numRef>
          </c:cat>
          <c:val>
            <c:numRef>
              <c:f>'TCO Calculation'!$S$14:$S$36</c:f>
              <c:numCache>
                <c:formatCode>0.0</c:formatCode>
                <c:ptCount val="23"/>
                <c:pt idx="0">
                  <c:v>116.35174195957704</c:v>
                </c:pt>
                <c:pt idx="1">
                  <c:v>138.66884420664528</c:v>
                </c:pt>
                <c:pt idx="2">
                  <c:v>161.04741803672221</c:v>
                </c:pt>
                <c:pt idx="3">
                  <c:v>183.4899618120906</c:v>
                </c:pt>
                <c:pt idx="4">
                  <c:v>205.98999917941867</c:v>
                </c:pt>
                <c:pt idx="5">
                  <c:v>228.55677583209061</c:v>
                </c:pt>
                <c:pt idx="6">
                  <c:v>251.18153696012033</c:v>
                </c:pt>
                <c:pt idx="8">
                  <c:v>96.3730282799267</c:v>
                </c:pt>
                <c:pt idx="9">
                  <c:v>111.99392270192983</c:v>
                </c:pt>
                <c:pt idx="10">
                  <c:v>127.65784426501135</c:v>
                </c:pt>
                <c:pt idx="11">
                  <c:v>143.36497098930442</c:v>
                </c:pt>
                <c:pt idx="12">
                  <c:v>159.1170569296429</c:v>
                </c:pt>
                <c:pt idx="13">
                  <c:v>174.90955692612906</c:v>
                </c:pt>
                <c:pt idx="14">
                  <c:v>190.74737712287546</c:v>
                </c:pt>
                <c:pt idx="16">
                  <c:v>85.847426871040412</c:v>
                </c:pt>
                <c:pt idx="17">
                  <c:v>97.954490331017752</c:v>
                </c:pt>
                <c:pt idx="18">
                  <c:v>110.08559737445768</c:v>
                </c:pt>
                <c:pt idx="19">
                  <c:v>122.24895204914985</c:v>
                </c:pt>
                <c:pt idx="20">
                  <c:v>134.44468329919445</c:v>
                </c:pt>
                <c:pt idx="21">
                  <c:v>146.6753661609707</c:v>
                </c:pt>
                <c:pt idx="22">
                  <c:v>158.94115103273234</c:v>
                </c:pt>
              </c:numCache>
            </c:numRef>
          </c:val>
          <c:extLst>
            <c:ext xmlns:c16="http://schemas.microsoft.com/office/drawing/2014/chart" uri="{C3380CC4-5D6E-409C-BE32-E72D297353CC}">
              <c16:uniqueId val="{00000000-B34F-4ED1-8DBA-00855D91B63B}"/>
            </c:ext>
          </c:extLst>
        </c:ser>
        <c:dLbls>
          <c:showLegendKey val="0"/>
          <c:showVal val="0"/>
          <c:showCatName val="0"/>
          <c:showSerName val="0"/>
          <c:showPercent val="0"/>
          <c:showBubbleSize val="0"/>
        </c:dLbls>
        <c:gapWidth val="219"/>
        <c:overlap val="-27"/>
        <c:axId val="768114360"/>
        <c:axId val="768115016"/>
      </c:barChart>
      <c:catAx>
        <c:axId val="768114360"/>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a:t>mpg</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68115016"/>
        <c:crosses val="autoZero"/>
        <c:auto val="1"/>
        <c:lblAlgn val="ctr"/>
        <c:lblOffset val="100"/>
        <c:noMultiLvlLbl val="0"/>
      </c:catAx>
      <c:valAx>
        <c:axId val="768115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a:t>$/tonne</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68114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32666405410823"/>
          <c:y val="7.4222374836585447E-2"/>
          <c:w val="0.84710973133042267"/>
          <c:h val="0.82718132334240269"/>
        </c:manualLayout>
      </c:layout>
      <c:barChart>
        <c:barDir val="col"/>
        <c:grouping val="stacked"/>
        <c:varyColors val="0"/>
        <c:ser>
          <c:idx val="0"/>
          <c:order val="0"/>
          <c:tx>
            <c:strRef>
              <c:f>'GHG Emissions'!$B$3</c:f>
              <c:strCache>
                <c:ptCount val="1"/>
                <c:pt idx="0">
                  <c:v>Vehicle Base</c:v>
                </c:pt>
              </c:strCache>
            </c:strRef>
          </c:tx>
          <c:spPr>
            <a:solidFill>
              <a:srgbClr val="5F6369"/>
            </a:solidFill>
            <a:ln>
              <a:noFill/>
            </a:ln>
            <a:effectLst/>
          </c:spPr>
          <c:invertIfNegative val="0"/>
          <c:cat>
            <c:strRef>
              <c:extLst>
                <c:ext xmlns:c15="http://schemas.microsoft.com/office/drawing/2012/chart" uri="{02D57815-91ED-43cb-92C2-25804820EDAC}">
                  <c15:fullRef>
                    <c15:sqref>'GHG Emissions'!$C$1:$I$1</c15:sqref>
                  </c15:fullRef>
                </c:ext>
              </c:extLst>
              <c:f>('GHG Emissions'!$C$1:$E$1,'GHG Emissions'!$G$1:$I$1)</c:f>
              <c:strCache>
                <c:ptCount val="6"/>
                <c:pt idx="0">
                  <c:v>Diesel</c:v>
                </c:pt>
                <c:pt idx="1">
                  <c:v>MCC 50%</c:v>
                </c:pt>
                <c:pt idx="2">
                  <c:v>MCC 90%</c:v>
                </c:pt>
                <c:pt idx="3">
                  <c:v>BEV 500 mile</c:v>
                </c:pt>
                <c:pt idx="4">
                  <c:v>H2 FCEV</c:v>
                </c:pt>
                <c:pt idx="5">
                  <c:v>H2 ICHEV</c:v>
                </c:pt>
              </c:strCache>
            </c:strRef>
          </c:cat>
          <c:val>
            <c:numRef>
              <c:extLst>
                <c:ext xmlns:c15="http://schemas.microsoft.com/office/drawing/2012/chart" uri="{02D57815-91ED-43cb-92C2-25804820EDAC}">
                  <c15:fullRef>
                    <c15:sqref>'GHG Emissions'!$C$20:$I$20</c15:sqref>
                  </c15:fullRef>
                </c:ext>
              </c:extLst>
              <c:f>('GHG Emissions'!$C$20:$E$20,'GHG Emissions'!$G$20:$I$20)</c:f>
              <c:numCache>
                <c:formatCode>0.0</c:formatCode>
                <c:ptCount val="6"/>
                <c:pt idx="0">
                  <c:v>69.979778037254874</c:v>
                </c:pt>
                <c:pt idx="1">
                  <c:v>69.979778037254874</c:v>
                </c:pt>
                <c:pt idx="2">
                  <c:v>69.979778037254874</c:v>
                </c:pt>
                <c:pt idx="3">
                  <c:v>67.414778037254877</c:v>
                </c:pt>
                <c:pt idx="4">
                  <c:v>67.414778037254877</c:v>
                </c:pt>
                <c:pt idx="5">
                  <c:v>69.723278037254872</c:v>
                </c:pt>
              </c:numCache>
            </c:numRef>
          </c:val>
          <c:extLst>
            <c:ext xmlns:c16="http://schemas.microsoft.com/office/drawing/2014/chart" uri="{C3380CC4-5D6E-409C-BE32-E72D297353CC}">
              <c16:uniqueId val="{00000000-67DA-46E0-8539-0B5DD994E614}"/>
            </c:ext>
          </c:extLst>
        </c:ser>
        <c:ser>
          <c:idx val="1"/>
          <c:order val="1"/>
          <c:tx>
            <c:strRef>
              <c:f>'GHG Emissions'!$B$4</c:f>
              <c:strCache>
                <c:ptCount val="1"/>
                <c:pt idx="0">
                  <c:v>Addition Technology</c:v>
                </c:pt>
              </c:strCache>
            </c:strRef>
          </c:tx>
          <c:spPr>
            <a:solidFill>
              <a:srgbClr val="00A3E0"/>
            </a:solidFill>
            <a:ln>
              <a:noFill/>
            </a:ln>
            <a:effectLst/>
          </c:spPr>
          <c:invertIfNegative val="0"/>
          <c:cat>
            <c:strRef>
              <c:extLst>
                <c:ext xmlns:c15="http://schemas.microsoft.com/office/drawing/2012/chart" uri="{02D57815-91ED-43cb-92C2-25804820EDAC}">
                  <c15:fullRef>
                    <c15:sqref>'GHG Emissions'!$C$1:$I$1</c15:sqref>
                  </c15:fullRef>
                </c:ext>
              </c:extLst>
              <c:f>('GHG Emissions'!$C$1:$E$1,'GHG Emissions'!$G$1:$I$1)</c:f>
              <c:strCache>
                <c:ptCount val="6"/>
                <c:pt idx="0">
                  <c:v>Diesel</c:v>
                </c:pt>
                <c:pt idx="1">
                  <c:v>MCC 50%</c:v>
                </c:pt>
                <c:pt idx="2">
                  <c:v>MCC 90%</c:v>
                </c:pt>
                <c:pt idx="3">
                  <c:v>BEV 500 mile</c:v>
                </c:pt>
                <c:pt idx="4">
                  <c:v>H2 FCEV</c:v>
                </c:pt>
                <c:pt idx="5">
                  <c:v>H2 ICHEV</c:v>
                </c:pt>
              </c:strCache>
            </c:strRef>
          </c:cat>
          <c:val>
            <c:numRef>
              <c:extLst>
                <c:ext xmlns:c15="http://schemas.microsoft.com/office/drawing/2012/chart" uri="{02D57815-91ED-43cb-92C2-25804820EDAC}">
                  <c15:fullRef>
                    <c15:sqref>'GHG Emissions'!$C$21:$I$21</c15:sqref>
                  </c15:fullRef>
                </c:ext>
              </c:extLst>
              <c:f>('GHG Emissions'!$C$21:$E$21,'GHG Emissions'!$G$21:$I$21)</c:f>
              <c:numCache>
                <c:formatCode>0.0</c:formatCode>
                <c:ptCount val="6"/>
                <c:pt idx="0">
                  <c:v>0</c:v>
                </c:pt>
                <c:pt idx="1">
                  <c:v>3.5100000000000051</c:v>
                </c:pt>
                <c:pt idx="2">
                  <c:v>7.8000000000000114</c:v>
                </c:pt>
                <c:pt idx="3">
                  <c:v>173.65722791301638</c:v>
                </c:pt>
                <c:pt idx="4">
                  <c:v>22.206536018467148</c:v>
                </c:pt>
                <c:pt idx="5">
                  <c:v>4.9170023816872543</c:v>
                </c:pt>
              </c:numCache>
            </c:numRef>
          </c:val>
          <c:extLst>
            <c:ext xmlns:c16="http://schemas.microsoft.com/office/drawing/2014/chart" uri="{C3380CC4-5D6E-409C-BE32-E72D297353CC}">
              <c16:uniqueId val="{00000001-67DA-46E0-8539-0B5DD994E614}"/>
            </c:ext>
          </c:extLst>
        </c:ser>
        <c:ser>
          <c:idx val="3"/>
          <c:order val="2"/>
          <c:tx>
            <c:strRef>
              <c:f>'GHG Emissions'!$B$22</c:f>
              <c:strCache>
                <c:ptCount val="1"/>
                <c:pt idx="0">
                  <c:v>Fuel Production (Well to Tank)</c:v>
                </c:pt>
              </c:strCache>
            </c:strRef>
          </c:tx>
          <c:spPr>
            <a:solidFill>
              <a:srgbClr val="92D050"/>
            </a:solidFill>
            <a:ln>
              <a:noFill/>
            </a:ln>
            <a:effectLst/>
          </c:spPr>
          <c:invertIfNegative val="0"/>
          <c:cat>
            <c:strRef>
              <c:extLst>
                <c:ext xmlns:c15="http://schemas.microsoft.com/office/drawing/2012/chart" uri="{02D57815-91ED-43cb-92C2-25804820EDAC}">
                  <c15:fullRef>
                    <c15:sqref>'GHG Emissions'!$C$1:$I$1</c15:sqref>
                  </c15:fullRef>
                </c:ext>
              </c:extLst>
              <c:f>('GHG Emissions'!$C$1:$E$1,'GHG Emissions'!$G$1:$I$1)</c:f>
              <c:strCache>
                <c:ptCount val="6"/>
                <c:pt idx="0">
                  <c:v>Diesel</c:v>
                </c:pt>
                <c:pt idx="1">
                  <c:v>MCC 50%</c:v>
                </c:pt>
                <c:pt idx="2">
                  <c:v>MCC 90%</c:v>
                </c:pt>
                <c:pt idx="3">
                  <c:v>BEV 500 mile</c:v>
                </c:pt>
                <c:pt idx="4">
                  <c:v>H2 FCEV</c:v>
                </c:pt>
                <c:pt idx="5">
                  <c:v>H2 ICHEV</c:v>
                </c:pt>
              </c:strCache>
            </c:strRef>
          </c:cat>
          <c:val>
            <c:numRef>
              <c:extLst>
                <c:ext xmlns:c15="http://schemas.microsoft.com/office/drawing/2012/chart" uri="{02D57815-91ED-43cb-92C2-25804820EDAC}">
                  <c15:fullRef>
                    <c15:sqref>'GHG Emissions'!$C$22:$I$22</c15:sqref>
                  </c15:fullRef>
                </c:ext>
              </c:extLst>
              <c:f>('GHG Emissions'!$C$22:$E$22,'GHG Emissions'!$G$22:$I$22)</c:f>
              <c:numCache>
                <c:formatCode>0.0</c:formatCode>
                <c:ptCount val="6"/>
                <c:pt idx="0">
                  <c:v>144.69281608024079</c:v>
                </c:pt>
                <c:pt idx="1">
                  <c:v>149.67024895340106</c:v>
                </c:pt>
                <c:pt idx="2">
                  <c:v>179.20018907190715</c:v>
                </c:pt>
                <c:pt idx="3">
                  <c:v>1208.3212957558792</c:v>
                </c:pt>
                <c:pt idx="4">
                  <c:v>775.26861796447758</c:v>
                </c:pt>
                <c:pt idx="5">
                  <c:v>876.39061161201835</c:v>
                </c:pt>
              </c:numCache>
            </c:numRef>
          </c:val>
          <c:extLst>
            <c:ext xmlns:c16="http://schemas.microsoft.com/office/drawing/2014/chart" uri="{C3380CC4-5D6E-409C-BE32-E72D297353CC}">
              <c16:uniqueId val="{00000002-67DA-46E0-8539-0B5DD994E614}"/>
            </c:ext>
          </c:extLst>
        </c:ser>
        <c:ser>
          <c:idx val="2"/>
          <c:order val="3"/>
          <c:tx>
            <c:strRef>
              <c:f>'GHG Emissions'!$B$23</c:f>
              <c:strCache>
                <c:ptCount val="1"/>
                <c:pt idx="0">
                  <c:v>Fuel Utilization (Tank to Wheel)</c:v>
                </c:pt>
              </c:strCache>
            </c:strRef>
          </c:tx>
          <c:spPr>
            <a:solidFill>
              <a:srgbClr val="00843D"/>
            </a:solidFill>
            <a:ln>
              <a:noFill/>
            </a:ln>
            <a:effectLst/>
          </c:spPr>
          <c:invertIfNegative val="0"/>
          <c:cat>
            <c:strRef>
              <c:extLst>
                <c:ext xmlns:c15="http://schemas.microsoft.com/office/drawing/2012/chart" uri="{02D57815-91ED-43cb-92C2-25804820EDAC}">
                  <c15:fullRef>
                    <c15:sqref>'GHG Emissions'!$C$1:$I$1</c15:sqref>
                  </c15:fullRef>
                </c:ext>
              </c:extLst>
              <c:f>('GHG Emissions'!$C$1:$E$1,'GHG Emissions'!$G$1:$I$1)</c:f>
              <c:strCache>
                <c:ptCount val="6"/>
                <c:pt idx="0">
                  <c:v>Diesel</c:v>
                </c:pt>
                <c:pt idx="1">
                  <c:v>MCC 50%</c:v>
                </c:pt>
                <c:pt idx="2">
                  <c:v>MCC 90%</c:v>
                </c:pt>
                <c:pt idx="3">
                  <c:v>BEV 500 mile</c:v>
                </c:pt>
                <c:pt idx="4">
                  <c:v>H2 FCEV</c:v>
                </c:pt>
                <c:pt idx="5">
                  <c:v>H2 ICHEV</c:v>
                </c:pt>
              </c:strCache>
            </c:strRef>
          </c:cat>
          <c:val>
            <c:numRef>
              <c:extLst>
                <c:ext xmlns:c15="http://schemas.microsoft.com/office/drawing/2012/chart" uri="{02D57815-91ED-43cb-92C2-25804820EDAC}">
                  <c15:fullRef>
                    <c15:sqref>'GHG Emissions'!$C$23:$I$23</c15:sqref>
                  </c15:fullRef>
                </c:ext>
              </c:extLst>
              <c:f>('GHG Emissions'!$C$23:$E$23,'GHG Emissions'!$G$23:$I$23)</c:f>
              <c:numCache>
                <c:formatCode>0.0</c:formatCode>
                <c:ptCount val="6"/>
                <c:pt idx="0">
                  <c:v>1207.1463451712182</c:v>
                </c:pt>
                <c:pt idx="1">
                  <c:v>624.33608972255411</c:v>
                </c:pt>
                <c:pt idx="2">
                  <c:v>149.50352004496276</c:v>
                </c:pt>
              </c:numCache>
            </c:numRef>
          </c:val>
          <c:extLst>
            <c:ext xmlns:c16="http://schemas.microsoft.com/office/drawing/2014/chart" uri="{C3380CC4-5D6E-409C-BE32-E72D297353CC}">
              <c16:uniqueId val="{00000003-67DA-46E0-8539-0B5DD994E614}"/>
            </c:ext>
          </c:extLst>
        </c:ser>
        <c:dLbls>
          <c:showLegendKey val="0"/>
          <c:showVal val="0"/>
          <c:showCatName val="0"/>
          <c:showSerName val="0"/>
          <c:showPercent val="0"/>
          <c:showBubbleSize val="0"/>
        </c:dLbls>
        <c:gapWidth val="150"/>
        <c:overlap val="100"/>
        <c:axId val="639655215"/>
        <c:axId val="639655695"/>
      </c:barChart>
      <c:lineChart>
        <c:grouping val="standard"/>
        <c:varyColors val="0"/>
        <c:ser>
          <c:idx val="4"/>
          <c:order val="4"/>
          <c:tx>
            <c:v>Total</c:v>
          </c:tx>
          <c:spPr>
            <a:ln w="25400" cap="rnd">
              <a:noFill/>
              <a:round/>
            </a:ln>
            <a:effectLst/>
          </c:spPr>
          <c:marker>
            <c:symbol val="x"/>
            <c:size val="5"/>
            <c:spPr>
              <a:noFill/>
              <a:ln w="12700">
                <a:solidFill>
                  <a:schemeClr val="tx1"/>
                </a:solidFill>
              </a:ln>
              <a:effectLst/>
            </c:spPr>
          </c:marker>
          <c:dLbls>
            <c:dLbl>
              <c:idx val="0"/>
              <c:tx>
                <c:rich>
                  <a:bodyPr/>
                  <a:lstStyle/>
                  <a:p>
                    <a:fld id="{5DBCAF0E-417B-450C-A268-3B7175C3578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67DA-46E0-8539-0B5DD994E614}"/>
                </c:ext>
              </c:extLst>
            </c:dLbl>
            <c:dLbl>
              <c:idx val="1"/>
              <c:tx>
                <c:rich>
                  <a:bodyPr/>
                  <a:lstStyle/>
                  <a:p>
                    <a:fld id="{268F22B2-E094-4AFB-9D2A-99596BC0D60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7DA-46E0-8539-0B5DD994E614}"/>
                </c:ext>
              </c:extLst>
            </c:dLbl>
            <c:dLbl>
              <c:idx val="2"/>
              <c:tx>
                <c:rich>
                  <a:bodyPr/>
                  <a:lstStyle/>
                  <a:p>
                    <a:fld id="{B029C050-632C-4CBB-A899-C74E6B130D2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7DA-46E0-8539-0B5DD994E614}"/>
                </c:ext>
              </c:extLst>
            </c:dLbl>
            <c:dLbl>
              <c:idx val="3"/>
              <c:tx>
                <c:rich>
                  <a:bodyPr/>
                  <a:lstStyle/>
                  <a:p>
                    <a:fld id="{457FBC73-908D-43B5-B539-08FBC6FCB00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7DA-46E0-8539-0B5DD994E614}"/>
                </c:ext>
              </c:extLst>
            </c:dLbl>
            <c:dLbl>
              <c:idx val="4"/>
              <c:tx>
                <c:rich>
                  <a:bodyPr/>
                  <a:lstStyle/>
                  <a:p>
                    <a:fld id="{2478FFCF-5938-4698-AD80-18A5A00F1A9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7DA-46E0-8539-0B5DD994E614}"/>
                </c:ext>
              </c:extLst>
            </c:dLbl>
            <c:dLbl>
              <c:idx val="5"/>
              <c:tx>
                <c:rich>
                  <a:bodyPr/>
                  <a:lstStyle/>
                  <a:p>
                    <a:fld id="{66E3DDD8-06FE-4434-8146-9198208A4A1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7DA-46E0-8539-0B5DD994E614}"/>
                </c:ext>
              </c:extLst>
            </c:dLbl>
            <c:numFmt formatCode="[Red]\+0.0%;[Blue]\-0.0%" sourceLinked="0"/>
            <c:spPr>
              <a:solidFill>
                <a:schemeClr val="bg1">
                  <a:alpha val="60000"/>
                </a:schemeClr>
              </a:solidFill>
              <a:ln>
                <a:noFill/>
              </a:ln>
              <a:effectLst/>
            </c:spPr>
            <c:txPr>
              <a:bodyPr rot="0" vert="horz"/>
              <a:lstStyle/>
              <a:p>
                <a:pPr>
                  <a:defRPr sz="2000"/>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15:leaderLines>
                  <c:spPr>
                    <a:ln w="9525" cap="flat" cmpd="sng" algn="ctr">
                      <a:solidFill>
                        <a:schemeClr val="tx1">
                          <a:lumMod val="35000"/>
                          <a:lumOff val="65000"/>
                        </a:schemeClr>
                      </a:solidFill>
                      <a:round/>
                    </a:ln>
                    <a:effectLst/>
                  </c:spPr>
                </c15:leaderLines>
              </c:ext>
            </c:extLst>
          </c:dLbls>
          <c:errBars>
            <c:errDir val="y"/>
            <c:errBarType val="both"/>
            <c:errValType val="cust"/>
            <c:noEndCap val="0"/>
            <c:plus>
              <c:numRef>
                <c:extLst>
                  <c:ext xmlns:c15="http://schemas.microsoft.com/office/drawing/2012/chart" uri="{02D57815-91ED-43cb-92C2-25804820EDAC}">
                    <c15:fullRef>
                      <c15:sqref>'GHG Emissions'!$C$37:$I$37</c15:sqref>
                    </c15:fullRef>
                  </c:ext>
                </c:extLst>
                <c:f>('GHG Emissions'!$C$37:$E$37,'GHG Emissions'!$G$37:$I$37)</c:f>
                <c:numCache>
                  <c:formatCode>General</c:formatCode>
                  <c:ptCount val="6"/>
                  <c:pt idx="0">
                    <c:v>50.37757918674231</c:v>
                  </c:pt>
                  <c:pt idx="1">
                    <c:v>50.37757918674231</c:v>
                  </c:pt>
                  <c:pt idx="2">
                    <c:v>50.37757918674231</c:v>
                  </c:pt>
                  <c:pt idx="3">
                    <c:v>800.42935455466113</c:v>
                  </c:pt>
                  <c:pt idx="4">
                    <c:v>168.01614883468721</c:v>
                  </c:pt>
                  <c:pt idx="5">
                    <c:v>189.93129868269</c:v>
                  </c:pt>
                </c:numCache>
              </c:numRef>
            </c:plus>
            <c:minus>
              <c:numRef>
                <c:extLst>
                  <c:ext xmlns:c15="http://schemas.microsoft.com/office/drawing/2012/chart" uri="{02D57815-91ED-43cb-92C2-25804820EDAC}">
                    <c15:fullRef>
                      <c15:sqref>'GHG Emissions'!$C$38:$I$38</c15:sqref>
                    </c15:fullRef>
                  </c:ext>
                </c:extLst>
                <c:f>('GHG Emissions'!$C$38:$E$38,'GHG Emissions'!$G$38:$I$38)</c:f>
                <c:numCache>
                  <c:formatCode>General</c:formatCode>
                  <c:ptCount val="6"/>
                  <c:pt idx="0">
                    <c:v>50.37757918674231</c:v>
                  </c:pt>
                  <c:pt idx="1">
                    <c:v>50.37757918674231</c:v>
                  </c:pt>
                  <c:pt idx="2">
                    <c:v>50.37757918674231</c:v>
                  </c:pt>
                  <c:pt idx="3">
                    <c:v>1186.3354095173154</c:v>
                  </c:pt>
                  <c:pt idx="4">
                    <c:v>672.0645953387484</c:v>
                  </c:pt>
                  <c:pt idx="5">
                    <c:v>759.7251947307592</c:v>
                  </c:pt>
                </c:numCache>
              </c:numRef>
            </c:minus>
            <c:spPr>
              <a:noFill/>
              <a:ln w="12700" cap="flat" cmpd="sng" algn="ctr">
                <a:solidFill>
                  <a:schemeClr val="tx1"/>
                </a:solidFill>
                <a:round/>
              </a:ln>
              <a:effectLst/>
            </c:spPr>
          </c:errBars>
          <c:cat>
            <c:strLit>
              <c:ptCount val="6"/>
              <c:pt idx="0">
                <c:v>Diesel</c:v>
              </c:pt>
              <c:pt idx="1">
                <c:v>MCC 50%</c:v>
              </c:pt>
              <c:pt idx="2">
                <c:v>MCC 90%</c:v>
              </c:pt>
              <c:pt idx="3">
                <c:v>BEV 500 mile</c:v>
              </c:pt>
              <c:pt idx="4">
                <c:v>H2 FCEV</c:v>
              </c:pt>
              <c:pt idx="5">
                <c:v>H2 ICHEV</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'GHG Emissions'!$C$24:$I$24</c15:sqref>
                  </c15:fullRef>
                </c:ext>
              </c:extLst>
              <c:f>('GHG Emissions'!$C$24:$E$24,'GHG Emissions'!$G$24:$I$24)</c:f>
              <c:numCache>
                <c:formatCode>0</c:formatCode>
                <c:ptCount val="6"/>
                <c:pt idx="0">
                  <c:v>1421.8189392887139</c:v>
                </c:pt>
                <c:pt idx="1">
                  <c:v>847.49611671321009</c:v>
                </c:pt>
                <c:pt idx="2">
                  <c:v>406.48348715412476</c:v>
                </c:pt>
                <c:pt idx="3">
                  <c:v>1449.3933017061504</c:v>
                </c:pt>
                <c:pt idx="4">
                  <c:v>864.88993202019958</c:v>
                </c:pt>
                <c:pt idx="5">
                  <c:v>951.03089203096044</c:v>
                </c:pt>
              </c:numCache>
            </c:numRef>
          </c:val>
          <c:smooth val="0"/>
          <c:extLst>
            <c:ext xmlns:c15="http://schemas.microsoft.com/office/drawing/2012/chart" uri="{02D57815-91ED-43cb-92C2-25804820EDAC}">
              <c15:datalabelsRange>
                <c15:f>'GHG Emissions'!$C$25:$I$25</c15:f>
                <c15:dlblRangeCache>
                  <c:ptCount val="7"/>
                  <c:pt idx="1">
                    <c:v>-40.4%</c:v>
                  </c:pt>
                  <c:pt idx="2">
                    <c:v>-71.4%</c:v>
                  </c:pt>
                  <c:pt idx="3">
                    <c:v>-5.6%</c:v>
                  </c:pt>
                  <c:pt idx="4">
                    <c:v>+1.9%</c:v>
                  </c:pt>
                  <c:pt idx="5">
                    <c:v>-39.2%</c:v>
                  </c:pt>
                  <c:pt idx="6">
                    <c:v>-33.1%</c:v>
                  </c:pt>
                </c15:dlblRangeCache>
              </c15:datalabelsRange>
            </c:ext>
            <c:ext xmlns:c16="http://schemas.microsoft.com/office/drawing/2014/chart" uri="{C3380CC4-5D6E-409C-BE32-E72D297353CC}">
              <c16:uniqueId val="{00000004-67DA-46E0-8539-0B5DD994E614}"/>
            </c:ext>
          </c:extLst>
        </c:ser>
        <c:dLbls>
          <c:showLegendKey val="0"/>
          <c:showVal val="0"/>
          <c:showCatName val="0"/>
          <c:showSerName val="0"/>
          <c:showPercent val="0"/>
          <c:showBubbleSize val="0"/>
        </c:dLbls>
        <c:marker val="1"/>
        <c:smooth val="0"/>
        <c:axId val="639655215"/>
        <c:axId val="639655695"/>
      </c:lineChart>
      <c:catAx>
        <c:axId val="639655215"/>
        <c:scaling>
          <c:orientation val="minMax"/>
        </c:scaling>
        <c:delete val="0"/>
        <c:axPos val="b"/>
        <c:numFmt formatCode="General" sourceLinked="1"/>
        <c:majorTickMark val="none"/>
        <c:minorTickMark val="none"/>
        <c:tickLblPos val="nextTo"/>
        <c:spPr>
          <a:noFill/>
          <a:ln w="25400" cap="flat" cmpd="sng" algn="ctr">
            <a:solidFill>
              <a:schemeClr val="tx1"/>
            </a:solidFill>
            <a:round/>
          </a:ln>
          <a:effectLst/>
        </c:spPr>
        <c:txPr>
          <a:bodyPr rot="-60000000" vert="horz"/>
          <a:lstStyle/>
          <a:p>
            <a:pPr>
              <a:defRPr sz="2000"/>
            </a:pPr>
            <a:endParaRPr lang="en-US"/>
          </a:p>
        </c:txPr>
        <c:crossAx val="639655695"/>
        <c:crosses val="autoZero"/>
        <c:auto val="1"/>
        <c:lblAlgn val="ctr"/>
        <c:lblOffset val="100"/>
        <c:noMultiLvlLbl val="0"/>
      </c:catAx>
      <c:valAx>
        <c:axId val="639655695"/>
        <c:scaling>
          <c:orientation val="minMax"/>
          <c:max val="3000"/>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2400"/>
                </a:pPr>
                <a:r>
                  <a:rPr lang="en-US" sz="2400"/>
                  <a:t>Life cycle GHG emissions [g/mile]</a:t>
                </a:r>
              </a:p>
            </c:rich>
          </c:tx>
          <c:layout>
            <c:manualLayout>
              <c:xMode val="edge"/>
              <c:yMode val="edge"/>
              <c:x val="5.1580289009855581E-3"/>
              <c:y val="0.10780312986950012"/>
            </c:manualLayout>
          </c:layout>
          <c:overlay val="0"/>
          <c:spPr>
            <a:noFill/>
            <a:ln>
              <a:noFill/>
            </a:ln>
            <a:effectLst/>
          </c:spPr>
        </c:title>
        <c:numFmt formatCode="0.0" sourceLinked="1"/>
        <c:majorTickMark val="none"/>
        <c:minorTickMark val="none"/>
        <c:tickLblPos val="nextTo"/>
        <c:spPr>
          <a:noFill/>
          <a:ln>
            <a:noFill/>
          </a:ln>
          <a:effectLst/>
        </c:spPr>
        <c:txPr>
          <a:bodyPr rot="-60000000" vert="horz"/>
          <a:lstStyle/>
          <a:p>
            <a:pPr>
              <a:defRPr sz="1800"/>
            </a:pPr>
            <a:endParaRPr lang="en-US"/>
          </a:p>
        </c:txPr>
        <c:crossAx val="639655215"/>
        <c:crosses val="autoZero"/>
        <c:crossBetween val="between"/>
      </c:valAx>
      <c:spPr>
        <a:noFill/>
        <a:ln w="25400">
          <a:solidFill>
            <a:schemeClr val="tx1"/>
          </a:solidFill>
        </a:ln>
        <a:effectLst/>
      </c:spPr>
    </c:plotArea>
    <c:legend>
      <c:legendPos val="b"/>
      <c:legendEntry>
        <c:idx val="4"/>
        <c:delete val="1"/>
      </c:legendEntry>
      <c:layout>
        <c:manualLayout>
          <c:xMode val="edge"/>
          <c:yMode val="edge"/>
          <c:x val="0.14809663605407591"/>
          <c:y val="9.0289495151667329E-2"/>
          <c:w val="0.38294737935959483"/>
          <c:h val="0.20065675279017589"/>
        </c:manualLayout>
      </c:layout>
      <c:overlay val="0"/>
      <c:spPr>
        <a:noFill/>
        <a:ln>
          <a:noFill/>
        </a:ln>
        <a:effectLst/>
      </c:spPr>
      <c:txPr>
        <a:bodyPr rot="0" vert="horz"/>
        <a:lstStyle/>
        <a:p>
          <a:pPr>
            <a:defRPr sz="2000"/>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b="1">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262481719514453"/>
          <c:y val="2.8486062568042803E-2"/>
          <c:w val="0.79803704679655441"/>
          <c:h val="0.87140943756862976"/>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A3E0"/>
              </a:solidFill>
              <a:ln>
                <a:noFill/>
              </a:ln>
              <a:effectLst/>
            </c:spPr>
            <c:extLst>
              <c:ext xmlns:c16="http://schemas.microsoft.com/office/drawing/2014/chart" uri="{C3380CC4-5D6E-409C-BE32-E72D297353CC}">
                <c16:uniqueId val="{00000001-9634-4313-9585-DC41A03A4FA2}"/>
              </c:ext>
            </c:extLst>
          </c:dPt>
          <c:dPt>
            <c:idx val="1"/>
            <c:invertIfNegative val="0"/>
            <c:bubble3D val="0"/>
            <c:spPr>
              <a:solidFill>
                <a:srgbClr val="00A3E0"/>
              </a:solidFill>
              <a:ln>
                <a:noFill/>
              </a:ln>
              <a:effectLst/>
            </c:spPr>
            <c:extLst>
              <c:ext xmlns:c16="http://schemas.microsoft.com/office/drawing/2014/chart" uri="{C3380CC4-5D6E-409C-BE32-E72D297353CC}">
                <c16:uniqueId val="{00000003-9634-4313-9585-DC41A03A4FA2}"/>
              </c:ext>
            </c:extLst>
          </c:dPt>
          <c:dPt>
            <c:idx val="2"/>
            <c:invertIfNegative val="0"/>
            <c:bubble3D val="0"/>
            <c:spPr>
              <a:solidFill>
                <a:srgbClr val="92D050"/>
              </a:solidFill>
              <a:ln>
                <a:noFill/>
              </a:ln>
              <a:effectLst/>
            </c:spPr>
            <c:extLst>
              <c:ext xmlns:c16="http://schemas.microsoft.com/office/drawing/2014/chart" uri="{C3380CC4-5D6E-409C-BE32-E72D297353CC}">
                <c16:uniqueId val="{00000005-9634-4313-9585-DC41A03A4FA2}"/>
              </c:ext>
            </c:extLst>
          </c:dPt>
          <c:dPt>
            <c:idx val="3"/>
            <c:invertIfNegative val="0"/>
            <c:bubble3D val="0"/>
            <c:spPr>
              <a:solidFill>
                <a:srgbClr val="0033A0"/>
              </a:solidFill>
              <a:ln>
                <a:noFill/>
              </a:ln>
              <a:effectLst/>
            </c:spPr>
            <c:extLst>
              <c:ext xmlns:c16="http://schemas.microsoft.com/office/drawing/2014/chart" uri="{C3380CC4-5D6E-409C-BE32-E72D297353CC}">
                <c16:uniqueId val="{00000007-9634-4313-9585-DC41A03A4FA2}"/>
              </c:ext>
            </c:extLst>
          </c:dPt>
          <c:dPt>
            <c:idx val="4"/>
            <c:invertIfNegative val="0"/>
            <c:bubble3D val="0"/>
            <c:spPr>
              <a:solidFill>
                <a:srgbClr val="0033A0"/>
              </a:solidFill>
              <a:ln>
                <a:noFill/>
              </a:ln>
              <a:effectLst/>
            </c:spPr>
            <c:extLst>
              <c:ext xmlns:c16="http://schemas.microsoft.com/office/drawing/2014/chart" uri="{C3380CC4-5D6E-409C-BE32-E72D297353CC}">
                <c16:uniqueId val="{00000009-9634-4313-9585-DC41A03A4FA2}"/>
              </c:ext>
            </c:extLst>
          </c:dPt>
          <c:dLbls>
            <c:spPr>
              <a:noFill/>
              <a:ln>
                <a:noFill/>
              </a:ln>
              <a:effectLst/>
            </c:spPr>
            <c:txPr>
              <a:bodyPr rot="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'GHG Emissions'!$D$1:$I$1</c15:sqref>
                  </c15:fullRef>
                </c:ext>
              </c:extLst>
              <c:f>('GHG Emissions'!$D$1:$E$1,'GHG Emissions'!$G$1:$I$1)</c:f>
              <c:strCache>
                <c:ptCount val="5"/>
                <c:pt idx="0">
                  <c:v>MCC 50%</c:v>
                </c:pt>
                <c:pt idx="1">
                  <c:v>MCC 90%</c:v>
                </c:pt>
                <c:pt idx="2">
                  <c:v>BEV 500 mile</c:v>
                </c:pt>
                <c:pt idx="3">
                  <c:v>H2 FCEV</c:v>
                </c:pt>
                <c:pt idx="4">
                  <c:v>H2 ICHEV</c:v>
                </c:pt>
              </c:strCache>
            </c:strRef>
          </c:cat>
          <c:val>
            <c:numRef>
              <c:extLst>
                <c:ext xmlns:c15="http://schemas.microsoft.com/office/drawing/2012/chart" uri="{02D57815-91ED-43cb-92C2-25804820EDAC}">
                  <c15:fullRef>
                    <c15:sqref>'GHG Emissions'!$D$41:$I$41</c15:sqref>
                  </c15:fullRef>
                </c:ext>
              </c:extLst>
              <c:f>('GHG Emissions'!$D$41:$E$41,'GHG Emissions'!$G$41:$I$41)</c:f>
              <c:numCache>
                <c:formatCode>"$"#,##0.0</c:formatCode>
                <c:ptCount val="5"/>
                <c:pt idx="0">
                  <c:v>12.683548160888549</c:v>
                </c:pt>
                <c:pt idx="1">
                  <c:v>32.852402698610142</c:v>
                </c:pt>
                <c:pt idx="2">
                  <c:v>196.96785868035516</c:v>
                </c:pt>
                <c:pt idx="3">
                  <c:v>90.695502302886098</c:v>
                </c:pt>
                <c:pt idx="4">
                  <c:v>92.002920573355951</c:v>
                </c:pt>
              </c:numCache>
            </c:numRef>
          </c:val>
          <c:extLst>
            <c:ext xmlns:c16="http://schemas.microsoft.com/office/drawing/2014/chart" uri="{C3380CC4-5D6E-409C-BE32-E72D297353CC}">
              <c16:uniqueId val="{0000000A-9634-4313-9585-DC41A03A4FA2}"/>
            </c:ext>
          </c:extLst>
        </c:ser>
        <c:dLbls>
          <c:showLegendKey val="0"/>
          <c:showVal val="0"/>
          <c:showCatName val="0"/>
          <c:showSerName val="0"/>
          <c:showPercent val="0"/>
          <c:showBubbleSize val="0"/>
        </c:dLbls>
        <c:gapWidth val="219"/>
        <c:overlap val="-27"/>
        <c:axId val="743471359"/>
        <c:axId val="743492479"/>
      </c:barChart>
      <c:catAx>
        <c:axId val="743471359"/>
        <c:scaling>
          <c:orientation val="minMax"/>
        </c:scaling>
        <c:delete val="0"/>
        <c:axPos val="b"/>
        <c:numFmt formatCode="General" sourceLinked="1"/>
        <c:majorTickMark val="none"/>
        <c:minorTickMark val="none"/>
        <c:tickLblPos val="nextTo"/>
        <c:spPr>
          <a:noFill/>
          <a:ln w="25400" cap="flat" cmpd="sng" algn="ctr">
            <a:solidFill>
              <a:schemeClr val="tx1"/>
            </a:solidFill>
            <a:round/>
          </a:ln>
          <a:effectLst/>
        </c:spPr>
        <c:txPr>
          <a:bodyPr rot="-6000000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crossAx val="743492479"/>
        <c:crosses val="autoZero"/>
        <c:auto val="1"/>
        <c:lblAlgn val="ctr"/>
        <c:lblOffset val="100"/>
        <c:noMultiLvlLbl val="0"/>
      </c:catAx>
      <c:valAx>
        <c:axId val="743492479"/>
        <c:scaling>
          <c:orientation val="minMax"/>
          <c:max val="8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400" b="1" i="0" u="none" strike="noStrike" kern="1200" baseline="0">
                    <a:solidFill>
                      <a:schemeClr val="tx1"/>
                    </a:solidFill>
                    <a:latin typeface="+mn-lt"/>
                    <a:ea typeface="+mn-ea"/>
                    <a:cs typeface="+mn-cs"/>
                  </a:defRPr>
                </a:pPr>
                <a:r>
                  <a:rPr lang="en-US" sz="2400"/>
                  <a:t>GHG Abatement Cost  </a:t>
                </a:r>
                <a:br>
                  <a:rPr lang="en-US" sz="2400"/>
                </a:br>
                <a:r>
                  <a:rPr lang="en-US" sz="2400"/>
                  <a:t>[$/ton of CO2 Reduction]</a:t>
                </a:r>
              </a:p>
            </c:rich>
          </c:tx>
          <c:layout>
            <c:manualLayout>
              <c:xMode val="edge"/>
              <c:yMode val="edge"/>
              <c:x val="6.0343591247598782E-4"/>
              <c:y val="0.18928132306339948"/>
            </c:manualLayout>
          </c:layout>
          <c:overlay val="0"/>
          <c:spPr>
            <a:noFill/>
            <a:ln>
              <a:noFill/>
            </a:ln>
            <a:effectLst/>
          </c:spPr>
          <c:txPr>
            <a:bodyPr rot="-5400000" spcFirstLastPara="1" vertOverflow="ellipsis" vert="horz" wrap="square" anchor="ctr" anchorCtr="1"/>
            <a:lstStyle/>
            <a:p>
              <a:pPr>
                <a:defRPr sz="2400" b="1" i="0" u="none" strike="noStrike" kern="1200" baseline="0">
                  <a:solidFill>
                    <a:schemeClr val="tx1"/>
                  </a:solidFill>
                  <a:latin typeface="+mn-lt"/>
                  <a:ea typeface="+mn-ea"/>
                  <a:cs typeface="+mn-cs"/>
                </a:defRPr>
              </a:pPr>
              <a:endParaRPr lang="en-US"/>
            </a:p>
          </c:txPr>
        </c:title>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crossAx val="743471359"/>
        <c:crosses val="autoZero"/>
        <c:crossBetween val="between"/>
      </c:valAx>
      <c:spPr>
        <a:noFill/>
        <a:ln w="25400">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2000" b="1">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32666405410823"/>
          <c:y val="3.7179545030679995E-2"/>
          <c:w val="0.27781883964131476"/>
          <c:h val="0.86422415235211492"/>
        </c:manualLayout>
      </c:layout>
      <c:barChart>
        <c:barDir val="col"/>
        <c:grouping val="stacked"/>
        <c:varyColors val="0"/>
        <c:ser>
          <c:idx val="0"/>
          <c:order val="0"/>
          <c:tx>
            <c:strRef>
              <c:f>'GHG Emissions'!$B$3</c:f>
              <c:strCache>
                <c:ptCount val="1"/>
                <c:pt idx="0">
                  <c:v>Vehicle Base</c:v>
                </c:pt>
              </c:strCache>
            </c:strRef>
          </c:tx>
          <c:spPr>
            <a:solidFill>
              <a:srgbClr val="5F6369"/>
            </a:solidFill>
            <a:ln>
              <a:noFill/>
            </a:ln>
            <a:effectLst/>
          </c:spPr>
          <c:invertIfNegative val="0"/>
          <c:cat>
            <c:strRef>
              <c:extLst>
                <c:ext xmlns:c15="http://schemas.microsoft.com/office/drawing/2012/chart" uri="{02D57815-91ED-43cb-92C2-25804820EDAC}">
                  <c15:fullRef>
                    <c15:sqref>'GHG Emissions'!$C$50:$I$50</c15:sqref>
                  </c15:fullRef>
                </c:ext>
              </c:extLst>
              <c:f>('GHG Emissions'!$C$50,'GHG Emissions'!$G$50)</c:f>
              <c:strCache>
                <c:ptCount val="2"/>
                <c:pt idx="0">
                  <c:v>Diesel</c:v>
                </c:pt>
                <c:pt idx="1">
                  <c:v>BEV</c:v>
                </c:pt>
              </c:strCache>
            </c:strRef>
          </c:cat>
          <c:val>
            <c:numRef>
              <c:extLst>
                <c:ext xmlns:c15="http://schemas.microsoft.com/office/drawing/2012/chart" uri="{02D57815-91ED-43cb-92C2-25804820EDAC}">
                  <c15:fullRef>
                    <c15:sqref>'GHG Emissions'!$C$20:$I$20</c15:sqref>
                  </c15:fullRef>
                </c:ext>
              </c:extLst>
              <c:f>('GHG Emissions'!$C$20,'GHG Emissions'!$G$20)</c:f>
              <c:numCache>
                <c:formatCode>0.0</c:formatCode>
                <c:ptCount val="2"/>
                <c:pt idx="0">
                  <c:v>69.979778037254874</c:v>
                </c:pt>
                <c:pt idx="1">
                  <c:v>67.414778037254877</c:v>
                </c:pt>
              </c:numCache>
            </c:numRef>
          </c:val>
          <c:extLst>
            <c:ext xmlns:c16="http://schemas.microsoft.com/office/drawing/2014/chart" uri="{C3380CC4-5D6E-409C-BE32-E72D297353CC}">
              <c16:uniqueId val="{00000000-47F4-41AE-A259-464E43ABD360}"/>
            </c:ext>
          </c:extLst>
        </c:ser>
        <c:ser>
          <c:idx val="1"/>
          <c:order val="1"/>
          <c:tx>
            <c:strRef>
              <c:f>'GHG Emissions'!$B$4</c:f>
              <c:strCache>
                <c:ptCount val="1"/>
                <c:pt idx="0">
                  <c:v>Addition Technology</c:v>
                </c:pt>
              </c:strCache>
            </c:strRef>
          </c:tx>
          <c:spPr>
            <a:solidFill>
              <a:srgbClr val="00A3E0"/>
            </a:solidFill>
            <a:ln>
              <a:noFill/>
            </a:ln>
            <a:effectLst/>
          </c:spPr>
          <c:invertIfNegative val="0"/>
          <c:cat>
            <c:strRef>
              <c:extLst>
                <c:ext xmlns:c15="http://schemas.microsoft.com/office/drawing/2012/chart" uri="{02D57815-91ED-43cb-92C2-25804820EDAC}">
                  <c15:fullRef>
                    <c15:sqref>'GHG Emissions'!$C$50:$I$50</c15:sqref>
                  </c15:fullRef>
                </c:ext>
              </c:extLst>
              <c:f>('GHG Emissions'!$C$50,'GHG Emissions'!$G$50)</c:f>
              <c:strCache>
                <c:ptCount val="2"/>
                <c:pt idx="0">
                  <c:v>Diesel</c:v>
                </c:pt>
                <c:pt idx="1">
                  <c:v>BEV</c:v>
                </c:pt>
              </c:strCache>
            </c:strRef>
          </c:cat>
          <c:val>
            <c:numRef>
              <c:extLst>
                <c:ext xmlns:c15="http://schemas.microsoft.com/office/drawing/2012/chart" uri="{02D57815-91ED-43cb-92C2-25804820EDAC}">
                  <c15:fullRef>
                    <c15:sqref>'GHG Emissions'!$C$21:$I$21</c15:sqref>
                  </c15:fullRef>
                </c:ext>
              </c:extLst>
              <c:f>('GHG Emissions'!$C$21,'GHG Emissions'!$G$21)</c:f>
              <c:numCache>
                <c:formatCode>0.0</c:formatCode>
                <c:ptCount val="2"/>
                <c:pt idx="0">
                  <c:v>0</c:v>
                </c:pt>
                <c:pt idx="1">
                  <c:v>173.65722791301638</c:v>
                </c:pt>
              </c:numCache>
            </c:numRef>
          </c:val>
          <c:extLst>
            <c:ext xmlns:c16="http://schemas.microsoft.com/office/drawing/2014/chart" uri="{C3380CC4-5D6E-409C-BE32-E72D297353CC}">
              <c16:uniqueId val="{00000001-47F4-41AE-A259-464E43ABD360}"/>
            </c:ext>
          </c:extLst>
        </c:ser>
        <c:ser>
          <c:idx val="3"/>
          <c:order val="2"/>
          <c:tx>
            <c:v>Well to Tank</c:v>
          </c:tx>
          <c:spPr>
            <a:solidFill>
              <a:srgbClr val="92D050"/>
            </a:solidFill>
            <a:ln>
              <a:noFill/>
            </a:ln>
            <a:effectLst/>
          </c:spPr>
          <c:invertIfNegative val="0"/>
          <c:cat>
            <c:strRef>
              <c:extLst>
                <c:ext xmlns:c15="http://schemas.microsoft.com/office/drawing/2012/chart" uri="{02D57815-91ED-43cb-92C2-25804820EDAC}">
                  <c15:fullRef>
                    <c15:sqref>'GHG Emissions'!$C$50:$I$50</c15:sqref>
                  </c15:fullRef>
                </c:ext>
              </c:extLst>
              <c:f>('GHG Emissions'!$C$50,'GHG Emissions'!$G$50)</c:f>
              <c:strCache>
                <c:ptCount val="2"/>
                <c:pt idx="0">
                  <c:v>Diesel</c:v>
                </c:pt>
                <c:pt idx="1">
                  <c:v>BEV</c:v>
                </c:pt>
              </c:strCache>
            </c:strRef>
          </c:cat>
          <c:val>
            <c:numRef>
              <c:extLst>
                <c:ext xmlns:c15="http://schemas.microsoft.com/office/drawing/2012/chart" uri="{02D57815-91ED-43cb-92C2-25804820EDAC}">
                  <c15:fullRef>
                    <c15:sqref>'GHG Emissions'!$C$22:$I$22</c15:sqref>
                  </c15:fullRef>
                </c:ext>
              </c:extLst>
              <c:f>('GHG Emissions'!$C$22,'GHG Emissions'!$G$22)</c:f>
              <c:numCache>
                <c:formatCode>0.0</c:formatCode>
                <c:ptCount val="2"/>
                <c:pt idx="0">
                  <c:v>144.69281608024079</c:v>
                </c:pt>
                <c:pt idx="1">
                  <c:v>1208.3212957558792</c:v>
                </c:pt>
              </c:numCache>
            </c:numRef>
          </c:val>
          <c:extLst>
            <c:ext xmlns:c16="http://schemas.microsoft.com/office/drawing/2014/chart" uri="{C3380CC4-5D6E-409C-BE32-E72D297353CC}">
              <c16:uniqueId val="{00000002-47F4-41AE-A259-464E43ABD360}"/>
            </c:ext>
          </c:extLst>
        </c:ser>
        <c:ser>
          <c:idx val="2"/>
          <c:order val="3"/>
          <c:tx>
            <c:v>Fuel Utilization</c:v>
          </c:tx>
          <c:spPr>
            <a:solidFill>
              <a:srgbClr val="00843D"/>
            </a:solidFill>
            <a:ln>
              <a:noFill/>
            </a:ln>
            <a:effectLst/>
          </c:spPr>
          <c:invertIfNegative val="0"/>
          <c:cat>
            <c:strRef>
              <c:extLst>
                <c:ext xmlns:c15="http://schemas.microsoft.com/office/drawing/2012/chart" uri="{02D57815-91ED-43cb-92C2-25804820EDAC}">
                  <c15:fullRef>
                    <c15:sqref>'GHG Emissions'!$C$50:$I$50</c15:sqref>
                  </c15:fullRef>
                </c:ext>
              </c:extLst>
              <c:f>('GHG Emissions'!$C$50,'GHG Emissions'!$G$50)</c:f>
              <c:strCache>
                <c:ptCount val="2"/>
                <c:pt idx="0">
                  <c:v>Diesel</c:v>
                </c:pt>
                <c:pt idx="1">
                  <c:v>BEV</c:v>
                </c:pt>
              </c:strCache>
            </c:strRef>
          </c:cat>
          <c:val>
            <c:numRef>
              <c:extLst>
                <c:ext xmlns:c15="http://schemas.microsoft.com/office/drawing/2012/chart" uri="{02D57815-91ED-43cb-92C2-25804820EDAC}">
                  <c15:fullRef>
                    <c15:sqref>'GHG Emissions'!$C$23:$I$23</c15:sqref>
                  </c15:fullRef>
                </c:ext>
              </c:extLst>
              <c:f>('GHG Emissions'!$C$23,'GHG Emissions'!$G$23)</c:f>
              <c:numCache>
                <c:formatCode>0.0</c:formatCode>
                <c:ptCount val="2"/>
                <c:pt idx="0">
                  <c:v>1207.1463451712182</c:v>
                </c:pt>
              </c:numCache>
            </c:numRef>
          </c:val>
          <c:extLst>
            <c:ext xmlns:c16="http://schemas.microsoft.com/office/drawing/2014/chart" uri="{C3380CC4-5D6E-409C-BE32-E72D297353CC}">
              <c16:uniqueId val="{00000003-47F4-41AE-A259-464E43ABD360}"/>
            </c:ext>
          </c:extLst>
        </c:ser>
        <c:dLbls>
          <c:showLegendKey val="0"/>
          <c:showVal val="0"/>
          <c:showCatName val="0"/>
          <c:showSerName val="0"/>
          <c:showPercent val="0"/>
          <c:showBubbleSize val="0"/>
        </c:dLbls>
        <c:gapWidth val="150"/>
        <c:overlap val="100"/>
        <c:axId val="639655215"/>
        <c:axId val="639655695"/>
      </c:barChart>
      <c:lineChart>
        <c:grouping val="standard"/>
        <c:varyColors val="0"/>
        <c:ser>
          <c:idx val="4"/>
          <c:order val="4"/>
          <c:tx>
            <c:v>Total</c:v>
          </c:tx>
          <c:spPr>
            <a:ln w="25400" cap="rnd">
              <a:noFill/>
              <a:round/>
            </a:ln>
            <a:effectLst/>
          </c:spPr>
          <c:marker>
            <c:symbol val="x"/>
            <c:size val="5"/>
            <c:spPr>
              <a:noFill/>
              <a:ln w="12700">
                <a:solidFill>
                  <a:schemeClr val="tx1"/>
                </a:solidFill>
              </a:ln>
              <a:effectLst/>
            </c:spPr>
          </c:marker>
          <c:errBars>
            <c:errDir val="y"/>
            <c:errBarType val="both"/>
            <c:errValType val="cust"/>
            <c:noEndCap val="0"/>
            <c:plus>
              <c:numRef>
                <c:extLst>
                  <c:ext xmlns:c15="http://schemas.microsoft.com/office/drawing/2012/chart" uri="{02D57815-91ED-43cb-92C2-25804820EDAC}">
                    <c15:fullRef>
                      <c15:sqref>'GHG Emissions'!$C$37:$I$37</c15:sqref>
                    </c15:fullRef>
                  </c:ext>
                </c:extLst>
                <c:f>('GHG Emissions'!$C$37,'GHG Emissions'!$G$37)</c:f>
                <c:numCache>
                  <c:formatCode>General</c:formatCode>
                  <c:ptCount val="2"/>
                  <c:pt idx="0">
                    <c:v>50.37757918674231</c:v>
                  </c:pt>
                  <c:pt idx="1">
                    <c:v>800.42935455466113</c:v>
                  </c:pt>
                </c:numCache>
              </c:numRef>
            </c:plus>
            <c:minus>
              <c:numRef>
                <c:extLst>
                  <c:ext xmlns:c15="http://schemas.microsoft.com/office/drawing/2012/chart" uri="{02D57815-91ED-43cb-92C2-25804820EDAC}">
                    <c15:fullRef>
                      <c15:sqref>'GHG Emissions'!$C$38:$I$38</c15:sqref>
                    </c15:fullRef>
                  </c:ext>
                </c:extLst>
                <c:f>('GHG Emissions'!$C$38,'GHG Emissions'!$G$38)</c:f>
                <c:numCache>
                  <c:formatCode>General</c:formatCode>
                  <c:ptCount val="2"/>
                  <c:pt idx="0">
                    <c:v>50.37757918674231</c:v>
                  </c:pt>
                  <c:pt idx="1">
                    <c:v>1186.3354095173154</c:v>
                  </c:pt>
                </c:numCache>
              </c:numRef>
            </c:minus>
            <c:spPr>
              <a:noFill/>
              <a:ln w="12700" cap="flat" cmpd="sng" algn="ctr">
                <a:solidFill>
                  <a:schemeClr val="tx1"/>
                </a:solidFill>
                <a:round/>
              </a:ln>
              <a:effectLst/>
            </c:spPr>
          </c:errBars>
          <c:cat>
            <c:strLit>
              <c:ptCount val="2"/>
              <c:pt idx="0">
                <c:v>Diesel</c:v>
              </c:pt>
              <c:pt idx="1">
                <c:v>BEV</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'GHG Emissions'!$C$24:$I$24</c15:sqref>
                  </c15:fullRef>
                </c:ext>
              </c:extLst>
              <c:f>('GHG Emissions'!$C$24,'GHG Emissions'!$G$24)</c:f>
              <c:numCache>
                <c:formatCode>0</c:formatCode>
                <c:ptCount val="2"/>
                <c:pt idx="0">
                  <c:v>1421.8189392887139</c:v>
                </c:pt>
                <c:pt idx="1">
                  <c:v>1449.3933017061504</c:v>
                </c:pt>
              </c:numCache>
            </c:numRef>
          </c:val>
          <c:smooth val="0"/>
          <c:extLst>
            <c:ext xmlns:c16="http://schemas.microsoft.com/office/drawing/2014/chart" uri="{C3380CC4-5D6E-409C-BE32-E72D297353CC}">
              <c16:uniqueId val="{0000000A-47F4-41AE-A259-464E43ABD360}"/>
            </c:ext>
          </c:extLst>
        </c:ser>
        <c:dLbls>
          <c:showLegendKey val="0"/>
          <c:showVal val="0"/>
          <c:showCatName val="0"/>
          <c:showSerName val="0"/>
          <c:showPercent val="0"/>
          <c:showBubbleSize val="0"/>
        </c:dLbls>
        <c:marker val="1"/>
        <c:smooth val="0"/>
        <c:axId val="639655215"/>
        <c:axId val="639655695"/>
      </c:lineChart>
      <c:catAx>
        <c:axId val="639655215"/>
        <c:scaling>
          <c:orientation val="minMax"/>
        </c:scaling>
        <c:delete val="0"/>
        <c:axPos val="b"/>
        <c:numFmt formatCode="General" sourceLinked="1"/>
        <c:majorTickMark val="none"/>
        <c:minorTickMark val="none"/>
        <c:tickLblPos val="nextTo"/>
        <c:spPr>
          <a:noFill/>
          <a:ln w="25400" cap="flat" cmpd="sng" algn="ctr">
            <a:solidFill>
              <a:schemeClr val="tx1"/>
            </a:solidFill>
            <a:round/>
          </a:ln>
          <a:effectLst/>
        </c:spPr>
        <c:txPr>
          <a:bodyPr rot="0" vert="horz"/>
          <a:lstStyle/>
          <a:p>
            <a:pPr>
              <a:defRPr sz="2000"/>
            </a:pPr>
            <a:endParaRPr lang="en-US"/>
          </a:p>
        </c:txPr>
        <c:crossAx val="639655695"/>
        <c:crosses val="autoZero"/>
        <c:auto val="1"/>
        <c:lblAlgn val="ctr"/>
        <c:lblOffset val="100"/>
        <c:noMultiLvlLbl val="0"/>
      </c:catAx>
      <c:valAx>
        <c:axId val="6396556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2400"/>
                </a:pPr>
                <a:r>
                  <a:rPr lang="en-US" sz="2400"/>
                  <a:t>Life cycle GHG emissions [g/mile]</a:t>
                </a:r>
              </a:p>
            </c:rich>
          </c:tx>
          <c:layout>
            <c:manualLayout>
              <c:xMode val="edge"/>
              <c:yMode val="edge"/>
              <c:x val="1.1427107876665807E-2"/>
              <c:y val="0.17379076013530642"/>
            </c:manualLayout>
          </c:layout>
          <c:overlay val="0"/>
          <c:spPr>
            <a:noFill/>
            <a:ln>
              <a:noFill/>
            </a:ln>
            <a:effectLst/>
          </c:spPr>
        </c:title>
        <c:numFmt formatCode="0.0" sourceLinked="1"/>
        <c:majorTickMark val="none"/>
        <c:minorTickMark val="none"/>
        <c:tickLblPos val="nextTo"/>
        <c:spPr>
          <a:noFill/>
          <a:ln>
            <a:noFill/>
          </a:ln>
          <a:effectLst/>
        </c:spPr>
        <c:txPr>
          <a:bodyPr rot="-60000000" vert="horz"/>
          <a:lstStyle/>
          <a:p>
            <a:pPr>
              <a:defRPr/>
            </a:pPr>
            <a:endParaRPr lang="en-US"/>
          </a:p>
        </c:txPr>
        <c:crossAx val="639655215"/>
        <c:crosses val="autoZero"/>
        <c:crossBetween val="between"/>
      </c:valAx>
      <c:spPr>
        <a:noFill/>
        <a:ln w="25400">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b="1">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20190947388185"/>
          <c:y val="0.16956181820842453"/>
          <c:w val="0.84634159249329277"/>
          <c:h val="0.71157815020854365"/>
        </c:manualLayout>
      </c:layout>
      <c:scatterChart>
        <c:scatterStyle val="lineMarker"/>
        <c:varyColors val="0"/>
        <c:ser>
          <c:idx val="0"/>
          <c:order val="0"/>
          <c:tx>
            <c:strRef>
              <c:f>'Cash flow Analysis'!$D$51</c:f>
              <c:strCache>
                <c:ptCount val="1"/>
                <c:pt idx="0">
                  <c:v>Conventional Diesel</c:v>
                </c:pt>
              </c:strCache>
            </c:strRef>
          </c:tx>
          <c:spPr>
            <a:ln w="25400" cap="rnd">
              <a:solidFill>
                <a:srgbClr val="5F6369"/>
              </a:solidFill>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Analysis'!$D$52:$D$67</c:f>
              <c:numCache>
                <c:formatCode>_("$"* #,##0_);_("$"* \(#,##0\);_("$"* "-"_);_(@_)</c:formatCode>
                <c:ptCount val="16"/>
                <c:pt idx="0">
                  <c:v>13558.8</c:v>
                </c:pt>
                <c:pt idx="1">
                  <c:v>91670.517571871897</c:v>
                </c:pt>
                <c:pt idx="2">
                  <c:v>99366.73310301156</c:v>
                </c:pt>
                <c:pt idx="3">
                  <c:v>96909.915364754677</c:v>
                </c:pt>
                <c:pt idx="4">
                  <c:v>92826.974163698585</c:v>
                </c:pt>
                <c:pt idx="5">
                  <c:v>85871.846409083897</c:v>
                </c:pt>
                <c:pt idx="6">
                  <c:v>53894.027470508692</c:v>
                </c:pt>
                <c:pt idx="7">
                  <c:v>49806.825516478915</c:v>
                </c:pt>
                <c:pt idx="8">
                  <c:v>46422.094128610421</c:v>
                </c:pt>
                <c:pt idx="9">
                  <c:v>42523.133512422181</c:v>
                </c:pt>
                <c:pt idx="10">
                  <c:v>38932.345971009607</c:v>
                </c:pt>
                <c:pt idx="11">
                  <c:v>36091.081480167064</c:v>
                </c:pt>
                <c:pt idx="12">
                  <c:v>33165.50433578399</c:v>
                </c:pt>
                <c:pt idx="13">
                  <c:v>30372.651121136063</c:v>
                </c:pt>
                <c:pt idx="14">
                  <c:v>28387.546801519395</c:v>
                </c:pt>
                <c:pt idx="15">
                  <c:v>26115.849889977042</c:v>
                </c:pt>
              </c:numCache>
            </c:numRef>
          </c:yVal>
          <c:smooth val="0"/>
          <c:extLst>
            <c:ext xmlns:c16="http://schemas.microsoft.com/office/drawing/2014/chart" uri="{C3380CC4-5D6E-409C-BE32-E72D297353CC}">
              <c16:uniqueId val="{00000000-F02D-4DC1-B76E-29AD44D005E0}"/>
            </c:ext>
          </c:extLst>
        </c:ser>
        <c:ser>
          <c:idx val="2"/>
          <c:order val="1"/>
          <c:tx>
            <c:strRef>
              <c:f>'Cash flow Analysis'!$E$51</c:f>
              <c:strCache>
                <c:ptCount val="1"/>
                <c:pt idx="0">
                  <c:v>Mobile Carbon Capture  50%</c:v>
                </c:pt>
              </c:strCache>
            </c:strRef>
          </c:tx>
          <c:spPr>
            <a:ln w="28575" cap="rnd">
              <a:solidFill>
                <a:srgbClr val="00A3E0"/>
              </a:solidFill>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Analysis'!$E$52:$E$67</c:f>
              <c:numCache>
                <c:formatCode>_("$"* #,##0_);_("$"* \(#,##0\);_("$"* "-"_);_(@_)</c:formatCode>
                <c:ptCount val="16"/>
                <c:pt idx="0">
                  <c:v>15718.8</c:v>
                </c:pt>
                <c:pt idx="1">
                  <c:v>93541.63495437715</c:v>
                </c:pt>
                <c:pt idx="2">
                  <c:v>101052.47026382545</c:v>
                </c:pt>
                <c:pt idx="3">
                  <c:v>98839.668596919364</c:v>
                </c:pt>
                <c:pt idx="4">
                  <c:v>95050.063577616587</c:v>
                </c:pt>
                <c:pt idx="5">
                  <c:v>88471.607412433455</c:v>
                </c:pt>
                <c:pt idx="6">
                  <c:v>52508.401891814465</c:v>
                </c:pt>
                <c:pt idx="7">
                  <c:v>48653.99534717128</c:v>
                </c:pt>
                <c:pt idx="8">
                  <c:v>45464.326381605708</c:v>
                </c:pt>
                <c:pt idx="9">
                  <c:v>41760.122827754087</c:v>
                </c:pt>
                <c:pt idx="10">
                  <c:v>38340.139835591603</c:v>
                </c:pt>
                <c:pt idx="11">
                  <c:v>35637.40605877155</c:v>
                </c:pt>
                <c:pt idx="12">
                  <c:v>32840.397903940058</c:v>
                </c:pt>
                <c:pt idx="13">
                  <c:v>30161.566749629495</c:v>
                </c:pt>
                <c:pt idx="14">
                  <c:v>28264.967794232209</c:v>
                </c:pt>
                <c:pt idx="15">
                  <c:v>26078.101483354862</c:v>
                </c:pt>
              </c:numCache>
            </c:numRef>
          </c:yVal>
          <c:smooth val="0"/>
          <c:extLst>
            <c:ext xmlns:c16="http://schemas.microsoft.com/office/drawing/2014/chart" uri="{C3380CC4-5D6E-409C-BE32-E72D297353CC}">
              <c16:uniqueId val="{00000001-F02D-4DC1-B76E-29AD44D005E0}"/>
            </c:ext>
          </c:extLst>
        </c:ser>
        <c:ser>
          <c:idx val="1"/>
          <c:order val="2"/>
          <c:tx>
            <c:strRef>
              <c:f>'Cash flow Analysis'!$F$51</c:f>
              <c:strCache>
                <c:ptCount val="1"/>
                <c:pt idx="0">
                  <c:v>Mobile Carbon Capture  90%</c:v>
                </c:pt>
              </c:strCache>
            </c:strRef>
          </c:tx>
          <c:spPr>
            <a:ln w="28575" cap="rnd">
              <a:solidFill>
                <a:srgbClr val="00A3E0"/>
              </a:solidFill>
              <a:prstDash val="sysDot"/>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Analysis'!$F$52:$F$67</c:f>
              <c:numCache>
                <c:formatCode>_("$"* #,##0_);_("$"* \(#,##0\);_("$"* "-"_);_(@_)</c:formatCode>
                <c:ptCount val="16"/>
                <c:pt idx="0">
                  <c:v>16440.8</c:v>
                </c:pt>
                <c:pt idx="1">
                  <c:v>96756.797393086556</c:v>
                </c:pt>
                <c:pt idx="2">
                  <c:v>104609.74190147202</c:v>
                </c:pt>
                <c:pt idx="3">
                  <c:v>102438.27686332783</c:v>
                </c:pt>
                <c:pt idx="4">
                  <c:v>98624.640311545852</c:v>
                </c:pt>
                <c:pt idx="5">
                  <c:v>91903.513588963222</c:v>
                </c:pt>
                <c:pt idx="6">
                  <c:v>54415.20343878214</c:v>
                </c:pt>
                <c:pt idx="7">
                  <c:v>50482.876522131606</c:v>
                </c:pt>
                <c:pt idx="8">
                  <c:v>47228.864073878431</c:v>
                </c:pt>
                <c:pt idx="9">
                  <c:v>43425.571226801439</c:v>
                </c:pt>
                <c:pt idx="10">
                  <c:v>39905.85664506584</c:v>
                </c:pt>
                <c:pt idx="11">
                  <c:v>37124.878374925283</c:v>
                </c:pt>
                <c:pt idx="12">
                  <c:v>34235.069060983842</c:v>
                </c:pt>
                <c:pt idx="13">
                  <c:v>31459.327982994477</c:v>
                </c:pt>
                <c:pt idx="14">
                  <c:v>29497.098272829797</c:v>
                </c:pt>
                <c:pt idx="15">
                  <c:v>27222.055402801361</c:v>
                </c:pt>
              </c:numCache>
            </c:numRef>
          </c:yVal>
          <c:smooth val="0"/>
          <c:extLst>
            <c:ext xmlns:c16="http://schemas.microsoft.com/office/drawing/2014/chart" uri="{C3380CC4-5D6E-409C-BE32-E72D297353CC}">
              <c16:uniqueId val="{00000002-F02D-4DC1-B76E-29AD44D005E0}"/>
            </c:ext>
          </c:extLst>
        </c:ser>
        <c:ser>
          <c:idx val="4"/>
          <c:order val="4"/>
          <c:tx>
            <c:strRef>
              <c:f>'Cash flow Analysis'!$H$51</c:f>
              <c:strCache>
                <c:ptCount val="1"/>
                <c:pt idx="0">
                  <c:v>BEV 500 mile</c:v>
                </c:pt>
              </c:strCache>
            </c:strRef>
          </c:tx>
          <c:spPr>
            <a:ln w="25400" cap="rnd">
              <a:solidFill>
                <a:srgbClr val="00B050"/>
              </a:solidFill>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Analysis'!$H$52:$H$67</c:f>
              <c:numCache>
                <c:formatCode>_("$"* #,##0_);_("$"* \(#,##0\);_("$"* "-"_);_(@_)</c:formatCode>
                <c:ptCount val="16"/>
                <c:pt idx="0">
                  <c:v>27428.866439709938</c:v>
                </c:pt>
                <c:pt idx="1">
                  <c:v>130076.93534210519</c:v>
                </c:pt>
                <c:pt idx="2">
                  <c:v>139020.52481215779</c:v>
                </c:pt>
                <c:pt idx="3">
                  <c:v>136093.63418427153</c:v>
                </c:pt>
                <c:pt idx="4">
                  <c:v>131275.96684395979</c:v>
                </c:pt>
                <c:pt idx="5">
                  <c:v>123116.62492842112</c:v>
                </c:pt>
                <c:pt idx="6">
                  <c:v>62807.116892754981</c:v>
                </c:pt>
                <c:pt idx="7">
                  <c:v>57973.652581820024</c:v>
                </c:pt>
                <c:pt idx="8">
                  <c:v>53972.916906380153</c:v>
                </c:pt>
                <c:pt idx="9">
                  <c:v>49387.431744233676</c:v>
                </c:pt>
                <c:pt idx="10">
                  <c:v>45172.812970359657</c:v>
                </c:pt>
                <c:pt idx="11">
                  <c:v>41838.741295380503</c:v>
                </c:pt>
                <c:pt idx="12">
                  <c:v>38472.783348213496</c:v>
                </c:pt>
                <c:pt idx="13">
                  <c:v>35205.455413400196</c:v>
                </c:pt>
                <c:pt idx="14">
                  <c:v>32881.507961168376</c:v>
                </c:pt>
                <c:pt idx="15">
                  <c:v>30231.516697792893</c:v>
                </c:pt>
              </c:numCache>
            </c:numRef>
          </c:yVal>
          <c:smooth val="0"/>
          <c:extLst>
            <c:ext xmlns:c16="http://schemas.microsoft.com/office/drawing/2014/chart" uri="{C3380CC4-5D6E-409C-BE32-E72D297353CC}">
              <c16:uniqueId val="{00000003-F02D-4DC1-B76E-29AD44D005E0}"/>
            </c:ext>
          </c:extLst>
        </c:ser>
        <c:ser>
          <c:idx val="5"/>
          <c:order val="5"/>
          <c:tx>
            <c:strRef>
              <c:f>'Cash flow Analysis'!$I$51</c:f>
              <c:strCache>
                <c:ptCount val="1"/>
                <c:pt idx="0">
                  <c:v>H2 FCEV</c:v>
                </c:pt>
              </c:strCache>
            </c:strRef>
          </c:tx>
          <c:spPr>
            <a:ln w="25400" cap="rnd">
              <a:solidFill>
                <a:srgbClr val="0033A0"/>
              </a:solidFill>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Analysis'!$I$52:$I$67</c:f>
              <c:numCache>
                <c:formatCode>_("$"* #,##0_);_("$"* \(#,##0\);_("$"* "-"_);_(@_)</c:formatCode>
                <c:ptCount val="16"/>
                <c:pt idx="0">
                  <c:v>21485.540331638746</c:v>
                </c:pt>
                <c:pt idx="1">
                  <c:v>109682.37931190949</c:v>
                </c:pt>
                <c:pt idx="2">
                  <c:v>117918.65234019514</c:v>
                </c:pt>
                <c:pt idx="3">
                  <c:v>115710.04372474182</c:v>
                </c:pt>
                <c:pt idx="4">
                  <c:v>111783.27978916005</c:v>
                </c:pt>
                <c:pt idx="5">
                  <c:v>104813.10061019666</c:v>
                </c:pt>
                <c:pt idx="6">
                  <c:v>57160.686835045446</c:v>
                </c:pt>
                <c:pt idx="7">
                  <c:v>53088.105859116629</c:v>
                </c:pt>
                <c:pt idx="8">
                  <c:v>49719.401094229608</c:v>
                </c:pt>
                <c:pt idx="9">
                  <c:v>45770.328470805871</c:v>
                </c:pt>
                <c:pt idx="10">
                  <c:v>42112.775517362636</c:v>
                </c:pt>
                <c:pt idx="11">
                  <c:v>39224.794652957586</c:v>
                </c:pt>
                <c:pt idx="12">
                  <c:v>36218.506904322807</c:v>
                </c:pt>
                <c:pt idx="13">
                  <c:v>33327.850574785305</c:v>
                </c:pt>
                <c:pt idx="14">
                  <c:v>31288.068058318986</c:v>
                </c:pt>
                <c:pt idx="15">
                  <c:v>28916.610103320585</c:v>
                </c:pt>
              </c:numCache>
            </c:numRef>
          </c:yVal>
          <c:smooth val="0"/>
          <c:extLst>
            <c:ext xmlns:c16="http://schemas.microsoft.com/office/drawing/2014/chart" uri="{C3380CC4-5D6E-409C-BE32-E72D297353CC}">
              <c16:uniqueId val="{00000004-F02D-4DC1-B76E-29AD44D005E0}"/>
            </c:ext>
          </c:extLst>
        </c:ser>
        <c:ser>
          <c:idx val="6"/>
          <c:order val="6"/>
          <c:tx>
            <c:strRef>
              <c:f>'Cash flow Analysis'!$J$51</c:f>
              <c:strCache>
                <c:ptCount val="1"/>
                <c:pt idx="0">
                  <c:v>H2 ICHEV</c:v>
                </c:pt>
              </c:strCache>
            </c:strRef>
          </c:tx>
          <c:spPr>
            <a:ln w="25400" cap="rnd">
              <a:solidFill>
                <a:srgbClr val="0033A0"/>
              </a:solidFill>
              <a:prstDash val="dash"/>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Analysis'!$J$52:$J$67</c:f>
              <c:numCache>
                <c:formatCode>_("$"* #,##0_);_("$"* \(#,##0\);_("$"* "-"_);_(@_)</c:formatCode>
                <c:ptCount val="16"/>
                <c:pt idx="0">
                  <c:v>15503.985522722061</c:v>
                </c:pt>
                <c:pt idx="1">
                  <c:v>105452.48226886863</c:v>
                </c:pt>
                <c:pt idx="2">
                  <c:v>114754.81492729537</c:v>
                </c:pt>
                <c:pt idx="3">
                  <c:v>112227.16586529017</c:v>
                </c:pt>
                <c:pt idx="4">
                  <c:v>107753.02851856557</c:v>
                </c:pt>
                <c:pt idx="5">
                  <c:v>99831.414829082787</c:v>
                </c:pt>
                <c:pt idx="6">
                  <c:v>63301.931623745848</c:v>
                </c:pt>
                <c:pt idx="7">
                  <c:v>58660.857813693605</c:v>
                </c:pt>
                <c:pt idx="8">
                  <c:v>54816.373924919986</c:v>
                </c:pt>
                <c:pt idx="9">
                  <c:v>50313.954009384244</c:v>
                </c:pt>
                <c:pt idx="10">
                  <c:v>46141.0757811039</c:v>
                </c:pt>
                <c:pt idx="11">
                  <c:v>42839.172910991023</c:v>
                </c:pt>
                <c:pt idx="12">
                  <c:v>39402.628538125929</c:v>
                </c:pt>
                <c:pt idx="13">
                  <c:v>36096.389419691426</c:v>
                </c:pt>
                <c:pt idx="14">
                  <c:v>33753.187329580593</c:v>
                </c:pt>
                <c:pt idx="15">
                  <c:v>31033.647928183549</c:v>
                </c:pt>
              </c:numCache>
            </c:numRef>
          </c:yVal>
          <c:smooth val="0"/>
          <c:extLst>
            <c:ext xmlns:c16="http://schemas.microsoft.com/office/drawing/2014/chart" uri="{C3380CC4-5D6E-409C-BE32-E72D297353CC}">
              <c16:uniqueId val="{00000005-F02D-4DC1-B76E-29AD44D005E0}"/>
            </c:ext>
          </c:extLst>
        </c:ser>
        <c:dLbls>
          <c:showLegendKey val="0"/>
          <c:showVal val="0"/>
          <c:showCatName val="0"/>
          <c:showSerName val="0"/>
          <c:showPercent val="0"/>
          <c:showBubbleSize val="0"/>
        </c:dLbls>
        <c:axId val="602444623"/>
        <c:axId val="676833519"/>
        <c:extLst>
          <c:ext xmlns:c15="http://schemas.microsoft.com/office/drawing/2012/chart" uri="{02D57815-91ED-43cb-92C2-25804820EDAC}">
            <c15:filteredScatterSeries>
              <c15:ser>
                <c:idx val="3"/>
                <c:order val="3"/>
                <c:tx>
                  <c:strRef>
                    <c:extLst>
                      <c:ext uri="{02D57815-91ED-43cb-92C2-25804820EDAC}">
                        <c15:formulaRef>
                          <c15:sqref>'Cash flow Analysis'!$G$51</c15:sqref>
                        </c15:formulaRef>
                      </c:ext>
                    </c:extLst>
                    <c:strCache>
                      <c:ptCount val="1"/>
                      <c:pt idx="0">
                        <c:v>BEV 250 mile</c:v>
                      </c:pt>
                    </c:strCache>
                  </c:strRef>
                </c:tx>
                <c:spPr>
                  <a:ln w="19050" cap="rnd">
                    <a:solidFill>
                      <a:srgbClr val="84BD00"/>
                    </a:solidFill>
                    <a:round/>
                  </a:ln>
                  <a:effectLst/>
                </c:spPr>
                <c:marker>
                  <c:symbol val="none"/>
                </c:marker>
                <c:xVal>
                  <c:numRef>
                    <c:extLst>
                      <c:ext uri="{02D57815-91ED-43cb-92C2-25804820EDAC}">
                        <c15:formulaRef>
                          <c15:sqref>'Cash flow Analysis'!$C$52:$C$67</c15:sqref>
                        </c15:formulaRef>
                      </c:ext>
                    </c:extLst>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extLst>
                      <c:ext uri="{02D57815-91ED-43cb-92C2-25804820EDAC}">
                        <c15:formulaRef>
                          <c15:sqref>'Cash flow Analysis'!$G$52:$G$67</c15:sqref>
                        </c15:formulaRef>
                      </c:ext>
                    </c:extLst>
                    <c:numCache>
                      <c:formatCode>_("$"* #,##0_);_("$"* \(#,##0\);_("$"* "-"_);_(@_)</c:formatCode>
                      <c:ptCount val="16"/>
                      <c:pt idx="0">
                        <c:v>21103.219212549669</c:v>
                      </c:pt>
                      <c:pt idx="1">
                        <c:v>125281.67735608853</c:v>
                      </c:pt>
                      <c:pt idx="2">
                        <c:v>135337.03874526898</c:v>
                      </c:pt>
                      <c:pt idx="3">
                        <c:v>132110.81432436113</c:v>
                      </c:pt>
                      <c:pt idx="4">
                        <c:v>126757.2917067333</c:v>
                      </c:pt>
                      <c:pt idx="5">
                        <c:v>117642.89248804754</c:v>
                      </c:pt>
                      <c:pt idx="6">
                        <c:v>69135.347449272784</c:v>
                      </c:pt>
                      <c:pt idx="7">
                        <c:v>63732.955279465416</c:v>
                      </c:pt>
                      <c:pt idx="8">
                        <c:v>59256.001241859427</c:v>
                      </c:pt>
                      <c:pt idx="9">
                        <c:v>54110.777518559044</c:v>
                      </c:pt>
                      <c:pt idx="10">
                        <c:v>49372.870666958144</c:v>
                      </c:pt>
                      <c:pt idx="11">
                        <c:v>45618.599698968639</c:v>
                      </c:pt>
                      <c:pt idx="12">
                        <c:v>41812.18777847501</c:v>
                      </c:pt>
                      <c:pt idx="13">
                        <c:v>38118.438861617884</c:v>
                      </c:pt>
                      <c:pt idx="14">
                        <c:v>35483.956936259172</c:v>
                      </c:pt>
                      <c:pt idx="15">
                        <c:v>32474.734352030486</c:v>
                      </c:pt>
                    </c:numCache>
                  </c:numRef>
                </c:yVal>
                <c:smooth val="0"/>
                <c:extLst>
                  <c:ext xmlns:c16="http://schemas.microsoft.com/office/drawing/2014/chart" uri="{C3380CC4-5D6E-409C-BE32-E72D297353CC}">
                    <c16:uniqueId val="{00000006-F02D-4DC1-B76E-29AD44D005E0}"/>
                  </c:ext>
                </c:extLst>
              </c15:ser>
            </c15:filteredScatterSeries>
          </c:ext>
        </c:extLst>
      </c:scatterChart>
      <c:valAx>
        <c:axId val="602444623"/>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a:t>Service Years</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76833519"/>
        <c:crosses val="autoZero"/>
        <c:crossBetween val="midCat"/>
        <c:majorUnit val="1"/>
      </c:valAx>
      <c:valAx>
        <c:axId val="6768335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a:t>Nominal </a:t>
                </a:r>
                <a:r>
                  <a:rPr lang="en-US" sz="1200" b="1" i="0" u="none" strike="noStrike" kern="1200" baseline="0">
                    <a:solidFill>
                      <a:sysClr val="windowText" lastClr="000000"/>
                    </a:solidFill>
                  </a:rPr>
                  <a:t>annual </a:t>
                </a:r>
                <a:r>
                  <a:rPr lang="en-US"/>
                  <a:t>cash flow</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quot;K&quot;" sourceLinked="0"/>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02444623"/>
        <c:crosses val="autoZero"/>
        <c:crossBetween val="midCat"/>
      </c:valAx>
      <c:spPr>
        <a:noFill/>
        <a:ln w="19050">
          <a:solidFill>
            <a:schemeClr val="tx1"/>
          </a:solidFill>
        </a:ln>
        <a:effectLst/>
      </c:spPr>
    </c:plotArea>
    <c:legend>
      <c:legendPos val="b"/>
      <c:layout>
        <c:manualLayout>
          <c:xMode val="edge"/>
          <c:yMode val="edge"/>
          <c:x val="7.8424695299456712E-2"/>
          <c:y val="8.7590232220202929E-4"/>
          <c:w val="0.89922832676076836"/>
          <c:h val="0.16303864128308335"/>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b="1">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20191692163529"/>
          <c:y val="0.15696713652569808"/>
          <c:w val="0.84634159249329277"/>
          <c:h val="0.71157815020854365"/>
        </c:manualLayout>
      </c:layout>
      <c:scatterChart>
        <c:scatterStyle val="lineMarker"/>
        <c:varyColors val="0"/>
        <c:ser>
          <c:idx val="0"/>
          <c:order val="0"/>
          <c:tx>
            <c:strRef>
              <c:f>'Cash flow Analysis'!$D$70</c:f>
              <c:strCache>
                <c:ptCount val="1"/>
                <c:pt idx="0">
                  <c:v>Conventional Diesel</c:v>
                </c:pt>
              </c:strCache>
            </c:strRef>
          </c:tx>
          <c:spPr>
            <a:ln w="25400" cap="rnd">
              <a:solidFill>
                <a:srgbClr val="5F6369"/>
              </a:solidFill>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Analysis'!$D$71:$D$86</c:f>
              <c:numCache>
                <c:formatCode>_("$"* #,##0_);_("$"* \(#,##0\);_("$"* "-"_);_(@_)</c:formatCode>
                <c:ptCount val="16"/>
                <c:pt idx="0">
                  <c:v>13558.8</c:v>
                </c:pt>
                <c:pt idx="1">
                  <c:v>105229.3175718719</c:v>
                </c:pt>
                <c:pt idx="2">
                  <c:v>204596.05067488347</c:v>
                </c:pt>
                <c:pt idx="3">
                  <c:v>301505.96603963815</c:v>
                </c:pt>
                <c:pt idx="4">
                  <c:v>394332.94020333677</c:v>
                </c:pt>
                <c:pt idx="5">
                  <c:v>480204.78661242069</c:v>
                </c:pt>
                <c:pt idx="6">
                  <c:v>534098.8140829294</c:v>
                </c:pt>
                <c:pt idx="7">
                  <c:v>583905.63959940826</c:v>
                </c:pt>
                <c:pt idx="8">
                  <c:v>630327.73372801871</c:v>
                </c:pt>
                <c:pt idx="9">
                  <c:v>672850.86724044092</c:v>
                </c:pt>
                <c:pt idx="10">
                  <c:v>711783.21321145049</c:v>
                </c:pt>
                <c:pt idx="11">
                  <c:v>747874.2946916176</c:v>
                </c:pt>
                <c:pt idx="12">
                  <c:v>781039.7990274016</c:v>
                </c:pt>
                <c:pt idx="13">
                  <c:v>811412.45014853764</c:v>
                </c:pt>
                <c:pt idx="14">
                  <c:v>839799.99695005699</c:v>
                </c:pt>
                <c:pt idx="15">
                  <c:v>865915.84684003401</c:v>
                </c:pt>
              </c:numCache>
            </c:numRef>
          </c:yVal>
          <c:smooth val="0"/>
          <c:extLst>
            <c:ext xmlns:c16="http://schemas.microsoft.com/office/drawing/2014/chart" uri="{C3380CC4-5D6E-409C-BE32-E72D297353CC}">
              <c16:uniqueId val="{00000000-4DE6-46BC-9870-40EA2A58CF55}"/>
            </c:ext>
          </c:extLst>
        </c:ser>
        <c:ser>
          <c:idx val="1"/>
          <c:order val="1"/>
          <c:tx>
            <c:strRef>
              <c:f>'Cash flow Analysis'!$E$70</c:f>
              <c:strCache>
                <c:ptCount val="1"/>
                <c:pt idx="0">
                  <c:v>Mobile Carbon Capture  50%</c:v>
                </c:pt>
              </c:strCache>
            </c:strRef>
          </c:tx>
          <c:spPr>
            <a:ln w="28575" cap="rnd">
              <a:solidFill>
                <a:srgbClr val="00A3E0"/>
              </a:solidFill>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Analysis'!$E$71:$E$86</c:f>
              <c:numCache>
                <c:formatCode>_("$"* #,##0_);_("$"* \(#,##0\);_("$"* "-"_);_(@_)</c:formatCode>
                <c:ptCount val="16"/>
                <c:pt idx="0">
                  <c:v>15718.8</c:v>
                </c:pt>
                <c:pt idx="1">
                  <c:v>109260.43495437715</c:v>
                </c:pt>
                <c:pt idx="2">
                  <c:v>210312.90521820262</c:v>
                </c:pt>
                <c:pt idx="3">
                  <c:v>309152.57381512201</c:v>
                </c:pt>
                <c:pt idx="4">
                  <c:v>404202.6373927386</c:v>
                </c:pt>
                <c:pt idx="5">
                  <c:v>492674.24480517209</c:v>
                </c:pt>
                <c:pt idx="6">
                  <c:v>545182.64669698651</c:v>
                </c:pt>
                <c:pt idx="7">
                  <c:v>593836.64204415784</c:v>
                </c:pt>
                <c:pt idx="8">
                  <c:v>639300.96842576354</c:v>
                </c:pt>
                <c:pt idx="9">
                  <c:v>681061.09125351766</c:v>
                </c:pt>
                <c:pt idx="10">
                  <c:v>719401.23108910932</c:v>
                </c:pt>
                <c:pt idx="11">
                  <c:v>755038.63714788086</c:v>
                </c:pt>
                <c:pt idx="12">
                  <c:v>787879.03505182092</c:v>
                </c:pt>
                <c:pt idx="13">
                  <c:v>818040.60180145036</c:v>
                </c:pt>
                <c:pt idx="14">
                  <c:v>846305.56959568255</c:v>
                </c:pt>
                <c:pt idx="15">
                  <c:v>872383.67107903736</c:v>
                </c:pt>
              </c:numCache>
            </c:numRef>
          </c:yVal>
          <c:smooth val="0"/>
          <c:extLst>
            <c:ext xmlns:c16="http://schemas.microsoft.com/office/drawing/2014/chart" uri="{C3380CC4-5D6E-409C-BE32-E72D297353CC}">
              <c16:uniqueId val="{00000001-4DE6-46BC-9870-40EA2A58CF55}"/>
            </c:ext>
          </c:extLst>
        </c:ser>
        <c:ser>
          <c:idx val="2"/>
          <c:order val="2"/>
          <c:tx>
            <c:strRef>
              <c:f>'Cash flow Analysis'!$F$70</c:f>
              <c:strCache>
                <c:ptCount val="1"/>
                <c:pt idx="0">
                  <c:v>Mobile Carbon Capture  90%</c:v>
                </c:pt>
              </c:strCache>
            </c:strRef>
          </c:tx>
          <c:spPr>
            <a:ln w="28575" cap="rnd">
              <a:solidFill>
                <a:srgbClr val="00A3E0"/>
              </a:solidFill>
              <a:prstDash val="sysDot"/>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Analysis'!$F$71:$F$86</c:f>
              <c:numCache>
                <c:formatCode>_("$"* #,##0_);_("$"* \(#,##0\);_("$"* "-"_);_(@_)</c:formatCode>
                <c:ptCount val="16"/>
                <c:pt idx="0">
                  <c:v>16440.8</c:v>
                </c:pt>
                <c:pt idx="1">
                  <c:v>113197.59739308656</c:v>
                </c:pt>
                <c:pt idx="2">
                  <c:v>217807.33929455857</c:v>
                </c:pt>
                <c:pt idx="3">
                  <c:v>320245.6161578864</c:v>
                </c:pt>
                <c:pt idx="4">
                  <c:v>418870.25646943226</c:v>
                </c:pt>
                <c:pt idx="5">
                  <c:v>510773.77005839546</c:v>
                </c:pt>
                <c:pt idx="6">
                  <c:v>565188.97349717759</c:v>
                </c:pt>
                <c:pt idx="7">
                  <c:v>615671.8500193092</c:v>
                </c:pt>
                <c:pt idx="8">
                  <c:v>662900.71409318759</c:v>
                </c:pt>
                <c:pt idx="9">
                  <c:v>706326.28531998908</c:v>
                </c:pt>
                <c:pt idx="10">
                  <c:v>746232.14196505491</c:v>
                </c:pt>
                <c:pt idx="11">
                  <c:v>783357.02033998014</c:v>
                </c:pt>
                <c:pt idx="12">
                  <c:v>817592.08940096397</c:v>
                </c:pt>
                <c:pt idx="13">
                  <c:v>849051.41738395847</c:v>
                </c:pt>
                <c:pt idx="14">
                  <c:v>878548.51565678825</c:v>
                </c:pt>
                <c:pt idx="15">
                  <c:v>905770.57105958962</c:v>
                </c:pt>
              </c:numCache>
            </c:numRef>
          </c:yVal>
          <c:smooth val="0"/>
          <c:extLst>
            <c:ext xmlns:c16="http://schemas.microsoft.com/office/drawing/2014/chart" uri="{C3380CC4-5D6E-409C-BE32-E72D297353CC}">
              <c16:uniqueId val="{00000002-4DE6-46BC-9870-40EA2A58CF55}"/>
            </c:ext>
          </c:extLst>
        </c:ser>
        <c:ser>
          <c:idx val="4"/>
          <c:order val="4"/>
          <c:tx>
            <c:strRef>
              <c:f>'Cash flow Analysis'!$H$70</c:f>
              <c:strCache>
                <c:ptCount val="1"/>
                <c:pt idx="0">
                  <c:v>BEV 500 mile</c:v>
                </c:pt>
              </c:strCache>
            </c:strRef>
          </c:tx>
          <c:spPr>
            <a:ln w="25400" cap="rnd">
              <a:solidFill>
                <a:srgbClr val="00B050"/>
              </a:solidFill>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Analysis'!$H$71:$H$86</c:f>
              <c:numCache>
                <c:formatCode>_("$"* #,##0_);_("$"* \(#,##0\);_("$"* "-"_);_(@_)</c:formatCode>
                <c:ptCount val="16"/>
                <c:pt idx="0">
                  <c:v>27428.866439709938</c:v>
                </c:pt>
                <c:pt idx="1">
                  <c:v>157505.80178181513</c:v>
                </c:pt>
                <c:pt idx="2">
                  <c:v>296526.32659397292</c:v>
                </c:pt>
                <c:pt idx="3">
                  <c:v>432619.96077824442</c:v>
                </c:pt>
                <c:pt idx="4">
                  <c:v>563895.92762220418</c:v>
                </c:pt>
                <c:pt idx="5">
                  <c:v>687012.55255062529</c:v>
                </c:pt>
                <c:pt idx="6">
                  <c:v>749819.66944338032</c:v>
                </c:pt>
                <c:pt idx="7">
                  <c:v>807793.32202520035</c:v>
                </c:pt>
                <c:pt idx="8">
                  <c:v>861766.23893158045</c:v>
                </c:pt>
                <c:pt idx="9">
                  <c:v>911153.67067581415</c:v>
                </c:pt>
                <c:pt idx="10">
                  <c:v>956326.48364617385</c:v>
                </c:pt>
                <c:pt idx="11">
                  <c:v>998165.22494155436</c:v>
                </c:pt>
                <c:pt idx="12">
                  <c:v>1036638.0082897679</c:v>
                </c:pt>
                <c:pt idx="13">
                  <c:v>1071843.4637031681</c:v>
                </c:pt>
                <c:pt idx="14">
                  <c:v>1104724.9716643365</c:v>
                </c:pt>
                <c:pt idx="15">
                  <c:v>1134956.4883621293</c:v>
                </c:pt>
              </c:numCache>
            </c:numRef>
          </c:yVal>
          <c:smooth val="0"/>
          <c:extLst>
            <c:ext xmlns:c16="http://schemas.microsoft.com/office/drawing/2014/chart" uri="{C3380CC4-5D6E-409C-BE32-E72D297353CC}">
              <c16:uniqueId val="{00000003-4DE6-46BC-9870-40EA2A58CF55}"/>
            </c:ext>
          </c:extLst>
        </c:ser>
        <c:ser>
          <c:idx val="5"/>
          <c:order val="5"/>
          <c:tx>
            <c:strRef>
              <c:f>'Cash flow Analysis'!$I$70</c:f>
              <c:strCache>
                <c:ptCount val="1"/>
                <c:pt idx="0">
                  <c:v>H2 FCEV</c:v>
                </c:pt>
              </c:strCache>
            </c:strRef>
          </c:tx>
          <c:spPr>
            <a:ln w="25400" cap="rnd">
              <a:solidFill>
                <a:srgbClr val="0033A0"/>
              </a:solidFill>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Analysis'!$I$71:$I$86</c:f>
              <c:numCache>
                <c:formatCode>_("$"* #,##0_);_("$"* \(#,##0\);_("$"* "-"_);_(@_)</c:formatCode>
                <c:ptCount val="16"/>
                <c:pt idx="0">
                  <c:v>21485.540331638746</c:v>
                </c:pt>
                <c:pt idx="1">
                  <c:v>131167.91964354823</c:v>
                </c:pt>
                <c:pt idx="2">
                  <c:v>249086.57198374337</c:v>
                </c:pt>
                <c:pt idx="3">
                  <c:v>364796.61570848519</c:v>
                </c:pt>
                <c:pt idx="4">
                  <c:v>476579.89549764525</c:v>
                </c:pt>
                <c:pt idx="5">
                  <c:v>581392.99610784196</c:v>
                </c:pt>
                <c:pt idx="6">
                  <c:v>638553.68294288742</c:v>
                </c:pt>
                <c:pt idx="7">
                  <c:v>691641.78880200407</c:v>
                </c:pt>
                <c:pt idx="8">
                  <c:v>741361.18989623373</c:v>
                </c:pt>
                <c:pt idx="9">
                  <c:v>787131.51836703962</c:v>
                </c:pt>
                <c:pt idx="10">
                  <c:v>829244.29388440226</c:v>
                </c:pt>
                <c:pt idx="11">
                  <c:v>868469.08853735984</c:v>
                </c:pt>
                <c:pt idx="12">
                  <c:v>904687.59544168261</c:v>
                </c:pt>
                <c:pt idx="13">
                  <c:v>938015.44601646787</c:v>
                </c:pt>
                <c:pt idx="14">
                  <c:v>969303.51407478692</c:v>
                </c:pt>
                <c:pt idx="15">
                  <c:v>998220.12417810748</c:v>
                </c:pt>
              </c:numCache>
            </c:numRef>
          </c:yVal>
          <c:smooth val="0"/>
          <c:extLst>
            <c:ext xmlns:c16="http://schemas.microsoft.com/office/drawing/2014/chart" uri="{C3380CC4-5D6E-409C-BE32-E72D297353CC}">
              <c16:uniqueId val="{00000004-4DE6-46BC-9870-40EA2A58CF55}"/>
            </c:ext>
          </c:extLst>
        </c:ser>
        <c:ser>
          <c:idx val="6"/>
          <c:order val="6"/>
          <c:tx>
            <c:strRef>
              <c:f>'Cash flow Analysis'!$J$70</c:f>
              <c:strCache>
                <c:ptCount val="1"/>
                <c:pt idx="0">
                  <c:v>H2 ICHEV</c:v>
                </c:pt>
              </c:strCache>
            </c:strRef>
          </c:tx>
          <c:spPr>
            <a:ln w="25400" cap="rnd">
              <a:solidFill>
                <a:schemeClr val="accent1">
                  <a:lumMod val="60000"/>
                </a:schemeClr>
              </a:solidFill>
              <a:prstDash val="dash"/>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Analysis'!$J$71:$J$86</c:f>
              <c:numCache>
                <c:formatCode>_("$"* #,##0_);_("$"* \(#,##0\);_("$"* "-"_);_(@_)</c:formatCode>
                <c:ptCount val="16"/>
                <c:pt idx="0">
                  <c:v>15503.985522722061</c:v>
                </c:pt>
                <c:pt idx="1">
                  <c:v>120956.46779159069</c:v>
                </c:pt>
                <c:pt idx="2">
                  <c:v>235711.28271888607</c:v>
                </c:pt>
                <c:pt idx="3">
                  <c:v>347938.44858417625</c:v>
                </c:pt>
                <c:pt idx="4">
                  <c:v>455691.47710274183</c:v>
                </c:pt>
                <c:pt idx="5">
                  <c:v>555522.89193182462</c:v>
                </c:pt>
                <c:pt idx="6">
                  <c:v>618824.82355557045</c:v>
                </c:pt>
                <c:pt idx="7">
                  <c:v>677485.68136926403</c:v>
                </c:pt>
                <c:pt idx="8">
                  <c:v>732302.05529418401</c:v>
                </c:pt>
                <c:pt idx="9">
                  <c:v>782616.00930356828</c:v>
                </c:pt>
                <c:pt idx="10">
                  <c:v>828757.0850846722</c:v>
                </c:pt>
                <c:pt idx="11">
                  <c:v>871596.25799566321</c:v>
                </c:pt>
                <c:pt idx="12">
                  <c:v>910998.8865337891</c:v>
                </c:pt>
                <c:pt idx="13">
                  <c:v>947095.27595348051</c:v>
                </c:pt>
                <c:pt idx="14">
                  <c:v>980848.46328306105</c:v>
                </c:pt>
                <c:pt idx="15">
                  <c:v>1011882.1112112446</c:v>
                </c:pt>
              </c:numCache>
            </c:numRef>
          </c:yVal>
          <c:smooth val="0"/>
          <c:extLst>
            <c:ext xmlns:c16="http://schemas.microsoft.com/office/drawing/2014/chart" uri="{C3380CC4-5D6E-409C-BE32-E72D297353CC}">
              <c16:uniqueId val="{00000005-4DE6-46BC-9870-40EA2A58CF55}"/>
            </c:ext>
          </c:extLst>
        </c:ser>
        <c:dLbls>
          <c:showLegendKey val="0"/>
          <c:showVal val="0"/>
          <c:showCatName val="0"/>
          <c:showSerName val="0"/>
          <c:showPercent val="0"/>
          <c:showBubbleSize val="0"/>
        </c:dLbls>
        <c:axId val="602444623"/>
        <c:axId val="676833519"/>
        <c:extLst>
          <c:ext xmlns:c15="http://schemas.microsoft.com/office/drawing/2012/chart" uri="{02D57815-91ED-43cb-92C2-25804820EDAC}">
            <c15:filteredScatterSeries>
              <c15:ser>
                <c:idx val="3"/>
                <c:order val="3"/>
                <c:tx>
                  <c:strRef>
                    <c:extLst>
                      <c:ext uri="{02D57815-91ED-43cb-92C2-25804820EDAC}">
                        <c15:formulaRef>
                          <c15:sqref>'Cash flow Analysis'!$G$70</c15:sqref>
                        </c15:formulaRef>
                      </c:ext>
                    </c:extLst>
                    <c:strCache>
                      <c:ptCount val="1"/>
                      <c:pt idx="0">
                        <c:v>BEV 250 mile</c:v>
                      </c:pt>
                    </c:strCache>
                  </c:strRef>
                </c:tx>
                <c:spPr>
                  <a:ln w="19050" cap="rnd">
                    <a:solidFill>
                      <a:schemeClr val="accent4"/>
                    </a:solidFill>
                    <a:round/>
                  </a:ln>
                  <a:effectLst/>
                </c:spPr>
                <c:marker>
                  <c:symbol val="none"/>
                </c:marker>
                <c:xVal>
                  <c:numRef>
                    <c:extLst>
                      <c:ext uri="{02D57815-91ED-43cb-92C2-25804820EDAC}">
                        <c15:formulaRef>
                          <c15:sqref>'Cash flow Analysis'!$C$52:$C$67</c15:sqref>
                        </c15:formulaRef>
                      </c:ext>
                    </c:extLst>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extLst>
                      <c:ext uri="{02D57815-91ED-43cb-92C2-25804820EDAC}">
                        <c15:formulaRef>
                          <c15:sqref>'Cash flow Analysis'!$G$71:$G$86</c15:sqref>
                        </c15:formulaRef>
                      </c:ext>
                    </c:extLst>
                    <c:numCache>
                      <c:formatCode>_("$"* #,##0_);_("$"* \(#,##0\);_("$"* "-"_);_(@_)</c:formatCode>
                      <c:ptCount val="16"/>
                      <c:pt idx="0">
                        <c:v>21103.219212549669</c:v>
                      </c:pt>
                      <c:pt idx="1">
                        <c:v>146384.89656863821</c:v>
                      </c:pt>
                      <c:pt idx="2">
                        <c:v>281721.93531390722</c:v>
                      </c:pt>
                      <c:pt idx="3">
                        <c:v>413832.74963826837</c:v>
                      </c:pt>
                      <c:pt idx="4">
                        <c:v>540590.04134500166</c:v>
                      </c:pt>
                      <c:pt idx="5">
                        <c:v>658232.93383304914</c:v>
                      </c:pt>
                      <c:pt idx="6">
                        <c:v>727368.2812823219</c:v>
                      </c:pt>
                      <c:pt idx="7">
                        <c:v>791101.23656178731</c:v>
                      </c:pt>
                      <c:pt idx="8">
                        <c:v>850357.23780364671</c:v>
                      </c:pt>
                      <c:pt idx="9">
                        <c:v>904468.01532220573</c:v>
                      </c:pt>
                      <c:pt idx="10">
                        <c:v>953840.88598916389</c:v>
                      </c:pt>
                      <c:pt idx="11">
                        <c:v>999459.48568813247</c:v>
                      </c:pt>
                      <c:pt idx="12">
                        <c:v>1041271.6734666075</c:v>
                      </c:pt>
                      <c:pt idx="13">
                        <c:v>1079390.1123282253</c:v>
                      </c:pt>
                      <c:pt idx="14">
                        <c:v>1114874.0692644846</c:v>
                      </c:pt>
                      <c:pt idx="15">
                        <c:v>1147348.8036165151</c:v>
                      </c:pt>
                    </c:numCache>
                  </c:numRef>
                </c:yVal>
                <c:smooth val="0"/>
                <c:extLst>
                  <c:ext xmlns:c16="http://schemas.microsoft.com/office/drawing/2014/chart" uri="{C3380CC4-5D6E-409C-BE32-E72D297353CC}">
                    <c16:uniqueId val="{00000006-4DE6-46BC-9870-40EA2A58CF55}"/>
                  </c:ext>
                </c:extLst>
              </c15:ser>
            </c15:filteredScatterSeries>
          </c:ext>
        </c:extLst>
      </c:scatterChart>
      <c:valAx>
        <c:axId val="602444623"/>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a:t>Service Years</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76833519"/>
        <c:crosses val="autoZero"/>
        <c:crossBetween val="midCat"/>
        <c:majorUnit val="1"/>
      </c:valAx>
      <c:valAx>
        <c:axId val="6768335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a:t>Cumulated </a:t>
                </a:r>
                <a:r>
                  <a:rPr lang="en-US" sz="1200" b="1" i="0" u="none" strike="noStrike" kern="1200" baseline="0">
                    <a:solidFill>
                      <a:sysClr val="windowText" lastClr="000000"/>
                    </a:solidFill>
                  </a:rPr>
                  <a:t>annual </a:t>
                </a:r>
                <a:r>
                  <a:rPr lang="en-US"/>
                  <a:t>cash flow</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0,,\ &quot;M&quot;" sourceLinked="0"/>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02444623"/>
        <c:crosses val="autoZero"/>
        <c:crossBetween val="midCat"/>
      </c:valAx>
      <c:spPr>
        <a:noFill/>
        <a:ln w="19050">
          <a:solidFill>
            <a:schemeClr val="tx1"/>
          </a:solidFill>
        </a:ln>
        <a:effectLst/>
      </c:spPr>
    </c:plotArea>
    <c:legend>
      <c:legendPos val="b"/>
      <c:layout>
        <c:manualLayout>
          <c:xMode val="edge"/>
          <c:yMode val="edge"/>
          <c:x val="9.6021672100867386E-2"/>
          <c:y val="8.7590232220202929E-4"/>
          <c:w val="0.88302380341672959"/>
          <c:h val="0.13648299103777831"/>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b="1">
          <a:solidFill>
            <a:sysClr val="windowText" lastClr="000000"/>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20192968242183"/>
          <c:y val="0.14609130755207322"/>
          <c:w val="0.84634159249329277"/>
          <c:h val="0.71635685491466672"/>
        </c:manualLayout>
      </c:layout>
      <c:scatterChart>
        <c:scatterStyle val="lineMarker"/>
        <c:varyColors val="0"/>
        <c:ser>
          <c:idx val="0"/>
          <c:order val="0"/>
          <c:tx>
            <c:strRef>
              <c:f>'Cash flow Analysis'!$O$51</c:f>
              <c:strCache>
                <c:ptCount val="1"/>
                <c:pt idx="0">
                  <c:v>Conventional Diesel</c:v>
                </c:pt>
              </c:strCache>
            </c:strRef>
          </c:tx>
          <c:spPr>
            <a:ln w="19050" cap="rnd">
              <a:solidFill>
                <a:srgbClr val="5F6369"/>
              </a:solidFill>
              <a:round/>
            </a:ln>
            <a:effectLst/>
          </c:spPr>
          <c:marker>
            <c:symbol val="none"/>
          </c:marker>
          <c:xVal>
            <c:numRef>
              <c:f>'Cash flow Analysis'!$N$52:$N$67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Analysis'!$O$52:$O$67</c:f>
              <c:numCache>
                <c:formatCode>_("$"* #,##0_);_("$"* \(#,##0\);_("$"* "-"_);_(@_)</c:formatCode>
                <c:ptCount val="16"/>
                <c:pt idx="0">
                  <c:v>13558.8</c:v>
                </c:pt>
                <c:pt idx="1">
                  <c:v>91670.517571871897</c:v>
                </c:pt>
                <c:pt idx="2">
                  <c:v>94338.776407999161</c:v>
                </c:pt>
                <c:pt idx="3">
                  <c:v>87350.756200744814</c:v>
                </c:pt>
                <c:pt idx="4">
                  <c:v>79436.824774497014</c:v>
                </c:pt>
                <c:pt idx="5">
                  <c:v>69766.624428987838</c:v>
                </c:pt>
                <c:pt idx="6">
                  <c:v>41570.646276726417</c:v>
                </c:pt>
                <c:pt idx="7">
                  <c:v>36474.069957878142</c:v>
                </c:pt>
                <c:pt idx="8">
                  <c:v>32275.22804558323</c:v>
                </c:pt>
                <c:pt idx="9">
                  <c:v>28068.491909287895</c:v>
                </c:pt>
                <c:pt idx="10">
                  <c:v>24397.965929679718</c:v>
                </c:pt>
                <c:pt idx="11">
                  <c:v>21472.972595568965</c:v>
                </c:pt>
                <c:pt idx="12">
                  <c:v>18733.896090827962</c:v>
                </c:pt>
                <c:pt idx="13">
                  <c:v>16288.212634357405</c:v>
                </c:pt>
                <c:pt idx="14">
                  <c:v>14453.326690431888</c:v>
                </c:pt>
                <c:pt idx="15">
                  <c:v>12623.894227446113</c:v>
                </c:pt>
              </c:numCache>
            </c:numRef>
          </c:yVal>
          <c:smooth val="0"/>
          <c:extLst>
            <c:ext xmlns:c16="http://schemas.microsoft.com/office/drawing/2014/chart" uri="{C3380CC4-5D6E-409C-BE32-E72D297353CC}">
              <c16:uniqueId val="{00000000-E2D0-4C95-94C7-D42616D28114}"/>
            </c:ext>
          </c:extLst>
        </c:ser>
        <c:ser>
          <c:idx val="2"/>
          <c:order val="1"/>
          <c:tx>
            <c:strRef>
              <c:f>'Cash flow Analysis'!$P$51</c:f>
              <c:strCache>
                <c:ptCount val="1"/>
                <c:pt idx="0">
                  <c:v>Mobile Carbon Capture  50%</c:v>
                </c:pt>
              </c:strCache>
            </c:strRef>
          </c:tx>
          <c:spPr>
            <a:ln w="28575" cap="rnd">
              <a:solidFill>
                <a:srgbClr val="00A3E0"/>
              </a:solidFill>
              <a:round/>
            </a:ln>
            <a:effectLst/>
          </c:spPr>
          <c:marker>
            <c:symbol val="none"/>
          </c:marker>
          <c:xVal>
            <c:numRef>
              <c:f>'Cash flow Analysis'!$N$52:$N$67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Analysis'!$P$52:$P$67</c:f>
              <c:numCache>
                <c:formatCode>_("$"* #,##0_);_("$"* \(#,##0\);_("$"* "-"_);_(@_)</c:formatCode>
                <c:ptCount val="16"/>
                <c:pt idx="0">
                  <c:v>15718.8</c:v>
                </c:pt>
                <c:pt idx="1">
                  <c:v>93541.63495437715</c:v>
                </c:pt>
                <c:pt idx="2">
                  <c:v>95939.215268475906</c:v>
                </c:pt>
                <c:pt idx="3">
                  <c:v>89090.159268799936</c:v>
                </c:pt>
                <c:pt idx="4">
                  <c:v>81339.236932411615</c:v>
                </c:pt>
                <c:pt idx="5">
                  <c:v>71878.801552346282</c:v>
                </c:pt>
                <c:pt idx="6">
                  <c:v>40501.857145400092</c:v>
                </c:pt>
                <c:pt idx="7">
                  <c:v>35629.840119721375</c:v>
                </c:pt>
                <c:pt idx="8">
                  <c:v>31609.334508690205</c:v>
                </c:pt>
                <c:pt idx="9">
                  <c:v>27564.847011551217</c:v>
                </c:pt>
                <c:pt idx="10">
                  <c:v>24026.844571464244</c:v>
                </c:pt>
                <c:pt idx="11">
                  <c:v>21203.051066720836</c:v>
                </c:pt>
                <c:pt idx="12">
                  <c:v>18550.256184407102</c:v>
                </c:pt>
                <c:pt idx="13">
                  <c:v>16175.012534926631</c:v>
                </c:pt>
                <c:pt idx="14">
                  <c:v>14390.916421235404</c:v>
                </c:pt>
                <c:pt idx="15">
                  <c:v>12605.647381394363</c:v>
                </c:pt>
              </c:numCache>
            </c:numRef>
          </c:yVal>
          <c:smooth val="0"/>
          <c:extLst>
            <c:ext xmlns:c16="http://schemas.microsoft.com/office/drawing/2014/chart" uri="{C3380CC4-5D6E-409C-BE32-E72D297353CC}">
              <c16:uniqueId val="{00000001-E2D0-4C95-94C7-D42616D28114}"/>
            </c:ext>
          </c:extLst>
        </c:ser>
        <c:ser>
          <c:idx val="1"/>
          <c:order val="2"/>
          <c:tx>
            <c:strRef>
              <c:f>'Cash flow Analysis'!$Q$51</c:f>
              <c:strCache>
                <c:ptCount val="1"/>
                <c:pt idx="0">
                  <c:v>Mobile Carbon Capture  90%</c:v>
                </c:pt>
              </c:strCache>
            </c:strRef>
          </c:tx>
          <c:spPr>
            <a:ln w="28575" cap="rnd">
              <a:solidFill>
                <a:srgbClr val="00A3E0"/>
              </a:solidFill>
              <a:prstDash val="sysDot"/>
              <a:round/>
            </a:ln>
            <a:effectLst/>
          </c:spPr>
          <c:marker>
            <c:symbol val="none"/>
          </c:marker>
          <c:xVal>
            <c:numRef>
              <c:f>'Cash flow Analysis'!$N$52:$N$67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Analysis'!$Q$52:$Q$67</c:f>
              <c:numCache>
                <c:formatCode>_("$"* #,##0_);_("$"* \(#,##0\);_("$"* "-"_);_(@_)</c:formatCode>
                <c:ptCount val="16"/>
                <c:pt idx="0">
                  <c:v>16440.8</c:v>
                </c:pt>
                <c:pt idx="1">
                  <c:v>96756.797393086556</c:v>
                </c:pt>
                <c:pt idx="2">
                  <c:v>99316.488961257521</c:v>
                </c:pt>
                <c:pt idx="3">
                  <c:v>92333.802111308847</c:v>
                </c:pt>
                <c:pt idx="4">
                  <c:v>84398.186426503584</c:v>
                </c:pt>
                <c:pt idx="5">
                  <c:v>74667.055436545372</c:v>
                </c:pt>
                <c:pt idx="6">
                  <c:v>41972.650410429022</c:v>
                </c:pt>
                <c:pt idx="7">
                  <c:v>36969.149325406033</c:v>
                </c:pt>
                <c:pt idx="8">
                  <c:v>32836.139492010203</c:v>
                </c:pt>
                <c:pt idx="9">
                  <c:v>28664.169216965391</c:v>
                </c:pt>
                <c:pt idx="10">
                  <c:v>25008.041681998624</c:v>
                </c:pt>
                <c:pt idx="11">
                  <c:v>22088.046776782579</c:v>
                </c:pt>
                <c:pt idx="12">
                  <c:v>19338.051366787087</c:v>
                </c:pt>
                <c:pt idx="13">
                  <c:v>16870.974531571861</c:v>
                </c:pt>
                <c:pt idx="14">
                  <c:v>15018.247287721408</c:v>
                </c:pt>
                <c:pt idx="15">
                  <c:v>13158.612471215445</c:v>
                </c:pt>
              </c:numCache>
            </c:numRef>
          </c:yVal>
          <c:smooth val="0"/>
          <c:extLst>
            <c:ext xmlns:c16="http://schemas.microsoft.com/office/drawing/2014/chart" uri="{C3380CC4-5D6E-409C-BE32-E72D297353CC}">
              <c16:uniqueId val="{00000002-E2D0-4C95-94C7-D42616D28114}"/>
            </c:ext>
          </c:extLst>
        </c:ser>
        <c:ser>
          <c:idx val="3"/>
          <c:order val="3"/>
          <c:tx>
            <c:strRef>
              <c:f>'Cash flow Analysis'!$G$51</c:f>
              <c:strCache>
                <c:ptCount val="1"/>
                <c:pt idx="0">
                  <c:v>BEV 250 mile</c:v>
                </c:pt>
              </c:strCache>
            </c:strRef>
          </c:tx>
          <c:spPr>
            <a:ln w="28575" cap="rnd">
              <a:solidFill>
                <a:srgbClr val="00B050"/>
              </a:solidFill>
              <a:prstDash val="dash"/>
              <a:round/>
            </a:ln>
            <a:effectLst/>
          </c:spPr>
          <c:marker>
            <c:symbol val="none"/>
          </c:marker>
          <c:xVal>
            <c:numRef>
              <c:f>'Cash flow Analysis'!$N$52:$N$67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extLst xmlns:c15="http://schemas.microsoft.com/office/drawing/2012/chart"/>
            </c:numRef>
          </c:xVal>
          <c:yVal>
            <c:numRef>
              <c:f>'Cash flow Analysis'!$R$52:$R$67</c:f>
              <c:numCache>
                <c:formatCode>_("$"* #,##0_);_("$"* \(#,##0\);_("$"* "-"_);_(@_)</c:formatCode>
                <c:ptCount val="16"/>
                <c:pt idx="0">
                  <c:v>21103.219212549669</c:v>
                </c:pt>
                <c:pt idx="1">
                  <c:v>125281.67735608853</c:v>
                </c:pt>
                <c:pt idx="2">
                  <c:v>128488.98458475838</c:v>
                </c:pt>
                <c:pt idx="3">
                  <c:v>119079.45115929934</c:v>
                </c:pt>
                <c:pt idx="4">
                  <c:v>108472.7457822846</c:v>
                </c:pt>
                <c:pt idx="5">
                  <c:v>95579.0266562287</c:v>
                </c:pt>
                <c:pt idx="6">
                  <c:v>53326.893700883258</c:v>
                </c:pt>
                <c:pt idx="7">
                  <c:v>46672.323429174015</c:v>
                </c:pt>
                <c:pt idx="8">
                  <c:v>41198.075809589165</c:v>
                </c:pt>
                <c:pt idx="9">
                  <c:v>35717.215443242574</c:v>
                </c:pt>
                <c:pt idx="10">
                  <c:v>30940.791938916649</c:v>
                </c:pt>
                <c:pt idx="11">
                  <c:v>27141.523639918643</c:v>
                </c:pt>
                <c:pt idx="12">
                  <c:v>23618.069342216782</c:v>
                </c:pt>
                <c:pt idx="13">
                  <c:v>20442.11534223691</c:v>
                </c:pt>
                <c:pt idx="14">
                  <c:v>18066.415722880298</c:v>
                </c:pt>
                <c:pt idx="15">
                  <c:v>15697.655379838148</c:v>
                </c:pt>
              </c:numCache>
            </c:numRef>
          </c:yVal>
          <c:smooth val="0"/>
          <c:extLst xmlns:c15="http://schemas.microsoft.com/office/drawing/2012/chart">
            <c:ext xmlns:c16="http://schemas.microsoft.com/office/drawing/2014/chart" uri="{C3380CC4-5D6E-409C-BE32-E72D297353CC}">
              <c16:uniqueId val="{00000003-E2D0-4C95-94C7-D42616D28114}"/>
            </c:ext>
          </c:extLst>
        </c:ser>
        <c:ser>
          <c:idx val="4"/>
          <c:order val="4"/>
          <c:tx>
            <c:strRef>
              <c:f>'Cash flow Analysis'!$S$51</c:f>
              <c:strCache>
                <c:ptCount val="1"/>
                <c:pt idx="0">
                  <c:v>BEV 500 mile</c:v>
                </c:pt>
              </c:strCache>
            </c:strRef>
          </c:tx>
          <c:spPr>
            <a:ln w="28575" cap="rnd">
              <a:solidFill>
                <a:srgbClr val="00B050"/>
              </a:solidFill>
              <a:round/>
            </a:ln>
            <a:effectLst/>
          </c:spPr>
          <c:marker>
            <c:symbol val="none"/>
          </c:marker>
          <c:xVal>
            <c:numRef>
              <c:f>'Cash flow Analysis'!$N$52:$N$67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Analysis'!$S$52:$S$67</c:f>
              <c:numCache>
                <c:formatCode>_("$"* #,##0_);_("$"* \(#,##0\);_("$"* "-"_);_(@_)</c:formatCode>
                <c:ptCount val="16"/>
                <c:pt idx="0">
                  <c:v>27428.866439709938</c:v>
                </c:pt>
                <c:pt idx="1">
                  <c:v>130076.93534210519</c:v>
                </c:pt>
                <c:pt idx="2">
                  <c:v>131986.08625666262</c:v>
                </c:pt>
                <c:pt idx="3">
                  <c:v>122669.40710204333</c:v>
                </c:pt>
                <c:pt idx="4">
                  <c:v>112339.60892548841</c:v>
                </c:pt>
                <c:pt idx="5">
                  <c:v>100026.16330650006</c:v>
                </c:pt>
                <c:pt idx="6">
                  <c:v>48445.673158096266</c:v>
                </c:pt>
                <c:pt idx="7">
                  <c:v>42454.724589572943</c:v>
                </c:pt>
                <c:pt idx="8">
                  <c:v>37524.981027625137</c:v>
                </c:pt>
                <c:pt idx="9">
                  <c:v>32599.44914286655</c:v>
                </c:pt>
                <c:pt idx="10">
                  <c:v>28308.716680451515</c:v>
                </c:pt>
                <c:pt idx="11">
                  <c:v>24892.635754417584</c:v>
                </c:pt>
                <c:pt idx="12">
                  <c:v>21731.770404369177</c:v>
                </c:pt>
                <c:pt idx="13">
                  <c:v>18879.943715673988</c:v>
                </c:pt>
                <c:pt idx="14">
                  <c:v>16741.396498952374</c:v>
                </c:pt>
                <c:pt idx="15">
                  <c:v>14613.327566822829</c:v>
                </c:pt>
              </c:numCache>
            </c:numRef>
          </c:yVal>
          <c:smooth val="0"/>
          <c:extLst>
            <c:ext xmlns:c16="http://schemas.microsoft.com/office/drawing/2014/chart" uri="{C3380CC4-5D6E-409C-BE32-E72D297353CC}">
              <c16:uniqueId val="{00000004-E2D0-4C95-94C7-D42616D28114}"/>
            </c:ext>
          </c:extLst>
        </c:ser>
        <c:ser>
          <c:idx val="5"/>
          <c:order val="5"/>
          <c:tx>
            <c:strRef>
              <c:f>'Cash flow Analysis'!$T$51</c:f>
              <c:strCache>
                <c:ptCount val="1"/>
                <c:pt idx="0">
                  <c:v>H2 FCEV</c:v>
                </c:pt>
              </c:strCache>
            </c:strRef>
          </c:tx>
          <c:spPr>
            <a:ln w="28575" cap="rnd">
              <a:solidFill>
                <a:srgbClr val="0033A0"/>
              </a:solidFill>
              <a:round/>
            </a:ln>
            <a:effectLst/>
          </c:spPr>
          <c:marker>
            <c:symbol val="none"/>
          </c:marker>
          <c:xVal>
            <c:numRef>
              <c:f>'Cash flow Analysis'!$N$52:$N$67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Analysis'!$T$52:$T$67</c:f>
              <c:numCache>
                <c:formatCode>_("$"* #,##0_);_("$"* \(#,##0\);_("$"* "-"_);_(@_)</c:formatCode>
                <c:ptCount val="16"/>
                <c:pt idx="0">
                  <c:v>21485.540331638746</c:v>
                </c:pt>
                <c:pt idx="1">
                  <c:v>109682.37931190949</c:v>
                </c:pt>
                <c:pt idx="2">
                  <c:v>111951.96853178124</c:v>
                </c:pt>
                <c:pt idx="3">
                  <c:v>104296.44666734902</c:v>
                </c:pt>
                <c:pt idx="4">
                  <c:v>95658.712236713487</c:v>
                </c:pt>
                <c:pt idx="5">
                  <c:v>85155.455848399753</c:v>
                </c:pt>
                <c:pt idx="6">
                  <c:v>44090.352955245166</c:v>
                </c:pt>
                <c:pt idx="7">
                  <c:v>38876.986576789765</c:v>
                </c:pt>
                <c:pt idx="8">
                  <c:v>34567.699685419509</c:v>
                </c:pt>
                <c:pt idx="9">
                  <c:v>30211.886760249363</c:v>
                </c:pt>
                <c:pt idx="10">
                  <c:v>26391.064721400322</c:v>
                </c:pt>
                <c:pt idx="11">
                  <c:v>23337.425926475164</c:v>
                </c:pt>
                <c:pt idx="12">
                  <c:v>20458.417819940551</c:v>
                </c:pt>
                <c:pt idx="13">
                  <c:v>17873.023814849941</c:v>
                </c:pt>
                <c:pt idx="14">
                  <c:v>15930.107392553804</c:v>
                </c:pt>
                <c:pt idx="15">
                  <c:v>13977.72727667258</c:v>
                </c:pt>
              </c:numCache>
            </c:numRef>
          </c:yVal>
          <c:smooth val="0"/>
          <c:extLst>
            <c:ext xmlns:c16="http://schemas.microsoft.com/office/drawing/2014/chart" uri="{C3380CC4-5D6E-409C-BE32-E72D297353CC}">
              <c16:uniqueId val="{00000005-E2D0-4C95-94C7-D42616D28114}"/>
            </c:ext>
          </c:extLst>
        </c:ser>
        <c:ser>
          <c:idx val="6"/>
          <c:order val="6"/>
          <c:tx>
            <c:strRef>
              <c:f>'Cash flow Analysis'!$U$51</c:f>
              <c:strCache>
                <c:ptCount val="1"/>
                <c:pt idx="0">
                  <c:v>H2 ICHEV</c:v>
                </c:pt>
              </c:strCache>
            </c:strRef>
          </c:tx>
          <c:spPr>
            <a:ln w="28575" cap="rnd">
              <a:solidFill>
                <a:srgbClr val="0033A0"/>
              </a:solidFill>
              <a:prstDash val="dash"/>
              <a:round/>
            </a:ln>
            <a:effectLst/>
          </c:spPr>
          <c:marker>
            <c:symbol val="none"/>
          </c:marker>
          <c:xVal>
            <c:numRef>
              <c:f>'Cash flow Analysis'!$N$52:$N$67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Analysis'!$U$52:$U$67</c:f>
              <c:numCache>
                <c:formatCode>_("$"* #,##0_);_("$"* \(#,##0\);_("$"* "-"_);_(@_)</c:formatCode>
                <c:ptCount val="16"/>
                <c:pt idx="0">
                  <c:v>15503.985522722061</c:v>
                </c:pt>
                <c:pt idx="1">
                  <c:v>105452.48226886863</c:v>
                </c:pt>
                <c:pt idx="2">
                  <c:v>108948.22129197425</c:v>
                </c:pt>
                <c:pt idx="3">
                  <c:v>101157.11862611768</c:v>
                </c:pt>
                <c:pt idx="4">
                  <c:v>92209.818562609376</c:v>
                </c:pt>
                <c:pt idx="5">
                  <c:v>81108.082751768205</c:v>
                </c:pt>
                <c:pt idx="6">
                  <c:v>48827.343801764364</c:v>
                </c:pt>
                <c:pt idx="7">
                  <c:v>42957.972316021282</c:v>
                </c:pt>
                <c:pt idx="8">
                  <c:v>38111.399372833803</c:v>
                </c:pt>
                <c:pt idx="9">
                  <c:v>33211.024079966533</c:v>
                </c:pt>
                <c:pt idx="10">
                  <c:v>28915.503722904723</c:v>
                </c:pt>
                <c:pt idx="11">
                  <c:v>25487.858723215308</c:v>
                </c:pt>
                <c:pt idx="12">
                  <c:v>22257.003580141529</c:v>
                </c:pt>
                <c:pt idx="13">
                  <c:v>19357.732845104081</c:v>
                </c:pt>
                <c:pt idx="14">
                  <c:v>17185.20613030441</c:v>
                </c:pt>
                <c:pt idx="15">
                  <c:v>15001.062212704261</c:v>
                </c:pt>
              </c:numCache>
            </c:numRef>
          </c:yVal>
          <c:smooth val="0"/>
          <c:extLst>
            <c:ext xmlns:c16="http://schemas.microsoft.com/office/drawing/2014/chart" uri="{C3380CC4-5D6E-409C-BE32-E72D297353CC}">
              <c16:uniqueId val="{00000006-E2D0-4C95-94C7-D42616D28114}"/>
            </c:ext>
          </c:extLst>
        </c:ser>
        <c:dLbls>
          <c:showLegendKey val="0"/>
          <c:showVal val="0"/>
          <c:showCatName val="0"/>
          <c:showSerName val="0"/>
          <c:showPercent val="0"/>
          <c:showBubbleSize val="0"/>
        </c:dLbls>
        <c:axId val="602444623"/>
        <c:axId val="676833519"/>
        <c:extLst/>
      </c:scatterChart>
      <c:valAx>
        <c:axId val="602444623"/>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a:t>Service Years</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76833519"/>
        <c:crosses val="autoZero"/>
        <c:crossBetween val="midCat"/>
        <c:majorUnit val="1"/>
      </c:valAx>
      <c:valAx>
        <c:axId val="6768335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sz="1200" b="1" i="0" u="none" strike="noStrike" kern="1200" baseline="0">
                    <a:solidFill>
                      <a:sysClr val="windowText" lastClr="000000"/>
                    </a:solidFill>
                  </a:rPr>
                  <a:t>Annual</a:t>
                </a:r>
                <a:r>
                  <a:rPr lang="en-US" sz="1200"/>
                  <a:t> cash flow</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quot;K&quot;" sourceLinked="0"/>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02444623"/>
        <c:crosses val="autoZero"/>
        <c:crossBetween val="midCat"/>
      </c:valAx>
      <c:spPr>
        <a:noFill/>
        <a:ln w="19050">
          <a:solidFill>
            <a:schemeClr val="tx1"/>
          </a:solidFill>
        </a:ln>
        <a:effectLst/>
      </c:spPr>
    </c:plotArea>
    <c:legend>
      <c:legendPos val="b"/>
      <c:layout>
        <c:manualLayout>
          <c:xMode val="edge"/>
          <c:yMode val="edge"/>
          <c:x val="9.4073110204041382E-2"/>
          <c:y val="1.9276613528677858E-3"/>
          <c:w val="0.87664203220450199"/>
          <c:h val="0.14125001616177288"/>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b="1">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20192765887509"/>
          <c:y val="5.1970515715352605E-2"/>
          <c:w val="0.84634159249329277"/>
          <c:h val="0.83023964525180138"/>
        </c:manualLayout>
      </c:layout>
      <c:scatterChart>
        <c:scatterStyle val="lineMarker"/>
        <c:varyColors val="0"/>
        <c:ser>
          <c:idx val="0"/>
          <c:order val="0"/>
          <c:tx>
            <c:strRef>
              <c:f>'Cash flow Analysis'!$O$70</c:f>
              <c:strCache>
                <c:ptCount val="1"/>
                <c:pt idx="0">
                  <c:v>Conventional Diesel</c:v>
                </c:pt>
              </c:strCache>
            </c:strRef>
          </c:tx>
          <c:spPr>
            <a:ln w="25400" cap="rnd">
              <a:solidFill>
                <a:srgbClr val="5F6369"/>
              </a:solidFill>
              <a:round/>
            </a:ln>
            <a:effectLst/>
          </c:spPr>
          <c:marker>
            <c:symbol val="none"/>
          </c:marker>
          <c:xVal>
            <c:numRef>
              <c:f>'Cash flow Analysis'!$N$71:$N$86</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Analysis'!$O$71:$O$86</c:f>
              <c:numCache>
                <c:formatCode>_("$"* #,##0_);_("$"* \(#,##0\);_("$"* "-"_);_(@_)</c:formatCode>
                <c:ptCount val="16"/>
                <c:pt idx="0">
                  <c:v>13558.8</c:v>
                </c:pt>
                <c:pt idx="1">
                  <c:v>105229.3175718719</c:v>
                </c:pt>
                <c:pt idx="2">
                  <c:v>199568.09397987108</c:v>
                </c:pt>
                <c:pt idx="3">
                  <c:v>286918.8501806159</c:v>
                </c:pt>
                <c:pt idx="4">
                  <c:v>366355.67495511292</c:v>
                </c:pt>
                <c:pt idx="5">
                  <c:v>436122.29938410077</c:v>
                </c:pt>
                <c:pt idx="6">
                  <c:v>477692.94566082722</c:v>
                </c:pt>
                <c:pt idx="7">
                  <c:v>514167.01561870537</c:v>
                </c:pt>
                <c:pt idx="8">
                  <c:v>546442.24366428854</c:v>
                </c:pt>
                <c:pt idx="9">
                  <c:v>574510.73557357641</c:v>
                </c:pt>
                <c:pt idx="10">
                  <c:v>598908.7015032561</c:v>
                </c:pt>
                <c:pt idx="11">
                  <c:v>620381.67409882508</c:v>
                </c:pt>
                <c:pt idx="12">
                  <c:v>639115.57018965308</c:v>
                </c:pt>
                <c:pt idx="13">
                  <c:v>655403.78282401047</c:v>
                </c:pt>
                <c:pt idx="14">
                  <c:v>669857.10951444239</c:v>
                </c:pt>
                <c:pt idx="15">
                  <c:v>682481.00374188845</c:v>
                </c:pt>
              </c:numCache>
            </c:numRef>
          </c:yVal>
          <c:smooth val="0"/>
          <c:extLst>
            <c:ext xmlns:c16="http://schemas.microsoft.com/office/drawing/2014/chart" uri="{C3380CC4-5D6E-409C-BE32-E72D297353CC}">
              <c16:uniqueId val="{00000000-24FC-43FC-839A-3BD0EF55B233}"/>
            </c:ext>
          </c:extLst>
        </c:ser>
        <c:ser>
          <c:idx val="1"/>
          <c:order val="1"/>
          <c:tx>
            <c:strRef>
              <c:f>'Cash flow Analysis'!$P$70</c:f>
              <c:strCache>
                <c:ptCount val="1"/>
                <c:pt idx="0">
                  <c:v>Mobile Carbon Capture  50%</c:v>
                </c:pt>
              </c:strCache>
            </c:strRef>
          </c:tx>
          <c:spPr>
            <a:ln w="28575" cap="rnd">
              <a:solidFill>
                <a:srgbClr val="00A3E0"/>
              </a:solidFill>
              <a:round/>
            </a:ln>
            <a:effectLst/>
          </c:spPr>
          <c:marker>
            <c:symbol val="none"/>
          </c:marker>
          <c:xVal>
            <c:numRef>
              <c:f>'Cash flow Analysis'!$N$71:$N$86</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Analysis'!$P$71:$P$86</c:f>
              <c:numCache>
                <c:formatCode>_("$"* #,##0_);_("$"* \(#,##0\);_("$"* "-"_);_(@_)</c:formatCode>
                <c:ptCount val="16"/>
                <c:pt idx="0">
                  <c:v>15718.8</c:v>
                </c:pt>
                <c:pt idx="1">
                  <c:v>109260.43495437715</c:v>
                </c:pt>
                <c:pt idx="2">
                  <c:v>205199.65022285306</c:v>
                </c:pt>
                <c:pt idx="3">
                  <c:v>294289.809491653</c:v>
                </c:pt>
                <c:pt idx="4">
                  <c:v>375629.04642406461</c:v>
                </c:pt>
                <c:pt idx="5">
                  <c:v>447507.84797641088</c:v>
                </c:pt>
                <c:pt idx="6">
                  <c:v>488009.70512181096</c:v>
                </c:pt>
                <c:pt idx="7">
                  <c:v>523639.54524153232</c:v>
                </c:pt>
                <c:pt idx="8">
                  <c:v>555248.87975022255</c:v>
                </c:pt>
                <c:pt idx="9">
                  <c:v>582813.72676177381</c:v>
                </c:pt>
                <c:pt idx="10">
                  <c:v>606840.57133323804</c:v>
                </c:pt>
                <c:pt idx="11">
                  <c:v>628043.6223999589</c:v>
                </c:pt>
                <c:pt idx="12">
                  <c:v>646593.87858436606</c:v>
                </c:pt>
                <c:pt idx="13">
                  <c:v>662768.8911192927</c:v>
                </c:pt>
                <c:pt idx="14">
                  <c:v>677159.80754052813</c:v>
                </c:pt>
                <c:pt idx="15">
                  <c:v>689765.45492192253</c:v>
                </c:pt>
              </c:numCache>
            </c:numRef>
          </c:yVal>
          <c:smooth val="0"/>
          <c:extLst>
            <c:ext xmlns:c16="http://schemas.microsoft.com/office/drawing/2014/chart" uri="{C3380CC4-5D6E-409C-BE32-E72D297353CC}">
              <c16:uniqueId val="{00000001-24FC-43FC-839A-3BD0EF55B233}"/>
            </c:ext>
          </c:extLst>
        </c:ser>
        <c:ser>
          <c:idx val="2"/>
          <c:order val="2"/>
          <c:tx>
            <c:strRef>
              <c:f>'Cash flow Analysis'!$Q$70</c:f>
              <c:strCache>
                <c:ptCount val="1"/>
                <c:pt idx="0">
                  <c:v>Mobile Carbon Capture  90%</c:v>
                </c:pt>
              </c:strCache>
            </c:strRef>
          </c:tx>
          <c:spPr>
            <a:ln w="28575" cap="rnd">
              <a:solidFill>
                <a:srgbClr val="00A3E0"/>
              </a:solidFill>
              <a:prstDash val="sysDot"/>
              <a:round/>
            </a:ln>
            <a:effectLst/>
          </c:spPr>
          <c:marker>
            <c:symbol val="none"/>
          </c:marker>
          <c:xVal>
            <c:numRef>
              <c:f>'Cash flow Analysis'!$N$71:$N$86</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Analysis'!$Q$71:$Q$86</c:f>
              <c:numCache>
                <c:formatCode>_("$"* #,##0_);_("$"* \(#,##0\);_("$"* "-"_);_(@_)</c:formatCode>
                <c:ptCount val="16"/>
                <c:pt idx="0">
                  <c:v>16440.8</c:v>
                </c:pt>
                <c:pt idx="1">
                  <c:v>113197.59739308656</c:v>
                </c:pt>
                <c:pt idx="2">
                  <c:v>212514.08635434409</c:v>
                </c:pt>
                <c:pt idx="3">
                  <c:v>304847.88846565294</c:v>
                </c:pt>
                <c:pt idx="4">
                  <c:v>389246.07489215652</c:v>
                </c:pt>
                <c:pt idx="5">
                  <c:v>463913.13032870193</c:v>
                </c:pt>
                <c:pt idx="6">
                  <c:v>505885.78073913092</c:v>
                </c:pt>
                <c:pt idx="7">
                  <c:v>542854.93006453698</c:v>
                </c:pt>
                <c:pt idx="8">
                  <c:v>575691.06955654721</c:v>
                </c:pt>
                <c:pt idx="9">
                  <c:v>604355.23877351265</c:v>
                </c:pt>
                <c:pt idx="10">
                  <c:v>629363.2804555113</c:v>
                </c:pt>
                <c:pt idx="11">
                  <c:v>651451.3272322939</c:v>
                </c:pt>
                <c:pt idx="12">
                  <c:v>670789.37859908096</c:v>
                </c:pt>
                <c:pt idx="13">
                  <c:v>687660.3531306528</c:v>
                </c:pt>
                <c:pt idx="14">
                  <c:v>702678.60041837418</c:v>
                </c:pt>
                <c:pt idx="15">
                  <c:v>715837.2128895896</c:v>
                </c:pt>
              </c:numCache>
            </c:numRef>
          </c:yVal>
          <c:smooth val="0"/>
          <c:extLst>
            <c:ext xmlns:c16="http://schemas.microsoft.com/office/drawing/2014/chart" uri="{C3380CC4-5D6E-409C-BE32-E72D297353CC}">
              <c16:uniqueId val="{00000002-24FC-43FC-839A-3BD0EF55B233}"/>
            </c:ext>
          </c:extLst>
        </c:ser>
        <c:ser>
          <c:idx val="3"/>
          <c:order val="3"/>
          <c:tx>
            <c:strRef>
              <c:f>'Cash flow Analysis'!$G$70</c:f>
              <c:strCache>
                <c:ptCount val="1"/>
                <c:pt idx="0">
                  <c:v>BEV 250 mile</c:v>
                </c:pt>
              </c:strCache>
              <c:extLst xmlns:c15="http://schemas.microsoft.com/office/drawing/2012/chart"/>
            </c:strRef>
          </c:tx>
          <c:spPr>
            <a:ln w="28575" cap="rnd">
              <a:solidFill>
                <a:srgbClr val="00B050"/>
              </a:solidFill>
              <a:prstDash val="dash"/>
              <a:round/>
            </a:ln>
            <a:effectLst/>
          </c:spPr>
          <c:marker>
            <c:symbol val="none"/>
          </c:marker>
          <c:xVal>
            <c:numRef>
              <c:f>'Cash flow Analysis'!$N$71:$N$86</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extLst xmlns:c15="http://schemas.microsoft.com/office/drawing/2012/chart"/>
            </c:numRef>
          </c:xVal>
          <c:yVal>
            <c:numRef>
              <c:f>'Cash flow Analysis'!$R$71:$R$86</c:f>
              <c:numCache>
                <c:formatCode>_("$"* #,##0_);_("$"* \(#,##0\);_("$"* "-"_);_(@_)</c:formatCode>
                <c:ptCount val="16"/>
                <c:pt idx="0">
                  <c:v>21103.219212549669</c:v>
                </c:pt>
                <c:pt idx="1">
                  <c:v>146384.89656863821</c:v>
                </c:pt>
                <c:pt idx="2">
                  <c:v>274873.88115339656</c:v>
                </c:pt>
                <c:pt idx="3">
                  <c:v>393953.33231269591</c:v>
                </c:pt>
                <c:pt idx="4">
                  <c:v>502426.0780949805</c:v>
                </c:pt>
                <c:pt idx="5">
                  <c:v>598005.10475120926</c:v>
                </c:pt>
                <c:pt idx="6">
                  <c:v>651331.99845209252</c:v>
                </c:pt>
                <c:pt idx="7">
                  <c:v>698004.32188126654</c:v>
                </c:pt>
                <c:pt idx="8">
                  <c:v>739202.39769085567</c:v>
                </c:pt>
                <c:pt idx="9">
                  <c:v>774919.61313409824</c:v>
                </c:pt>
                <c:pt idx="10">
                  <c:v>805860.4050730149</c:v>
                </c:pt>
                <c:pt idx="11">
                  <c:v>833001.92871293356</c:v>
                </c:pt>
                <c:pt idx="12">
                  <c:v>856619.99805515038</c:v>
                </c:pt>
                <c:pt idx="13">
                  <c:v>877062.11339738732</c:v>
                </c:pt>
                <c:pt idx="14">
                  <c:v>895128.5291202676</c:v>
                </c:pt>
                <c:pt idx="15">
                  <c:v>910826.1845001058</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6-24FC-43FC-839A-3BD0EF55B233}"/>
            </c:ext>
          </c:extLst>
        </c:ser>
        <c:ser>
          <c:idx val="4"/>
          <c:order val="4"/>
          <c:tx>
            <c:strRef>
              <c:f>'Cash flow Analysis'!$S$70</c:f>
              <c:strCache>
                <c:ptCount val="1"/>
                <c:pt idx="0">
                  <c:v>BEV 500 mile</c:v>
                </c:pt>
              </c:strCache>
            </c:strRef>
          </c:tx>
          <c:spPr>
            <a:ln w="25400" cap="rnd">
              <a:solidFill>
                <a:srgbClr val="00B050"/>
              </a:solidFill>
              <a:round/>
            </a:ln>
            <a:effectLst/>
          </c:spPr>
          <c:marker>
            <c:symbol val="none"/>
          </c:marker>
          <c:xVal>
            <c:numRef>
              <c:f>'Cash flow Analysis'!$N$71:$N$86</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Analysis'!$S$71:$S$86</c:f>
              <c:numCache>
                <c:formatCode>_("$"* #,##0_);_("$"* \(#,##0\);_("$"* "-"_);_(@_)</c:formatCode>
                <c:ptCount val="16"/>
                <c:pt idx="0">
                  <c:v>27428.866439709938</c:v>
                </c:pt>
                <c:pt idx="1">
                  <c:v>157505.80178181513</c:v>
                </c:pt>
                <c:pt idx="2">
                  <c:v>289491.88803847774</c:v>
                </c:pt>
                <c:pt idx="3">
                  <c:v>412161.29514052108</c:v>
                </c:pt>
                <c:pt idx="4">
                  <c:v>524500.90406600945</c:v>
                </c:pt>
                <c:pt idx="5">
                  <c:v>624527.06737250951</c:v>
                </c:pt>
                <c:pt idx="6">
                  <c:v>672972.74053060578</c:v>
                </c:pt>
                <c:pt idx="7">
                  <c:v>715427.46512017876</c:v>
                </c:pt>
                <c:pt idx="8">
                  <c:v>752952.44614780392</c:v>
                </c:pt>
                <c:pt idx="9">
                  <c:v>785551.89529067045</c:v>
                </c:pt>
                <c:pt idx="10">
                  <c:v>813860.61197112198</c:v>
                </c:pt>
                <c:pt idx="11">
                  <c:v>838753.24772553961</c:v>
                </c:pt>
                <c:pt idx="12">
                  <c:v>860485.01812990883</c:v>
                </c:pt>
                <c:pt idx="13">
                  <c:v>879364.96184558282</c:v>
                </c:pt>
                <c:pt idx="14">
                  <c:v>896106.35834453523</c:v>
                </c:pt>
                <c:pt idx="15">
                  <c:v>910719.6859113581</c:v>
                </c:pt>
              </c:numCache>
            </c:numRef>
          </c:yVal>
          <c:smooth val="0"/>
          <c:extLst>
            <c:ext xmlns:c16="http://schemas.microsoft.com/office/drawing/2014/chart" uri="{C3380CC4-5D6E-409C-BE32-E72D297353CC}">
              <c16:uniqueId val="{00000003-24FC-43FC-839A-3BD0EF55B233}"/>
            </c:ext>
          </c:extLst>
        </c:ser>
        <c:ser>
          <c:idx val="5"/>
          <c:order val="5"/>
          <c:tx>
            <c:strRef>
              <c:f>'Cash flow Analysis'!$T$70</c:f>
              <c:strCache>
                <c:ptCount val="1"/>
                <c:pt idx="0">
                  <c:v>H2 FCEV</c:v>
                </c:pt>
              </c:strCache>
            </c:strRef>
          </c:tx>
          <c:spPr>
            <a:ln w="25400" cap="rnd">
              <a:solidFill>
                <a:srgbClr val="0033A0"/>
              </a:solidFill>
              <a:round/>
            </a:ln>
            <a:effectLst/>
          </c:spPr>
          <c:marker>
            <c:symbol val="none"/>
          </c:marker>
          <c:xVal>
            <c:numRef>
              <c:f>'Cash flow Analysis'!$N$71:$N$86</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Analysis'!$T$71:$T$86</c:f>
              <c:numCache>
                <c:formatCode>_("$"* #,##0_);_("$"* \(#,##0\);_("$"* "-"_);_(@_)</c:formatCode>
                <c:ptCount val="16"/>
                <c:pt idx="0">
                  <c:v>21485.540331638746</c:v>
                </c:pt>
                <c:pt idx="1">
                  <c:v>131167.91964354823</c:v>
                </c:pt>
                <c:pt idx="2">
                  <c:v>243119.88817532948</c:v>
                </c:pt>
                <c:pt idx="3">
                  <c:v>347416.33484267851</c:v>
                </c:pt>
                <c:pt idx="4">
                  <c:v>443075.04707939201</c:v>
                </c:pt>
                <c:pt idx="5">
                  <c:v>528230.50292779179</c:v>
                </c:pt>
                <c:pt idx="6">
                  <c:v>572320.85588303697</c:v>
                </c:pt>
                <c:pt idx="7">
                  <c:v>611197.84245982673</c:v>
                </c:pt>
                <c:pt idx="8">
                  <c:v>645765.54214524629</c:v>
                </c:pt>
                <c:pt idx="9">
                  <c:v>675977.42890549568</c:v>
                </c:pt>
                <c:pt idx="10">
                  <c:v>702368.49362689594</c:v>
                </c:pt>
                <c:pt idx="11">
                  <c:v>725705.91955337115</c:v>
                </c:pt>
                <c:pt idx="12">
                  <c:v>746164.33737331175</c:v>
                </c:pt>
                <c:pt idx="13">
                  <c:v>764037.36118816165</c:v>
                </c:pt>
                <c:pt idx="14">
                  <c:v>779967.46858071547</c:v>
                </c:pt>
                <c:pt idx="15">
                  <c:v>793945.19585738808</c:v>
                </c:pt>
              </c:numCache>
            </c:numRef>
          </c:yVal>
          <c:smooth val="0"/>
          <c:extLst>
            <c:ext xmlns:c16="http://schemas.microsoft.com/office/drawing/2014/chart" uri="{C3380CC4-5D6E-409C-BE32-E72D297353CC}">
              <c16:uniqueId val="{00000004-24FC-43FC-839A-3BD0EF55B233}"/>
            </c:ext>
          </c:extLst>
        </c:ser>
        <c:ser>
          <c:idx val="6"/>
          <c:order val="6"/>
          <c:tx>
            <c:strRef>
              <c:f>'Cash flow Analysis'!$U$70</c:f>
              <c:strCache>
                <c:ptCount val="1"/>
                <c:pt idx="0">
                  <c:v>H2 ICHEV</c:v>
                </c:pt>
              </c:strCache>
            </c:strRef>
          </c:tx>
          <c:spPr>
            <a:ln w="25400" cap="rnd">
              <a:solidFill>
                <a:srgbClr val="0033A0"/>
              </a:solidFill>
              <a:prstDash val="dash"/>
              <a:round/>
            </a:ln>
            <a:effectLst/>
          </c:spPr>
          <c:marker>
            <c:symbol val="none"/>
          </c:marker>
          <c:xVal>
            <c:numRef>
              <c:f>'Cash flow Analysis'!$N$71:$N$86</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Analysis'!$U$71:$U$86</c:f>
              <c:numCache>
                <c:formatCode>_("$"* #,##0_);_("$"* \(#,##0\);_("$"* "-"_);_(@_)</c:formatCode>
                <c:ptCount val="16"/>
                <c:pt idx="0">
                  <c:v>15503.985522722061</c:v>
                </c:pt>
                <c:pt idx="1">
                  <c:v>120956.46779159069</c:v>
                </c:pt>
                <c:pt idx="2">
                  <c:v>229904.68908356494</c:v>
                </c:pt>
                <c:pt idx="3">
                  <c:v>331061.80770968262</c:v>
                </c:pt>
                <c:pt idx="4">
                  <c:v>423271.62627229199</c:v>
                </c:pt>
                <c:pt idx="5">
                  <c:v>504379.70902406017</c:v>
                </c:pt>
                <c:pt idx="6">
                  <c:v>553207.05282582459</c:v>
                </c:pt>
                <c:pt idx="7">
                  <c:v>596165.02514184592</c:v>
                </c:pt>
                <c:pt idx="8">
                  <c:v>634276.4245146797</c:v>
                </c:pt>
                <c:pt idx="9">
                  <c:v>667487.4485946463</c:v>
                </c:pt>
                <c:pt idx="10">
                  <c:v>696402.95231755101</c:v>
                </c:pt>
                <c:pt idx="11">
                  <c:v>721890.8110407663</c:v>
                </c:pt>
                <c:pt idx="12">
                  <c:v>744147.81462090788</c:v>
                </c:pt>
                <c:pt idx="13">
                  <c:v>763505.54746601195</c:v>
                </c:pt>
                <c:pt idx="14">
                  <c:v>780690.75359631632</c:v>
                </c:pt>
                <c:pt idx="15">
                  <c:v>795691.81580902054</c:v>
                </c:pt>
              </c:numCache>
            </c:numRef>
          </c:yVal>
          <c:smooth val="0"/>
          <c:extLst>
            <c:ext xmlns:c16="http://schemas.microsoft.com/office/drawing/2014/chart" uri="{C3380CC4-5D6E-409C-BE32-E72D297353CC}">
              <c16:uniqueId val="{00000005-24FC-43FC-839A-3BD0EF55B233}"/>
            </c:ext>
          </c:extLst>
        </c:ser>
        <c:dLbls>
          <c:showLegendKey val="0"/>
          <c:showVal val="0"/>
          <c:showCatName val="0"/>
          <c:showSerName val="0"/>
          <c:showPercent val="0"/>
          <c:showBubbleSize val="0"/>
        </c:dLbls>
        <c:axId val="602444623"/>
        <c:axId val="676833519"/>
        <c:extLst/>
      </c:scatterChart>
      <c:valAx>
        <c:axId val="602444623"/>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a:t>Service Years</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w="19050" cap="flat" cmpd="sng" algn="ctr">
            <a:solidFill>
              <a:srgbClr val="FF0000"/>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76833519"/>
        <c:crosses val="autoZero"/>
        <c:crossBetween val="midCat"/>
        <c:majorUnit val="1"/>
      </c:valAx>
      <c:valAx>
        <c:axId val="6768335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sz="1200">
                    <a:solidFill>
                      <a:sysClr val="windowText" lastClr="000000"/>
                    </a:solidFill>
                  </a:rPr>
                  <a:t>Cumulated cash flow</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0,,\ &quot;M&quot;" sourceLinked="0"/>
        <c:majorTickMark val="none"/>
        <c:minorTickMark val="none"/>
        <c:tickLblPos val="nextTo"/>
        <c:spPr>
          <a:noFill/>
          <a:ln w="19050" cap="flat" cmpd="sng" algn="ctr">
            <a:solidFill>
              <a:srgbClr val="FF0000"/>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02444623"/>
        <c:crosses val="autoZero"/>
        <c:crossBetween val="midCat"/>
      </c:valAx>
      <c:spPr>
        <a:noFill/>
        <a:ln w="19050">
          <a:solidFill>
            <a:srgbClr val="FF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b="1">
          <a:solidFill>
            <a:sysClr val="windowText" lastClr="000000"/>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20060434313"/>
          <c:y val="5.5030015667092383E-2"/>
          <c:w val="0.76016467569979973"/>
          <c:h val="0.80831802274715658"/>
        </c:manualLayout>
      </c:layout>
      <c:scatterChart>
        <c:scatterStyle val="lineMarker"/>
        <c:varyColors val="0"/>
        <c:ser>
          <c:idx val="0"/>
          <c:order val="0"/>
          <c:tx>
            <c:strRef>
              <c:f>'Cash flow Analysis'!$AW$1</c:f>
              <c:strCache>
                <c:ptCount val="1"/>
                <c:pt idx="0">
                  <c:v>Annual Miles</c:v>
                </c:pt>
              </c:strCache>
            </c:strRef>
          </c:tx>
          <c:spPr>
            <a:ln w="31750" cap="rnd">
              <a:solidFill>
                <a:srgbClr val="00B050"/>
              </a:solidFill>
              <a:round/>
            </a:ln>
            <a:effectLst/>
          </c:spPr>
          <c:marker>
            <c:symbol val="none"/>
          </c:marker>
          <c:xVal>
            <c:numRef>
              <c:f>'Cash flow Analysis'!$AU$2:$AU$17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Analysis'!$AW$2:$AW$17</c:f>
              <c:numCache>
                <c:formatCode>0</c:formatCode>
                <c:ptCount val="16"/>
                <c:pt idx="1">
                  <c:v>101417.32283464503</c:v>
                </c:pt>
                <c:pt idx="2">
                  <c:v>112755.90551181062</c:v>
                </c:pt>
                <c:pt idx="3">
                  <c:v>107086.61417322783</c:v>
                </c:pt>
                <c:pt idx="4">
                  <c:v>98897.637795275747</c:v>
                </c:pt>
                <c:pt idx="5">
                  <c:v>86299.212598425438</c:v>
                </c:pt>
                <c:pt idx="6">
                  <c:v>76850.393700787565</c:v>
                </c:pt>
                <c:pt idx="7">
                  <c:v>69291.338582677359</c:v>
                </c:pt>
                <c:pt idx="8">
                  <c:v>62992.125984252147</c:v>
                </c:pt>
                <c:pt idx="9">
                  <c:v>56062.992125984332</c:v>
                </c:pt>
                <c:pt idx="10">
                  <c:v>49763.779527559134</c:v>
                </c:pt>
                <c:pt idx="11">
                  <c:v>44724.409448818951</c:v>
                </c:pt>
                <c:pt idx="12">
                  <c:v>39685.039370078855</c:v>
                </c:pt>
                <c:pt idx="13">
                  <c:v>34960.629921259933</c:v>
                </c:pt>
                <c:pt idx="14">
                  <c:v>31496.062992126026</c:v>
                </c:pt>
                <c:pt idx="15">
                  <c:v>27716.53543307096</c:v>
                </c:pt>
              </c:numCache>
            </c:numRef>
          </c:yVal>
          <c:smooth val="0"/>
          <c:extLst>
            <c:ext xmlns:c16="http://schemas.microsoft.com/office/drawing/2014/chart" uri="{C3380CC4-5D6E-409C-BE32-E72D297353CC}">
              <c16:uniqueId val="{00000000-E588-4311-AC1E-687D75DDA700}"/>
            </c:ext>
          </c:extLst>
        </c:ser>
        <c:dLbls>
          <c:showLegendKey val="0"/>
          <c:showVal val="0"/>
          <c:showCatName val="0"/>
          <c:showSerName val="0"/>
          <c:showPercent val="0"/>
          <c:showBubbleSize val="0"/>
        </c:dLbls>
        <c:axId val="92962992"/>
        <c:axId val="92958672"/>
      </c:scatterChart>
      <c:scatterChart>
        <c:scatterStyle val="smoothMarker"/>
        <c:varyColors val="0"/>
        <c:ser>
          <c:idx val="1"/>
          <c:order val="1"/>
          <c:tx>
            <c:strRef>
              <c:f>'Cash flow Analysis'!$AX$1</c:f>
              <c:strCache>
                <c:ptCount val="1"/>
                <c:pt idx="0">
                  <c:v>Cumulated Miles </c:v>
                </c:pt>
              </c:strCache>
            </c:strRef>
          </c:tx>
          <c:spPr>
            <a:ln w="31750" cap="rnd">
              <a:solidFill>
                <a:srgbClr val="00A3E0"/>
              </a:solidFill>
              <a:round/>
            </a:ln>
            <a:effectLst/>
          </c:spPr>
          <c:marker>
            <c:symbol val="none"/>
          </c:marker>
          <c:xVal>
            <c:numRef>
              <c:f>'Cash flow Analysis'!$AU$2:$AU$17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Analysis'!$AX$2:$AX$17</c:f>
              <c:numCache>
                <c:formatCode>0</c:formatCode>
                <c:ptCount val="16"/>
                <c:pt idx="0" formatCode="General">
                  <c:v>0</c:v>
                </c:pt>
                <c:pt idx="1">
                  <c:v>101417.32283464503</c:v>
                </c:pt>
                <c:pt idx="2">
                  <c:v>214173.22834645567</c:v>
                </c:pt>
                <c:pt idx="3">
                  <c:v>321259.84251968353</c:v>
                </c:pt>
                <c:pt idx="4">
                  <c:v>420157.48031495931</c:v>
                </c:pt>
                <c:pt idx="5">
                  <c:v>506456.69291338476</c:v>
                </c:pt>
                <c:pt idx="6">
                  <c:v>583307.08661417232</c:v>
                </c:pt>
                <c:pt idx="7">
                  <c:v>652598.42519684974</c:v>
                </c:pt>
                <c:pt idx="8">
                  <c:v>715590.55118110194</c:v>
                </c:pt>
                <c:pt idx="9">
                  <c:v>771653.54330708622</c:v>
                </c:pt>
                <c:pt idx="10">
                  <c:v>821417.3228346454</c:v>
                </c:pt>
                <c:pt idx="11">
                  <c:v>866141.7322834644</c:v>
                </c:pt>
                <c:pt idx="12">
                  <c:v>905826.77165354323</c:v>
                </c:pt>
                <c:pt idx="13">
                  <c:v>940787.40157480317</c:v>
                </c:pt>
                <c:pt idx="14">
                  <c:v>972283.46456692915</c:v>
                </c:pt>
                <c:pt idx="15">
                  <c:v>1000000.0000000001</c:v>
                </c:pt>
              </c:numCache>
            </c:numRef>
          </c:yVal>
          <c:smooth val="1"/>
          <c:extLst>
            <c:ext xmlns:c16="http://schemas.microsoft.com/office/drawing/2014/chart" uri="{C3380CC4-5D6E-409C-BE32-E72D297353CC}">
              <c16:uniqueId val="{00000001-E588-4311-AC1E-687D75DDA700}"/>
            </c:ext>
          </c:extLst>
        </c:ser>
        <c:dLbls>
          <c:showLegendKey val="0"/>
          <c:showVal val="0"/>
          <c:showCatName val="0"/>
          <c:showSerName val="0"/>
          <c:showPercent val="0"/>
          <c:showBubbleSize val="0"/>
        </c:dLbls>
        <c:axId val="417531968"/>
        <c:axId val="417509408"/>
      </c:scatterChart>
      <c:valAx>
        <c:axId val="92962992"/>
        <c:scaling>
          <c:orientation val="minMax"/>
          <c:max val="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92958672"/>
        <c:crosses val="autoZero"/>
        <c:crossBetween val="midCat"/>
        <c:majorUnit val="1"/>
        <c:minorUnit val="1"/>
      </c:valAx>
      <c:valAx>
        <c:axId val="92958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rgbClr val="00B050"/>
                    </a:solidFill>
                    <a:latin typeface="+mn-lt"/>
                    <a:ea typeface="+mn-ea"/>
                    <a:cs typeface="+mn-cs"/>
                  </a:defRPr>
                </a:pPr>
                <a:r>
                  <a:rPr lang="en-US">
                    <a:solidFill>
                      <a:srgbClr val="00B050"/>
                    </a:solidFill>
                  </a:rPr>
                  <a:t>Annual </a:t>
                </a:r>
                <a:r>
                  <a:rPr lang="en-US" sz="1200" b="1" i="0" u="none" strike="noStrike" kern="1200" baseline="0">
                    <a:solidFill>
                      <a:srgbClr val="00B050"/>
                    </a:solidFill>
                  </a:rPr>
                  <a:t>travel miles</a:t>
                </a:r>
              </a:p>
            </c:rich>
          </c:tx>
          <c:layout>
            <c:manualLayout>
              <c:xMode val="edge"/>
              <c:yMode val="edge"/>
              <c:x val="9.9879090749650425E-3"/>
              <c:y val="0.34459999218223969"/>
            </c:manualLayout>
          </c:layout>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rgbClr val="00B050"/>
                  </a:solidFill>
                  <a:latin typeface="+mn-lt"/>
                  <a:ea typeface="+mn-ea"/>
                  <a:cs typeface="+mn-cs"/>
                </a:defRPr>
              </a:pPr>
              <a:endParaRPr lang="en-US"/>
            </a:p>
          </c:txPr>
        </c:title>
        <c:numFmt formatCode="0,\ &quot;K&quot;" sourceLinked="0"/>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92962992"/>
        <c:crosses val="autoZero"/>
        <c:crossBetween val="midCat"/>
      </c:valAx>
      <c:valAx>
        <c:axId val="417509408"/>
        <c:scaling>
          <c:orientation val="minMax"/>
        </c:scaling>
        <c:delete val="0"/>
        <c:axPos val="r"/>
        <c:title>
          <c:tx>
            <c:rich>
              <a:bodyPr rot="-5400000" spcFirstLastPara="1" vertOverflow="ellipsis" vert="horz" wrap="square" anchor="ctr" anchorCtr="1"/>
              <a:lstStyle/>
              <a:p>
                <a:pPr>
                  <a:defRPr sz="1200" b="1" i="0" u="none" strike="noStrike" kern="1200" baseline="0">
                    <a:solidFill>
                      <a:srgbClr val="00A3E0"/>
                    </a:solidFill>
                    <a:latin typeface="+mn-lt"/>
                    <a:ea typeface="+mn-ea"/>
                    <a:cs typeface="+mn-cs"/>
                  </a:defRPr>
                </a:pPr>
                <a:r>
                  <a:rPr lang="en-US">
                    <a:solidFill>
                      <a:srgbClr val="00A3E0"/>
                    </a:solidFill>
                  </a:rPr>
                  <a:t>Cumulated travel</a:t>
                </a:r>
                <a:r>
                  <a:rPr lang="en-US" baseline="0">
                    <a:solidFill>
                      <a:srgbClr val="00A3E0"/>
                    </a:solidFill>
                  </a:rPr>
                  <a:t> miles</a:t>
                </a:r>
                <a:endParaRPr lang="en-US">
                  <a:solidFill>
                    <a:srgbClr val="00A3E0"/>
                  </a:solidFill>
                </a:endParaRPr>
              </a:p>
            </c:rich>
          </c:tx>
          <c:layout>
            <c:manualLayout>
              <c:xMode val="edge"/>
              <c:yMode val="edge"/>
              <c:x val="0.96145032696706045"/>
              <c:y val="0.29078128587088681"/>
            </c:manualLayout>
          </c:layout>
          <c:overlay val="0"/>
          <c:spPr>
            <a:noFill/>
            <a:ln>
              <a:noFill/>
            </a:ln>
            <a:effectLst/>
          </c:spPr>
          <c:txPr>
            <a:bodyPr rot="-5400000" spcFirstLastPara="1" vertOverflow="ellipsis" vert="horz" wrap="square" anchor="ctr" anchorCtr="1"/>
            <a:lstStyle/>
            <a:p>
              <a:pPr>
                <a:defRPr sz="1200" b="1" i="0" u="none" strike="noStrike" kern="1200" baseline="0">
                  <a:solidFill>
                    <a:srgbClr val="00A3E0"/>
                  </a:solidFill>
                  <a:latin typeface="+mn-lt"/>
                  <a:ea typeface="+mn-ea"/>
                  <a:cs typeface="+mn-cs"/>
                </a:defRPr>
              </a:pPr>
              <a:endParaRPr lang="en-US"/>
            </a:p>
          </c:txPr>
        </c:title>
        <c:numFmt formatCode="0.0,,\ &quot;M&quot;"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417531968"/>
        <c:crosses val="max"/>
        <c:crossBetween val="midCat"/>
        <c:majorUnit val="200000"/>
      </c:valAx>
      <c:valAx>
        <c:axId val="417531968"/>
        <c:scaling>
          <c:orientation val="minMax"/>
        </c:scaling>
        <c:delete val="1"/>
        <c:axPos val="b"/>
        <c:numFmt formatCode="General" sourceLinked="1"/>
        <c:majorTickMark val="out"/>
        <c:minorTickMark val="none"/>
        <c:tickLblPos val="nextTo"/>
        <c:crossAx val="417509408"/>
        <c:crosses val="autoZero"/>
        <c:crossBetween val="midCat"/>
      </c:valAx>
      <c:spPr>
        <a:noFill/>
        <a:ln w="19050">
          <a:solidFill>
            <a:schemeClr val="tx1"/>
          </a:solidFill>
        </a:ln>
        <a:effectLst/>
      </c:spPr>
    </c:plotArea>
    <c:legend>
      <c:legendPos val="t"/>
      <c:layout>
        <c:manualLayout>
          <c:xMode val="edge"/>
          <c:yMode val="edge"/>
          <c:x val="0.29222343408319984"/>
          <c:y val="0.73127699430165338"/>
          <c:w val="0.4468959351928054"/>
          <c:h val="0.10673853018888411"/>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b="1">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79218650501256"/>
          <c:y val="0.1533418860919902"/>
          <c:w val="0.78686227017293431"/>
          <c:h val="0.72654382126219164"/>
        </c:manualLayout>
      </c:layout>
      <c:scatterChart>
        <c:scatterStyle val="lineMarker"/>
        <c:varyColors val="0"/>
        <c:ser>
          <c:idx val="1"/>
          <c:order val="1"/>
          <c:tx>
            <c:strRef>
              <c:f>'Cash flow Analysis'!$AA$51</c:f>
              <c:strCache>
                <c:ptCount val="1"/>
                <c:pt idx="0">
                  <c:v>Mobile Carbon Capture  50%</c:v>
                </c:pt>
              </c:strCache>
            </c:strRef>
          </c:tx>
          <c:spPr>
            <a:ln w="38100" cap="rnd">
              <a:solidFill>
                <a:srgbClr val="00A3E0"/>
              </a:solidFill>
              <a:round/>
            </a:ln>
            <a:effectLst/>
          </c:spPr>
          <c:marker>
            <c:symbol val="none"/>
          </c:marker>
          <c:xVal>
            <c:numRef>
              <c:f>'Cash flow Analysis'!$Y$52:$Y$67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Analysis'!$AA$52:$AA$67</c:f>
              <c:numCache>
                <c:formatCode>_("$"* #,##0_);_("$"* \(#,##0\);_("$"* "-"_);_(@_)</c:formatCode>
                <c:ptCount val="16"/>
                <c:pt idx="0">
                  <c:v>2160</c:v>
                </c:pt>
                <c:pt idx="1">
                  <c:v>1871.1173825052538</c:v>
                </c:pt>
                <c:pt idx="2">
                  <c:v>1600.4388604767446</c:v>
                </c:pt>
                <c:pt idx="3">
                  <c:v>1739.4030680551223</c:v>
                </c:pt>
                <c:pt idx="4">
                  <c:v>1902.4121579146013</c:v>
                </c:pt>
                <c:pt idx="5">
                  <c:v>2112.1771233584441</c:v>
                </c:pt>
                <c:pt idx="6">
                  <c:v>-1068.7891313263244</c:v>
                </c:pt>
                <c:pt idx="7">
                  <c:v>-844.22983815676707</c:v>
                </c:pt>
                <c:pt idx="8">
                  <c:v>-665.89353689302516</c:v>
                </c:pt>
                <c:pt idx="9">
                  <c:v>-503.6448977366781</c:v>
                </c:pt>
                <c:pt idx="10">
                  <c:v>-371.12135821547417</c:v>
                </c:pt>
                <c:pt idx="11">
                  <c:v>-269.92152884812822</c:v>
                </c:pt>
                <c:pt idx="12">
                  <c:v>-183.63990642085992</c:v>
                </c:pt>
                <c:pt idx="13">
                  <c:v>-113.20009943077457</c:v>
                </c:pt>
                <c:pt idx="14">
                  <c:v>-62.410269196483569</c:v>
                </c:pt>
                <c:pt idx="15">
                  <c:v>-18.246846051750254</c:v>
                </c:pt>
              </c:numCache>
            </c:numRef>
          </c:yVal>
          <c:smooth val="0"/>
          <c:extLst>
            <c:ext xmlns:c16="http://schemas.microsoft.com/office/drawing/2014/chart" uri="{C3380CC4-5D6E-409C-BE32-E72D297353CC}">
              <c16:uniqueId val="{00000001-1F0E-4C1E-884D-048BB5147194}"/>
            </c:ext>
          </c:extLst>
        </c:ser>
        <c:ser>
          <c:idx val="2"/>
          <c:order val="2"/>
          <c:tx>
            <c:strRef>
              <c:f>'Cash flow Analysis'!$AB$51</c:f>
              <c:strCache>
                <c:ptCount val="1"/>
                <c:pt idx="0">
                  <c:v>Mobile Carbon Capture  90%</c:v>
                </c:pt>
              </c:strCache>
            </c:strRef>
          </c:tx>
          <c:spPr>
            <a:ln w="38100" cap="rnd">
              <a:solidFill>
                <a:srgbClr val="00A3E0"/>
              </a:solidFill>
              <a:prstDash val="sysDot"/>
              <a:round/>
            </a:ln>
            <a:effectLst/>
          </c:spPr>
          <c:marker>
            <c:symbol val="none"/>
          </c:marker>
          <c:xVal>
            <c:numRef>
              <c:f>'Cash flow Analysis'!$Y$52:$Y$67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Analysis'!$AB$52:$AB$67</c:f>
              <c:numCache>
                <c:formatCode>_("$"* #,##0_);_("$"* \(#,##0\);_("$"* "-"_);_(@_)</c:formatCode>
                <c:ptCount val="16"/>
                <c:pt idx="0">
                  <c:v>2882</c:v>
                </c:pt>
                <c:pt idx="1">
                  <c:v>5086.279821214659</c:v>
                </c:pt>
                <c:pt idx="2">
                  <c:v>4977.7125532583595</c:v>
                </c:pt>
                <c:pt idx="3">
                  <c:v>4983.045910564033</c:v>
                </c:pt>
                <c:pt idx="4">
                  <c:v>4961.3616520065698</c:v>
                </c:pt>
                <c:pt idx="5">
                  <c:v>4900.431007557534</c:v>
                </c:pt>
                <c:pt idx="6">
                  <c:v>402.00413370260503</c:v>
                </c:pt>
                <c:pt idx="7">
                  <c:v>495.07936752789101</c:v>
                </c:pt>
                <c:pt idx="8">
                  <c:v>560.91144642697327</c:v>
                </c:pt>
                <c:pt idx="9">
                  <c:v>595.67730767749526</c:v>
                </c:pt>
                <c:pt idx="10">
                  <c:v>610.07575231890587</c:v>
                </c:pt>
                <c:pt idx="11">
                  <c:v>615.07418121361479</c:v>
                </c:pt>
                <c:pt idx="12">
                  <c:v>604.15527595912499</c:v>
                </c:pt>
                <c:pt idx="13">
                  <c:v>582.76189721445553</c:v>
                </c:pt>
                <c:pt idx="14">
                  <c:v>564.92059728951972</c:v>
                </c:pt>
                <c:pt idx="15">
                  <c:v>534.71824376933182</c:v>
                </c:pt>
              </c:numCache>
            </c:numRef>
          </c:yVal>
          <c:smooth val="0"/>
          <c:extLst>
            <c:ext xmlns:c16="http://schemas.microsoft.com/office/drawing/2014/chart" uri="{C3380CC4-5D6E-409C-BE32-E72D297353CC}">
              <c16:uniqueId val="{00000002-1F0E-4C1E-884D-048BB5147194}"/>
            </c:ext>
          </c:extLst>
        </c:ser>
        <c:ser>
          <c:idx val="3"/>
          <c:order val="3"/>
          <c:tx>
            <c:strRef>
              <c:f>'Cash flow Analysis'!$AC$51</c:f>
              <c:strCache>
                <c:ptCount val="1"/>
                <c:pt idx="0">
                  <c:v>BEV 250 mile</c:v>
                </c:pt>
              </c:strCache>
              <c:extLst xmlns:c15="http://schemas.microsoft.com/office/drawing/2012/chart"/>
            </c:strRef>
          </c:tx>
          <c:spPr>
            <a:ln w="28575" cap="rnd">
              <a:solidFill>
                <a:srgbClr val="00B050"/>
              </a:solidFill>
              <a:prstDash val="dash"/>
              <a:round/>
            </a:ln>
            <a:effectLst/>
          </c:spPr>
          <c:marker>
            <c:symbol val="none"/>
          </c:marker>
          <c:xVal>
            <c:numRef>
              <c:f>'Cash flow Analysis'!$Y$52:$Y$67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extLst xmlns:c15="http://schemas.microsoft.com/office/drawing/2012/chart"/>
            </c:numRef>
          </c:xVal>
          <c:yVal>
            <c:numRef>
              <c:f>'Cash flow Analysis'!$AC$52:$AC$67</c:f>
              <c:numCache>
                <c:formatCode>_("$"* #,##0_);_("$"* \(#,##0\);_("$"* "-"_);_(@_)</c:formatCode>
                <c:ptCount val="16"/>
                <c:pt idx="0">
                  <c:v>7544.4192125496702</c:v>
                </c:pt>
                <c:pt idx="1">
                  <c:v>33611.159784216637</c:v>
                </c:pt>
                <c:pt idx="2">
                  <c:v>34150.208176759217</c:v>
                </c:pt>
                <c:pt idx="3">
                  <c:v>31728.694958554523</c:v>
                </c:pt>
                <c:pt idx="4">
                  <c:v>29035.92100778759</c:v>
                </c:pt>
                <c:pt idx="5">
                  <c:v>25812.402227240862</c:v>
                </c:pt>
                <c:pt idx="6">
                  <c:v>11756.247424156842</c:v>
                </c:pt>
                <c:pt idx="7">
                  <c:v>10198.253471295873</c:v>
                </c:pt>
                <c:pt idx="8">
                  <c:v>8922.8477640059355</c:v>
                </c:pt>
                <c:pt idx="9">
                  <c:v>7648.7235339546787</c:v>
                </c:pt>
                <c:pt idx="10">
                  <c:v>6542.826009236931</c:v>
                </c:pt>
                <c:pt idx="11">
                  <c:v>5668.5510443496787</c:v>
                </c:pt>
                <c:pt idx="12">
                  <c:v>4884.1732513888201</c:v>
                </c:pt>
                <c:pt idx="13">
                  <c:v>4153.9027078795043</c:v>
                </c:pt>
                <c:pt idx="14">
                  <c:v>3613.0890324484099</c:v>
                </c:pt>
                <c:pt idx="15">
                  <c:v>3073.761152392035</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3-1F0E-4C1E-884D-048BB5147194}"/>
            </c:ext>
          </c:extLst>
        </c:ser>
        <c:ser>
          <c:idx val="4"/>
          <c:order val="4"/>
          <c:tx>
            <c:strRef>
              <c:f>'Cash flow Analysis'!$AD$51</c:f>
              <c:strCache>
                <c:ptCount val="1"/>
                <c:pt idx="0">
                  <c:v>BEV 500 mile</c:v>
                </c:pt>
              </c:strCache>
              <c:extLst xmlns:c15="http://schemas.microsoft.com/office/drawing/2012/chart"/>
            </c:strRef>
          </c:tx>
          <c:spPr>
            <a:ln w="38100" cap="rnd">
              <a:solidFill>
                <a:srgbClr val="00B050"/>
              </a:solidFill>
              <a:round/>
            </a:ln>
            <a:effectLst/>
          </c:spPr>
          <c:marker>
            <c:symbol val="none"/>
          </c:marker>
          <c:xVal>
            <c:numRef>
              <c:f>'Cash flow Analysis'!$Y$52:$Y$67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extLst xmlns:c15="http://schemas.microsoft.com/office/drawing/2012/chart"/>
            </c:numRef>
          </c:xVal>
          <c:yVal>
            <c:numRef>
              <c:f>'Cash flow Analysis'!$AD$52:$AD$67</c:f>
              <c:numCache>
                <c:formatCode>_("$"* #,##0_);_("$"* \(#,##0\);_("$"* "-"_);_(@_)</c:formatCode>
                <c:ptCount val="16"/>
                <c:pt idx="0">
                  <c:v>13870.066439709939</c:v>
                </c:pt>
                <c:pt idx="1">
                  <c:v>38406.417770233296</c:v>
                </c:pt>
                <c:pt idx="2">
                  <c:v>37647.309848663455</c:v>
                </c:pt>
                <c:pt idx="3">
                  <c:v>35318.650901298519</c:v>
                </c:pt>
                <c:pt idx="4">
                  <c:v>32902.7841509914</c:v>
                </c:pt>
                <c:pt idx="5">
                  <c:v>30259.538877512226</c:v>
                </c:pt>
                <c:pt idx="6">
                  <c:v>6875.0268813698494</c:v>
                </c:pt>
                <c:pt idx="7">
                  <c:v>5980.6546316948006</c:v>
                </c:pt>
                <c:pt idx="8">
                  <c:v>5249.7529820419077</c:v>
                </c:pt>
                <c:pt idx="9">
                  <c:v>4530.9572335786543</c:v>
                </c:pt>
                <c:pt idx="10">
                  <c:v>3910.7507507717964</c:v>
                </c:pt>
                <c:pt idx="11">
                  <c:v>3419.6631588486198</c:v>
                </c:pt>
                <c:pt idx="12">
                  <c:v>2997.8743135412151</c:v>
                </c:pt>
                <c:pt idx="13">
                  <c:v>2591.7310813165823</c:v>
                </c:pt>
                <c:pt idx="14">
                  <c:v>2288.0698085204858</c:v>
                </c:pt>
                <c:pt idx="15">
                  <c:v>1989.4333393767156</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4-1F0E-4C1E-884D-048BB5147194}"/>
            </c:ext>
          </c:extLst>
        </c:ser>
        <c:ser>
          <c:idx val="5"/>
          <c:order val="5"/>
          <c:tx>
            <c:strRef>
              <c:f>'Cash flow Analysis'!$AE$51</c:f>
              <c:strCache>
                <c:ptCount val="1"/>
                <c:pt idx="0">
                  <c:v>H2 FCEV</c:v>
                </c:pt>
              </c:strCache>
              <c:extLst xmlns:c15="http://schemas.microsoft.com/office/drawing/2012/chart"/>
            </c:strRef>
          </c:tx>
          <c:spPr>
            <a:ln w="31750" cap="rnd">
              <a:solidFill>
                <a:srgbClr val="0033A0"/>
              </a:solidFill>
              <a:round/>
            </a:ln>
            <a:effectLst/>
          </c:spPr>
          <c:marker>
            <c:symbol val="none"/>
          </c:marker>
          <c:xVal>
            <c:numRef>
              <c:f>'Cash flow Analysis'!$Y$52:$Y$67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extLst xmlns:c15="http://schemas.microsoft.com/office/drawing/2012/chart"/>
            </c:numRef>
          </c:xVal>
          <c:yVal>
            <c:numRef>
              <c:f>'Cash flow Analysis'!$AE$52:$AE$67</c:f>
              <c:numCache>
                <c:formatCode>_("$"* #,##0_);_("$"* \(#,##0\);_("$"* "-"_);_(@_)</c:formatCode>
                <c:ptCount val="16"/>
                <c:pt idx="0">
                  <c:v>7926.7403316387463</c:v>
                </c:pt>
                <c:pt idx="1">
                  <c:v>18011.861740037595</c:v>
                </c:pt>
                <c:pt idx="2">
                  <c:v>17613.192123782079</c:v>
                </c:pt>
                <c:pt idx="3">
                  <c:v>16945.69046660421</c:v>
                </c:pt>
                <c:pt idx="4">
                  <c:v>16221.887462216473</c:v>
                </c:pt>
                <c:pt idx="5">
                  <c:v>15388.831419411916</c:v>
                </c:pt>
                <c:pt idx="6">
                  <c:v>2519.706678518749</c:v>
                </c:pt>
                <c:pt idx="7">
                  <c:v>2402.9166189116222</c:v>
                </c:pt>
                <c:pt idx="8">
                  <c:v>2292.4716398362798</c:v>
                </c:pt>
                <c:pt idx="9">
                  <c:v>2143.3948509614675</c:v>
                </c:pt>
                <c:pt idx="10">
                  <c:v>1993.0987917206039</c:v>
                </c:pt>
                <c:pt idx="11">
                  <c:v>1864.453330906199</c:v>
                </c:pt>
                <c:pt idx="12">
                  <c:v>1724.5217291125882</c:v>
                </c:pt>
                <c:pt idx="13">
                  <c:v>1584.8111804925356</c:v>
                </c:pt>
                <c:pt idx="14">
                  <c:v>1476.780702121916</c:v>
                </c:pt>
                <c:pt idx="15">
                  <c:v>1353.8330492264668</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5-1F0E-4C1E-884D-048BB5147194}"/>
            </c:ext>
          </c:extLst>
        </c:ser>
        <c:ser>
          <c:idx val="6"/>
          <c:order val="6"/>
          <c:tx>
            <c:strRef>
              <c:f>'Cash flow Analysis'!$AF$51</c:f>
              <c:strCache>
                <c:ptCount val="1"/>
                <c:pt idx="0">
                  <c:v>H2 ICHEV</c:v>
                </c:pt>
              </c:strCache>
              <c:extLst xmlns:c15="http://schemas.microsoft.com/office/drawing/2012/chart"/>
            </c:strRef>
          </c:tx>
          <c:spPr>
            <a:ln w="31750" cap="rnd">
              <a:solidFill>
                <a:schemeClr val="accent1">
                  <a:lumMod val="60000"/>
                </a:schemeClr>
              </a:solidFill>
              <a:prstDash val="dash"/>
              <a:round/>
            </a:ln>
            <a:effectLst/>
          </c:spPr>
          <c:marker>
            <c:symbol val="none"/>
          </c:marker>
          <c:xVal>
            <c:numRef>
              <c:f>'Cash flow Analysis'!$Y$52:$Y$67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extLst xmlns:c15="http://schemas.microsoft.com/office/drawing/2012/chart"/>
            </c:numRef>
          </c:xVal>
          <c:yVal>
            <c:numRef>
              <c:f>'Cash flow Analysis'!$AF$52:$AF$67</c:f>
              <c:numCache>
                <c:formatCode>_("$"* #,##0_);_("$"* \(#,##0\);_("$"* "-"_);_(@_)</c:formatCode>
                <c:ptCount val="16"/>
                <c:pt idx="0">
                  <c:v>1945.1855227220622</c:v>
                </c:pt>
                <c:pt idx="1">
                  <c:v>13781.964696996729</c:v>
                </c:pt>
                <c:pt idx="2">
                  <c:v>14609.444883975084</c:v>
                </c:pt>
                <c:pt idx="3">
                  <c:v>13806.362425372863</c:v>
                </c:pt>
                <c:pt idx="4">
                  <c:v>12772.993788112362</c:v>
                </c:pt>
                <c:pt idx="5">
                  <c:v>11341.458322780367</c:v>
                </c:pt>
                <c:pt idx="6">
                  <c:v>7256.6975250379473</c:v>
                </c:pt>
                <c:pt idx="7">
                  <c:v>6483.9023581431393</c:v>
                </c:pt>
                <c:pt idx="8">
                  <c:v>5836.1713272505731</c:v>
                </c:pt>
                <c:pt idx="9">
                  <c:v>5142.5321706786381</c:v>
                </c:pt>
                <c:pt idx="10">
                  <c:v>4517.5377932250049</c:v>
                </c:pt>
                <c:pt idx="11">
                  <c:v>4014.8861276463431</c:v>
                </c:pt>
                <c:pt idx="12">
                  <c:v>3523.1074893135665</c:v>
                </c:pt>
                <c:pt idx="13">
                  <c:v>3069.5202107466757</c:v>
                </c:pt>
                <c:pt idx="14">
                  <c:v>2731.8794398725222</c:v>
                </c:pt>
                <c:pt idx="15">
                  <c:v>2377.1679852581474</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6-1F0E-4C1E-884D-048BB5147194}"/>
            </c:ext>
          </c:extLst>
        </c:ser>
        <c:dLbls>
          <c:showLegendKey val="0"/>
          <c:showVal val="0"/>
          <c:showCatName val="0"/>
          <c:showSerName val="0"/>
          <c:showPercent val="0"/>
          <c:showBubbleSize val="0"/>
        </c:dLbls>
        <c:axId val="860752352"/>
        <c:axId val="860749472"/>
        <c:extLst>
          <c:ext xmlns:c15="http://schemas.microsoft.com/office/drawing/2012/chart" uri="{02D57815-91ED-43cb-92C2-25804820EDAC}">
            <c15:filteredScatterSeries>
              <c15:ser>
                <c:idx val="0"/>
                <c:order val="0"/>
                <c:tx>
                  <c:strRef>
                    <c:extLst>
                      <c:ext uri="{02D57815-91ED-43cb-92C2-25804820EDAC}">
                        <c15:formulaRef>
                          <c15:sqref>'Cash flow Analysis'!$Z$51</c15:sqref>
                        </c15:formulaRef>
                      </c:ext>
                    </c:extLst>
                    <c:strCache>
                      <c:ptCount val="1"/>
                      <c:pt idx="0">
                        <c:v>Conventional Diesel</c:v>
                      </c:pt>
                    </c:strCache>
                  </c:strRef>
                </c:tx>
                <c:spPr>
                  <a:ln w="19050" cap="rnd">
                    <a:solidFill>
                      <a:schemeClr val="accent1"/>
                    </a:solidFill>
                    <a:round/>
                  </a:ln>
                  <a:effectLst/>
                </c:spPr>
                <c:marker>
                  <c:symbol val="none"/>
                </c:marker>
                <c:xVal>
                  <c:numRef>
                    <c:extLst>
                      <c:ext uri="{02D57815-91ED-43cb-92C2-25804820EDAC}">
                        <c15:formulaRef>
                          <c15:sqref>'Cash flow Analysis'!$Y$52:$Y$67</c15:sqref>
                        </c15:formulaRef>
                      </c:ext>
                    </c:extLst>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extLst>
                      <c:ext uri="{02D57815-91ED-43cb-92C2-25804820EDAC}">
                        <c15:formulaRef>
                          <c15:sqref>'Cash flow Analysis'!$Z$52:$Z$67</c15:sqref>
                        </c15:formulaRef>
                      </c:ext>
                    </c:extLst>
                    <c:numCache>
                      <c:formatCode>_("$"* #,##0_);_("$"* \(#,##0\);_("$"* "-"_);_(@_)</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0-1F0E-4C1E-884D-048BB5147194}"/>
                  </c:ext>
                </c:extLst>
              </c15:ser>
            </c15:filteredScatterSeries>
          </c:ext>
        </c:extLst>
      </c:scatterChart>
      <c:valAx>
        <c:axId val="860752352"/>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2000" b="1" i="0" u="none" strike="noStrike" kern="1200" baseline="0">
                    <a:solidFill>
                      <a:schemeClr val="tx1"/>
                    </a:solidFill>
                    <a:latin typeface="+mn-lt"/>
                    <a:ea typeface="+mn-ea"/>
                    <a:cs typeface="+mn-cs"/>
                  </a:defRPr>
                </a:pPr>
                <a:r>
                  <a:rPr lang="en-US"/>
                  <a:t>Service Years</a:t>
                </a:r>
              </a:p>
            </c:rich>
          </c:tx>
          <c:layout>
            <c:manualLayout>
              <c:xMode val="edge"/>
              <c:yMode val="edge"/>
              <c:x val="0.4771085797615589"/>
              <c:y val="0.94857237145193918"/>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crossAx val="860749472"/>
        <c:crosses val="autoZero"/>
        <c:crossBetween val="midCat"/>
      </c:valAx>
      <c:valAx>
        <c:axId val="860749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1" i="0" u="none" strike="noStrike" kern="1200" baseline="0">
                    <a:solidFill>
                      <a:schemeClr val="tx1"/>
                    </a:solidFill>
                    <a:latin typeface="+mn-lt"/>
                    <a:ea typeface="+mn-ea"/>
                    <a:cs typeface="+mn-cs"/>
                  </a:defRPr>
                </a:pPr>
                <a:r>
                  <a:rPr lang="en-US"/>
                  <a:t>A</a:t>
                </a:r>
                <a:r>
                  <a:rPr lang="en-US" sz="2000" b="1" i="0" u="none" strike="noStrike" kern="1200" baseline="0">
                    <a:solidFill>
                      <a:sysClr val="windowText" lastClr="000000"/>
                    </a:solidFill>
                  </a:rPr>
                  <a:t>nnual c</a:t>
                </a:r>
                <a:r>
                  <a:rPr lang="en-US"/>
                  <a:t>ash flow</a:t>
                </a:r>
              </a:p>
              <a:p>
                <a:pPr>
                  <a:defRPr/>
                </a:pPr>
                <a:r>
                  <a:rPr lang="en-US">
                    <a:solidFill>
                      <a:srgbClr val="FF0000"/>
                    </a:solidFill>
                  </a:rPr>
                  <a:t>Relative to Diesel</a:t>
                </a:r>
              </a:p>
            </c:rich>
          </c:tx>
          <c:overlay val="0"/>
          <c:spPr>
            <a:noFill/>
            <a:ln>
              <a:noFill/>
            </a:ln>
            <a:effectLst/>
          </c:spPr>
          <c:txPr>
            <a:bodyPr rot="-540000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title>
        <c:numFmt formatCode="_(&quot;$&quot;* #,##0_);_(&quot;$&quot;* \(#,##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crossAx val="860752352"/>
        <c:crosses val="autoZero"/>
        <c:crossBetween val="midCat"/>
      </c:valAx>
      <c:spPr>
        <a:noFill/>
        <a:ln w="25400">
          <a:solidFill>
            <a:schemeClr val="tx1"/>
          </a:solidFill>
        </a:ln>
        <a:effectLst/>
      </c:spPr>
    </c:plotArea>
    <c:legend>
      <c:legendPos val="b"/>
      <c:layout>
        <c:manualLayout>
          <c:xMode val="edge"/>
          <c:yMode val="edge"/>
          <c:x val="0.202121053482296"/>
          <c:y val="1.2162388507129978E-2"/>
          <c:w val="0.766115736373703"/>
          <c:h val="0.12115378256990549"/>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2000" b="1">
          <a:solidFill>
            <a:schemeClr val="tx1"/>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'Cash flow Analysis'!$AH$5:$AJ$5</c:f>
          <c:strCache>
            <c:ptCount val="3"/>
            <c:pt idx="0">
              <c:v>Mobile Carbon Capture  50%</c:v>
            </c:pt>
          </c:strCache>
        </c:strRef>
      </c:tx>
      <c:layout>
        <c:manualLayout>
          <c:xMode val="edge"/>
          <c:yMode val="edge"/>
          <c:x val="0.73512839232178884"/>
          <c:y val="9.2384854645161413E-2"/>
        </c:manualLayout>
      </c:layout>
      <c:overlay val="0"/>
      <c:spPr>
        <a:noFill/>
        <a:ln>
          <a:noFill/>
        </a:ln>
        <a:effectLst/>
      </c:spPr>
      <c:txPr>
        <a:bodyPr rot="0" spcFirstLastPara="1" vertOverflow="ellipsis" vert="horz" wrap="square" anchor="ctr" anchorCtr="1"/>
        <a:lstStyle/>
        <a:p>
          <a:pPr>
            <a:defRPr sz="2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04202153772884"/>
          <c:y val="8.6397588624354593E-2"/>
          <c:w val="0.86096978219187847"/>
          <c:h val="0.79340287754816707"/>
        </c:manualLayout>
      </c:layout>
      <c:barChart>
        <c:barDir val="col"/>
        <c:grouping val="stacked"/>
        <c:varyColors val="0"/>
        <c:ser>
          <c:idx val="0"/>
          <c:order val="0"/>
          <c:tx>
            <c:strRef>
              <c:f>'Cash flow Analysis'!$AK$93</c:f>
              <c:strCache>
                <c:ptCount val="1"/>
                <c:pt idx="0">
                  <c:v>Vehicle</c:v>
                </c:pt>
              </c:strCache>
            </c:strRef>
          </c:tx>
          <c:spPr>
            <a:solidFill>
              <a:srgbClr val="5F6369"/>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Analysis'!$AK$94:$AK$109</c:f>
              <c:numCache>
                <c:formatCode>_("$"* #,##0_);_("$"* \(#,##0\);_("$"* "-"_);_(@_)</c:formatCode>
                <c:ptCount val="16"/>
                <c:pt idx="0">
                  <c:v>2160</c:v>
                </c:pt>
                <c:pt idx="1">
                  <c:v>4273.1352077614138</c:v>
                </c:pt>
                <c:pt idx="2">
                  <c:v>4056.9145662486881</c:v>
                </c:pt>
                <c:pt idx="3">
                  <c:v>3851.634689196504</c:v>
                </c:pt>
                <c:pt idx="4">
                  <c:v>3656.7419739231591</c:v>
                </c:pt>
                <c:pt idx="5">
                  <c:v>3471.710830042648</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85BE-47E3-9E76-EFD4EE16639F}"/>
            </c:ext>
          </c:extLst>
        </c:ser>
        <c:ser>
          <c:idx val="1"/>
          <c:order val="1"/>
          <c:tx>
            <c:strRef>
              <c:f>'Cash flow Analysis'!$AL$93</c:f>
              <c:strCache>
                <c:ptCount val="1"/>
                <c:pt idx="0">
                  <c:v>Fuel </c:v>
                </c:pt>
              </c:strCache>
            </c:strRef>
          </c:tx>
          <c:spPr>
            <a:solidFill>
              <a:srgbClr val="00A3E0"/>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Analysis'!$AL$94:$AL$109</c:f>
              <c:numCache>
                <c:formatCode>_("$"* #,##0_);_("$"* \(#,##0\);_("$"* "-"_);_(@_)</c:formatCode>
                <c:ptCount val="16"/>
                <c:pt idx="0">
                  <c:v>0</c:v>
                </c:pt>
                <c:pt idx="1">
                  <c:v>872.04700996400061</c:v>
                </c:pt>
                <c:pt idx="2">
                  <c:v>938.89375726347134</c:v>
                </c:pt>
                <c:pt idx="3">
                  <c:v>863.49880518160353</c:v>
                </c:pt>
                <c:pt idx="4">
                  <c:v>772.25703123232961</c:v>
                </c:pt>
                <c:pt idx="5">
                  <c:v>652.57763406788945</c:v>
                </c:pt>
                <c:pt idx="6">
                  <c:v>562.75692472823539</c:v>
                </c:pt>
                <c:pt idx="7">
                  <c:v>491.36373615254161</c:v>
                </c:pt>
                <c:pt idx="8">
                  <c:v>432.57340520480284</c:v>
                </c:pt>
                <c:pt idx="9">
                  <c:v>372.82001630032755</c:v>
                </c:pt>
                <c:pt idx="10">
                  <c:v>320.46876365908065</c:v>
                </c:pt>
                <c:pt idx="11">
                  <c:v>278.9114615476301</c:v>
                </c:pt>
                <c:pt idx="12">
                  <c:v>239.66132792657208</c:v>
                </c:pt>
                <c:pt idx="13">
                  <c:v>204.4559690248052</c:v>
                </c:pt>
                <c:pt idx="14">
                  <c:v>178.37180804683976</c:v>
                </c:pt>
                <c:pt idx="15">
                  <c:v>152.00514423676032</c:v>
                </c:pt>
              </c:numCache>
            </c:numRef>
          </c:val>
          <c:extLst>
            <c:ext xmlns:c16="http://schemas.microsoft.com/office/drawing/2014/chart" uri="{C3380CC4-5D6E-409C-BE32-E72D297353CC}">
              <c16:uniqueId val="{00000001-85BE-47E3-9E76-EFD4EE16639F}"/>
            </c:ext>
          </c:extLst>
        </c:ser>
        <c:ser>
          <c:idx val="2"/>
          <c:order val="2"/>
          <c:tx>
            <c:strRef>
              <c:f>'Cash flow Analysis'!$AM$93</c:f>
              <c:strCache>
                <c:ptCount val="1"/>
                <c:pt idx="0">
                  <c:v>Infrastructure </c:v>
                </c:pt>
              </c:strCache>
            </c:strRef>
          </c:tx>
          <c:spPr>
            <a:solidFill>
              <a:schemeClr val="tx1"/>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Analysis'!$AM$94:$AM$109</c:f>
              <c:numCache>
                <c:formatCode>_("$"* #,##0_);_("$"* \(#,##0\);_("$"* "-"_);_(@_)</c:formatCode>
                <c:ptCount val="16"/>
                <c:pt idx="0">
                  <c:v>0</c:v>
                </c:pt>
                <c:pt idx="1">
                  <c:v>1582.9623692178043</c:v>
                </c:pt>
                <c:pt idx="2">
                  <c:v>1670.8865883666731</c:v>
                </c:pt>
                <c:pt idx="3">
                  <c:v>1506.5796289899665</c:v>
                </c:pt>
                <c:pt idx="4">
                  <c:v>1320.9672462517885</c:v>
                </c:pt>
                <c:pt idx="5">
                  <c:v>1094.3649910320291</c:v>
                </c:pt>
                <c:pt idx="6">
                  <c:v>925.23207987787271</c:v>
                </c:pt>
                <c:pt idx="7">
                  <c:v>792.01382811447434</c:v>
                </c:pt>
                <c:pt idx="8">
                  <c:v>683.57993491989259</c:v>
                </c:pt>
                <c:pt idx="9">
                  <c:v>577.60180328952117</c:v>
                </c:pt>
                <c:pt idx="10">
                  <c:v>486.7599664202545</c:v>
                </c:pt>
                <c:pt idx="11">
                  <c:v>415.33194633514745</c:v>
                </c:pt>
                <c:pt idx="12">
                  <c:v>349.88616113503025</c:v>
                </c:pt>
                <c:pt idx="13">
                  <c:v>292.63645455045508</c:v>
                </c:pt>
                <c:pt idx="14">
                  <c:v>250.29644139657813</c:v>
                </c:pt>
                <c:pt idx="15">
                  <c:v>209.11566848648235</c:v>
                </c:pt>
              </c:numCache>
            </c:numRef>
          </c:val>
          <c:extLst>
            <c:ext xmlns:c16="http://schemas.microsoft.com/office/drawing/2014/chart" uri="{C3380CC4-5D6E-409C-BE32-E72D297353CC}">
              <c16:uniqueId val="{00000002-85BE-47E3-9E76-EFD4EE16639F}"/>
            </c:ext>
          </c:extLst>
        </c:ser>
        <c:ser>
          <c:idx val="5"/>
          <c:order val="3"/>
          <c:tx>
            <c:strRef>
              <c:f>'Cash flow Analysis'!$AP$93</c:f>
              <c:strCache>
                <c:ptCount val="1"/>
                <c:pt idx="0">
                  <c:v>Insurance </c:v>
                </c:pt>
              </c:strCache>
            </c:strRef>
          </c:tx>
          <c:spPr>
            <a:solidFill>
              <a:srgbClr val="00843D"/>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Analysis'!$AP$94:$AP$109</c:f>
              <c:numCache>
                <c:formatCode>_("$"* #,##0_);_("$"* \(#,##0\);_("$"* "-"_);_(@_)</c:formatCode>
                <c:ptCount val="16"/>
                <c:pt idx="0">
                  <c:v>0</c:v>
                </c:pt>
                <c:pt idx="1">
                  <c:v>207.68400000000111</c:v>
                </c:pt>
                <c:pt idx="2">
                  <c:v>201.11869339200075</c:v>
                </c:pt>
                <c:pt idx="3">
                  <c:v>194.760929256493</c:v>
                </c:pt>
                <c:pt idx="4">
                  <c:v>188.60414676083656</c:v>
                </c:pt>
                <c:pt idx="5">
                  <c:v>182.64199247343277</c:v>
                </c:pt>
                <c:pt idx="6">
                  <c:v>176.86831380736294</c:v>
                </c:pt>
                <c:pt idx="7">
                  <c:v>171.27715267128542</c:v>
                </c:pt>
                <c:pt idx="8">
                  <c:v>165.86273932104041</c:v>
                </c:pt>
                <c:pt idx="9">
                  <c:v>160.61948640562332</c:v>
                </c:pt>
                <c:pt idx="10">
                  <c:v>155.54198320136902</c:v>
                </c:pt>
                <c:pt idx="11">
                  <c:v>150.62499002840696</c:v>
                </c:pt>
                <c:pt idx="12">
                  <c:v>145.8634328436292</c:v>
                </c:pt>
                <c:pt idx="13">
                  <c:v>141.25239800457666</c:v>
                </c:pt>
                <c:pt idx="14">
                  <c:v>136.78712719885561</c:v>
                </c:pt>
                <c:pt idx="15">
                  <c:v>132.46301253384536</c:v>
                </c:pt>
              </c:numCache>
            </c:numRef>
          </c:val>
          <c:extLst>
            <c:ext xmlns:c16="http://schemas.microsoft.com/office/drawing/2014/chart" uri="{C3380CC4-5D6E-409C-BE32-E72D297353CC}">
              <c16:uniqueId val="{00000005-85BE-47E3-9E76-EFD4EE16639F}"/>
            </c:ext>
          </c:extLst>
        </c:ser>
        <c:ser>
          <c:idx val="3"/>
          <c:order val="4"/>
          <c:tx>
            <c:strRef>
              <c:f>'Cash flow Analysis'!$AN$93</c:f>
              <c:strCache>
                <c:ptCount val="1"/>
                <c:pt idx="0">
                  <c:v>Maintenance</c:v>
                </c:pt>
              </c:strCache>
            </c:strRef>
          </c:tx>
          <c:spPr>
            <a:solidFill>
              <a:schemeClr val="accent4"/>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Analysis'!$AN$94:$AN$109</c:f>
              <c:numCache>
                <c:formatCode>_("$"* #,##0_);_("$"* \(#,##0\);_("$"* "-"_);_(@_)</c:formatCode>
                <c:ptCount val="16"/>
                <c:pt idx="0">
                  <c:v>0</c:v>
                </c:pt>
                <c:pt idx="1">
                  <c:v>2040.3554784845965</c:v>
                </c:pt>
                <c:pt idx="2">
                  <c:v>2196.7588896687903</c:v>
                </c:pt>
                <c:pt idx="3">
                  <c:v>2020.3549782137343</c:v>
                </c:pt>
                <c:pt idx="4">
                  <c:v>1806.8737653697954</c:v>
                </c:pt>
                <c:pt idx="5">
                  <c:v>1526.8561621028857</c:v>
                </c:pt>
                <c:pt idx="6">
                  <c:v>1316.6998582700126</c:v>
                </c:pt>
                <c:pt idx="7">
                  <c:v>1149.6589972011643</c:v>
                </c:pt>
                <c:pt idx="8">
                  <c:v>1012.1054336196739</c:v>
                </c:pt>
                <c:pt idx="9">
                  <c:v>872.29857342035848</c:v>
                </c:pt>
                <c:pt idx="10">
                  <c:v>749.81072137611227</c:v>
                </c:pt>
                <c:pt idx="11">
                  <c:v>652.577810689746</c:v>
                </c:pt>
                <c:pt idx="12">
                  <c:v>560.74305379025418</c:v>
                </c:pt>
                <c:pt idx="13">
                  <c:v>478.37198194837902</c:v>
                </c:pt>
                <c:pt idx="14">
                  <c:v>417.34206022975422</c:v>
                </c:pt>
                <c:pt idx="15">
                  <c:v>355.65115785915941</c:v>
                </c:pt>
              </c:numCache>
            </c:numRef>
          </c:val>
          <c:extLst>
            <c:ext xmlns:c16="http://schemas.microsoft.com/office/drawing/2014/chart" uri="{C3380CC4-5D6E-409C-BE32-E72D297353CC}">
              <c16:uniqueId val="{00000003-85BE-47E3-9E76-EFD4EE16639F}"/>
            </c:ext>
          </c:extLst>
        </c:ser>
        <c:ser>
          <c:idx val="7"/>
          <c:order val="5"/>
          <c:tx>
            <c:strRef>
              <c:f>'Cash flow Analysis'!$AR$93</c:f>
              <c:strCache>
                <c:ptCount val="1"/>
                <c:pt idx="0">
                  <c:v>GHG Emission</c:v>
                </c:pt>
              </c:strCache>
            </c:strRef>
          </c:tx>
          <c:spPr>
            <a:solidFill>
              <a:srgbClr val="7030A0"/>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Analysis'!$AR$94:$AR$109</c:f>
              <c:numCache>
                <c:formatCode>_("$"* #,##0_);_("$"* \(#,##0\);_("$"* "-"_);_(@_)</c:formatCode>
                <c:ptCount val="16"/>
                <c:pt idx="0">
                  <c:v>0</c:v>
                </c:pt>
                <c:pt idx="1">
                  <c:v>-8790.3386867391073</c:v>
                </c:pt>
                <c:pt idx="2">
                  <c:v>-9278.5901323293983</c:v>
                </c:pt>
                <c:pt idx="3">
                  <c:v>-8366.178157417311</c:v>
                </c:pt>
                <c:pt idx="4">
                  <c:v>-7335.4551658610035</c:v>
                </c:pt>
                <c:pt idx="5">
                  <c:v>-6077.1115631985831</c:v>
                </c:pt>
                <c:pt idx="6">
                  <c:v>-5137.9006248780206</c:v>
                </c:pt>
                <c:pt idx="7">
                  <c:v>-4398.1271627746873</c:v>
                </c:pt>
                <c:pt idx="8">
                  <c:v>-3795.9835712166259</c:v>
                </c:pt>
                <c:pt idx="9">
                  <c:v>-3207.4770542366223</c:v>
                </c:pt>
                <c:pt idx="10">
                  <c:v>-2703.02380346166</c:v>
                </c:pt>
                <c:pt idx="11">
                  <c:v>-2306.3773003729302</c:v>
                </c:pt>
                <c:pt idx="12">
                  <c:v>-1942.9507093713519</c:v>
                </c:pt>
                <c:pt idx="13">
                  <c:v>-1625.0377125870227</c:v>
                </c:pt>
                <c:pt idx="14">
                  <c:v>-1389.919643540647</c:v>
                </c:pt>
                <c:pt idx="15">
                  <c:v>-1161.2389444281935</c:v>
                </c:pt>
              </c:numCache>
            </c:numRef>
          </c:val>
          <c:extLst>
            <c:ext xmlns:c16="http://schemas.microsoft.com/office/drawing/2014/chart" uri="{C3380CC4-5D6E-409C-BE32-E72D297353CC}">
              <c16:uniqueId val="{00000007-85BE-47E3-9E76-EFD4EE16639F}"/>
            </c:ext>
          </c:extLst>
        </c:ser>
        <c:ser>
          <c:idx val="4"/>
          <c:order val="6"/>
          <c:tx>
            <c:strRef>
              <c:f>'Cash flow Analysis'!$AO$93</c:f>
              <c:strCache>
                <c:ptCount val="1"/>
                <c:pt idx="0">
                  <c:v>Durability</c:v>
                </c:pt>
              </c:strCache>
            </c:strRef>
          </c:tx>
          <c:spPr>
            <a:solidFill>
              <a:srgbClr val="F05F41"/>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Analysis'!$AO$94:$AO$109</c:f>
              <c:numCache>
                <c:formatCode>_("$"* #,##0_);_("$"* \(#,##0\);_("$"* "-"_);_(@_)</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4-85BE-47E3-9E76-EFD4EE16639F}"/>
            </c:ext>
          </c:extLst>
        </c:ser>
        <c:ser>
          <c:idx val="6"/>
          <c:order val="7"/>
          <c:tx>
            <c:strRef>
              <c:f>'Cash flow Analysis'!$AQ$93</c:f>
              <c:strCache>
                <c:ptCount val="1"/>
                <c:pt idx="0">
                  <c:v>Revenue loss  </c:v>
                </c:pt>
              </c:strCache>
            </c:strRef>
          </c:tx>
          <c:spPr>
            <a:solidFill>
              <a:srgbClr val="84BD00"/>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Analysis'!$AQ$94:$AQ$109</c:f>
              <c:numCache>
                <c:formatCode>_("$"* #,##0_);_("$"* \(#,##0\);_("$"* "-"_);_(@_)</c:formatCode>
                <c:ptCount val="16"/>
                <c:pt idx="0">
                  <c:v>0</c:v>
                </c:pt>
                <c:pt idx="1">
                  <c:v>1685.2720038165251</c:v>
                </c:pt>
                <c:pt idx="2">
                  <c:v>1814.4564978665016</c:v>
                </c:pt>
                <c:pt idx="3">
                  <c:v>1668.7521946341365</c:v>
                </c:pt>
                <c:pt idx="4">
                  <c:v>1492.423160237691</c:v>
                </c:pt>
                <c:pt idx="5">
                  <c:v>1261.1370768381369</c:v>
                </c:pt>
                <c:pt idx="6">
                  <c:v>1087.554316868217</c:v>
                </c:pt>
                <c:pt idx="7">
                  <c:v>949.58361047845733</c:v>
                </c:pt>
                <c:pt idx="8">
                  <c:v>835.96852125819282</c:v>
                </c:pt>
                <c:pt idx="9">
                  <c:v>720.4922770841182</c:v>
                </c:pt>
                <c:pt idx="10">
                  <c:v>619.32101058936951</c:v>
                </c:pt>
                <c:pt idx="11">
                  <c:v>539.00956292387207</c:v>
                </c:pt>
                <c:pt idx="12">
                  <c:v>463.15682725500807</c:v>
                </c:pt>
                <c:pt idx="13">
                  <c:v>395.12080962803424</c:v>
                </c:pt>
                <c:pt idx="14">
                  <c:v>344.71193747213732</c:v>
                </c:pt>
                <c:pt idx="15">
                  <c:v>293.7571152601966</c:v>
                </c:pt>
              </c:numCache>
            </c:numRef>
          </c:val>
          <c:extLst>
            <c:ext xmlns:c16="http://schemas.microsoft.com/office/drawing/2014/chart" uri="{C3380CC4-5D6E-409C-BE32-E72D297353CC}">
              <c16:uniqueId val="{00000006-85BE-47E3-9E76-EFD4EE16639F}"/>
            </c:ext>
          </c:extLst>
        </c:ser>
        <c:dLbls>
          <c:showLegendKey val="0"/>
          <c:showVal val="0"/>
          <c:showCatName val="0"/>
          <c:showSerName val="0"/>
          <c:showPercent val="0"/>
          <c:showBubbleSize val="0"/>
        </c:dLbls>
        <c:gapWidth val="150"/>
        <c:overlap val="100"/>
        <c:axId val="1004311872"/>
        <c:axId val="1004312352"/>
      </c:barChart>
      <c:lineChart>
        <c:grouping val="standard"/>
        <c:varyColors val="0"/>
        <c:ser>
          <c:idx val="8"/>
          <c:order val="8"/>
          <c:tx>
            <c:strRef>
              <c:f>'Cash flow Analysis'!$AS$93</c:f>
              <c:strCache>
                <c:ptCount val="1"/>
                <c:pt idx="0">
                  <c:v>Total Cost</c:v>
                </c:pt>
              </c:strCache>
            </c:strRef>
          </c:tx>
          <c:spPr>
            <a:ln w="28575" cap="rnd">
              <a:solidFill>
                <a:srgbClr val="C00000"/>
              </a:solidFill>
              <a:round/>
            </a:ln>
            <a:effectLst/>
          </c:spPr>
          <c:marker>
            <c:symbol val="x"/>
            <c:size val="10"/>
            <c:spPr>
              <a:noFill/>
              <a:ln w="25400">
                <a:solidFill>
                  <a:srgbClr val="C00000"/>
                </a:solidFill>
              </a:ln>
              <a:effectLst/>
            </c:spPr>
          </c:marker>
          <c:dLbls>
            <c:numFmt formatCode="0.0,\ &quot;K&quot;"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C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'Cash flow Analysis'!$AS$94:$AS$109</c:f>
              <c:numCache>
                <c:formatCode>_("$"* #,##0_);_("$"* \(#,##0\);_("$"* "-"_);_(@_)</c:formatCode>
                <c:ptCount val="16"/>
                <c:pt idx="0">
                  <c:v>2160</c:v>
                </c:pt>
                <c:pt idx="1">
                  <c:v>1871.1173825052338</c:v>
                </c:pt>
                <c:pt idx="2">
                  <c:v>1600.4388604767282</c:v>
                </c:pt>
                <c:pt idx="3">
                  <c:v>1739.4030680551259</c:v>
                </c:pt>
                <c:pt idx="4">
                  <c:v>1902.4121579145958</c:v>
                </c:pt>
                <c:pt idx="5">
                  <c:v>2112.1771233584386</c:v>
                </c:pt>
                <c:pt idx="6">
                  <c:v>-1068.7891313263199</c:v>
                </c:pt>
                <c:pt idx="7">
                  <c:v>-844.22983815676434</c:v>
                </c:pt>
                <c:pt idx="8">
                  <c:v>-665.89353689302334</c:v>
                </c:pt>
                <c:pt idx="9">
                  <c:v>-503.64489773667356</c:v>
                </c:pt>
                <c:pt idx="10">
                  <c:v>-371.12135821547417</c:v>
                </c:pt>
                <c:pt idx="11">
                  <c:v>-269.92152884812776</c:v>
                </c:pt>
                <c:pt idx="12">
                  <c:v>-183.6399064208581</c:v>
                </c:pt>
                <c:pt idx="13">
                  <c:v>-113.20009943077253</c:v>
                </c:pt>
                <c:pt idx="14">
                  <c:v>-62.410269196481977</c:v>
                </c:pt>
                <c:pt idx="15">
                  <c:v>-18.246846051749344</c:v>
                </c:pt>
              </c:numCache>
            </c:numRef>
          </c:val>
          <c:smooth val="0"/>
          <c:extLst>
            <c:ext xmlns:c16="http://schemas.microsoft.com/office/drawing/2014/chart" uri="{C3380CC4-5D6E-409C-BE32-E72D297353CC}">
              <c16:uniqueId val="{00000000-E30A-4017-9847-09080082DA09}"/>
            </c:ext>
          </c:extLst>
        </c:ser>
        <c:dLbls>
          <c:showLegendKey val="0"/>
          <c:showVal val="0"/>
          <c:showCatName val="0"/>
          <c:showSerName val="0"/>
          <c:showPercent val="0"/>
          <c:showBubbleSize val="0"/>
        </c:dLbls>
        <c:marker val="1"/>
        <c:smooth val="0"/>
        <c:axId val="1004311872"/>
        <c:axId val="1004312352"/>
      </c:lineChart>
      <c:catAx>
        <c:axId val="1004311872"/>
        <c:scaling>
          <c:orientation val="minMax"/>
        </c:scaling>
        <c:delete val="0"/>
        <c:axPos val="b"/>
        <c:title>
          <c:tx>
            <c:strRef>
              <c:f>'Cash flow Analysis'!$AJ$93</c:f>
              <c:strCache>
                <c:ptCount val="1"/>
                <c:pt idx="0">
                  <c:v>Service Year</c:v>
                </c:pt>
              </c:strCache>
            </c:strRef>
          </c:tx>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low"/>
        <c:spPr>
          <a:noFill/>
          <a:ln w="25400" cap="flat" cmpd="sng" algn="ctr">
            <a:solidFill>
              <a:schemeClr val="tx1"/>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004312352"/>
        <c:crosses val="autoZero"/>
        <c:auto val="1"/>
        <c:lblAlgn val="ctr"/>
        <c:lblOffset val="100"/>
        <c:noMultiLvlLbl val="0"/>
      </c:catAx>
      <c:valAx>
        <c:axId val="1004312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a:t>Annual cashflow relative to Diesel</a:t>
                </a:r>
              </a:p>
            </c:rich>
          </c:tx>
          <c:layout>
            <c:manualLayout>
              <c:xMode val="edge"/>
              <c:yMode val="edge"/>
              <c:x val="6.581064448537504E-4"/>
              <c:y val="0.21375554705213801"/>
            </c:manualLayout>
          </c:layout>
          <c:overlay val="0"/>
          <c:spPr>
            <a:noFill/>
            <a:ln>
              <a:noFill/>
            </a:ln>
            <a:effectLst/>
          </c:spPr>
          <c:txPr>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004311872"/>
        <c:crosses val="autoZero"/>
        <c:crossBetween val="between"/>
      </c:valAx>
      <c:spPr>
        <a:noFill/>
        <a:ln w="25400">
          <a:solidFill>
            <a:schemeClr val="tx1"/>
          </a:solidFill>
        </a:ln>
        <a:effectLst/>
      </c:spPr>
    </c:plotArea>
    <c:legend>
      <c:legendPos val="b"/>
      <c:legendEntry>
        <c:idx val="8"/>
        <c:delete val="1"/>
      </c:legendEntry>
      <c:layout>
        <c:manualLayout>
          <c:xMode val="edge"/>
          <c:yMode val="edge"/>
          <c:x val="0.10964941325546616"/>
          <c:y val="1.6124430614682299E-3"/>
          <c:w val="0.89035058674453382"/>
          <c:h val="5.4214342464982142E-2"/>
        </c:manualLayout>
      </c:layout>
      <c:overlay val="0"/>
      <c:spPr>
        <a:noFill/>
        <a:ln>
          <a:noFill/>
        </a:ln>
        <a:effectLst/>
      </c:spPr>
      <c:txPr>
        <a:bodyPr rot="0" spcFirstLastPara="1" vertOverflow="ellipsis" vert="horz" wrap="square" anchor="ctr" anchorCtr="0"/>
        <a:lstStyle/>
        <a:p>
          <a:pPr>
            <a:defRPr sz="2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000" b="1"/>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'Cash flow Analysis'!$AH$5:$AJ$5</c:f>
          <c:strCache>
            <c:ptCount val="3"/>
            <c:pt idx="0">
              <c:v>Mobile Carbon Capture  50%</c:v>
            </c:pt>
          </c:strCache>
        </c:strRef>
      </c:tx>
      <c:layout>
        <c:manualLayout>
          <c:xMode val="edge"/>
          <c:yMode val="edge"/>
          <c:x val="0.13270763744606512"/>
          <c:y val="9.9887774873516882E-2"/>
        </c:manualLayout>
      </c:layout>
      <c:overlay val="0"/>
      <c:spPr>
        <a:noFill/>
        <a:ln>
          <a:noFill/>
        </a:ln>
        <a:effectLst/>
      </c:spPr>
      <c:txPr>
        <a:bodyPr rot="0" spcFirstLastPara="1" vertOverflow="ellipsis" vert="horz" wrap="square" anchor="ctr" anchorCtr="1"/>
        <a:lstStyle/>
        <a:p>
          <a:pPr>
            <a:defRPr sz="2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633782188657985"/>
          <c:y val="8.6397588624354593E-2"/>
          <c:w val="0.86267398184302768"/>
          <c:h val="0.79340287754816707"/>
        </c:manualLayout>
      </c:layout>
      <c:barChart>
        <c:barDir val="col"/>
        <c:grouping val="stacked"/>
        <c:varyColors val="0"/>
        <c:ser>
          <c:idx val="0"/>
          <c:order val="0"/>
          <c:tx>
            <c:strRef>
              <c:f>'Cash flow Analysis'!$AK$112</c:f>
              <c:strCache>
                <c:ptCount val="1"/>
                <c:pt idx="0">
                  <c:v>Vehicle</c:v>
                </c:pt>
              </c:strCache>
            </c:strRef>
          </c:tx>
          <c:spPr>
            <a:solidFill>
              <a:srgbClr val="5F6369"/>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Analysis'!$AK$113:$AK$128</c:f>
              <c:numCache>
                <c:formatCode>_("$"* #,##0_);_("$"* \(#,##0\);_("$"* "-"_);_(@_)</c:formatCode>
                <c:ptCount val="16"/>
                <c:pt idx="0">
                  <c:v>2160</c:v>
                </c:pt>
                <c:pt idx="1">
                  <c:v>6433.1352077614138</c:v>
                </c:pt>
                <c:pt idx="2">
                  <c:v>10490.049774010102</c:v>
                </c:pt>
                <c:pt idx="3">
                  <c:v>14341.684463206606</c:v>
                </c:pt>
                <c:pt idx="4">
                  <c:v>17998.426437129765</c:v>
                </c:pt>
                <c:pt idx="5">
                  <c:v>21470.137267172413</c:v>
                </c:pt>
                <c:pt idx="6">
                  <c:v>21470.137267172413</c:v>
                </c:pt>
                <c:pt idx="7">
                  <c:v>21470.137267172413</c:v>
                </c:pt>
                <c:pt idx="8">
                  <c:v>21470.137267172413</c:v>
                </c:pt>
                <c:pt idx="9">
                  <c:v>21470.137267172413</c:v>
                </c:pt>
                <c:pt idx="10">
                  <c:v>21470.137267172413</c:v>
                </c:pt>
                <c:pt idx="11">
                  <c:v>21470.137267172413</c:v>
                </c:pt>
                <c:pt idx="12">
                  <c:v>21470.137267172413</c:v>
                </c:pt>
                <c:pt idx="13">
                  <c:v>21470.137267172413</c:v>
                </c:pt>
                <c:pt idx="14">
                  <c:v>21470.137267172413</c:v>
                </c:pt>
                <c:pt idx="15">
                  <c:v>21470.137267172413</c:v>
                </c:pt>
              </c:numCache>
            </c:numRef>
          </c:val>
          <c:extLst>
            <c:ext xmlns:c16="http://schemas.microsoft.com/office/drawing/2014/chart" uri="{C3380CC4-5D6E-409C-BE32-E72D297353CC}">
              <c16:uniqueId val="{00000000-E291-4014-830B-D9F14DC582C4}"/>
            </c:ext>
          </c:extLst>
        </c:ser>
        <c:ser>
          <c:idx val="1"/>
          <c:order val="1"/>
          <c:tx>
            <c:strRef>
              <c:f>'Cash flow Analysis'!$AL$112</c:f>
              <c:strCache>
                <c:ptCount val="1"/>
                <c:pt idx="0">
                  <c:v>Fuel </c:v>
                </c:pt>
              </c:strCache>
            </c:strRef>
          </c:tx>
          <c:spPr>
            <a:solidFill>
              <a:srgbClr val="00A3E0"/>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Analysis'!$AL$113:$AL$128</c:f>
              <c:numCache>
                <c:formatCode>_("$"* #,##0_);_("$"* \(#,##0\);_("$"* "-"_);_(@_)</c:formatCode>
                <c:ptCount val="16"/>
                <c:pt idx="0">
                  <c:v>0</c:v>
                </c:pt>
                <c:pt idx="1">
                  <c:v>872.04700996400061</c:v>
                </c:pt>
                <c:pt idx="2">
                  <c:v>1810.940767227472</c:v>
                </c:pt>
                <c:pt idx="3">
                  <c:v>2674.4395724090755</c:v>
                </c:pt>
                <c:pt idx="4">
                  <c:v>3446.6966036414051</c:v>
                </c:pt>
                <c:pt idx="5">
                  <c:v>4099.2742377092945</c:v>
                </c:pt>
                <c:pt idx="6">
                  <c:v>4662.0311624375299</c:v>
                </c:pt>
                <c:pt idx="7">
                  <c:v>5153.3948985900715</c:v>
                </c:pt>
                <c:pt idx="8">
                  <c:v>5585.9683037948744</c:v>
                </c:pt>
                <c:pt idx="9">
                  <c:v>5958.7883200952019</c:v>
                </c:pt>
                <c:pt idx="10">
                  <c:v>6279.2570837542826</c:v>
                </c:pt>
                <c:pt idx="11">
                  <c:v>6558.1685453019127</c:v>
                </c:pt>
                <c:pt idx="12">
                  <c:v>6797.8298732284848</c:v>
                </c:pt>
                <c:pt idx="13">
                  <c:v>7002.28584225329</c:v>
                </c:pt>
                <c:pt idx="14">
                  <c:v>7180.6576503001297</c:v>
                </c:pt>
                <c:pt idx="15">
                  <c:v>7332.66279453689</c:v>
                </c:pt>
              </c:numCache>
            </c:numRef>
          </c:val>
          <c:extLst>
            <c:ext xmlns:c16="http://schemas.microsoft.com/office/drawing/2014/chart" uri="{C3380CC4-5D6E-409C-BE32-E72D297353CC}">
              <c16:uniqueId val="{00000001-E291-4014-830B-D9F14DC582C4}"/>
            </c:ext>
          </c:extLst>
        </c:ser>
        <c:ser>
          <c:idx val="2"/>
          <c:order val="2"/>
          <c:tx>
            <c:strRef>
              <c:f>'Cash flow Analysis'!$AM$112</c:f>
              <c:strCache>
                <c:ptCount val="1"/>
                <c:pt idx="0">
                  <c:v>Infrastructure </c:v>
                </c:pt>
              </c:strCache>
            </c:strRef>
          </c:tx>
          <c:spPr>
            <a:solidFill>
              <a:schemeClr val="tx1"/>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Analysis'!$AM$113:$AM$128</c:f>
              <c:numCache>
                <c:formatCode>_("$"* #,##0_);_("$"* \(#,##0\);_("$"* "-"_);_(@_)</c:formatCode>
                <c:ptCount val="16"/>
                <c:pt idx="0">
                  <c:v>0</c:v>
                </c:pt>
                <c:pt idx="1">
                  <c:v>1582.9623692178043</c:v>
                </c:pt>
                <c:pt idx="2">
                  <c:v>3253.8489575844774</c:v>
                </c:pt>
                <c:pt idx="3">
                  <c:v>4760.4285865744441</c:v>
                </c:pt>
                <c:pt idx="4">
                  <c:v>6081.3958328262324</c:v>
                </c:pt>
                <c:pt idx="5">
                  <c:v>7175.7608238582616</c:v>
                </c:pt>
                <c:pt idx="6">
                  <c:v>8100.9929037361344</c:v>
                </c:pt>
                <c:pt idx="7">
                  <c:v>8893.006731850608</c:v>
                </c:pt>
                <c:pt idx="8">
                  <c:v>9576.5866667705013</c:v>
                </c:pt>
                <c:pt idx="9">
                  <c:v>10154.188470060022</c:v>
                </c:pt>
                <c:pt idx="10">
                  <c:v>10640.948436480277</c:v>
                </c:pt>
                <c:pt idx="11">
                  <c:v>11056.280382815425</c:v>
                </c:pt>
                <c:pt idx="12">
                  <c:v>11406.166543950454</c:v>
                </c:pt>
                <c:pt idx="13">
                  <c:v>11698.802998500909</c:v>
                </c:pt>
                <c:pt idx="14">
                  <c:v>11949.099439897487</c:v>
                </c:pt>
                <c:pt idx="15">
                  <c:v>12158.215108383969</c:v>
                </c:pt>
              </c:numCache>
            </c:numRef>
          </c:val>
          <c:extLst>
            <c:ext xmlns:c16="http://schemas.microsoft.com/office/drawing/2014/chart" uri="{C3380CC4-5D6E-409C-BE32-E72D297353CC}">
              <c16:uniqueId val="{00000002-E291-4014-830B-D9F14DC582C4}"/>
            </c:ext>
          </c:extLst>
        </c:ser>
        <c:ser>
          <c:idx val="5"/>
          <c:order val="3"/>
          <c:tx>
            <c:strRef>
              <c:f>'Cash flow Analysis'!$AP$112</c:f>
              <c:strCache>
                <c:ptCount val="1"/>
                <c:pt idx="0">
                  <c:v>Insurance </c:v>
                </c:pt>
              </c:strCache>
            </c:strRef>
          </c:tx>
          <c:spPr>
            <a:solidFill>
              <a:srgbClr val="00843D"/>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Analysis'!$AP$113:$AP$128</c:f>
              <c:numCache>
                <c:formatCode>_("$"* #,##0_);_("$"* \(#,##0\);_("$"* "-"_);_(@_)</c:formatCode>
                <c:ptCount val="16"/>
                <c:pt idx="0">
                  <c:v>0</c:v>
                </c:pt>
                <c:pt idx="1">
                  <c:v>207.68400000000111</c:v>
                </c:pt>
                <c:pt idx="2">
                  <c:v>408.80269339200186</c:v>
                </c:pt>
                <c:pt idx="3">
                  <c:v>603.56362264849486</c:v>
                </c:pt>
                <c:pt idx="4">
                  <c:v>792.16776940933141</c:v>
                </c:pt>
                <c:pt idx="5">
                  <c:v>974.80976188276418</c:v>
                </c:pt>
                <c:pt idx="6">
                  <c:v>1151.6780756901271</c:v>
                </c:pt>
                <c:pt idx="7">
                  <c:v>1322.9552283614125</c:v>
                </c:pt>
                <c:pt idx="8">
                  <c:v>1488.8179676824529</c:v>
                </c:pt>
                <c:pt idx="9">
                  <c:v>1649.4374540880763</c:v>
                </c:pt>
                <c:pt idx="10">
                  <c:v>1804.9794372894453</c:v>
                </c:pt>
                <c:pt idx="11">
                  <c:v>1955.6044273178522</c:v>
                </c:pt>
                <c:pt idx="12">
                  <c:v>2101.4678601614814</c:v>
                </c:pt>
                <c:pt idx="13">
                  <c:v>2242.7202581660581</c:v>
                </c:pt>
                <c:pt idx="14">
                  <c:v>2379.5073853649137</c:v>
                </c:pt>
                <c:pt idx="15">
                  <c:v>2511.9703978987591</c:v>
                </c:pt>
              </c:numCache>
            </c:numRef>
          </c:val>
          <c:extLst>
            <c:ext xmlns:c16="http://schemas.microsoft.com/office/drawing/2014/chart" uri="{C3380CC4-5D6E-409C-BE32-E72D297353CC}">
              <c16:uniqueId val="{00000007-E291-4014-830B-D9F14DC582C4}"/>
            </c:ext>
          </c:extLst>
        </c:ser>
        <c:ser>
          <c:idx val="3"/>
          <c:order val="4"/>
          <c:tx>
            <c:strRef>
              <c:f>'Cash flow Analysis'!$AN$112</c:f>
              <c:strCache>
                <c:ptCount val="1"/>
                <c:pt idx="0">
                  <c:v>Maintenance</c:v>
                </c:pt>
              </c:strCache>
            </c:strRef>
          </c:tx>
          <c:spPr>
            <a:solidFill>
              <a:schemeClr val="accent4"/>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Analysis'!$AN$113:$AN$128</c:f>
              <c:numCache>
                <c:formatCode>_("$"* #,##0_);_("$"* \(#,##0\);_("$"* "-"_);_(@_)</c:formatCode>
                <c:ptCount val="16"/>
                <c:pt idx="0">
                  <c:v>0</c:v>
                </c:pt>
                <c:pt idx="1">
                  <c:v>2040.3554784845965</c:v>
                </c:pt>
                <c:pt idx="2">
                  <c:v>4237.1143681533867</c:v>
                </c:pt>
                <c:pt idx="3">
                  <c:v>6257.469346367121</c:v>
                </c:pt>
                <c:pt idx="4">
                  <c:v>8064.3431117369164</c:v>
                </c:pt>
                <c:pt idx="5">
                  <c:v>9591.1992738398021</c:v>
                </c:pt>
                <c:pt idx="6">
                  <c:v>10907.899132109815</c:v>
                </c:pt>
                <c:pt idx="7">
                  <c:v>12057.558129310979</c:v>
                </c:pt>
                <c:pt idx="8">
                  <c:v>13069.663562930653</c:v>
                </c:pt>
                <c:pt idx="9">
                  <c:v>13941.962136351012</c:v>
                </c:pt>
                <c:pt idx="10">
                  <c:v>14691.772857727125</c:v>
                </c:pt>
                <c:pt idx="11">
                  <c:v>15344.350668416871</c:v>
                </c:pt>
                <c:pt idx="12">
                  <c:v>15905.093722207126</c:v>
                </c:pt>
                <c:pt idx="13">
                  <c:v>16383.465704155506</c:v>
                </c:pt>
                <c:pt idx="14">
                  <c:v>16800.807764385259</c:v>
                </c:pt>
                <c:pt idx="15">
                  <c:v>17156.458922244419</c:v>
                </c:pt>
              </c:numCache>
            </c:numRef>
          </c:val>
          <c:extLst>
            <c:ext xmlns:c16="http://schemas.microsoft.com/office/drawing/2014/chart" uri="{C3380CC4-5D6E-409C-BE32-E72D297353CC}">
              <c16:uniqueId val="{00000004-E291-4014-830B-D9F14DC582C4}"/>
            </c:ext>
          </c:extLst>
        </c:ser>
        <c:ser>
          <c:idx val="7"/>
          <c:order val="5"/>
          <c:tx>
            <c:strRef>
              <c:f>'Cash flow Analysis'!$AR$112</c:f>
              <c:strCache>
                <c:ptCount val="1"/>
                <c:pt idx="0">
                  <c:v>GHG Emission</c:v>
                </c:pt>
              </c:strCache>
            </c:strRef>
          </c:tx>
          <c:spPr>
            <a:solidFill>
              <a:srgbClr val="7030A0"/>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Analysis'!$AR$113:$AR$128</c:f>
              <c:numCache>
                <c:formatCode>_("$"* #,##0_);_("$"* \(#,##0\);_("$"* "-"_);_(@_)</c:formatCode>
                <c:ptCount val="16"/>
                <c:pt idx="0">
                  <c:v>0</c:v>
                </c:pt>
                <c:pt idx="1">
                  <c:v>-8790.3386867391073</c:v>
                </c:pt>
                <c:pt idx="2">
                  <c:v>-18068.928819068504</c:v>
                </c:pt>
                <c:pt idx="3">
                  <c:v>-26435.106976485815</c:v>
                </c:pt>
                <c:pt idx="4">
                  <c:v>-33770.562142346818</c:v>
                </c:pt>
                <c:pt idx="5">
                  <c:v>-39847.6737055454</c:v>
                </c:pt>
                <c:pt idx="6">
                  <c:v>-44985.57433042342</c:v>
                </c:pt>
                <c:pt idx="7">
                  <c:v>-49383.70149319811</c:v>
                </c:pt>
                <c:pt idx="8">
                  <c:v>-53179.685064414734</c:v>
                </c:pt>
                <c:pt idx="9">
                  <c:v>-56387.162118651358</c:v>
                </c:pt>
                <c:pt idx="10">
                  <c:v>-59090.185922113022</c:v>
                </c:pt>
                <c:pt idx="11">
                  <c:v>-61396.563222485951</c:v>
                </c:pt>
                <c:pt idx="12">
                  <c:v>-63339.513931857306</c:v>
                </c:pt>
                <c:pt idx="13">
                  <c:v>-64964.551644444327</c:v>
                </c:pt>
                <c:pt idx="14">
                  <c:v>-66354.471287984969</c:v>
                </c:pt>
                <c:pt idx="15">
                  <c:v>-67515.710232413156</c:v>
                </c:pt>
              </c:numCache>
            </c:numRef>
          </c:val>
          <c:extLst>
            <c:ext xmlns:c16="http://schemas.microsoft.com/office/drawing/2014/chart" uri="{C3380CC4-5D6E-409C-BE32-E72D297353CC}">
              <c16:uniqueId val="{00000005-E291-4014-830B-D9F14DC582C4}"/>
            </c:ext>
          </c:extLst>
        </c:ser>
        <c:ser>
          <c:idx val="4"/>
          <c:order val="6"/>
          <c:tx>
            <c:strRef>
              <c:f>'Cash flow Analysis'!$AO$112</c:f>
              <c:strCache>
                <c:ptCount val="1"/>
                <c:pt idx="0">
                  <c:v>Durability</c:v>
                </c:pt>
              </c:strCache>
            </c:strRef>
          </c:tx>
          <c:spPr>
            <a:solidFill>
              <a:srgbClr val="F05F41"/>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Analysis'!$AO$113:$AO$128</c:f>
              <c:numCache>
                <c:formatCode>_("$"* #,##0_);_("$"* \(#,##0\);_("$"* "-"_);_(@_)</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6-E291-4014-830B-D9F14DC582C4}"/>
            </c:ext>
          </c:extLst>
        </c:ser>
        <c:ser>
          <c:idx val="6"/>
          <c:order val="7"/>
          <c:tx>
            <c:strRef>
              <c:f>'Cash flow Analysis'!$AQ$112</c:f>
              <c:strCache>
                <c:ptCount val="1"/>
                <c:pt idx="0">
                  <c:v>Revenue loss  </c:v>
                </c:pt>
              </c:strCache>
            </c:strRef>
          </c:tx>
          <c:spPr>
            <a:solidFill>
              <a:srgbClr val="84BD00"/>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Analysis'!$AQ$113:$AQ$128</c:f>
              <c:numCache>
                <c:formatCode>_("$"* #,##0_);_("$"* \(#,##0\);_("$"* "-"_);_(@_)</c:formatCode>
                <c:ptCount val="16"/>
                <c:pt idx="0">
                  <c:v>0</c:v>
                </c:pt>
                <c:pt idx="1">
                  <c:v>1685.2720038165251</c:v>
                </c:pt>
                <c:pt idx="2">
                  <c:v>3499.7285016830265</c:v>
                </c:pt>
                <c:pt idx="3">
                  <c:v>5168.4806963171632</c:v>
                </c:pt>
                <c:pt idx="4">
                  <c:v>6660.9038565548544</c:v>
                </c:pt>
                <c:pt idx="5">
                  <c:v>7922.0409333929911</c:v>
                </c:pt>
                <c:pt idx="6">
                  <c:v>9009.595250261209</c:v>
                </c:pt>
                <c:pt idx="7">
                  <c:v>9959.1788607396666</c:v>
                </c:pt>
                <c:pt idx="8">
                  <c:v>10795.14738199786</c:v>
                </c:pt>
                <c:pt idx="9">
                  <c:v>11515.639659081979</c:v>
                </c:pt>
                <c:pt idx="10">
                  <c:v>12134.960669671349</c:v>
                </c:pt>
                <c:pt idx="11">
                  <c:v>12673.97023259522</c:v>
                </c:pt>
                <c:pt idx="12">
                  <c:v>13137.127059850229</c:v>
                </c:pt>
                <c:pt idx="13">
                  <c:v>13532.247869478262</c:v>
                </c:pt>
                <c:pt idx="14">
                  <c:v>13876.959806950399</c:v>
                </c:pt>
                <c:pt idx="15">
                  <c:v>14170.716922210595</c:v>
                </c:pt>
              </c:numCache>
            </c:numRef>
          </c:val>
          <c:extLst>
            <c:ext xmlns:c16="http://schemas.microsoft.com/office/drawing/2014/chart" uri="{C3380CC4-5D6E-409C-BE32-E72D297353CC}">
              <c16:uniqueId val="{00000003-E291-4014-830B-D9F14DC582C4}"/>
            </c:ext>
          </c:extLst>
        </c:ser>
        <c:dLbls>
          <c:showLegendKey val="0"/>
          <c:showVal val="0"/>
          <c:showCatName val="0"/>
          <c:showSerName val="0"/>
          <c:showPercent val="0"/>
          <c:showBubbleSize val="0"/>
        </c:dLbls>
        <c:gapWidth val="150"/>
        <c:overlap val="100"/>
        <c:axId val="1004311872"/>
        <c:axId val="1004312352"/>
      </c:barChart>
      <c:lineChart>
        <c:grouping val="standard"/>
        <c:varyColors val="0"/>
        <c:ser>
          <c:idx val="8"/>
          <c:order val="8"/>
          <c:tx>
            <c:strRef>
              <c:f>'Cash flow Analysis'!$AS$112</c:f>
              <c:strCache>
                <c:ptCount val="1"/>
                <c:pt idx="0">
                  <c:v>Total Cost</c:v>
                </c:pt>
              </c:strCache>
            </c:strRef>
          </c:tx>
          <c:spPr>
            <a:ln w="28575" cap="rnd">
              <a:solidFill>
                <a:srgbClr val="C00000"/>
              </a:solidFill>
              <a:round/>
            </a:ln>
            <a:effectLst/>
          </c:spPr>
          <c:marker>
            <c:symbol val="x"/>
            <c:size val="10"/>
            <c:spPr>
              <a:noFill/>
              <a:ln w="25400">
                <a:solidFill>
                  <a:srgbClr val="C00000"/>
                </a:solidFill>
              </a:ln>
              <a:effectLst/>
            </c:spPr>
          </c:marker>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C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'Cash flow Analysis'!$AS$113:$AS$128</c:f>
              <c:numCache>
                <c:formatCode>_("$"* #,##0_);_("$"* \(#,##0\);_("$"* "-"_);_(@_)</c:formatCode>
                <c:ptCount val="16"/>
                <c:pt idx="0">
                  <c:v>2160</c:v>
                </c:pt>
                <c:pt idx="1">
                  <c:v>4031.1173825052338</c:v>
                </c:pt>
                <c:pt idx="2">
                  <c:v>5631.556242981962</c:v>
                </c:pt>
                <c:pt idx="3">
                  <c:v>7370.9593110370879</c:v>
                </c:pt>
                <c:pt idx="4">
                  <c:v>9273.3714689516837</c:v>
                </c:pt>
                <c:pt idx="5">
                  <c:v>11385.548592310122</c:v>
                </c:pt>
                <c:pt idx="6">
                  <c:v>10316.759460983802</c:v>
                </c:pt>
                <c:pt idx="7">
                  <c:v>9472.5296228270381</c:v>
                </c:pt>
                <c:pt idx="8">
                  <c:v>8806.6360859340148</c:v>
                </c:pt>
                <c:pt idx="9">
                  <c:v>8302.9911881973421</c:v>
                </c:pt>
                <c:pt idx="10">
                  <c:v>7931.869829981868</c:v>
                </c:pt>
                <c:pt idx="11">
                  <c:v>7661.9483011337397</c:v>
                </c:pt>
                <c:pt idx="12">
                  <c:v>7478.3083947128816</c:v>
                </c:pt>
                <c:pt idx="13">
                  <c:v>7365.1082952821089</c:v>
                </c:pt>
                <c:pt idx="14">
                  <c:v>7302.6980260856271</c:v>
                </c:pt>
                <c:pt idx="15">
                  <c:v>7284.4511800338778</c:v>
                </c:pt>
              </c:numCache>
            </c:numRef>
          </c:val>
          <c:smooth val="0"/>
          <c:extLst>
            <c:ext xmlns:c16="http://schemas.microsoft.com/office/drawing/2014/chart" uri="{C3380CC4-5D6E-409C-BE32-E72D297353CC}">
              <c16:uniqueId val="{00000009-E291-4014-830B-D9F14DC582C4}"/>
            </c:ext>
          </c:extLst>
        </c:ser>
        <c:dLbls>
          <c:showLegendKey val="0"/>
          <c:showVal val="0"/>
          <c:showCatName val="0"/>
          <c:showSerName val="0"/>
          <c:showPercent val="0"/>
          <c:showBubbleSize val="0"/>
        </c:dLbls>
        <c:marker val="1"/>
        <c:smooth val="0"/>
        <c:axId val="1004311872"/>
        <c:axId val="1004312352"/>
      </c:lineChart>
      <c:catAx>
        <c:axId val="1004311872"/>
        <c:scaling>
          <c:orientation val="minMax"/>
        </c:scaling>
        <c:delete val="0"/>
        <c:axPos val="b"/>
        <c:title>
          <c:tx>
            <c:strRef>
              <c:f>'Cash flow Analysis'!$AJ$93</c:f>
              <c:strCache>
                <c:ptCount val="1"/>
                <c:pt idx="0">
                  <c:v>Service Year</c:v>
                </c:pt>
              </c:strCache>
            </c:strRef>
          </c:tx>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low"/>
        <c:spPr>
          <a:noFill/>
          <a:ln w="25400" cap="flat" cmpd="sng" algn="ctr">
            <a:solidFill>
              <a:schemeClr val="tx1"/>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004312352"/>
        <c:crosses val="autoZero"/>
        <c:auto val="1"/>
        <c:lblAlgn val="ctr"/>
        <c:lblOffset val="100"/>
        <c:noMultiLvlLbl val="0"/>
      </c:catAx>
      <c:valAx>
        <c:axId val="1004312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a:solidFill>
                      <a:srgbClr val="C00000"/>
                    </a:solidFill>
                  </a:rPr>
                  <a:t>Cumulative</a:t>
                </a:r>
                <a:r>
                  <a:rPr lang="en-US"/>
                  <a:t> cashflow relative to Diesel</a:t>
                </a:r>
              </a:p>
            </c:rich>
          </c:tx>
          <c:layout>
            <c:manualLayout>
              <c:xMode val="edge"/>
              <c:yMode val="edge"/>
              <c:x val="6.7342724010166933E-4"/>
              <c:y val="0.19712629271508322"/>
            </c:manualLayout>
          </c:layout>
          <c:overlay val="0"/>
          <c:spPr>
            <a:noFill/>
            <a:ln>
              <a:noFill/>
            </a:ln>
            <a:effectLst/>
          </c:spPr>
          <c:txPr>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004311872"/>
        <c:crosses val="autoZero"/>
        <c:crossBetween val="between"/>
      </c:valAx>
      <c:spPr>
        <a:noFill/>
        <a:ln w="25400">
          <a:solidFill>
            <a:schemeClr val="tx1"/>
          </a:solidFill>
        </a:ln>
        <a:effectLst/>
      </c:spPr>
    </c:plotArea>
    <c:legend>
      <c:legendPos val="b"/>
      <c:legendEntry>
        <c:idx val="8"/>
        <c:delete val="1"/>
      </c:legendEntry>
      <c:layout>
        <c:manualLayout>
          <c:xMode val="edge"/>
          <c:yMode val="edge"/>
          <c:x val="0.10964941325546616"/>
          <c:y val="1.6124430614682299E-3"/>
          <c:w val="0.89035058674453382"/>
          <c:h val="5.4214342464982142E-2"/>
        </c:manualLayout>
      </c:layout>
      <c:overlay val="0"/>
      <c:spPr>
        <a:noFill/>
        <a:ln>
          <a:noFill/>
        </a:ln>
        <a:effectLst/>
      </c:spPr>
      <c:txPr>
        <a:bodyPr rot="0" spcFirstLastPara="1" vertOverflow="ellipsis" vert="horz" wrap="square" anchor="ctr" anchorCtr="0"/>
        <a:lstStyle/>
        <a:p>
          <a:pPr>
            <a:defRPr sz="2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000" b="1"/>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16571956820061"/>
          <c:y val="3.7475206702035274E-2"/>
          <c:w val="0.72609027444968721"/>
          <c:h val="0.84944794319616446"/>
        </c:manualLayout>
      </c:layout>
      <c:barChart>
        <c:barDir val="col"/>
        <c:grouping val="stacked"/>
        <c:varyColors val="0"/>
        <c:ser>
          <c:idx val="0"/>
          <c:order val="0"/>
          <c:tx>
            <c:strRef>
              <c:f>'Cost Summary DCF'!$B$6</c:f>
              <c:strCache>
                <c:ptCount val="1"/>
                <c:pt idx="0">
                  <c:v>Vehicle Cost</c:v>
                </c:pt>
              </c:strCache>
            </c:strRef>
          </c:tx>
          <c:spPr>
            <a:solidFill>
              <a:srgbClr val="5F6369"/>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DCF'!$C$5:$D$5,'Cost Summary DCF'!$G$5:$I$5)</c:f>
              <c:strCache>
                <c:ptCount val="5"/>
                <c:pt idx="0">
                  <c:v>Conventional Diesel</c:v>
                </c:pt>
                <c:pt idx="1">
                  <c:v>Mobile Carbon Capture 50%</c:v>
                </c:pt>
                <c:pt idx="2">
                  <c:v>BEV 500 mile</c:v>
                </c:pt>
                <c:pt idx="3">
                  <c:v>H2 FCEV</c:v>
                </c:pt>
                <c:pt idx="4">
                  <c:v>H2 ICHEV</c:v>
                </c:pt>
              </c:strCache>
            </c:strRef>
          </c:cat>
          <c:val>
            <c:numRef>
              <c:extLst>
                <c:ext xmlns:c15="http://schemas.microsoft.com/office/drawing/2012/chart" uri="{02D57815-91ED-43cb-92C2-25804820EDAC}">
                  <c15:fullRef>
                    <c15:sqref>'Cost Summary DCF'!$C$6:$I$6</c15:sqref>
                  </c15:fullRef>
                </c:ext>
              </c:extLst>
              <c:f>('Cost Summary DCF'!$C$6:$D$6,'Cost Summary DCF'!$G$6:$I$6)</c:f>
              <c:numCache>
                <c:formatCode>"$"#,##0_);[Red]\("$"#,##0\)</c:formatCode>
                <c:ptCount val="5"/>
                <c:pt idx="0" formatCode="_(&quot;$&quot;* #,##0_);_(&quot;$&quot;* \(#,##0\);_(&quot;$&quot;* &quot;-&quot;_);_(@_)">
                  <c:v>134772.82276765615</c:v>
                </c:pt>
                <c:pt idx="1">
                  <c:v>156242.96003482855</c:v>
                </c:pt>
                <c:pt idx="2">
                  <c:v>212525.98136703076</c:v>
                </c:pt>
                <c:pt idx="3">
                  <c:v>213563.65749058002</c:v>
                </c:pt>
                <c:pt idx="4">
                  <c:v>154107.73025976686</c:v>
                </c:pt>
              </c:numCache>
            </c:numRef>
          </c:val>
          <c:extLst>
            <c:ext xmlns:c16="http://schemas.microsoft.com/office/drawing/2014/chart" uri="{C3380CC4-5D6E-409C-BE32-E72D297353CC}">
              <c16:uniqueId val="{00000000-C268-40AF-99BB-FDD6C2AD97C3}"/>
            </c:ext>
          </c:extLst>
        </c:ser>
        <c:ser>
          <c:idx val="1"/>
          <c:order val="1"/>
          <c:tx>
            <c:strRef>
              <c:f>'Cost Summary DCF'!$B$7</c:f>
              <c:strCache>
                <c:ptCount val="1"/>
                <c:pt idx="0">
                  <c:v>Fuel Cost</c:v>
                </c:pt>
              </c:strCache>
            </c:strRef>
          </c:tx>
          <c:spPr>
            <a:solidFill>
              <a:srgbClr val="00B0F0"/>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DCF'!$C$5:$D$5,'Cost Summary DCF'!$G$5:$I$5)</c:f>
              <c:strCache>
                <c:ptCount val="5"/>
                <c:pt idx="0">
                  <c:v>Conventional Diesel</c:v>
                </c:pt>
                <c:pt idx="1">
                  <c:v>Mobile Carbon Capture 50%</c:v>
                </c:pt>
                <c:pt idx="2">
                  <c:v>BEV 500 mile</c:v>
                </c:pt>
                <c:pt idx="3">
                  <c:v>H2 FCEV</c:v>
                </c:pt>
                <c:pt idx="4">
                  <c:v>H2 ICHEV</c:v>
                </c:pt>
              </c:strCache>
            </c:strRef>
          </c:cat>
          <c:val>
            <c:numRef>
              <c:extLst>
                <c:ext xmlns:c15="http://schemas.microsoft.com/office/drawing/2012/chart" uri="{02D57815-91ED-43cb-92C2-25804820EDAC}">
                  <c15:fullRef>
                    <c15:sqref>'Cost Summary DCF'!$C$7:$I$7</c15:sqref>
                  </c15:fullRef>
                </c:ext>
              </c:extLst>
              <c:f>('Cost Summary DCF'!$C$7:$D$7,'Cost Summary DCF'!$G$7:$I$7)</c:f>
              <c:numCache>
                <c:formatCode>"$"#,##0_);[Red]\("$"#,##0\)</c:formatCode>
                <c:ptCount val="5"/>
                <c:pt idx="0" formatCode="_(&quot;$&quot;* #,##0_);_(&quot;$&quot;* \(#,##0\);_(&quot;$&quot;* &quot;-&quot;_);_(@_)">
                  <c:v>213208.20869353539</c:v>
                </c:pt>
                <c:pt idx="1">
                  <c:v>220540.8714880723</c:v>
                </c:pt>
                <c:pt idx="2">
                  <c:v>248951.23045474305</c:v>
                </c:pt>
                <c:pt idx="3">
                  <c:v>352038.83491472201</c:v>
                </c:pt>
                <c:pt idx="4">
                  <c:v>397956.94381664245</c:v>
                </c:pt>
              </c:numCache>
            </c:numRef>
          </c:val>
          <c:extLst>
            <c:ext xmlns:c16="http://schemas.microsoft.com/office/drawing/2014/chart" uri="{C3380CC4-5D6E-409C-BE32-E72D297353CC}">
              <c16:uniqueId val="{00000001-C268-40AF-99BB-FDD6C2AD97C3}"/>
            </c:ext>
          </c:extLst>
        </c:ser>
        <c:ser>
          <c:idx val="4"/>
          <c:order val="2"/>
          <c:tx>
            <c:strRef>
              <c:f>'Cost Summary DCF'!$B$12</c:f>
              <c:strCache>
                <c:ptCount val="1"/>
                <c:pt idx="0">
                  <c:v>Revenue Loss</c:v>
                </c:pt>
              </c:strCache>
            </c:strRef>
          </c:tx>
          <c:spPr>
            <a:solidFill>
              <a:srgbClr val="84BD00"/>
            </a:solidFill>
            <a:ln>
              <a:noFill/>
            </a:ln>
            <a:effectLst/>
          </c:spPr>
          <c:invertIfNegative val="0"/>
          <c:dLbls>
            <c:numFmt formatCode="[&gt;49999]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DCF'!$C$5:$D$5,'Cost Summary DCF'!$G$5:$I$5)</c:f>
              <c:strCache>
                <c:ptCount val="5"/>
                <c:pt idx="0">
                  <c:v>Conventional Diesel</c:v>
                </c:pt>
                <c:pt idx="1">
                  <c:v>Mobile Carbon Capture 50%</c:v>
                </c:pt>
                <c:pt idx="2">
                  <c:v>BEV 500 mile</c:v>
                </c:pt>
                <c:pt idx="3">
                  <c:v>H2 FCEV</c:v>
                </c:pt>
                <c:pt idx="4">
                  <c:v>H2 ICHEV</c:v>
                </c:pt>
              </c:strCache>
            </c:strRef>
          </c:cat>
          <c:val>
            <c:numRef>
              <c:extLst>
                <c:ext xmlns:c15="http://schemas.microsoft.com/office/drawing/2012/chart" uri="{02D57815-91ED-43cb-92C2-25804820EDAC}">
                  <c15:fullRef>
                    <c15:sqref>'Cost Summary DCF'!$C$12:$I$12</c15:sqref>
                  </c15:fullRef>
                </c:ext>
              </c:extLst>
              <c:f>('Cost Summary DCF'!$C$12:$D$12,'Cost Summary DCF'!$G$12:$I$12)</c:f>
              <c:numCache>
                <c:formatCode>"$"#,##0_);[Red]\("$"#,##0\)</c:formatCode>
                <c:ptCount val="5"/>
                <c:pt idx="0" formatCode="_(&quot;$&quot;* #,##0_);_(&quot;$&quot;* \(#,##0\);_(&quot;$&quot;* &quot;-&quot;_);_(@_)">
                  <c:v>0</c:v>
                </c:pt>
                <c:pt idx="1">
                  <c:v>14170.716922210595</c:v>
                </c:pt>
                <c:pt idx="2">
                  <c:v>83988.085938911914</c:v>
                </c:pt>
                <c:pt idx="3">
                  <c:v>2845.1203721189172</c:v>
                </c:pt>
                <c:pt idx="4">
                  <c:v>6761.7432845010453</c:v>
                </c:pt>
              </c:numCache>
            </c:numRef>
          </c:val>
          <c:extLst>
            <c:ext xmlns:c16="http://schemas.microsoft.com/office/drawing/2014/chart" uri="{C3380CC4-5D6E-409C-BE32-E72D297353CC}">
              <c16:uniqueId val="{00000004-C268-40AF-99BB-FDD6C2AD97C3}"/>
            </c:ext>
          </c:extLst>
        </c:ser>
        <c:ser>
          <c:idx val="2"/>
          <c:order val="3"/>
          <c:tx>
            <c:strRef>
              <c:f>'Cost Summary DCF'!$B$8</c:f>
              <c:strCache>
                <c:ptCount val="1"/>
                <c:pt idx="0">
                  <c:v>Infrastructure Cost</c:v>
                </c:pt>
              </c:strCache>
            </c:strRef>
          </c:tx>
          <c:spPr>
            <a:solidFill>
              <a:schemeClr val="tx1"/>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DCF'!$C$5:$D$5,'Cost Summary DCF'!$G$5:$I$5)</c:f>
              <c:strCache>
                <c:ptCount val="5"/>
                <c:pt idx="0">
                  <c:v>Conventional Diesel</c:v>
                </c:pt>
                <c:pt idx="1">
                  <c:v>Mobile Carbon Capture 50%</c:v>
                </c:pt>
                <c:pt idx="2">
                  <c:v>BEV 500 mile</c:v>
                </c:pt>
                <c:pt idx="3">
                  <c:v>H2 FCEV</c:v>
                </c:pt>
                <c:pt idx="4">
                  <c:v>H2 ICHEV</c:v>
                </c:pt>
              </c:strCache>
            </c:strRef>
          </c:cat>
          <c:val>
            <c:numRef>
              <c:extLst>
                <c:ext xmlns:c15="http://schemas.microsoft.com/office/drawing/2012/chart" uri="{02D57815-91ED-43cb-92C2-25804820EDAC}">
                  <c15:fullRef>
                    <c15:sqref>'Cost Summary DCF'!$C$8:$I$8</c15:sqref>
                  </c15:fullRef>
                </c:ext>
              </c:extLst>
              <c:f>('Cost Summary DCF'!$C$8:$D$8,'Cost Summary DCF'!$G$8:$I$8)</c:f>
              <c:numCache>
                <c:formatCode>"$"#,##0_);[Red]\("$"#,##0\)</c:formatCode>
                <c:ptCount val="5"/>
                <c:pt idx="0" formatCode="_(&quot;$&quot;* #,##0_);_(&quot;$&quot;* \(#,##0\);_(&quot;$&quot;* &quot;-&quot;_);_(@_)">
                  <c:v>0</c:v>
                </c:pt>
                <c:pt idx="1">
                  <c:v>12158.215108383969</c:v>
                </c:pt>
                <c:pt idx="2">
                  <c:v>60113.614717927994</c:v>
                </c:pt>
                <c:pt idx="3">
                  <c:v>0</c:v>
                </c:pt>
                <c:pt idx="4">
                  <c:v>0</c:v>
                </c:pt>
              </c:numCache>
            </c:numRef>
          </c:val>
          <c:extLst>
            <c:ext xmlns:c16="http://schemas.microsoft.com/office/drawing/2014/chart" uri="{C3380CC4-5D6E-409C-BE32-E72D297353CC}">
              <c16:uniqueId val="{00000002-C268-40AF-99BB-FDD6C2AD97C3}"/>
            </c:ext>
          </c:extLst>
        </c:ser>
        <c:ser>
          <c:idx val="7"/>
          <c:order val="4"/>
          <c:tx>
            <c:strRef>
              <c:f>'Cost Summary DCF'!$B$9</c:f>
              <c:strCache>
                <c:ptCount val="1"/>
                <c:pt idx="0">
                  <c:v>Insurance Cost</c:v>
                </c:pt>
              </c:strCache>
            </c:strRef>
          </c:tx>
          <c:spPr>
            <a:solidFill>
              <a:srgbClr val="00843D"/>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Conventional Diesel</c:v>
              </c:pt>
              <c:pt idx="1">
                <c:v>Mobile Carbon Capture 50%</c:v>
              </c:pt>
              <c:pt idx="2">
                <c:v>BEV 500 mile</c:v>
              </c:pt>
              <c:pt idx="3">
                <c:v>H2 FCEV</c:v>
              </c:pt>
              <c:pt idx="4">
                <c:v>H2 ICHEV</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'Cost Summary DCF'!$C$9:$I$9</c15:sqref>
                  </c15:fullRef>
                </c:ext>
              </c:extLst>
              <c:f>('Cost Summary DCF'!$C$9:$D$9,'Cost Summary DCF'!$G$9:$I$9)</c:f>
              <c:numCache>
                <c:formatCode>"$"#,##0_);[Red]\("$"#,##0\)</c:formatCode>
                <c:ptCount val="5"/>
                <c:pt idx="0" formatCode="_(&quot;$&quot;* #,##0_);_(&quot;$&quot;* \(#,##0\);_(&quot;$&quot;* &quot;-&quot;_);_(@_)">
                  <c:v>57058.063735793796</c:v>
                </c:pt>
                <c:pt idx="1">
                  <c:v>59570.034133692548</c:v>
                </c:pt>
                <c:pt idx="2">
                  <c:v>66155.054142249544</c:v>
                </c:pt>
                <c:pt idx="3">
                  <c:v>66276.460525102419</c:v>
                </c:pt>
                <c:pt idx="4">
                  <c:v>59320.215796672965</c:v>
                </c:pt>
              </c:numCache>
            </c:numRef>
          </c:val>
          <c:extLst>
            <c:ext xmlns:c16="http://schemas.microsoft.com/office/drawing/2014/chart" uri="{C3380CC4-5D6E-409C-BE32-E72D297353CC}">
              <c16:uniqueId val="{00000009-C268-40AF-99BB-FDD6C2AD97C3}"/>
            </c:ext>
          </c:extLst>
        </c:ser>
        <c:ser>
          <c:idx val="3"/>
          <c:order val="5"/>
          <c:tx>
            <c:strRef>
              <c:f>'Cost Summary DCF'!$B$10</c:f>
              <c:strCache>
                <c:ptCount val="1"/>
                <c:pt idx="0">
                  <c:v>Maintenance Cost</c:v>
                </c:pt>
              </c:strCache>
            </c:strRef>
          </c:tx>
          <c:spPr>
            <a:solidFill>
              <a:schemeClr val="accent4"/>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DCF'!$C$5:$D$5,'Cost Summary DCF'!$G$5:$I$5)</c:f>
              <c:strCache>
                <c:ptCount val="5"/>
                <c:pt idx="0">
                  <c:v>Conventional Diesel</c:v>
                </c:pt>
                <c:pt idx="1">
                  <c:v>Mobile Carbon Capture 50%</c:v>
                </c:pt>
                <c:pt idx="2">
                  <c:v>BEV 500 mile</c:v>
                </c:pt>
                <c:pt idx="3">
                  <c:v>H2 FCEV</c:v>
                </c:pt>
                <c:pt idx="4">
                  <c:v>H2 ICHEV</c:v>
                </c:pt>
              </c:strCache>
            </c:strRef>
          </c:cat>
          <c:val>
            <c:numRef>
              <c:extLst>
                <c:ext xmlns:c15="http://schemas.microsoft.com/office/drawing/2012/chart" uri="{02D57815-91ED-43cb-92C2-25804820EDAC}">
                  <c15:fullRef>
                    <c15:sqref>'Cost Summary DCF'!$C$10:$I$10</c15:sqref>
                  </c15:fullRef>
                </c:ext>
              </c:extLst>
              <c:f>('Cost Summary DCF'!$C$10:$D$10,'Cost Summary DCF'!$G$10:$I$10)</c:f>
              <c:numCache>
                <c:formatCode>"$"#,##0_);[Red]\("$"#,##0\)</c:formatCode>
                <c:ptCount val="5"/>
                <c:pt idx="0" formatCode="_(&quot;$&quot;* #,##0_);_(&quot;$&quot;* \(#,##0\);_(&quot;$&quot;* &quot;-&quot;_);_(@_)">
                  <c:v>119488.98942017501</c:v>
                </c:pt>
                <c:pt idx="1">
                  <c:v>136645.4483424194</c:v>
                </c:pt>
                <c:pt idx="2">
                  <c:v>100648.11415574618</c:v>
                </c:pt>
                <c:pt idx="3">
                  <c:v>109780.59284078539</c:v>
                </c:pt>
                <c:pt idx="4">
                  <c:v>121655.88819204345</c:v>
                </c:pt>
              </c:numCache>
            </c:numRef>
          </c:val>
          <c:extLst>
            <c:ext xmlns:c16="http://schemas.microsoft.com/office/drawing/2014/chart" uri="{C3380CC4-5D6E-409C-BE32-E72D297353CC}">
              <c16:uniqueId val="{00000003-C268-40AF-99BB-FDD6C2AD97C3}"/>
            </c:ext>
          </c:extLst>
        </c:ser>
        <c:ser>
          <c:idx val="5"/>
          <c:order val="6"/>
          <c:tx>
            <c:strRef>
              <c:f>'Cost Summary DCF'!$B$13</c:f>
              <c:strCache>
                <c:ptCount val="1"/>
                <c:pt idx="0">
                  <c:v>GHG Emission Cost</c:v>
                </c:pt>
              </c:strCache>
            </c:strRef>
          </c:tx>
          <c:spPr>
            <a:solidFill>
              <a:srgbClr val="643278"/>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DCF'!$C$5:$D$5,'Cost Summary DCF'!$G$5:$I$5)</c:f>
              <c:strCache>
                <c:ptCount val="5"/>
                <c:pt idx="0">
                  <c:v>Conventional Diesel</c:v>
                </c:pt>
                <c:pt idx="1">
                  <c:v>Mobile Carbon Capture 50%</c:v>
                </c:pt>
                <c:pt idx="2">
                  <c:v>BEV 500 mile</c:v>
                </c:pt>
                <c:pt idx="3">
                  <c:v>H2 FCEV</c:v>
                </c:pt>
                <c:pt idx="4">
                  <c:v>H2 ICHEV</c:v>
                </c:pt>
              </c:strCache>
            </c:strRef>
          </c:cat>
          <c:val>
            <c:numRef>
              <c:extLst>
                <c:ext xmlns:c15="http://schemas.microsoft.com/office/drawing/2012/chart" uri="{02D57815-91ED-43cb-92C2-25804820EDAC}">
                  <c15:fullRef>
                    <c15:sqref>'Cost Summary DCF'!$C$13:$I$13</c15:sqref>
                  </c15:fullRef>
                </c:ext>
              </c:extLst>
              <c:f>('Cost Summary DCF'!$C$13:$D$13,'Cost Summary DCF'!$G$13:$I$13)</c:f>
              <c:numCache>
                <c:formatCode>"$"#,##0_);[Red]\("$"#,##0\)</c:formatCode>
                <c:ptCount val="5"/>
                <c:pt idx="0" formatCode="_(&quot;$&quot;* #,##0_);_(&quot;$&quot;* \(#,##0\);_(&quot;$&quot;* &quot;-&quot;_);_(@_)">
                  <c:v>157952.91912472816</c:v>
                </c:pt>
                <c:pt idx="1">
                  <c:v>90437.20889231503</c:v>
                </c:pt>
                <c:pt idx="2">
                  <c:v>138337.60513474853</c:v>
                </c:pt>
                <c:pt idx="3">
                  <c:v>49440.529714079079</c:v>
                </c:pt>
                <c:pt idx="4">
                  <c:v>55889.294459393765</c:v>
                </c:pt>
              </c:numCache>
            </c:numRef>
          </c:val>
          <c:extLst>
            <c:ext xmlns:c16="http://schemas.microsoft.com/office/drawing/2014/chart" uri="{C3380CC4-5D6E-409C-BE32-E72D297353CC}">
              <c16:uniqueId val="{00000005-C268-40AF-99BB-FDD6C2AD97C3}"/>
            </c:ext>
          </c:extLst>
        </c:ser>
        <c:ser>
          <c:idx val="6"/>
          <c:order val="7"/>
          <c:tx>
            <c:strRef>
              <c:f>'Cost Summary DCF'!$B$11</c:f>
              <c:strCache>
                <c:ptCount val="1"/>
                <c:pt idx="0">
                  <c:v>Durability Cost</c:v>
                </c:pt>
              </c:strCache>
            </c:strRef>
          </c:tx>
          <c:spPr>
            <a:solidFill>
              <a:srgbClr val="F05F41"/>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6-C268-40AF-99BB-FDD6C2AD97C3}"/>
                </c:ext>
              </c:extLst>
            </c:dLbl>
            <c:dLbl>
              <c:idx val="1"/>
              <c:delete val="1"/>
              <c:extLst>
                <c:ext xmlns:c15="http://schemas.microsoft.com/office/drawing/2012/chart" uri="{CE6537A1-D6FC-4f65-9D91-7224C49458BB}"/>
                <c:ext xmlns:c16="http://schemas.microsoft.com/office/drawing/2014/chart" uri="{C3380CC4-5D6E-409C-BE32-E72D297353CC}">
                  <c16:uniqueId val="{00000007-C268-40AF-99BB-FDD6C2AD97C3}"/>
                </c:ext>
              </c:extLst>
            </c:dLbl>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Conventional Diesel</c:v>
              </c:pt>
              <c:pt idx="1">
                <c:v>Mobile Carbon Capture 50%</c:v>
              </c:pt>
              <c:pt idx="2">
                <c:v>BEV 500 mile</c:v>
              </c:pt>
              <c:pt idx="3">
                <c:v>H2 FCEV</c:v>
              </c:pt>
              <c:pt idx="4">
                <c:v>H2 ICHEV</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'Cost Summary DCF'!$C$11:$I$11</c15:sqref>
                  </c15:fullRef>
                </c:ext>
              </c:extLst>
              <c:f>('Cost Summary DCF'!$C$11:$D$11,'Cost Summary DCF'!$G$11:$I$11)</c:f>
              <c:numCache>
                <c:formatCode>"$"#,##0_);[Red]\("$"#,##0\)</c:formatCode>
                <c:ptCount val="5"/>
                <c:pt idx="0" formatCode="_(&quot;$&quot;* #,##0_);_(&quot;$&quot;* \(#,##0\);_(&quot;$&quot;* &quot;-&quot;_);_(@_)">
                  <c:v>0</c:v>
                </c:pt>
                <c:pt idx="1">
                  <c:v>0</c:v>
                </c:pt>
                <c:pt idx="2">
                  <c:v>0</c:v>
                </c:pt>
                <c:pt idx="3">
                  <c:v>0</c:v>
                </c:pt>
                <c:pt idx="4">
                  <c:v>0</c:v>
                </c:pt>
              </c:numCache>
            </c:numRef>
          </c:val>
          <c:extLst>
            <c:ext xmlns:c16="http://schemas.microsoft.com/office/drawing/2014/chart" uri="{C3380CC4-5D6E-409C-BE32-E72D297353CC}">
              <c16:uniqueId val="{00000008-C268-40AF-99BB-FDD6C2AD97C3}"/>
            </c:ext>
          </c:extLst>
        </c:ser>
        <c:dLbls>
          <c:dLblPos val="ctr"/>
          <c:showLegendKey val="0"/>
          <c:showVal val="1"/>
          <c:showCatName val="0"/>
          <c:showSerName val="0"/>
          <c:showPercent val="0"/>
          <c:showBubbleSize val="0"/>
        </c:dLbls>
        <c:gapWidth val="150"/>
        <c:overlap val="100"/>
        <c:axId val="1140645984"/>
        <c:axId val="1140644016"/>
      </c:barChart>
      <c:lineChart>
        <c:grouping val="standard"/>
        <c:varyColors val="0"/>
        <c:ser>
          <c:idx val="8"/>
          <c:order val="8"/>
          <c:tx>
            <c:strRef>
              <c:f>'Cost Summary DCF'!$B$14</c:f>
              <c:strCache>
                <c:ptCount val="1"/>
                <c:pt idx="0">
                  <c:v>Total Cost</c:v>
                </c:pt>
              </c:strCache>
            </c:strRef>
          </c:tx>
          <c:spPr>
            <a:ln w="28575" cap="rnd">
              <a:noFill/>
              <a:round/>
            </a:ln>
            <a:effectLst>
              <a:glow>
                <a:schemeClr val="tx1">
                  <a:alpha val="40000"/>
                </a:schemeClr>
              </a:glow>
            </a:effectLst>
          </c:spPr>
          <c:marker>
            <c:symbol val="x"/>
            <c:size val="6"/>
            <c:spPr>
              <a:noFill/>
              <a:ln w="19050">
                <a:solidFill>
                  <a:schemeClr val="tx1"/>
                </a:solidFill>
              </a:ln>
              <a:effectLst>
                <a:glow>
                  <a:schemeClr val="tx1">
                    <a:alpha val="40000"/>
                  </a:schemeClr>
                </a:glow>
              </a:effectLst>
            </c:spPr>
          </c:marker>
          <c:dLbls>
            <c:dLbl>
              <c:idx val="3"/>
              <c:numFmt formatCode="&quot;$&quot;0.00,,\ &quot;M&quot;" sourceLinked="0"/>
              <c:spPr>
                <a:noFill/>
                <a:ln>
                  <a:noFill/>
                </a:ln>
                <a:effectLst>
                  <a:glow rad="127000">
                    <a:srgbClr val="FF0000"/>
                  </a:glow>
                </a:effectLst>
              </c:spPr>
              <c:txPr>
                <a:bodyPr rot="0" spcFirstLastPara="1" vertOverflow="ellipsis" vert="horz" wrap="square" lIns="38100" tIns="19050" rIns="38100" bIns="19050" anchor="t" anchorCtr="0">
                  <a:spAutoFit/>
                </a:bodyPr>
                <a:lstStyle/>
                <a:p>
                  <a:pPr>
                    <a:defRPr sz="1800" b="0" i="0" u="none" strike="noStrike" kern="1200" cap="none" spc="0" baseline="0">
                      <a:ln w="3175">
                        <a:solidFill>
                          <a:srgbClr val="FF0000"/>
                        </a:solidFill>
                      </a:ln>
                      <a:solidFill>
                        <a:schemeClr val="tx1"/>
                      </a:solidFill>
                      <a:effectLst>
                        <a:outerShdw blurRad="38100" dist="19050" dir="2700000" algn="tl" rotWithShape="0">
                          <a:schemeClr val="dk1">
                            <a:alpha val="40000"/>
                          </a:schemeClr>
                        </a:outerShdw>
                      </a:effectLst>
                      <a:latin typeface="+mj-lt"/>
                      <a:ea typeface="+mn-ea"/>
                      <a:cs typeface="+mn-cs"/>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A-C268-40AF-99BB-FDD6C2AD97C3}"/>
                </c:ext>
              </c:extLst>
            </c:dLbl>
            <c:numFmt formatCode="&quot;$&quot;0.00,,\ &quot;M&quot;" sourceLinked="0"/>
            <c:spPr>
              <a:noFill/>
              <a:ln>
                <a:noFill/>
              </a:ln>
              <a:effectLst>
                <a:glow rad="127000">
                  <a:srgbClr val="FF0000"/>
                </a:glow>
              </a:effectLst>
            </c:spPr>
            <c:txPr>
              <a:bodyPr rot="0" spcFirstLastPara="1" vertOverflow="ellipsis" vert="horz" wrap="square" lIns="38100" tIns="19050" rIns="38100" bIns="19050" anchor="ctr" anchorCtr="1">
                <a:spAutoFit/>
              </a:bodyPr>
              <a:lstStyle/>
              <a:p>
                <a:pPr>
                  <a:defRPr sz="1800" b="0" i="0" u="none" strike="noStrike" kern="1200" cap="none" spc="0" baseline="0">
                    <a:ln w="3175">
                      <a:solidFill>
                        <a:srgbClr val="FF0000"/>
                      </a:solidFill>
                    </a:ln>
                    <a:solidFill>
                      <a:schemeClr val="tx1"/>
                    </a:solidFill>
                    <a:effectLst>
                      <a:outerShdw blurRad="38100" dist="19050" dir="2700000" algn="tl" rotWithShape="0">
                        <a:schemeClr val="dk1">
                          <a:alpha val="40000"/>
                        </a:schemeClr>
                      </a:outerShdw>
                    </a:effectLst>
                    <a:latin typeface="+mj-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Conventional Diesel</c:v>
              </c:pt>
              <c:pt idx="1">
                <c:v>Mobile Carbon Capture 50%</c:v>
              </c:pt>
              <c:pt idx="2">
                <c:v>BEV 500 mile</c:v>
              </c:pt>
              <c:pt idx="3">
                <c:v>H2 FCEV</c:v>
              </c:pt>
              <c:pt idx="4">
                <c:v>H2 ICHEV</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'Cost Summary DCF'!$C$14:$I$14</c15:sqref>
                  </c15:fullRef>
                </c:ext>
              </c:extLst>
              <c:f>('Cost Summary DCF'!$C$14:$D$14,'Cost Summary DCF'!$G$14:$I$14)</c:f>
              <c:numCache>
                <c:formatCode>"$"#,##0_);[Red]\("$"#,##0\)</c:formatCode>
                <c:ptCount val="5"/>
                <c:pt idx="0">
                  <c:v>682481.00374188856</c:v>
                </c:pt>
                <c:pt idx="1">
                  <c:v>689765.45492192241</c:v>
                </c:pt>
                <c:pt idx="2">
                  <c:v>910719.68591135787</c:v>
                </c:pt>
                <c:pt idx="3">
                  <c:v>793945.19585738785</c:v>
                </c:pt>
                <c:pt idx="4">
                  <c:v>795691.81580902042</c:v>
                </c:pt>
              </c:numCache>
            </c:numRef>
          </c:val>
          <c:smooth val="0"/>
          <c:extLst>
            <c:ext xmlns:c16="http://schemas.microsoft.com/office/drawing/2014/chart" uri="{C3380CC4-5D6E-409C-BE32-E72D297353CC}">
              <c16:uniqueId val="{0000000B-C268-40AF-99BB-FDD6C2AD97C3}"/>
            </c:ext>
          </c:extLst>
        </c:ser>
        <c:dLbls>
          <c:dLblPos val="ctr"/>
          <c:showLegendKey val="0"/>
          <c:showVal val="1"/>
          <c:showCatName val="0"/>
          <c:showSerName val="0"/>
          <c:showPercent val="0"/>
          <c:showBubbleSize val="0"/>
        </c:dLbls>
        <c:marker val="1"/>
        <c:smooth val="0"/>
        <c:axId val="1140645984"/>
        <c:axId val="1140644016"/>
      </c:lineChart>
      <c:catAx>
        <c:axId val="1140645984"/>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endParaRPr lang="en-US"/>
          </a:p>
        </c:txPr>
        <c:crossAx val="1140644016"/>
        <c:crosses val="autoZero"/>
        <c:auto val="1"/>
        <c:lblAlgn val="ctr"/>
        <c:lblOffset val="100"/>
        <c:noMultiLvlLbl val="0"/>
      </c:catAx>
      <c:valAx>
        <c:axId val="1140644016"/>
        <c:scaling>
          <c:orientation val="minMax"/>
          <c:max val="1800000"/>
        </c:scaling>
        <c:delete val="0"/>
        <c:axPos val="l"/>
        <c:majorGridlines>
          <c:spPr>
            <a:ln w="9525" cap="flat" cmpd="sng" algn="ctr">
              <a:solidFill>
                <a:schemeClr val="tx1">
                  <a:lumMod val="15000"/>
                  <a:lumOff val="85000"/>
                </a:schemeClr>
              </a:solidFill>
              <a:round/>
            </a:ln>
            <a:effectLst/>
          </c:spPr>
        </c:majorGridlines>
        <c:numFmt formatCode="&quot;$&quot;#,##0_);[Red]\(&quot;$&quot;#,##0\)" sourceLinked="0"/>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endParaRPr lang="en-US"/>
          </a:p>
        </c:txPr>
        <c:crossAx val="1140645984"/>
        <c:crosses val="autoZero"/>
        <c:crossBetween val="between"/>
      </c:valAx>
      <c:spPr>
        <a:noFill/>
        <a:ln>
          <a:solidFill>
            <a:schemeClr val="tx1">
              <a:lumMod val="50000"/>
              <a:lumOff val="50000"/>
            </a:schemeClr>
          </a:solidFill>
        </a:ln>
        <a:effectLst/>
      </c:spPr>
    </c:plotArea>
    <c:legend>
      <c:legendPos val="b"/>
      <c:layout>
        <c:manualLayout>
          <c:xMode val="edge"/>
          <c:yMode val="edge"/>
          <c:x val="0.83833402625612974"/>
          <c:y val="0.16230105157151928"/>
          <c:w val="0.15759890522201189"/>
          <c:h val="0.6657447476155377"/>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noFill/>
      <a:round/>
    </a:ln>
    <a:effectLst/>
  </c:spPr>
  <c:txPr>
    <a:bodyPr/>
    <a:lstStyle/>
    <a:p>
      <a:pPr>
        <a:defRPr sz="1600" b="1">
          <a:latin typeface="+mj-lt"/>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r>
              <a:rPr lang="en-US"/>
              <a:t>HD-</a:t>
            </a:r>
            <a:r>
              <a:rPr lang="en-US" b="1">
                <a:solidFill>
                  <a:srgbClr val="00A3E0"/>
                </a:solidFill>
              </a:rPr>
              <a:t>MCC50</a:t>
            </a:r>
            <a:r>
              <a:rPr lang="en-US"/>
              <a:t> TCO </a:t>
            </a:r>
            <a:endParaRPr lang="zh-CN"/>
          </a:p>
        </c:rich>
      </c:tx>
      <c:layout>
        <c:manualLayout>
          <c:xMode val="edge"/>
          <c:yMode val="edge"/>
          <c:x val="6.9957933584624023E-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3.1139279446615754E-2"/>
          <c:y val="8.1192995724488737E-2"/>
          <c:w val="0.612264069035382"/>
          <c:h val="0.89634306555987231"/>
        </c:manualLayout>
      </c:layout>
      <c:pieChart>
        <c:varyColors val="1"/>
        <c:ser>
          <c:idx val="0"/>
          <c:order val="0"/>
          <c:dPt>
            <c:idx val="0"/>
            <c:bubble3D val="0"/>
            <c:spPr>
              <a:solidFill>
                <a:srgbClr val="5F6369"/>
              </a:solidFill>
              <a:ln w="19050">
                <a:solidFill>
                  <a:schemeClr val="lt1"/>
                </a:solidFill>
              </a:ln>
              <a:effectLst/>
            </c:spPr>
            <c:extLst>
              <c:ext xmlns:c16="http://schemas.microsoft.com/office/drawing/2014/chart" uri="{C3380CC4-5D6E-409C-BE32-E72D297353CC}">
                <c16:uniqueId val="{00000001-B3DA-4A21-980B-44A4ABDDE382}"/>
              </c:ext>
            </c:extLst>
          </c:dPt>
          <c:dPt>
            <c:idx val="1"/>
            <c:bubble3D val="0"/>
            <c:spPr>
              <a:solidFill>
                <a:srgbClr val="00A3E0"/>
              </a:solidFill>
              <a:ln w="19050">
                <a:solidFill>
                  <a:schemeClr val="lt1"/>
                </a:solidFill>
              </a:ln>
              <a:effectLst/>
            </c:spPr>
            <c:extLst>
              <c:ext xmlns:c16="http://schemas.microsoft.com/office/drawing/2014/chart" uri="{C3380CC4-5D6E-409C-BE32-E72D297353CC}">
                <c16:uniqueId val="{00000003-B3DA-4A21-980B-44A4ABDDE382}"/>
              </c:ext>
            </c:extLst>
          </c:dPt>
          <c:dPt>
            <c:idx val="2"/>
            <c:bubble3D val="0"/>
            <c:spPr>
              <a:solidFill>
                <a:schemeClr val="tx1"/>
              </a:solidFill>
              <a:ln w="19050">
                <a:solidFill>
                  <a:schemeClr val="lt1"/>
                </a:solidFill>
              </a:ln>
              <a:effectLst/>
            </c:spPr>
            <c:extLst>
              <c:ext xmlns:c16="http://schemas.microsoft.com/office/drawing/2014/chart" uri="{C3380CC4-5D6E-409C-BE32-E72D297353CC}">
                <c16:uniqueId val="{00000005-B3DA-4A21-980B-44A4ABDDE382}"/>
              </c:ext>
            </c:extLst>
          </c:dPt>
          <c:dPt>
            <c:idx val="3"/>
            <c:bubble3D val="0"/>
            <c:spPr>
              <a:solidFill>
                <a:srgbClr val="00843D"/>
              </a:solidFill>
              <a:ln w="19050">
                <a:solidFill>
                  <a:schemeClr val="lt1"/>
                </a:solidFill>
              </a:ln>
              <a:effectLst/>
            </c:spPr>
            <c:extLst>
              <c:ext xmlns:c16="http://schemas.microsoft.com/office/drawing/2014/chart" uri="{C3380CC4-5D6E-409C-BE32-E72D297353CC}">
                <c16:uniqueId val="{00000007-B3DA-4A21-980B-44A4ABDDE382}"/>
              </c:ext>
            </c:extLst>
          </c:dPt>
          <c:dPt>
            <c:idx val="4"/>
            <c:bubble3D val="0"/>
            <c:spPr>
              <a:solidFill>
                <a:srgbClr val="FFC000"/>
              </a:solidFill>
              <a:ln w="19050">
                <a:solidFill>
                  <a:schemeClr val="lt1"/>
                </a:solidFill>
              </a:ln>
              <a:effectLst/>
            </c:spPr>
            <c:extLst>
              <c:ext xmlns:c16="http://schemas.microsoft.com/office/drawing/2014/chart" uri="{C3380CC4-5D6E-409C-BE32-E72D297353CC}">
                <c16:uniqueId val="{00000009-B3DA-4A21-980B-44A4ABDDE382}"/>
              </c:ext>
            </c:extLst>
          </c:dPt>
          <c:dPt>
            <c:idx val="5"/>
            <c:bubble3D val="0"/>
            <c:spPr>
              <a:solidFill>
                <a:srgbClr val="F05F41"/>
              </a:solidFill>
              <a:ln w="19050">
                <a:solidFill>
                  <a:schemeClr val="lt1"/>
                </a:solidFill>
              </a:ln>
              <a:effectLst/>
            </c:spPr>
            <c:extLst>
              <c:ext xmlns:c16="http://schemas.microsoft.com/office/drawing/2014/chart" uri="{C3380CC4-5D6E-409C-BE32-E72D297353CC}">
                <c16:uniqueId val="{0000000B-B3DA-4A21-980B-44A4ABDDE382}"/>
              </c:ext>
            </c:extLst>
          </c:dPt>
          <c:dPt>
            <c:idx val="6"/>
            <c:bubble3D val="0"/>
            <c:spPr>
              <a:solidFill>
                <a:srgbClr val="84BD00"/>
              </a:solidFill>
              <a:ln w="19050">
                <a:solidFill>
                  <a:schemeClr val="lt1"/>
                </a:solidFill>
              </a:ln>
              <a:effectLst/>
            </c:spPr>
            <c:extLst>
              <c:ext xmlns:c16="http://schemas.microsoft.com/office/drawing/2014/chart" uri="{C3380CC4-5D6E-409C-BE32-E72D297353CC}">
                <c16:uniqueId val="{0000000D-B3DA-4A21-980B-44A4ABDDE382}"/>
              </c:ext>
            </c:extLst>
          </c:dPt>
          <c:dPt>
            <c:idx val="7"/>
            <c:bubble3D val="0"/>
            <c:spPr>
              <a:solidFill>
                <a:srgbClr val="643278"/>
              </a:solidFill>
              <a:ln w="19050">
                <a:solidFill>
                  <a:schemeClr val="lt1"/>
                </a:solidFill>
              </a:ln>
              <a:effectLst/>
            </c:spPr>
            <c:extLst>
              <c:ext xmlns:c16="http://schemas.microsoft.com/office/drawing/2014/chart" uri="{C3380CC4-5D6E-409C-BE32-E72D297353CC}">
                <c16:uniqueId val="{0000000F-B3DA-4A21-980B-44A4ABDDE382}"/>
              </c:ext>
            </c:extLst>
          </c:dPt>
          <c:dLbls>
            <c:dLbl>
              <c:idx val="2"/>
              <c:layout>
                <c:manualLayout>
                  <c:x val="9.1414890644332582E-4"/>
                  <c:y val="-2.83878472318387E-3"/>
                </c:manualLayout>
              </c:layout>
              <c:tx>
                <c:rich>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fld id="{ED89712F-B86D-49ED-8D1E-453F9970CFC1}" type="PERCENTAGE">
                      <a:rPr lang="en-US" sz="1050" b="1">
                        <a:solidFill>
                          <a:sysClr val="windowText" lastClr="000000"/>
                        </a:solidFill>
                      </a:rPr>
                      <a:pPr>
                        <a:defRPr sz="1050" b="1">
                          <a:solidFill>
                            <a:sysClr val="windowText" lastClr="000000"/>
                          </a:solidFill>
                        </a:defRPr>
                      </a:pPr>
                      <a:t>[PERCENTAGE]</a:t>
                    </a:fld>
                    <a:endParaRPr lang="en-US"/>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B3DA-4A21-980B-44A4ABDDE382}"/>
                </c:ext>
              </c:extLst>
            </c:dLbl>
            <c:dLbl>
              <c:idx val="5"/>
              <c:delete val="1"/>
              <c:extLst>
                <c:ext xmlns:c15="http://schemas.microsoft.com/office/drawing/2012/chart" uri="{CE6537A1-D6FC-4f65-9D91-7224C49458BB}"/>
                <c:ext xmlns:c16="http://schemas.microsoft.com/office/drawing/2014/chart" uri="{C3380CC4-5D6E-409C-BE32-E72D297353CC}">
                  <c16:uniqueId val="{0000000B-B3DA-4A21-980B-44A4ABDDE382}"/>
                </c:ext>
              </c:extLst>
            </c:dLbl>
            <c:dLbl>
              <c:idx val="7"/>
              <c:delete val="1"/>
              <c:extLst>
                <c:ext xmlns:c15="http://schemas.microsoft.com/office/drawing/2012/chart" uri="{CE6537A1-D6FC-4f65-9D91-7224C49458BB}"/>
                <c:ext xmlns:c16="http://schemas.microsoft.com/office/drawing/2014/chart" uri="{C3380CC4-5D6E-409C-BE32-E72D297353CC}">
                  <c16:uniqueId val="{0000000F-B3DA-4A21-980B-44A4ABDDE382}"/>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'Cost Summary DCF'!$B$6:$B$13</c:f>
              <c:strCache>
                <c:ptCount val="8"/>
                <c:pt idx="0">
                  <c:v>Vehicle Cost</c:v>
                </c:pt>
                <c:pt idx="1">
                  <c:v>Fuel Cost</c:v>
                </c:pt>
                <c:pt idx="2">
                  <c:v>Infrastructure Cost</c:v>
                </c:pt>
                <c:pt idx="3">
                  <c:v>Insurance Cost</c:v>
                </c:pt>
                <c:pt idx="4">
                  <c:v>Maintenance Cost</c:v>
                </c:pt>
                <c:pt idx="5">
                  <c:v>Durability Cost</c:v>
                </c:pt>
                <c:pt idx="6">
                  <c:v>Revenue Loss</c:v>
                </c:pt>
                <c:pt idx="7">
                  <c:v>GHG Emission Cost</c:v>
                </c:pt>
              </c:strCache>
            </c:strRef>
          </c:cat>
          <c:val>
            <c:numRef>
              <c:f>'Cost Summary DCF'!$D$6:$D$13</c:f>
              <c:numCache>
                <c:formatCode>"$"#,##0_);[Red]\("$"#,##0\)</c:formatCode>
                <c:ptCount val="8"/>
                <c:pt idx="0">
                  <c:v>156242.96003482855</c:v>
                </c:pt>
                <c:pt idx="1">
                  <c:v>220540.8714880723</c:v>
                </c:pt>
                <c:pt idx="2">
                  <c:v>12158.215108383969</c:v>
                </c:pt>
                <c:pt idx="3">
                  <c:v>59570.034133692548</c:v>
                </c:pt>
                <c:pt idx="4">
                  <c:v>136645.4483424194</c:v>
                </c:pt>
                <c:pt idx="5">
                  <c:v>0</c:v>
                </c:pt>
                <c:pt idx="6">
                  <c:v>14170.716922210595</c:v>
                </c:pt>
                <c:pt idx="7">
                  <c:v>90437.20889231503</c:v>
                </c:pt>
              </c:numCache>
            </c:numRef>
          </c:val>
          <c:extLst>
            <c:ext xmlns:c16="http://schemas.microsoft.com/office/drawing/2014/chart" uri="{C3380CC4-5D6E-409C-BE32-E72D297353CC}">
              <c16:uniqueId val="{00000010-B3DA-4A21-980B-44A4ABDDE382}"/>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b"/>
      <c:layout>
        <c:manualLayout>
          <c:xMode val="edge"/>
          <c:yMode val="edge"/>
          <c:x val="0.63952420023931511"/>
          <c:y val="6.2521373854791493E-2"/>
          <c:w val="0.35056992933457171"/>
          <c:h val="0.8838119517313841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rgbClr val="00B0F0"/>
      </a:solidFill>
      <a:round/>
    </a:ln>
    <a:effectLst/>
  </c:spPr>
  <c:txPr>
    <a:bodyPr/>
    <a:lstStyle/>
    <a:p>
      <a:pPr>
        <a:defRPr>
          <a:latin typeface="+mn-lt"/>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r>
              <a:rPr lang="en-US"/>
              <a:t>HD-</a:t>
            </a:r>
            <a:r>
              <a:rPr lang="en-US" b="1">
                <a:solidFill>
                  <a:srgbClr val="0033A0"/>
                </a:solidFill>
              </a:rPr>
              <a:t>H2ICEV</a:t>
            </a:r>
            <a:r>
              <a:rPr lang="en-US"/>
              <a:t> TCO </a:t>
            </a:r>
            <a:endParaRPr lang="zh-CN"/>
          </a:p>
        </c:rich>
      </c:tx>
      <c:layout>
        <c:manualLayout>
          <c:xMode val="edge"/>
          <c:yMode val="edge"/>
          <c:x val="6.9957933584624023E-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3.1139279446615754E-2"/>
          <c:y val="8.1192995724488737E-2"/>
          <c:w val="0.612264069035382"/>
          <c:h val="0.89634306555987231"/>
        </c:manualLayout>
      </c:layout>
      <c:pieChart>
        <c:varyColors val="1"/>
        <c:ser>
          <c:idx val="0"/>
          <c:order val="0"/>
          <c:dPt>
            <c:idx val="0"/>
            <c:bubble3D val="0"/>
            <c:spPr>
              <a:solidFill>
                <a:srgbClr val="5F6369"/>
              </a:solidFill>
              <a:ln w="19050">
                <a:solidFill>
                  <a:schemeClr val="lt1"/>
                </a:solidFill>
              </a:ln>
              <a:effectLst/>
            </c:spPr>
            <c:extLst>
              <c:ext xmlns:c16="http://schemas.microsoft.com/office/drawing/2014/chart" uri="{C3380CC4-5D6E-409C-BE32-E72D297353CC}">
                <c16:uniqueId val="{00000001-EAD3-4E77-B925-839C9AFF025F}"/>
              </c:ext>
            </c:extLst>
          </c:dPt>
          <c:dPt>
            <c:idx val="1"/>
            <c:bubble3D val="0"/>
            <c:spPr>
              <a:solidFill>
                <a:srgbClr val="00A3E0"/>
              </a:solidFill>
              <a:ln w="19050">
                <a:solidFill>
                  <a:schemeClr val="lt1"/>
                </a:solidFill>
              </a:ln>
              <a:effectLst/>
            </c:spPr>
            <c:extLst>
              <c:ext xmlns:c16="http://schemas.microsoft.com/office/drawing/2014/chart" uri="{C3380CC4-5D6E-409C-BE32-E72D297353CC}">
                <c16:uniqueId val="{00000003-EAD3-4E77-B925-839C9AFF025F}"/>
              </c:ext>
            </c:extLst>
          </c:dPt>
          <c:dPt>
            <c:idx val="2"/>
            <c:bubble3D val="0"/>
            <c:spPr>
              <a:solidFill>
                <a:schemeClr val="tx1"/>
              </a:solidFill>
              <a:ln w="19050">
                <a:solidFill>
                  <a:schemeClr val="lt1"/>
                </a:solidFill>
              </a:ln>
              <a:effectLst/>
            </c:spPr>
            <c:extLst>
              <c:ext xmlns:c16="http://schemas.microsoft.com/office/drawing/2014/chart" uri="{C3380CC4-5D6E-409C-BE32-E72D297353CC}">
                <c16:uniqueId val="{00000005-EAD3-4E77-B925-839C9AFF025F}"/>
              </c:ext>
            </c:extLst>
          </c:dPt>
          <c:dPt>
            <c:idx val="3"/>
            <c:bubble3D val="0"/>
            <c:spPr>
              <a:solidFill>
                <a:srgbClr val="00843D"/>
              </a:solidFill>
              <a:ln w="19050">
                <a:solidFill>
                  <a:schemeClr val="lt1"/>
                </a:solidFill>
              </a:ln>
              <a:effectLst/>
            </c:spPr>
            <c:extLst>
              <c:ext xmlns:c16="http://schemas.microsoft.com/office/drawing/2014/chart" uri="{C3380CC4-5D6E-409C-BE32-E72D297353CC}">
                <c16:uniqueId val="{00000007-EAD3-4E77-B925-839C9AFF025F}"/>
              </c:ext>
            </c:extLst>
          </c:dPt>
          <c:dPt>
            <c:idx val="4"/>
            <c:bubble3D val="0"/>
            <c:spPr>
              <a:solidFill>
                <a:srgbClr val="FFC000"/>
              </a:solidFill>
              <a:ln w="19050">
                <a:solidFill>
                  <a:schemeClr val="lt1"/>
                </a:solidFill>
              </a:ln>
              <a:effectLst/>
            </c:spPr>
            <c:extLst>
              <c:ext xmlns:c16="http://schemas.microsoft.com/office/drawing/2014/chart" uri="{C3380CC4-5D6E-409C-BE32-E72D297353CC}">
                <c16:uniqueId val="{00000009-EAD3-4E77-B925-839C9AFF025F}"/>
              </c:ext>
            </c:extLst>
          </c:dPt>
          <c:dPt>
            <c:idx val="5"/>
            <c:bubble3D val="0"/>
            <c:spPr>
              <a:solidFill>
                <a:srgbClr val="F05F41"/>
              </a:solidFill>
              <a:ln w="19050">
                <a:solidFill>
                  <a:schemeClr val="lt1"/>
                </a:solidFill>
              </a:ln>
              <a:effectLst/>
            </c:spPr>
            <c:extLst>
              <c:ext xmlns:c16="http://schemas.microsoft.com/office/drawing/2014/chart" uri="{C3380CC4-5D6E-409C-BE32-E72D297353CC}">
                <c16:uniqueId val="{0000000B-EAD3-4E77-B925-839C9AFF025F}"/>
              </c:ext>
            </c:extLst>
          </c:dPt>
          <c:dPt>
            <c:idx val="6"/>
            <c:bubble3D val="0"/>
            <c:spPr>
              <a:solidFill>
                <a:srgbClr val="84BD00"/>
              </a:solidFill>
              <a:ln w="19050">
                <a:solidFill>
                  <a:schemeClr val="lt1"/>
                </a:solidFill>
              </a:ln>
              <a:effectLst/>
            </c:spPr>
            <c:extLst>
              <c:ext xmlns:c16="http://schemas.microsoft.com/office/drawing/2014/chart" uri="{C3380CC4-5D6E-409C-BE32-E72D297353CC}">
                <c16:uniqueId val="{0000000D-EAD3-4E77-B925-839C9AFF025F}"/>
              </c:ext>
            </c:extLst>
          </c:dPt>
          <c:dPt>
            <c:idx val="7"/>
            <c:bubble3D val="0"/>
            <c:spPr>
              <a:solidFill>
                <a:srgbClr val="643278"/>
              </a:solidFill>
              <a:ln w="19050">
                <a:solidFill>
                  <a:schemeClr val="lt1"/>
                </a:solidFill>
              </a:ln>
              <a:effectLst/>
            </c:spPr>
            <c:extLst>
              <c:ext xmlns:c16="http://schemas.microsoft.com/office/drawing/2014/chart" uri="{C3380CC4-5D6E-409C-BE32-E72D297353CC}">
                <c16:uniqueId val="{0000000F-EAD3-4E77-B925-839C9AFF025F}"/>
              </c:ext>
            </c:extLst>
          </c:dPt>
          <c:dLbls>
            <c:dLbl>
              <c:idx val="6"/>
              <c:layout>
                <c:manualLayout>
                  <c:x val="-2.0311908512974128E-2"/>
                  <c:y val="2.9122047957070726E-2"/>
                </c:manualLayout>
              </c:layout>
              <c:spPr>
                <a:noFill/>
                <a:ln>
                  <a:noFill/>
                </a:ln>
                <a:effectLst/>
              </c:spPr>
              <c:txPr>
                <a:bodyPr rot="0" spcFirstLastPara="1" vertOverflow="ellipsis" vert="horz" wrap="square" lIns="38100" tIns="19050" rIns="38100" bIns="19050" anchor="ctr" anchorCtr="1">
                  <a:noAutofit/>
                </a:bodyPr>
                <a:lstStyle/>
                <a:p>
                  <a:pPr>
                    <a:defRPr sz="1050" b="1"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5.4177545691906005E-2"/>
                      <c:h val="7.889733840304182E-2"/>
                    </c:manualLayout>
                  </c15:layout>
                </c:ext>
                <c:ext xmlns:c16="http://schemas.microsoft.com/office/drawing/2014/chart" uri="{C3380CC4-5D6E-409C-BE32-E72D297353CC}">
                  <c16:uniqueId val="{0000000D-EAD3-4E77-B925-839C9AFF025F}"/>
                </c:ext>
              </c:extLst>
            </c:dLbl>
            <c:dLbl>
              <c:idx val="7"/>
              <c:delete val="1"/>
              <c:extLst>
                <c:ext xmlns:c15="http://schemas.microsoft.com/office/drawing/2012/chart" uri="{CE6537A1-D6FC-4f65-9D91-7224C49458BB}"/>
                <c:ext xmlns:c16="http://schemas.microsoft.com/office/drawing/2014/chart" uri="{C3380CC4-5D6E-409C-BE32-E72D297353CC}">
                  <c16:uniqueId val="{0000000F-EAD3-4E77-B925-839C9AFF025F}"/>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'Cost Summary DCF'!$B$6:$B$13</c:f>
              <c:strCache>
                <c:ptCount val="8"/>
                <c:pt idx="0">
                  <c:v>Vehicle Cost</c:v>
                </c:pt>
                <c:pt idx="1">
                  <c:v>Fuel Cost</c:v>
                </c:pt>
                <c:pt idx="2">
                  <c:v>Infrastructure Cost</c:v>
                </c:pt>
                <c:pt idx="3">
                  <c:v>Insurance Cost</c:v>
                </c:pt>
                <c:pt idx="4">
                  <c:v>Maintenance Cost</c:v>
                </c:pt>
                <c:pt idx="5">
                  <c:v>Durability Cost</c:v>
                </c:pt>
                <c:pt idx="6">
                  <c:v>Revenue Loss</c:v>
                </c:pt>
                <c:pt idx="7">
                  <c:v>GHG Emission Cost</c:v>
                </c:pt>
              </c:strCache>
            </c:strRef>
          </c:cat>
          <c:val>
            <c:numRef>
              <c:f>'Cost Summary DCF'!$I$6:$I$13</c:f>
              <c:numCache>
                <c:formatCode>"$"#,##0_);[Red]\("$"#,##0\)</c:formatCode>
                <c:ptCount val="8"/>
                <c:pt idx="0">
                  <c:v>154107.73025976686</c:v>
                </c:pt>
                <c:pt idx="1">
                  <c:v>397956.94381664245</c:v>
                </c:pt>
                <c:pt idx="2">
                  <c:v>0</c:v>
                </c:pt>
                <c:pt idx="3">
                  <c:v>59320.215796672965</c:v>
                </c:pt>
                <c:pt idx="4">
                  <c:v>121655.88819204345</c:v>
                </c:pt>
                <c:pt idx="5">
                  <c:v>0</c:v>
                </c:pt>
                <c:pt idx="6">
                  <c:v>6761.7432845010453</c:v>
                </c:pt>
                <c:pt idx="7">
                  <c:v>55889.294459393765</c:v>
                </c:pt>
              </c:numCache>
            </c:numRef>
          </c:val>
          <c:extLst>
            <c:ext xmlns:c16="http://schemas.microsoft.com/office/drawing/2014/chart" uri="{C3380CC4-5D6E-409C-BE32-E72D297353CC}">
              <c16:uniqueId val="{00000010-EAD3-4E77-B925-839C9AFF025F}"/>
            </c:ext>
          </c:extLst>
        </c:ser>
        <c:dLbls>
          <c:dLblPos val="bestFit"/>
          <c:showLegendKey val="0"/>
          <c:showVal val="1"/>
          <c:showCatName val="0"/>
          <c:showSerName val="0"/>
          <c:showPercent val="0"/>
          <c:showBubbleSize val="0"/>
          <c:showLeaderLines val="0"/>
        </c:dLbls>
        <c:firstSliceAng val="54"/>
      </c:pieChart>
      <c:spPr>
        <a:noFill/>
        <a:ln>
          <a:noFill/>
        </a:ln>
        <a:effectLst/>
      </c:spPr>
    </c:plotArea>
    <c:legend>
      <c:legendPos val="b"/>
      <c:layout>
        <c:manualLayout>
          <c:xMode val="edge"/>
          <c:yMode val="edge"/>
          <c:x val="0.64136525948748091"/>
          <c:y val="8.9276438072519684E-2"/>
          <c:w val="0.35381904896871597"/>
          <c:h val="0.83848754911635959"/>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rgbClr val="0033A0"/>
      </a:solidFill>
      <a:round/>
    </a:ln>
    <a:effectLst/>
  </c:spPr>
  <c:txPr>
    <a:bodyPr/>
    <a:lstStyle/>
    <a:p>
      <a:pPr>
        <a:defRPr>
          <a:latin typeface="+mn-lt"/>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r>
              <a:rPr lang="en-US"/>
              <a:t>HD-</a:t>
            </a:r>
            <a:r>
              <a:rPr lang="en-US" b="1">
                <a:solidFill>
                  <a:srgbClr val="00B050"/>
                </a:solidFill>
              </a:rPr>
              <a:t>BEV</a:t>
            </a:r>
            <a:r>
              <a:rPr lang="en-US"/>
              <a:t> TCO </a:t>
            </a:r>
            <a:endParaRPr lang="zh-CN"/>
          </a:p>
        </c:rich>
      </c:tx>
      <c:layout>
        <c:manualLayout>
          <c:xMode val="edge"/>
          <c:yMode val="edge"/>
          <c:x val="6.9957933584624023E-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3.1139279446615754E-2"/>
          <c:y val="8.1192995724488737E-2"/>
          <c:w val="0.612264069035382"/>
          <c:h val="0.89634306555987231"/>
        </c:manualLayout>
      </c:layout>
      <c:pieChart>
        <c:varyColors val="1"/>
        <c:ser>
          <c:idx val="0"/>
          <c:order val="0"/>
          <c:dPt>
            <c:idx val="0"/>
            <c:bubble3D val="0"/>
            <c:spPr>
              <a:solidFill>
                <a:srgbClr val="5F6369"/>
              </a:solidFill>
              <a:ln w="19050">
                <a:solidFill>
                  <a:schemeClr val="lt1"/>
                </a:solidFill>
              </a:ln>
              <a:effectLst/>
            </c:spPr>
            <c:extLst>
              <c:ext xmlns:c16="http://schemas.microsoft.com/office/drawing/2014/chart" uri="{C3380CC4-5D6E-409C-BE32-E72D297353CC}">
                <c16:uniqueId val="{00000001-CC73-4A13-9F98-0BD79584F726}"/>
              </c:ext>
            </c:extLst>
          </c:dPt>
          <c:dPt>
            <c:idx val="1"/>
            <c:bubble3D val="0"/>
            <c:spPr>
              <a:solidFill>
                <a:srgbClr val="00A3E0"/>
              </a:solidFill>
              <a:ln w="19050">
                <a:solidFill>
                  <a:schemeClr val="lt1"/>
                </a:solidFill>
              </a:ln>
              <a:effectLst/>
            </c:spPr>
            <c:extLst>
              <c:ext xmlns:c16="http://schemas.microsoft.com/office/drawing/2014/chart" uri="{C3380CC4-5D6E-409C-BE32-E72D297353CC}">
                <c16:uniqueId val="{00000003-CC73-4A13-9F98-0BD79584F726}"/>
              </c:ext>
            </c:extLst>
          </c:dPt>
          <c:dPt>
            <c:idx val="2"/>
            <c:bubble3D val="0"/>
            <c:spPr>
              <a:solidFill>
                <a:schemeClr val="tx1"/>
              </a:solidFill>
              <a:ln w="19050">
                <a:solidFill>
                  <a:schemeClr val="lt1"/>
                </a:solidFill>
              </a:ln>
              <a:effectLst/>
            </c:spPr>
            <c:extLst>
              <c:ext xmlns:c16="http://schemas.microsoft.com/office/drawing/2014/chart" uri="{C3380CC4-5D6E-409C-BE32-E72D297353CC}">
                <c16:uniqueId val="{00000005-CC73-4A13-9F98-0BD79584F726}"/>
              </c:ext>
            </c:extLst>
          </c:dPt>
          <c:dPt>
            <c:idx val="3"/>
            <c:bubble3D val="0"/>
            <c:spPr>
              <a:solidFill>
                <a:srgbClr val="00843D"/>
              </a:solidFill>
              <a:ln w="19050">
                <a:solidFill>
                  <a:schemeClr val="lt1"/>
                </a:solidFill>
              </a:ln>
              <a:effectLst/>
            </c:spPr>
            <c:extLst>
              <c:ext xmlns:c16="http://schemas.microsoft.com/office/drawing/2014/chart" uri="{C3380CC4-5D6E-409C-BE32-E72D297353CC}">
                <c16:uniqueId val="{00000007-CC73-4A13-9F98-0BD79584F726}"/>
              </c:ext>
            </c:extLst>
          </c:dPt>
          <c:dPt>
            <c:idx val="4"/>
            <c:bubble3D val="0"/>
            <c:spPr>
              <a:solidFill>
                <a:srgbClr val="FFC000"/>
              </a:solidFill>
              <a:ln w="19050">
                <a:solidFill>
                  <a:schemeClr val="lt1"/>
                </a:solidFill>
              </a:ln>
              <a:effectLst/>
            </c:spPr>
            <c:extLst>
              <c:ext xmlns:c16="http://schemas.microsoft.com/office/drawing/2014/chart" uri="{C3380CC4-5D6E-409C-BE32-E72D297353CC}">
                <c16:uniqueId val="{00000009-CC73-4A13-9F98-0BD79584F726}"/>
              </c:ext>
            </c:extLst>
          </c:dPt>
          <c:dPt>
            <c:idx val="5"/>
            <c:bubble3D val="0"/>
            <c:spPr>
              <a:solidFill>
                <a:srgbClr val="F05F41"/>
              </a:solidFill>
              <a:ln w="19050">
                <a:solidFill>
                  <a:schemeClr val="lt1"/>
                </a:solidFill>
              </a:ln>
              <a:effectLst/>
            </c:spPr>
            <c:extLst>
              <c:ext xmlns:c16="http://schemas.microsoft.com/office/drawing/2014/chart" uri="{C3380CC4-5D6E-409C-BE32-E72D297353CC}">
                <c16:uniqueId val="{0000000B-CC73-4A13-9F98-0BD79584F726}"/>
              </c:ext>
            </c:extLst>
          </c:dPt>
          <c:dPt>
            <c:idx val="6"/>
            <c:bubble3D val="0"/>
            <c:spPr>
              <a:solidFill>
                <a:srgbClr val="84BD00"/>
              </a:solidFill>
              <a:ln w="19050">
                <a:solidFill>
                  <a:schemeClr val="lt1"/>
                </a:solidFill>
              </a:ln>
              <a:effectLst/>
            </c:spPr>
            <c:extLst>
              <c:ext xmlns:c16="http://schemas.microsoft.com/office/drawing/2014/chart" uri="{C3380CC4-5D6E-409C-BE32-E72D297353CC}">
                <c16:uniqueId val="{0000000D-CC73-4A13-9F98-0BD79584F726}"/>
              </c:ext>
            </c:extLst>
          </c:dPt>
          <c:dPt>
            <c:idx val="7"/>
            <c:bubble3D val="0"/>
            <c:spPr>
              <a:solidFill>
                <a:srgbClr val="643278"/>
              </a:solidFill>
              <a:ln w="19050">
                <a:solidFill>
                  <a:schemeClr val="lt1"/>
                </a:solidFill>
              </a:ln>
              <a:effectLst/>
            </c:spPr>
            <c:extLst>
              <c:ext xmlns:c16="http://schemas.microsoft.com/office/drawing/2014/chart" uri="{C3380CC4-5D6E-409C-BE32-E72D297353CC}">
                <c16:uniqueId val="{0000000F-CC73-4A13-9F98-0BD79584F726}"/>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'Cost Summary DCF'!$B$6:$B$13</c:f>
              <c:strCache>
                <c:ptCount val="8"/>
                <c:pt idx="0">
                  <c:v>Vehicle Cost</c:v>
                </c:pt>
                <c:pt idx="1">
                  <c:v>Fuel Cost</c:v>
                </c:pt>
                <c:pt idx="2">
                  <c:v>Infrastructure Cost</c:v>
                </c:pt>
                <c:pt idx="3">
                  <c:v>Insurance Cost</c:v>
                </c:pt>
                <c:pt idx="4">
                  <c:v>Maintenance Cost</c:v>
                </c:pt>
                <c:pt idx="5">
                  <c:v>Durability Cost</c:v>
                </c:pt>
                <c:pt idx="6">
                  <c:v>Revenue Loss</c:v>
                </c:pt>
                <c:pt idx="7">
                  <c:v>GHG Emission Cost</c:v>
                </c:pt>
              </c:strCache>
            </c:strRef>
          </c:cat>
          <c:val>
            <c:numRef>
              <c:f>'Cost Summary DCF'!$G$6:$G$13</c:f>
              <c:numCache>
                <c:formatCode>"$"#,##0_);[Red]\("$"#,##0\)</c:formatCode>
                <c:ptCount val="8"/>
                <c:pt idx="0">
                  <c:v>212525.98136703076</c:v>
                </c:pt>
                <c:pt idx="1">
                  <c:v>248951.23045474305</c:v>
                </c:pt>
                <c:pt idx="2">
                  <c:v>60113.614717927994</c:v>
                </c:pt>
                <c:pt idx="3">
                  <c:v>66155.054142249544</c:v>
                </c:pt>
                <c:pt idx="4">
                  <c:v>100648.11415574618</c:v>
                </c:pt>
                <c:pt idx="5">
                  <c:v>0</c:v>
                </c:pt>
                <c:pt idx="6">
                  <c:v>83988.085938911914</c:v>
                </c:pt>
                <c:pt idx="7">
                  <c:v>138337.60513474853</c:v>
                </c:pt>
              </c:numCache>
            </c:numRef>
          </c:val>
          <c:extLst>
            <c:ext xmlns:c16="http://schemas.microsoft.com/office/drawing/2014/chart" uri="{C3380CC4-5D6E-409C-BE32-E72D297353CC}">
              <c16:uniqueId val="{00000010-CC73-4A13-9F98-0BD79584F726}"/>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b"/>
      <c:layout>
        <c:manualLayout>
          <c:xMode val="edge"/>
          <c:yMode val="edge"/>
          <c:x val="0.63952420023931511"/>
          <c:y val="6.2521373854791493E-2"/>
          <c:w val="0.35056992933457171"/>
          <c:h val="0.8838119517313841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rgbClr val="00B050"/>
      </a:solidFill>
      <a:round/>
    </a:ln>
    <a:effectLst/>
  </c:spPr>
  <c:txPr>
    <a:bodyPr/>
    <a:lstStyle/>
    <a:p>
      <a:pPr>
        <a:defRPr>
          <a:latin typeface="+mn-lt"/>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r>
              <a:rPr lang="en-US"/>
              <a:t>HD-</a:t>
            </a:r>
            <a:r>
              <a:rPr lang="en-US" b="1">
                <a:solidFill>
                  <a:srgbClr val="0033A0"/>
                </a:solidFill>
              </a:rPr>
              <a:t>FCEV</a:t>
            </a:r>
            <a:r>
              <a:rPr lang="en-US"/>
              <a:t> TCO </a:t>
            </a:r>
            <a:endParaRPr lang="zh-CN"/>
          </a:p>
        </c:rich>
      </c:tx>
      <c:layout>
        <c:manualLayout>
          <c:xMode val="edge"/>
          <c:yMode val="edge"/>
          <c:x val="6.9957933584624023E-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3.1139279446615754E-2"/>
          <c:y val="8.1192995724488737E-2"/>
          <c:w val="0.612264069035382"/>
          <c:h val="0.89634306555987231"/>
        </c:manualLayout>
      </c:layout>
      <c:pieChart>
        <c:varyColors val="1"/>
        <c:ser>
          <c:idx val="0"/>
          <c:order val="0"/>
          <c:dPt>
            <c:idx val="0"/>
            <c:bubble3D val="0"/>
            <c:spPr>
              <a:solidFill>
                <a:srgbClr val="5F6369"/>
              </a:solidFill>
              <a:ln w="19050">
                <a:solidFill>
                  <a:schemeClr val="lt1"/>
                </a:solidFill>
              </a:ln>
              <a:effectLst/>
            </c:spPr>
            <c:extLst>
              <c:ext xmlns:c16="http://schemas.microsoft.com/office/drawing/2014/chart" uri="{C3380CC4-5D6E-409C-BE32-E72D297353CC}">
                <c16:uniqueId val="{00000001-877F-465A-B20C-E40831D2C930}"/>
              </c:ext>
            </c:extLst>
          </c:dPt>
          <c:dPt>
            <c:idx val="1"/>
            <c:bubble3D val="0"/>
            <c:spPr>
              <a:solidFill>
                <a:srgbClr val="00A3E0"/>
              </a:solidFill>
              <a:ln w="19050">
                <a:solidFill>
                  <a:schemeClr val="lt1"/>
                </a:solidFill>
              </a:ln>
              <a:effectLst/>
            </c:spPr>
            <c:extLst>
              <c:ext xmlns:c16="http://schemas.microsoft.com/office/drawing/2014/chart" uri="{C3380CC4-5D6E-409C-BE32-E72D297353CC}">
                <c16:uniqueId val="{00000003-877F-465A-B20C-E40831D2C930}"/>
              </c:ext>
            </c:extLst>
          </c:dPt>
          <c:dPt>
            <c:idx val="2"/>
            <c:bubble3D val="0"/>
            <c:spPr>
              <a:solidFill>
                <a:schemeClr val="tx1"/>
              </a:solidFill>
              <a:ln w="19050">
                <a:solidFill>
                  <a:schemeClr val="lt1"/>
                </a:solidFill>
              </a:ln>
              <a:effectLst/>
            </c:spPr>
            <c:extLst>
              <c:ext xmlns:c16="http://schemas.microsoft.com/office/drawing/2014/chart" uri="{C3380CC4-5D6E-409C-BE32-E72D297353CC}">
                <c16:uniqueId val="{00000005-877F-465A-B20C-E40831D2C930}"/>
              </c:ext>
            </c:extLst>
          </c:dPt>
          <c:dPt>
            <c:idx val="3"/>
            <c:bubble3D val="0"/>
            <c:spPr>
              <a:solidFill>
                <a:srgbClr val="00843D"/>
              </a:solidFill>
              <a:ln w="19050">
                <a:solidFill>
                  <a:schemeClr val="lt1"/>
                </a:solidFill>
              </a:ln>
              <a:effectLst/>
            </c:spPr>
            <c:extLst>
              <c:ext xmlns:c16="http://schemas.microsoft.com/office/drawing/2014/chart" uri="{C3380CC4-5D6E-409C-BE32-E72D297353CC}">
                <c16:uniqueId val="{00000007-877F-465A-B20C-E40831D2C930}"/>
              </c:ext>
            </c:extLst>
          </c:dPt>
          <c:dPt>
            <c:idx val="4"/>
            <c:bubble3D val="0"/>
            <c:spPr>
              <a:solidFill>
                <a:srgbClr val="FFC000"/>
              </a:solidFill>
              <a:ln w="19050">
                <a:solidFill>
                  <a:schemeClr val="lt1"/>
                </a:solidFill>
              </a:ln>
              <a:effectLst/>
            </c:spPr>
            <c:extLst>
              <c:ext xmlns:c16="http://schemas.microsoft.com/office/drawing/2014/chart" uri="{C3380CC4-5D6E-409C-BE32-E72D297353CC}">
                <c16:uniqueId val="{00000009-877F-465A-B20C-E40831D2C930}"/>
              </c:ext>
            </c:extLst>
          </c:dPt>
          <c:dPt>
            <c:idx val="5"/>
            <c:bubble3D val="0"/>
            <c:spPr>
              <a:solidFill>
                <a:srgbClr val="F05F41"/>
              </a:solidFill>
              <a:ln w="19050">
                <a:solidFill>
                  <a:schemeClr val="lt1"/>
                </a:solidFill>
              </a:ln>
              <a:effectLst/>
            </c:spPr>
            <c:extLst>
              <c:ext xmlns:c16="http://schemas.microsoft.com/office/drawing/2014/chart" uri="{C3380CC4-5D6E-409C-BE32-E72D297353CC}">
                <c16:uniqueId val="{0000000B-877F-465A-B20C-E40831D2C930}"/>
              </c:ext>
            </c:extLst>
          </c:dPt>
          <c:dPt>
            <c:idx val="6"/>
            <c:bubble3D val="0"/>
            <c:spPr>
              <a:solidFill>
                <a:srgbClr val="84BD00"/>
              </a:solidFill>
              <a:ln w="19050">
                <a:solidFill>
                  <a:schemeClr val="lt1"/>
                </a:solidFill>
              </a:ln>
              <a:effectLst/>
            </c:spPr>
            <c:extLst>
              <c:ext xmlns:c16="http://schemas.microsoft.com/office/drawing/2014/chart" uri="{C3380CC4-5D6E-409C-BE32-E72D297353CC}">
                <c16:uniqueId val="{0000000D-877F-465A-B20C-E40831D2C930}"/>
              </c:ext>
            </c:extLst>
          </c:dPt>
          <c:dPt>
            <c:idx val="7"/>
            <c:bubble3D val="0"/>
            <c:spPr>
              <a:solidFill>
                <a:srgbClr val="643278"/>
              </a:solidFill>
              <a:ln w="19050">
                <a:solidFill>
                  <a:schemeClr val="lt1"/>
                </a:solidFill>
              </a:ln>
              <a:effectLst/>
            </c:spPr>
            <c:extLst>
              <c:ext xmlns:c16="http://schemas.microsoft.com/office/drawing/2014/chart" uri="{C3380CC4-5D6E-409C-BE32-E72D297353CC}">
                <c16:uniqueId val="{0000000F-877F-465A-B20C-E40831D2C930}"/>
              </c:ext>
            </c:extLst>
          </c:dPt>
          <c:dLbls>
            <c:dLbl>
              <c:idx val="6"/>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6="http://schemas.microsoft.com/office/drawing/2014/chart" uri="{C3380CC4-5D6E-409C-BE32-E72D297353CC}">
                  <c16:uniqueId val="{0000000D-877F-465A-B20C-E40831D2C930}"/>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'Cost Summary DCF'!$B$6:$B$13</c:f>
              <c:strCache>
                <c:ptCount val="8"/>
                <c:pt idx="0">
                  <c:v>Vehicle Cost</c:v>
                </c:pt>
                <c:pt idx="1">
                  <c:v>Fuel Cost</c:v>
                </c:pt>
                <c:pt idx="2">
                  <c:v>Infrastructure Cost</c:v>
                </c:pt>
                <c:pt idx="3">
                  <c:v>Insurance Cost</c:v>
                </c:pt>
                <c:pt idx="4">
                  <c:v>Maintenance Cost</c:v>
                </c:pt>
                <c:pt idx="5">
                  <c:v>Durability Cost</c:v>
                </c:pt>
                <c:pt idx="6">
                  <c:v>Revenue Loss</c:v>
                </c:pt>
                <c:pt idx="7">
                  <c:v>GHG Emission Cost</c:v>
                </c:pt>
              </c:strCache>
            </c:strRef>
          </c:cat>
          <c:val>
            <c:numRef>
              <c:f>'Cost Summary DCF'!$H$6:$H$13</c:f>
              <c:numCache>
                <c:formatCode>"$"#,##0_);[Red]\("$"#,##0\)</c:formatCode>
                <c:ptCount val="8"/>
                <c:pt idx="0">
                  <c:v>213563.65749058002</c:v>
                </c:pt>
                <c:pt idx="1">
                  <c:v>352038.83491472201</c:v>
                </c:pt>
                <c:pt idx="2">
                  <c:v>0</c:v>
                </c:pt>
                <c:pt idx="3">
                  <c:v>66276.460525102419</c:v>
                </c:pt>
                <c:pt idx="4">
                  <c:v>109780.59284078539</c:v>
                </c:pt>
                <c:pt idx="5">
                  <c:v>0</c:v>
                </c:pt>
                <c:pt idx="6">
                  <c:v>2845.1203721189172</c:v>
                </c:pt>
                <c:pt idx="7">
                  <c:v>49440.529714079079</c:v>
                </c:pt>
              </c:numCache>
            </c:numRef>
          </c:val>
          <c:extLst>
            <c:ext xmlns:c16="http://schemas.microsoft.com/office/drawing/2014/chart" uri="{C3380CC4-5D6E-409C-BE32-E72D297353CC}">
              <c16:uniqueId val="{00000010-877F-465A-B20C-E40831D2C930}"/>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b"/>
      <c:layout>
        <c:manualLayout>
          <c:xMode val="edge"/>
          <c:yMode val="edge"/>
          <c:x val="0.63952420023931511"/>
          <c:y val="6.2521373854791493E-2"/>
          <c:w val="0.35056992933457171"/>
          <c:h val="0.8838119517313841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rgbClr val="0033A0"/>
      </a:solidFill>
      <a:round/>
    </a:ln>
    <a:effectLst/>
  </c:spPr>
  <c:txPr>
    <a:bodyPr/>
    <a:lstStyle/>
    <a:p>
      <a:pPr>
        <a:defRPr>
          <a:latin typeface="+mn-lt"/>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r>
              <a:rPr lang="en-US"/>
              <a:t>HD-</a:t>
            </a:r>
            <a:r>
              <a:rPr lang="en-US" b="1">
                <a:solidFill>
                  <a:schemeClr val="bg2">
                    <a:lumMod val="50000"/>
                  </a:schemeClr>
                </a:solidFill>
              </a:rPr>
              <a:t>Diesel</a:t>
            </a:r>
            <a:r>
              <a:rPr lang="en-US"/>
              <a:t> TCO </a:t>
            </a:r>
            <a:endParaRPr lang="zh-CN"/>
          </a:p>
        </c:rich>
      </c:tx>
      <c:layout>
        <c:manualLayout>
          <c:xMode val="edge"/>
          <c:yMode val="edge"/>
          <c:x val="6.9957933584624023E-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3.1139279446615754E-2"/>
          <c:y val="8.1192995724488737E-2"/>
          <c:w val="0.612264069035382"/>
          <c:h val="0.89634306555987231"/>
        </c:manualLayout>
      </c:layout>
      <c:pieChart>
        <c:varyColors val="1"/>
        <c:ser>
          <c:idx val="0"/>
          <c:order val="0"/>
          <c:dPt>
            <c:idx val="0"/>
            <c:bubble3D val="0"/>
            <c:spPr>
              <a:solidFill>
                <a:srgbClr val="5F6369"/>
              </a:solidFill>
              <a:ln w="19050">
                <a:solidFill>
                  <a:schemeClr val="lt1"/>
                </a:solidFill>
              </a:ln>
              <a:effectLst/>
            </c:spPr>
            <c:extLst>
              <c:ext xmlns:c16="http://schemas.microsoft.com/office/drawing/2014/chart" uri="{C3380CC4-5D6E-409C-BE32-E72D297353CC}">
                <c16:uniqueId val="{00000001-CB0D-49FF-9049-EC89F13C7748}"/>
              </c:ext>
            </c:extLst>
          </c:dPt>
          <c:dPt>
            <c:idx val="1"/>
            <c:bubble3D val="0"/>
            <c:spPr>
              <a:solidFill>
                <a:srgbClr val="00A3E0"/>
              </a:solidFill>
              <a:ln w="19050">
                <a:solidFill>
                  <a:schemeClr val="lt1"/>
                </a:solidFill>
              </a:ln>
              <a:effectLst/>
            </c:spPr>
            <c:extLst>
              <c:ext xmlns:c16="http://schemas.microsoft.com/office/drawing/2014/chart" uri="{C3380CC4-5D6E-409C-BE32-E72D297353CC}">
                <c16:uniqueId val="{00000003-CB0D-49FF-9049-EC89F13C7748}"/>
              </c:ext>
            </c:extLst>
          </c:dPt>
          <c:dPt>
            <c:idx val="2"/>
            <c:bubble3D val="0"/>
            <c:spPr>
              <a:solidFill>
                <a:schemeClr val="tx1"/>
              </a:solidFill>
              <a:ln w="19050">
                <a:solidFill>
                  <a:schemeClr val="lt1"/>
                </a:solidFill>
              </a:ln>
              <a:effectLst/>
            </c:spPr>
            <c:extLst>
              <c:ext xmlns:c16="http://schemas.microsoft.com/office/drawing/2014/chart" uri="{C3380CC4-5D6E-409C-BE32-E72D297353CC}">
                <c16:uniqueId val="{00000005-CB0D-49FF-9049-EC89F13C7748}"/>
              </c:ext>
            </c:extLst>
          </c:dPt>
          <c:dPt>
            <c:idx val="3"/>
            <c:bubble3D val="0"/>
            <c:spPr>
              <a:solidFill>
                <a:srgbClr val="00843D"/>
              </a:solidFill>
              <a:ln w="19050">
                <a:solidFill>
                  <a:schemeClr val="lt1"/>
                </a:solidFill>
              </a:ln>
              <a:effectLst/>
            </c:spPr>
            <c:extLst>
              <c:ext xmlns:c16="http://schemas.microsoft.com/office/drawing/2014/chart" uri="{C3380CC4-5D6E-409C-BE32-E72D297353CC}">
                <c16:uniqueId val="{00000007-CB0D-49FF-9049-EC89F13C7748}"/>
              </c:ext>
            </c:extLst>
          </c:dPt>
          <c:dPt>
            <c:idx val="4"/>
            <c:bubble3D val="0"/>
            <c:spPr>
              <a:solidFill>
                <a:srgbClr val="FFC000"/>
              </a:solidFill>
              <a:ln w="19050">
                <a:solidFill>
                  <a:schemeClr val="lt1"/>
                </a:solidFill>
              </a:ln>
              <a:effectLst/>
            </c:spPr>
            <c:extLst>
              <c:ext xmlns:c16="http://schemas.microsoft.com/office/drawing/2014/chart" uri="{C3380CC4-5D6E-409C-BE32-E72D297353CC}">
                <c16:uniqueId val="{00000009-CB0D-49FF-9049-EC89F13C7748}"/>
              </c:ext>
            </c:extLst>
          </c:dPt>
          <c:dPt>
            <c:idx val="5"/>
            <c:bubble3D val="0"/>
            <c:spPr>
              <a:solidFill>
                <a:srgbClr val="F05F41"/>
              </a:solidFill>
              <a:ln w="19050">
                <a:solidFill>
                  <a:schemeClr val="lt1"/>
                </a:solidFill>
              </a:ln>
              <a:effectLst/>
            </c:spPr>
            <c:extLst>
              <c:ext xmlns:c16="http://schemas.microsoft.com/office/drawing/2014/chart" uri="{C3380CC4-5D6E-409C-BE32-E72D297353CC}">
                <c16:uniqueId val="{0000000B-CB0D-49FF-9049-EC89F13C7748}"/>
              </c:ext>
            </c:extLst>
          </c:dPt>
          <c:dPt>
            <c:idx val="6"/>
            <c:bubble3D val="0"/>
            <c:spPr>
              <a:solidFill>
                <a:srgbClr val="84BD00"/>
              </a:solidFill>
              <a:ln w="19050">
                <a:solidFill>
                  <a:schemeClr val="lt1"/>
                </a:solidFill>
              </a:ln>
              <a:effectLst/>
            </c:spPr>
            <c:extLst>
              <c:ext xmlns:c16="http://schemas.microsoft.com/office/drawing/2014/chart" uri="{C3380CC4-5D6E-409C-BE32-E72D297353CC}">
                <c16:uniqueId val="{0000000D-CB0D-49FF-9049-EC89F13C7748}"/>
              </c:ext>
            </c:extLst>
          </c:dPt>
          <c:dPt>
            <c:idx val="7"/>
            <c:bubble3D val="0"/>
            <c:spPr>
              <a:solidFill>
                <a:srgbClr val="643278"/>
              </a:solidFill>
              <a:ln w="19050">
                <a:solidFill>
                  <a:schemeClr val="lt1"/>
                </a:solidFill>
              </a:ln>
              <a:effectLst/>
            </c:spPr>
            <c:extLst>
              <c:ext xmlns:c16="http://schemas.microsoft.com/office/drawing/2014/chart" uri="{C3380CC4-5D6E-409C-BE32-E72D297353CC}">
                <c16:uniqueId val="{0000000F-CB0D-49FF-9049-EC89F13C7748}"/>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'Cost Summary DCF'!$B$6:$B$13</c:f>
              <c:strCache>
                <c:ptCount val="8"/>
                <c:pt idx="0">
                  <c:v>Vehicle Cost</c:v>
                </c:pt>
                <c:pt idx="1">
                  <c:v>Fuel Cost</c:v>
                </c:pt>
                <c:pt idx="2">
                  <c:v>Infrastructure Cost</c:v>
                </c:pt>
                <c:pt idx="3">
                  <c:v>Insurance Cost</c:v>
                </c:pt>
                <c:pt idx="4">
                  <c:v>Maintenance Cost</c:v>
                </c:pt>
                <c:pt idx="5">
                  <c:v>Durability Cost</c:v>
                </c:pt>
                <c:pt idx="6">
                  <c:v>Revenue Loss</c:v>
                </c:pt>
                <c:pt idx="7">
                  <c:v>GHG Emission Cost</c:v>
                </c:pt>
              </c:strCache>
            </c:strRef>
          </c:cat>
          <c:val>
            <c:numRef>
              <c:f>'Cost Summary DCF'!$C$6:$C$13</c:f>
              <c:numCache>
                <c:formatCode>_("$"* #,##0_);_("$"* \(#,##0\);_("$"* "-"_);_(@_)</c:formatCode>
                <c:ptCount val="8"/>
                <c:pt idx="0">
                  <c:v>134772.82276765615</c:v>
                </c:pt>
                <c:pt idx="1">
                  <c:v>213208.20869353539</c:v>
                </c:pt>
                <c:pt idx="2">
                  <c:v>0</c:v>
                </c:pt>
                <c:pt idx="3">
                  <c:v>57058.063735793796</c:v>
                </c:pt>
                <c:pt idx="4">
                  <c:v>119488.98942017501</c:v>
                </c:pt>
                <c:pt idx="5">
                  <c:v>0</c:v>
                </c:pt>
                <c:pt idx="6">
                  <c:v>0</c:v>
                </c:pt>
                <c:pt idx="7">
                  <c:v>157952.91912472816</c:v>
                </c:pt>
              </c:numCache>
            </c:numRef>
          </c:val>
          <c:extLst>
            <c:ext xmlns:c16="http://schemas.microsoft.com/office/drawing/2014/chart" uri="{C3380CC4-5D6E-409C-BE32-E72D297353CC}">
              <c16:uniqueId val="{00000010-CB0D-49FF-9049-EC89F13C7748}"/>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b"/>
      <c:layout>
        <c:manualLayout>
          <c:xMode val="edge"/>
          <c:yMode val="edge"/>
          <c:x val="0.63952420023931511"/>
          <c:y val="6.2521373854791493E-2"/>
          <c:w val="0.35056992933457171"/>
          <c:h val="0.8838119517313841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rgbClr val="5F6369"/>
      </a:solidFill>
      <a:round/>
    </a:ln>
    <a:effectLst/>
  </c:spPr>
  <c:txPr>
    <a:bodyPr/>
    <a:lstStyle/>
    <a:p>
      <a:pPr>
        <a:defRPr>
          <a:latin typeface="+mn-lt"/>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16571956820061"/>
          <c:y val="3.7475206702035274E-2"/>
          <c:w val="0.55490105237734455"/>
          <c:h val="0.84944794319616446"/>
        </c:manualLayout>
      </c:layout>
      <c:barChart>
        <c:barDir val="col"/>
        <c:grouping val="stacked"/>
        <c:varyColors val="0"/>
        <c:ser>
          <c:idx val="0"/>
          <c:order val="0"/>
          <c:tx>
            <c:strRef>
              <c:f>'Cost Summary DCF'!$B$6</c:f>
              <c:strCache>
                <c:ptCount val="1"/>
                <c:pt idx="0">
                  <c:v>Vehicle Cost</c:v>
                </c:pt>
              </c:strCache>
            </c:strRef>
          </c:tx>
          <c:spPr>
            <a:solidFill>
              <a:srgbClr val="5F6369"/>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DCF'!$G$5</c:f>
              <c:strCache>
                <c:ptCount val="1"/>
                <c:pt idx="0">
                  <c:v>BEV 500 mile</c:v>
                </c:pt>
              </c:strCache>
            </c:strRef>
          </c:cat>
          <c:val>
            <c:numRef>
              <c:extLst>
                <c:ext xmlns:c15="http://schemas.microsoft.com/office/drawing/2012/chart" uri="{02D57815-91ED-43cb-92C2-25804820EDAC}">
                  <c15:fullRef>
                    <c15:sqref>'Cost Summary DCF'!$C$6:$I$6</c15:sqref>
                  </c15:fullRef>
                </c:ext>
              </c:extLst>
              <c:f>'Cost Summary DCF'!$G$6</c:f>
              <c:numCache>
                <c:formatCode>"$"#,##0_);[Red]\("$"#,##0\)</c:formatCode>
                <c:ptCount val="1"/>
                <c:pt idx="0">
                  <c:v>212525.98136703076</c:v>
                </c:pt>
              </c:numCache>
            </c:numRef>
          </c:val>
          <c:extLst>
            <c:ext xmlns:c16="http://schemas.microsoft.com/office/drawing/2014/chart" uri="{C3380CC4-5D6E-409C-BE32-E72D297353CC}">
              <c16:uniqueId val="{00000000-7F3D-4CCA-81C2-768AB514CEA2}"/>
            </c:ext>
          </c:extLst>
        </c:ser>
        <c:ser>
          <c:idx val="1"/>
          <c:order val="1"/>
          <c:tx>
            <c:strRef>
              <c:f>'Cost Summary DCF'!$B$7</c:f>
              <c:strCache>
                <c:ptCount val="1"/>
                <c:pt idx="0">
                  <c:v>Fuel Cost</c:v>
                </c:pt>
              </c:strCache>
            </c:strRef>
          </c:tx>
          <c:spPr>
            <a:solidFill>
              <a:srgbClr val="00B0F0"/>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DCF'!$G$5</c:f>
              <c:strCache>
                <c:ptCount val="1"/>
                <c:pt idx="0">
                  <c:v>BEV 500 mile</c:v>
                </c:pt>
              </c:strCache>
            </c:strRef>
          </c:cat>
          <c:val>
            <c:numRef>
              <c:extLst>
                <c:ext xmlns:c15="http://schemas.microsoft.com/office/drawing/2012/chart" uri="{02D57815-91ED-43cb-92C2-25804820EDAC}">
                  <c15:fullRef>
                    <c15:sqref>'Cost Summary DCF'!$C$7:$I$7</c15:sqref>
                  </c15:fullRef>
                </c:ext>
              </c:extLst>
              <c:f>'Cost Summary DCF'!$G$7</c:f>
              <c:numCache>
                <c:formatCode>"$"#,##0_);[Red]\("$"#,##0\)</c:formatCode>
                <c:ptCount val="1"/>
                <c:pt idx="0">
                  <c:v>248951.23045474305</c:v>
                </c:pt>
              </c:numCache>
            </c:numRef>
          </c:val>
          <c:extLst>
            <c:ext xmlns:c16="http://schemas.microsoft.com/office/drawing/2014/chart" uri="{C3380CC4-5D6E-409C-BE32-E72D297353CC}">
              <c16:uniqueId val="{00000001-7F3D-4CCA-81C2-768AB514CEA2}"/>
            </c:ext>
          </c:extLst>
        </c:ser>
        <c:ser>
          <c:idx val="4"/>
          <c:order val="2"/>
          <c:tx>
            <c:strRef>
              <c:f>'Cost Summary DCF'!$B$12</c:f>
              <c:strCache>
                <c:ptCount val="1"/>
                <c:pt idx="0">
                  <c:v>Revenue Loss</c:v>
                </c:pt>
              </c:strCache>
            </c:strRef>
          </c:tx>
          <c:spPr>
            <a:solidFill>
              <a:srgbClr val="84BD00"/>
            </a:solidFill>
            <a:ln>
              <a:noFill/>
            </a:ln>
            <a:effectLst/>
          </c:spPr>
          <c:invertIfNegative val="0"/>
          <c:dLbls>
            <c:numFmt formatCode="[&gt;49999]0,&quot;K&quot;;;"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DCF'!$G$5</c:f>
              <c:strCache>
                <c:ptCount val="1"/>
                <c:pt idx="0">
                  <c:v>BEV 500 mile</c:v>
                </c:pt>
              </c:strCache>
            </c:strRef>
          </c:cat>
          <c:val>
            <c:numRef>
              <c:extLst>
                <c:ext xmlns:c15="http://schemas.microsoft.com/office/drawing/2012/chart" uri="{02D57815-91ED-43cb-92C2-25804820EDAC}">
                  <c15:fullRef>
                    <c15:sqref>'Cost Summary DCF'!$C$12:$I$12</c15:sqref>
                  </c15:fullRef>
                </c:ext>
              </c:extLst>
              <c:f>'Cost Summary DCF'!$G$12</c:f>
              <c:numCache>
                <c:formatCode>"$"#,##0_);[Red]\("$"#,##0\)</c:formatCode>
                <c:ptCount val="1"/>
                <c:pt idx="0">
                  <c:v>83988.085938911914</c:v>
                </c:pt>
              </c:numCache>
            </c:numRef>
          </c:val>
          <c:extLst>
            <c:ext xmlns:c16="http://schemas.microsoft.com/office/drawing/2014/chart" uri="{C3380CC4-5D6E-409C-BE32-E72D297353CC}">
              <c16:uniqueId val="{00000002-7F3D-4CCA-81C2-768AB514CEA2}"/>
            </c:ext>
          </c:extLst>
        </c:ser>
        <c:ser>
          <c:idx val="2"/>
          <c:order val="3"/>
          <c:tx>
            <c:strRef>
              <c:f>'Cost Summary DCF'!$B$8</c:f>
              <c:strCache>
                <c:ptCount val="1"/>
                <c:pt idx="0">
                  <c:v>Infrastructure Cost</c:v>
                </c:pt>
              </c:strCache>
            </c:strRef>
          </c:tx>
          <c:spPr>
            <a:solidFill>
              <a:schemeClr val="tx1"/>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DCF'!$G$5</c:f>
              <c:strCache>
                <c:ptCount val="1"/>
                <c:pt idx="0">
                  <c:v>BEV 500 mile</c:v>
                </c:pt>
              </c:strCache>
            </c:strRef>
          </c:cat>
          <c:val>
            <c:numRef>
              <c:extLst>
                <c:ext xmlns:c15="http://schemas.microsoft.com/office/drawing/2012/chart" uri="{02D57815-91ED-43cb-92C2-25804820EDAC}">
                  <c15:fullRef>
                    <c15:sqref>'Cost Summary DCF'!$C$8:$I$8</c15:sqref>
                  </c15:fullRef>
                </c:ext>
              </c:extLst>
              <c:f>'Cost Summary DCF'!$G$8</c:f>
              <c:numCache>
                <c:formatCode>"$"#,##0_);[Red]\("$"#,##0\)</c:formatCode>
                <c:ptCount val="1"/>
                <c:pt idx="0">
                  <c:v>60113.614717927994</c:v>
                </c:pt>
              </c:numCache>
            </c:numRef>
          </c:val>
          <c:extLst>
            <c:ext xmlns:c16="http://schemas.microsoft.com/office/drawing/2014/chart" uri="{C3380CC4-5D6E-409C-BE32-E72D297353CC}">
              <c16:uniqueId val="{00000003-7F3D-4CCA-81C2-768AB514CEA2}"/>
            </c:ext>
          </c:extLst>
        </c:ser>
        <c:ser>
          <c:idx val="7"/>
          <c:order val="4"/>
          <c:tx>
            <c:strRef>
              <c:f>'Cost Summary DCF'!$B$9</c:f>
              <c:strCache>
                <c:ptCount val="1"/>
                <c:pt idx="0">
                  <c:v>Insurance Cost</c:v>
                </c:pt>
              </c:strCache>
            </c:strRef>
          </c:tx>
          <c:spPr>
            <a:solidFill>
              <a:srgbClr val="00843D"/>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BEV 500 mile</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'Cost Summary DCF'!$C$9:$I$9</c15:sqref>
                  </c15:fullRef>
                </c:ext>
              </c:extLst>
              <c:f>'Cost Summary DCF'!$G$9</c:f>
              <c:numCache>
                <c:formatCode>"$"#,##0_);[Red]\("$"#,##0\)</c:formatCode>
                <c:ptCount val="1"/>
                <c:pt idx="0">
                  <c:v>66155.054142249544</c:v>
                </c:pt>
              </c:numCache>
            </c:numRef>
          </c:val>
          <c:extLst>
            <c:ext xmlns:c16="http://schemas.microsoft.com/office/drawing/2014/chart" uri="{C3380CC4-5D6E-409C-BE32-E72D297353CC}">
              <c16:uniqueId val="{00000004-7F3D-4CCA-81C2-768AB514CEA2}"/>
            </c:ext>
          </c:extLst>
        </c:ser>
        <c:ser>
          <c:idx val="3"/>
          <c:order val="5"/>
          <c:tx>
            <c:strRef>
              <c:f>'Cost Summary DCF'!$B$10</c:f>
              <c:strCache>
                <c:ptCount val="1"/>
                <c:pt idx="0">
                  <c:v>Maintenance Cost</c:v>
                </c:pt>
              </c:strCache>
            </c:strRef>
          </c:tx>
          <c:spPr>
            <a:solidFill>
              <a:schemeClr val="accent4"/>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DCF'!$G$5</c:f>
              <c:strCache>
                <c:ptCount val="1"/>
                <c:pt idx="0">
                  <c:v>BEV 500 mile</c:v>
                </c:pt>
              </c:strCache>
            </c:strRef>
          </c:cat>
          <c:val>
            <c:numRef>
              <c:extLst>
                <c:ext xmlns:c15="http://schemas.microsoft.com/office/drawing/2012/chart" uri="{02D57815-91ED-43cb-92C2-25804820EDAC}">
                  <c15:fullRef>
                    <c15:sqref>'Cost Summary DCF'!$C$10:$I$10</c15:sqref>
                  </c15:fullRef>
                </c:ext>
              </c:extLst>
              <c:f>'Cost Summary DCF'!$G$10</c:f>
              <c:numCache>
                <c:formatCode>"$"#,##0_);[Red]\("$"#,##0\)</c:formatCode>
                <c:ptCount val="1"/>
                <c:pt idx="0">
                  <c:v>100648.11415574618</c:v>
                </c:pt>
              </c:numCache>
            </c:numRef>
          </c:val>
          <c:extLst>
            <c:ext xmlns:c16="http://schemas.microsoft.com/office/drawing/2014/chart" uri="{C3380CC4-5D6E-409C-BE32-E72D297353CC}">
              <c16:uniqueId val="{00000005-7F3D-4CCA-81C2-768AB514CEA2}"/>
            </c:ext>
          </c:extLst>
        </c:ser>
        <c:ser>
          <c:idx val="5"/>
          <c:order val="6"/>
          <c:tx>
            <c:strRef>
              <c:f>'Cost Summary DCF'!$B$13</c:f>
              <c:strCache>
                <c:ptCount val="1"/>
                <c:pt idx="0">
                  <c:v>GHG Emission Cost</c:v>
                </c:pt>
              </c:strCache>
            </c:strRef>
          </c:tx>
          <c:spPr>
            <a:solidFill>
              <a:srgbClr val="643278"/>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DCF'!$G$5</c:f>
              <c:strCache>
                <c:ptCount val="1"/>
                <c:pt idx="0">
                  <c:v>BEV 500 mile</c:v>
                </c:pt>
              </c:strCache>
            </c:strRef>
          </c:cat>
          <c:val>
            <c:numRef>
              <c:extLst>
                <c:ext xmlns:c15="http://schemas.microsoft.com/office/drawing/2012/chart" uri="{02D57815-91ED-43cb-92C2-25804820EDAC}">
                  <c15:fullRef>
                    <c15:sqref>'Cost Summary DCF'!$C$13:$I$13</c15:sqref>
                  </c15:fullRef>
                </c:ext>
              </c:extLst>
              <c:f>'Cost Summary DCF'!$G$13</c:f>
              <c:numCache>
                <c:formatCode>"$"#,##0_);[Red]\("$"#,##0\)</c:formatCode>
                <c:ptCount val="1"/>
                <c:pt idx="0">
                  <c:v>138337.60513474853</c:v>
                </c:pt>
              </c:numCache>
            </c:numRef>
          </c:val>
          <c:extLst>
            <c:ext xmlns:c16="http://schemas.microsoft.com/office/drawing/2014/chart" uri="{C3380CC4-5D6E-409C-BE32-E72D297353CC}">
              <c16:uniqueId val="{00000006-7F3D-4CCA-81C2-768AB514CEA2}"/>
            </c:ext>
          </c:extLst>
        </c:ser>
        <c:ser>
          <c:idx val="6"/>
          <c:order val="7"/>
          <c:tx>
            <c:strRef>
              <c:f>'Cost Summary DCF'!$B$11</c:f>
              <c:strCache>
                <c:ptCount val="1"/>
                <c:pt idx="0">
                  <c:v>Durability Cost</c:v>
                </c:pt>
              </c:strCache>
            </c:strRef>
          </c:tx>
          <c:spPr>
            <a:solidFill>
              <a:srgbClr val="F05F41"/>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BEV 500 mile</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'Cost Summary DCF'!$C$11:$I$11</c15:sqref>
                  </c15:fullRef>
                </c:ext>
              </c:extLst>
              <c:f>'Cost Summary DCF'!$G$11</c:f>
              <c:numCache>
                <c:formatCode>"$"#,##0_);[Red]\("$"#,##0\)</c:formatCode>
                <c:ptCount val="1"/>
                <c:pt idx="0">
                  <c:v>0</c:v>
                </c:pt>
              </c:numCache>
            </c:numRef>
          </c:val>
          <c:extLst>
            <c:ext xmlns:c15="http://schemas.microsoft.com/office/drawing/2012/chart" uri="{02D57815-91ED-43cb-92C2-25804820EDAC}">
              <c15:categoryFilterExceptions>
                <c15:categoryFilterException>
                  <c15:sqref>'Cost Summary DCF'!$C$11</c15:sqref>
                  <c15:dLbl>
                    <c:idx val="-1"/>
                    <c:delete val="1"/>
                    <c:extLst>
                      <c:ext uri="{CE6537A1-D6FC-4f65-9D91-7224C49458BB}"/>
                      <c:ext xmlns:c16="http://schemas.microsoft.com/office/drawing/2014/chart" uri="{C3380CC4-5D6E-409C-BE32-E72D297353CC}">
                        <c16:uniqueId val="{00000000-D1CC-4EFF-9D08-D8E6BDFD7B77}"/>
                      </c:ext>
                    </c:extLst>
                  </c15:dLbl>
                </c15:categoryFilterException>
                <c15:categoryFilterException>
                  <c15:sqref>'Cost Summary DCF'!$D$11</c15:sqref>
                  <c15:dLbl>
                    <c:idx val="-1"/>
                    <c:delete val="1"/>
                    <c:extLst>
                      <c:ext uri="{CE6537A1-D6FC-4f65-9D91-7224C49458BB}"/>
                      <c:ext xmlns:c16="http://schemas.microsoft.com/office/drawing/2014/chart" uri="{C3380CC4-5D6E-409C-BE32-E72D297353CC}">
                        <c16:uniqueId val="{00000001-D1CC-4EFF-9D08-D8E6BDFD7B77}"/>
                      </c:ext>
                    </c:extLst>
                  </c15:dLbl>
                </c15:categoryFilterException>
              </c15:categoryFilterExceptions>
            </c:ext>
            <c:ext xmlns:c16="http://schemas.microsoft.com/office/drawing/2014/chart" uri="{C3380CC4-5D6E-409C-BE32-E72D297353CC}">
              <c16:uniqueId val="{00000009-7F3D-4CCA-81C2-768AB514CEA2}"/>
            </c:ext>
          </c:extLst>
        </c:ser>
        <c:dLbls>
          <c:dLblPos val="ctr"/>
          <c:showLegendKey val="0"/>
          <c:showVal val="1"/>
          <c:showCatName val="0"/>
          <c:showSerName val="0"/>
          <c:showPercent val="0"/>
          <c:showBubbleSize val="0"/>
        </c:dLbls>
        <c:gapWidth val="150"/>
        <c:overlap val="100"/>
        <c:axId val="1140645984"/>
        <c:axId val="1140644016"/>
      </c:barChart>
      <c:lineChart>
        <c:grouping val="standard"/>
        <c:varyColors val="0"/>
        <c:ser>
          <c:idx val="8"/>
          <c:order val="8"/>
          <c:tx>
            <c:strRef>
              <c:f>'Cost Summary DCF'!$B$14</c:f>
              <c:strCache>
                <c:ptCount val="1"/>
                <c:pt idx="0">
                  <c:v>Total Cost</c:v>
                </c:pt>
              </c:strCache>
            </c:strRef>
          </c:tx>
          <c:spPr>
            <a:ln w="28575" cap="rnd">
              <a:noFill/>
              <a:round/>
            </a:ln>
            <a:effectLst>
              <a:glow>
                <a:schemeClr val="tx1">
                  <a:alpha val="40000"/>
                </a:schemeClr>
              </a:glow>
            </a:effectLst>
          </c:spPr>
          <c:marker>
            <c:symbol val="x"/>
            <c:size val="6"/>
            <c:spPr>
              <a:noFill/>
              <a:ln w="19050">
                <a:solidFill>
                  <a:schemeClr val="tx1"/>
                </a:solidFill>
              </a:ln>
              <a:effectLst>
                <a:glow>
                  <a:schemeClr val="tx1">
                    <a:alpha val="40000"/>
                  </a:schemeClr>
                </a:glow>
              </a:effectLst>
            </c:spPr>
          </c:marker>
          <c:dLbls>
            <c:dLbl>
              <c:idx val="0"/>
              <c:dLblPos val="t"/>
              <c:showLegendKey val="0"/>
              <c:showVal val="1"/>
              <c:showCatName val="0"/>
              <c:showSerName val="0"/>
              <c:showPercent val="0"/>
              <c:showBubbleSize val="0"/>
              <c:extLst>
                <c:ext xmlns:c15="http://schemas.microsoft.com/office/drawing/2012/chart" uri="{CE6537A1-D6FC-4f65-9D91-7224C49458BB}">
                  <c15:layout>
                    <c:manualLayout>
                      <c:w val="0.23574873749986844"/>
                      <c:h val="0.11587958607714018"/>
                    </c:manualLayout>
                  </c15:layout>
                </c:ext>
                <c:ext xmlns:c16="http://schemas.microsoft.com/office/drawing/2014/chart" uri="{C3380CC4-5D6E-409C-BE32-E72D297353CC}">
                  <c16:uniqueId val="{0000000C-7F3D-4CCA-81C2-768AB514CEA2}"/>
                </c:ext>
              </c:extLst>
            </c:dLbl>
            <c:numFmt formatCode="&quot;$&quot;0.00,,\ &quot;M&quot;" sourceLinked="0"/>
            <c:spPr>
              <a:noFill/>
              <a:ln>
                <a:noFill/>
              </a:ln>
              <a:effectLst>
                <a:glow rad="127000">
                  <a:srgbClr val="FF0000"/>
                </a:glow>
              </a:effectLst>
            </c:spPr>
            <c:txPr>
              <a:bodyPr rot="0" spcFirstLastPara="1" vertOverflow="ellipsis" vert="horz" wrap="square" lIns="38100" tIns="19050" rIns="38100" bIns="19050" anchor="ctr" anchorCtr="1">
                <a:spAutoFit/>
              </a:bodyPr>
              <a:lstStyle/>
              <a:p>
                <a:pPr>
                  <a:defRPr sz="2400" b="0" i="0" u="none" strike="noStrike" kern="1200" cap="none" spc="0" baseline="0">
                    <a:ln w="3175">
                      <a:solidFill>
                        <a:srgbClr val="FF0000"/>
                      </a:solidFill>
                    </a:ln>
                    <a:solidFill>
                      <a:schemeClr val="tx1"/>
                    </a:solidFill>
                    <a:effectLst>
                      <a:outerShdw blurRad="38100" dist="19050" dir="2700000" algn="tl" rotWithShape="0">
                        <a:schemeClr val="dk1">
                          <a:alpha val="40000"/>
                        </a:schemeClr>
                      </a:outerShdw>
                    </a:effectLst>
                    <a:latin typeface="+mj-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BEV 500 mile</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'Cost Summary DCF'!$C$14:$I$14</c15:sqref>
                  </c15:fullRef>
                </c:ext>
              </c:extLst>
              <c:f>'Cost Summary DCF'!$G$14</c:f>
              <c:numCache>
                <c:formatCode>"$"#,##0_);[Red]\("$"#,##0\)</c:formatCode>
                <c:ptCount val="1"/>
                <c:pt idx="0">
                  <c:v>910719.68591135787</c:v>
                </c:pt>
              </c:numCache>
            </c:numRef>
          </c:val>
          <c:smooth val="0"/>
          <c:extLst>
            <c:ext xmlns:c15="http://schemas.microsoft.com/office/drawing/2012/chart" uri="{02D57815-91ED-43cb-92C2-25804820EDAC}">
              <c15:categoryFilterExceptions>
                <c15:categoryFilterException>
                  <c15:sqref>'Cost Summary DCF'!$H$14</c15:sqref>
                  <c15:dLbl>
                    <c:idx val="0"/>
                    <c:numFmt formatCode="&quot;$&quot;0.00,,\ &quot;M&quot;" sourceLinked="0"/>
                    <c:spPr>
                      <a:noFill/>
                      <a:ln>
                        <a:noFill/>
                      </a:ln>
                      <a:effectLst>
                        <a:glow rad="127000">
                          <a:srgbClr val="FF0000"/>
                        </a:glow>
                      </a:effectLst>
                    </c:spPr>
                    <c:txPr>
                      <a:bodyPr rot="0" spcFirstLastPara="1" vertOverflow="ellipsis" vert="horz" wrap="square" lIns="38100" tIns="19050" rIns="38100" bIns="19050" anchor="t" anchorCtr="0">
                        <a:spAutoFit/>
                      </a:bodyPr>
                      <a:lstStyle/>
                      <a:p>
                        <a:pPr>
                          <a:defRPr sz="2400" b="0" i="0" u="none" strike="noStrike" kern="1200" cap="none" spc="0" baseline="0">
                            <a:ln w="3175">
                              <a:solidFill>
                                <a:srgbClr val="FF0000"/>
                              </a:solidFill>
                            </a:ln>
                            <a:solidFill>
                              <a:schemeClr val="tx1"/>
                            </a:solidFill>
                            <a:effectLst>
                              <a:outerShdw blurRad="38100" dist="19050" dir="2700000" algn="tl" rotWithShape="0">
                                <a:schemeClr val="dk1">
                                  <a:alpha val="40000"/>
                                </a:schemeClr>
                              </a:outerShdw>
                            </a:effectLst>
                            <a:latin typeface="+mj-lt"/>
                            <a:ea typeface="+mn-ea"/>
                            <a:cs typeface="+mn-cs"/>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2-D1CC-4EFF-9D08-D8E6BDFD7B77}"/>
                      </c:ext>
                    </c:extLst>
                  </c15:dLbl>
                </c15:categoryFilterException>
              </c15:categoryFilterExceptions>
            </c:ext>
            <c:ext xmlns:c16="http://schemas.microsoft.com/office/drawing/2014/chart" uri="{C3380CC4-5D6E-409C-BE32-E72D297353CC}">
              <c16:uniqueId val="{0000000B-7F3D-4CCA-81C2-768AB514CEA2}"/>
            </c:ext>
          </c:extLst>
        </c:ser>
        <c:dLbls>
          <c:dLblPos val="ctr"/>
          <c:showLegendKey val="0"/>
          <c:showVal val="1"/>
          <c:showCatName val="0"/>
          <c:showSerName val="0"/>
          <c:showPercent val="0"/>
          <c:showBubbleSize val="0"/>
        </c:dLbls>
        <c:marker val="1"/>
        <c:smooth val="0"/>
        <c:axId val="1140645984"/>
        <c:axId val="1140644016"/>
      </c:lineChart>
      <c:catAx>
        <c:axId val="1140645984"/>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2800" b="1" i="0" u="none" strike="noStrike" kern="1200" baseline="0">
                <a:solidFill>
                  <a:schemeClr val="tx1">
                    <a:lumMod val="65000"/>
                    <a:lumOff val="35000"/>
                  </a:schemeClr>
                </a:solidFill>
                <a:latin typeface="+mj-lt"/>
                <a:ea typeface="+mn-ea"/>
                <a:cs typeface="+mn-cs"/>
              </a:defRPr>
            </a:pPr>
            <a:endParaRPr lang="en-US"/>
          </a:p>
        </c:txPr>
        <c:crossAx val="1140644016"/>
        <c:crosses val="autoZero"/>
        <c:auto val="1"/>
        <c:lblAlgn val="ctr"/>
        <c:lblOffset val="100"/>
        <c:noMultiLvlLbl val="0"/>
      </c:catAx>
      <c:valAx>
        <c:axId val="1140644016"/>
        <c:scaling>
          <c:orientation val="minMax"/>
        </c:scaling>
        <c:delete val="0"/>
        <c:axPos val="l"/>
        <c:majorGridlines>
          <c:spPr>
            <a:ln w="9525" cap="flat" cmpd="sng" algn="ctr">
              <a:solidFill>
                <a:schemeClr val="tx1">
                  <a:lumMod val="15000"/>
                  <a:lumOff val="85000"/>
                </a:schemeClr>
              </a:solidFill>
              <a:round/>
            </a:ln>
            <a:effectLst/>
          </c:spPr>
        </c:majorGridlines>
        <c:numFmt formatCode="0.0,,\ &quot;M&quot;" sourceLinked="0"/>
        <c:majorTickMark val="none"/>
        <c:minorTickMark val="none"/>
        <c:tickLblPos val="nextTo"/>
        <c:spPr>
          <a:noFill/>
          <a:ln>
            <a:noFill/>
          </a:ln>
          <a:effectLst/>
        </c:spPr>
        <c:txPr>
          <a:bodyPr rot="-60000000" spcFirstLastPara="1" vertOverflow="ellipsis" vert="horz" wrap="square" anchor="ctr" anchorCtr="1"/>
          <a:lstStyle/>
          <a:p>
            <a:pPr>
              <a:defRPr sz="2800" b="1" i="0" u="none" strike="noStrike" kern="1200" baseline="0">
                <a:solidFill>
                  <a:schemeClr val="tx1">
                    <a:lumMod val="65000"/>
                    <a:lumOff val="35000"/>
                  </a:schemeClr>
                </a:solidFill>
                <a:latin typeface="+mj-lt"/>
                <a:ea typeface="+mn-ea"/>
                <a:cs typeface="+mn-cs"/>
              </a:defRPr>
            </a:pPr>
            <a:endParaRPr lang="en-US"/>
          </a:p>
        </c:txPr>
        <c:crossAx val="1140645984"/>
        <c:crosses val="autoZero"/>
        <c:crossBetween val="between"/>
      </c:valAx>
      <c:spPr>
        <a:noFill/>
        <a:ln>
          <a:solidFill>
            <a:schemeClr val="tx1">
              <a:lumMod val="50000"/>
              <a:lumOff val="50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noFill/>
      <a:round/>
    </a:ln>
    <a:effectLst/>
  </c:spPr>
  <c:txPr>
    <a:bodyPr/>
    <a:lstStyle/>
    <a:p>
      <a:pPr>
        <a:defRPr sz="1600" b="1">
          <a:latin typeface="+mj-lt"/>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16571956820061"/>
          <c:y val="3.7475206702035274E-2"/>
          <c:w val="0.72609027444968721"/>
          <c:h val="0.84944794319616446"/>
        </c:manualLayout>
      </c:layout>
      <c:barChart>
        <c:barDir val="col"/>
        <c:grouping val="stacked"/>
        <c:varyColors val="0"/>
        <c:ser>
          <c:idx val="0"/>
          <c:order val="0"/>
          <c:tx>
            <c:strRef>
              <c:f>'Cost Summary Nominal'!$B$6</c:f>
              <c:strCache>
                <c:ptCount val="1"/>
                <c:pt idx="0">
                  <c:v>Vehicle Cost</c:v>
                </c:pt>
              </c:strCache>
            </c:strRef>
          </c:tx>
          <c:spPr>
            <a:solidFill>
              <a:srgbClr val="5F6369"/>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Summary Nominal'!$C$5:$I$5</c:f>
              <c:strCache>
                <c:ptCount val="7"/>
                <c:pt idx="0">
                  <c:v>Conventional Diesel</c:v>
                </c:pt>
                <c:pt idx="1">
                  <c:v>Mobile Carbon Capture 50%</c:v>
                </c:pt>
                <c:pt idx="2">
                  <c:v>Mobile Carbon Capture 90%</c:v>
                </c:pt>
                <c:pt idx="3">
                  <c:v>BEV 250 mile</c:v>
                </c:pt>
                <c:pt idx="4">
                  <c:v>BEV 500 mile</c:v>
                </c:pt>
                <c:pt idx="5">
                  <c:v>H2 FCEV</c:v>
                </c:pt>
                <c:pt idx="6">
                  <c:v>H2 ICHEV</c:v>
                </c:pt>
              </c:strCache>
            </c:strRef>
          </c:cat>
          <c:val>
            <c:numRef>
              <c:f>'Cost Summary Nominal'!$C$6:$I$6</c:f>
              <c:numCache>
                <c:formatCode>"$"#,##0_);[Red]\("$"#,##0\)</c:formatCode>
                <c:ptCount val="7"/>
                <c:pt idx="0" formatCode="_(&quot;$&quot;* #,##0_);_(&quot;$&quot;* \(#,##0\);_(&quot;$&quot;* &quot;-&quot;_);_(@_)">
                  <c:v>147675.89642360058</c:v>
                </c:pt>
                <c:pt idx="1">
                  <c:v>171201.57246240764</c:v>
                </c:pt>
                <c:pt idx="2">
                  <c:v>179043.46447534332</c:v>
                </c:pt>
                <c:pt idx="3">
                  <c:v>164950.63743799072</c:v>
                </c:pt>
                <c:pt idx="4">
                  <c:v>232873.09835298421</c:v>
                </c:pt>
                <c:pt idx="5">
                  <c:v>234010.12100039655</c:v>
                </c:pt>
                <c:pt idx="6">
                  <c:v>168861.91699903429</c:v>
                </c:pt>
              </c:numCache>
            </c:numRef>
          </c:val>
          <c:extLst>
            <c:ext xmlns:c16="http://schemas.microsoft.com/office/drawing/2014/chart" uri="{C3380CC4-5D6E-409C-BE32-E72D297353CC}">
              <c16:uniqueId val="{00000000-5771-47C4-8F8D-3595D6B12BD7}"/>
            </c:ext>
          </c:extLst>
        </c:ser>
        <c:ser>
          <c:idx val="1"/>
          <c:order val="1"/>
          <c:tx>
            <c:strRef>
              <c:f>'Cost Summary Nominal'!$B$7</c:f>
              <c:strCache>
                <c:ptCount val="1"/>
                <c:pt idx="0">
                  <c:v>Fuel Cost</c:v>
                </c:pt>
              </c:strCache>
            </c:strRef>
          </c:tx>
          <c:spPr>
            <a:solidFill>
              <a:srgbClr val="00B0F0"/>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Summary Nominal'!$C$5:$I$5</c:f>
              <c:strCache>
                <c:ptCount val="7"/>
                <c:pt idx="0">
                  <c:v>Conventional Diesel</c:v>
                </c:pt>
                <c:pt idx="1">
                  <c:v>Mobile Carbon Capture 50%</c:v>
                </c:pt>
                <c:pt idx="2">
                  <c:v>Mobile Carbon Capture 90%</c:v>
                </c:pt>
                <c:pt idx="3">
                  <c:v>BEV 250 mile</c:v>
                </c:pt>
                <c:pt idx="4">
                  <c:v>BEV 500 mile</c:v>
                </c:pt>
                <c:pt idx="5">
                  <c:v>H2 FCEV</c:v>
                </c:pt>
                <c:pt idx="6">
                  <c:v>H2 ICHEV</c:v>
                </c:pt>
              </c:strCache>
            </c:strRef>
          </c:cat>
          <c:val>
            <c:numRef>
              <c:f>'Cost Summary Nominal'!$C$7:$I$7</c:f>
              <c:numCache>
                <c:formatCode>"$"#,##0_);[Red]\("$"#,##0\)</c:formatCode>
                <c:ptCount val="7"/>
                <c:pt idx="0" formatCode="_(&quot;$&quot;* #,##0_);_(&quot;$&quot;* \(#,##0\);_(&quot;$&quot;* &quot;-&quot;_);_(@_)">
                  <c:v>278055.48822141456</c:v>
                </c:pt>
                <c:pt idx="1">
                  <c:v>287618.16698362335</c:v>
                </c:pt>
                <c:pt idx="2">
                  <c:v>344352.29396223865</c:v>
                </c:pt>
                <c:pt idx="3">
                  <c:v>344897.40985320543</c:v>
                </c:pt>
                <c:pt idx="4">
                  <c:v>324662.50133157568</c:v>
                </c:pt>
                <c:pt idx="5">
                  <c:v>459101.2002651855</c:v>
                </c:pt>
                <c:pt idx="6">
                  <c:v>518983.96551716625</c:v>
                </c:pt>
              </c:numCache>
            </c:numRef>
          </c:val>
          <c:extLst>
            <c:ext xmlns:c16="http://schemas.microsoft.com/office/drawing/2014/chart" uri="{C3380CC4-5D6E-409C-BE32-E72D297353CC}">
              <c16:uniqueId val="{00000001-5771-47C4-8F8D-3595D6B12BD7}"/>
            </c:ext>
          </c:extLst>
        </c:ser>
        <c:ser>
          <c:idx val="2"/>
          <c:order val="2"/>
          <c:tx>
            <c:strRef>
              <c:f>'Cost Summary Nominal'!$B$8</c:f>
              <c:strCache>
                <c:ptCount val="1"/>
                <c:pt idx="0">
                  <c:v>Infrastructure Cost</c:v>
                </c:pt>
              </c:strCache>
            </c:strRef>
          </c:tx>
          <c:spPr>
            <a:solidFill>
              <a:schemeClr val="tx1"/>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Summary Nominal'!$C$5:$I$5</c:f>
              <c:strCache>
                <c:ptCount val="7"/>
                <c:pt idx="0">
                  <c:v>Conventional Diesel</c:v>
                </c:pt>
                <c:pt idx="1">
                  <c:v>Mobile Carbon Capture 50%</c:v>
                </c:pt>
                <c:pt idx="2">
                  <c:v>Mobile Carbon Capture 90%</c:v>
                </c:pt>
                <c:pt idx="3">
                  <c:v>BEV 250 mile</c:v>
                </c:pt>
                <c:pt idx="4">
                  <c:v>BEV 500 mile</c:v>
                </c:pt>
                <c:pt idx="5">
                  <c:v>H2 FCEV</c:v>
                </c:pt>
                <c:pt idx="6">
                  <c:v>H2 ICHEV</c:v>
                </c:pt>
              </c:strCache>
            </c:strRef>
          </c:cat>
          <c:val>
            <c:numRef>
              <c:f>'Cost Summary Nominal'!$C$8:$I$8</c:f>
              <c:numCache>
                <c:formatCode>"$"#,##0_);[Red]\("$"#,##0\)</c:formatCode>
                <c:ptCount val="7"/>
                <c:pt idx="0" formatCode="_(&quot;$&quot;* #,##0_);_(&quot;$&quot;* \(#,##0\);_(&quot;$&quot;* &quot;-&quot;_);_(@_)">
                  <c:v>0</c:v>
                </c:pt>
                <c:pt idx="1">
                  <c:v>15608.402243063851</c:v>
                </c:pt>
                <c:pt idx="2">
                  <c:v>33638.292010116624</c:v>
                </c:pt>
                <c:pt idx="3">
                  <c:v>64895.426714959605</c:v>
                </c:pt>
                <c:pt idx="4">
                  <c:v>65868.858115683994</c:v>
                </c:pt>
                <c:pt idx="5">
                  <c:v>0</c:v>
                </c:pt>
                <c:pt idx="6">
                  <c:v>0</c:v>
                </c:pt>
              </c:numCache>
            </c:numRef>
          </c:val>
          <c:extLst>
            <c:ext xmlns:c16="http://schemas.microsoft.com/office/drawing/2014/chart" uri="{C3380CC4-5D6E-409C-BE32-E72D297353CC}">
              <c16:uniqueId val="{00000002-5771-47C4-8F8D-3595D6B12BD7}"/>
            </c:ext>
          </c:extLst>
        </c:ser>
        <c:ser>
          <c:idx val="7"/>
          <c:order val="3"/>
          <c:tx>
            <c:strRef>
              <c:f>'Cost Summary Nominal'!$B$11</c:f>
              <c:strCache>
                <c:ptCount val="1"/>
                <c:pt idx="0">
                  <c:v>Insurance Cost</c:v>
                </c:pt>
              </c:strCache>
            </c:strRef>
          </c:tx>
          <c:spPr>
            <a:solidFill>
              <a:srgbClr val="00843D"/>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'Cost Summary Nominal'!$C$11:$I$11</c:f>
              <c:numCache>
                <c:formatCode>"$"#,##0_);[Red]\("$"#,##0\)</c:formatCode>
                <c:ptCount val="7"/>
                <c:pt idx="0" formatCode="_(&quot;$&quot;* #,##0_);_(&quot;$&quot;* \(#,##0\);_(&quot;$&quot;* &quot;-&quot;_);_(@_)">
                  <c:v>81580.500249410732</c:v>
                </c:pt>
                <c:pt idx="1">
                  <c:v>85172.066248236166</c:v>
                </c:pt>
                <c:pt idx="2">
                  <c:v>86369.254914511315</c:v>
                </c:pt>
                <c:pt idx="3">
                  <c:v>84217.762292952189</c:v>
                </c:pt>
                <c:pt idx="4">
                  <c:v>94587.198681365931</c:v>
                </c:pt>
                <c:pt idx="5">
                  <c:v>94760.78314599958</c:v>
                </c:pt>
                <c:pt idx="6">
                  <c:v>84814.880890529239</c:v>
                </c:pt>
              </c:numCache>
            </c:numRef>
          </c:val>
          <c:extLst>
            <c:ext xmlns:c16="http://schemas.microsoft.com/office/drawing/2014/chart" uri="{C3380CC4-5D6E-409C-BE32-E72D297353CC}">
              <c16:uniqueId val="{00000007-5771-47C4-8F8D-3595D6B12BD7}"/>
            </c:ext>
          </c:extLst>
        </c:ser>
        <c:ser>
          <c:idx val="3"/>
          <c:order val="4"/>
          <c:tx>
            <c:strRef>
              <c:f>'Cost Summary Nominal'!$B$9</c:f>
              <c:strCache>
                <c:ptCount val="1"/>
                <c:pt idx="0">
                  <c:v>Maintenance Cost</c:v>
                </c:pt>
              </c:strCache>
            </c:strRef>
          </c:tx>
          <c:spPr>
            <a:solidFill>
              <a:schemeClr val="accent4"/>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Summary Nominal'!$C$5:$I$5</c:f>
              <c:strCache>
                <c:ptCount val="7"/>
                <c:pt idx="0">
                  <c:v>Conventional Diesel</c:v>
                </c:pt>
                <c:pt idx="1">
                  <c:v>Mobile Carbon Capture 50%</c:v>
                </c:pt>
                <c:pt idx="2">
                  <c:v>Mobile Carbon Capture 90%</c:v>
                </c:pt>
                <c:pt idx="3">
                  <c:v>BEV 250 mile</c:v>
                </c:pt>
                <c:pt idx="4">
                  <c:v>BEV 500 mile</c:v>
                </c:pt>
                <c:pt idx="5">
                  <c:v>H2 FCEV</c:v>
                </c:pt>
                <c:pt idx="6">
                  <c:v>H2 ICHEV</c:v>
                </c:pt>
              </c:strCache>
            </c:strRef>
          </c:cat>
          <c:val>
            <c:numRef>
              <c:f>'Cost Summary Nominal'!$C$9:$I$9</c:f>
              <c:numCache>
                <c:formatCode>"$"#,##0_);[Red]\("$"#,##0\)</c:formatCode>
                <c:ptCount val="7"/>
                <c:pt idx="0" formatCode="_(&quot;$&quot;* #,##0_);_(&quot;$&quot;* \(#,##0\);_(&quot;$&quot;* &quot;-&quot;_);_(@_)">
                  <c:v>155828.08775788924</c:v>
                </c:pt>
                <c:pt idx="1">
                  <c:v>178202.18431292067</c:v>
                </c:pt>
                <c:pt idx="2">
                  <c:v>185868.29632496924</c:v>
                </c:pt>
                <c:pt idx="3">
                  <c:v>117395.87544039948</c:v>
                </c:pt>
                <c:pt idx="4">
                  <c:v>131257.30865608572</c:v>
                </c:pt>
                <c:pt idx="5">
                  <c:v>143167.16492723653</c:v>
                </c:pt>
                <c:pt idx="6">
                  <c:v>158653.98572241058</c:v>
                </c:pt>
              </c:numCache>
            </c:numRef>
          </c:val>
          <c:extLst>
            <c:ext xmlns:c16="http://schemas.microsoft.com/office/drawing/2014/chart" uri="{C3380CC4-5D6E-409C-BE32-E72D297353CC}">
              <c16:uniqueId val="{00000003-5771-47C4-8F8D-3595D6B12BD7}"/>
            </c:ext>
          </c:extLst>
        </c:ser>
        <c:ser>
          <c:idx val="5"/>
          <c:order val="5"/>
          <c:tx>
            <c:strRef>
              <c:f>'Cost Summary Nominal'!$B$13</c:f>
              <c:strCache>
                <c:ptCount val="1"/>
                <c:pt idx="0">
                  <c:v>GHG Emission Cost</c:v>
                </c:pt>
              </c:strCache>
            </c:strRef>
          </c:tx>
          <c:spPr>
            <a:solidFill>
              <a:srgbClr val="643278"/>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Summary Nominal'!$C$5:$I$5</c:f>
              <c:strCache>
                <c:ptCount val="7"/>
                <c:pt idx="0">
                  <c:v>Conventional Diesel</c:v>
                </c:pt>
                <c:pt idx="1">
                  <c:v>Mobile Carbon Capture 50%</c:v>
                </c:pt>
                <c:pt idx="2">
                  <c:v>Mobile Carbon Capture 90%</c:v>
                </c:pt>
                <c:pt idx="3">
                  <c:v>BEV 250 mile</c:v>
                </c:pt>
                <c:pt idx="4">
                  <c:v>BEV 500 mile</c:v>
                </c:pt>
                <c:pt idx="5">
                  <c:v>H2 FCEV</c:v>
                </c:pt>
                <c:pt idx="6">
                  <c:v>H2 ICHEV</c:v>
                </c:pt>
              </c:strCache>
            </c:strRef>
          </c:cat>
          <c:val>
            <c:numRef>
              <c:f>'Cost Summary Nominal'!$C$13:$I$13</c:f>
              <c:numCache>
                <c:formatCode>"$"#,##0_);[Red]\("$"#,##0\)</c:formatCode>
                <c:ptCount val="7"/>
                <c:pt idx="0" formatCode="_(&quot;$&quot;* #,##0_);_(&quot;$&quot;* \(#,##0\);_(&quot;$&quot;* &quot;-&quot;_);_(@_)">
                  <c:v>202775.87418771884</c:v>
                </c:pt>
                <c:pt idx="1">
                  <c:v>116100.95080139325</c:v>
                </c:pt>
                <c:pt idx="2">
                  <c:v>49305.55636753048</c:v>
                </c:pt>
                <c:pt idx="3">
                  <c:v>173573.30587962014</c:v>
                </c:pt>
                <c:pt idx="4">
                  <c:v>176176.90546781447</c:v>
                </c:pt>
                <c:pt idx="5">
                  <c:v>63470.473914823437</c:v>
                </c:pt>
                <c:pt idx="6">
                  <c:v>71749.231381974329</c:v>
                </c:pt>
              </c:numCache>
            </c:numRef>
          </c:val>
          <c:extLst>
            <c:ext xmlns:c16="http://schemas.microsoft.com/office/drawing/2014/chart" uri="{C3380CC4-5D6E-409C-BE32-E72D297353CC}">
              <c16:uniqueId val="{00000005-5771-47C4-8F8D-3595D6B12BD7}"/>
            </c:ext>
          </c:extLst>
        </c:ser>
        <c:ser>
          <c:idx val="6"/>
          <c:order val="6"/>
          <c:tx>
            <c:strRef>
              <c:f>'Cost Summary Nominal'!$B$10</c:f>
              <c:strCache>
                <c:ptCount val="1"/>
                <c:pt idx="0">
                  <c:v>Durability Cost</c:v>
                </c:pt>
              </c:strCache>
            </c:strRef>
          </c:tx>
          <c:spPr>
            <a:solidFill>
              <a:srgbClr val="F05F41"/>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6-949E-4F23-BCBE-60619A528669}"/>
                </c:ext>
              </c:extLst>
            </c:dLbl>
            <c:dLbl>
              <c:idx val="1"/>
              <c:delete val="1"/>
              <c:extLst>
                <c:ext xmlns:c15="http://schemas.microsoft.com/office/drawing/2012/chart" uri="{CE6537A1-D6FC-4f65-9D91-7224C49458BB}"/>
                <c:ext xmlns:c16="http://schemas.microsoft.com/office/drawing/2014/chart" uri="{C3380CC4-5D6E-409C-BE32-E72D297353CC}">
                  <c16:uniqueId val="{00000005-949E-4F23-BCBE-60619A528669}"/>
                </c:ext>
              </c:extLst>
            </c:dLbl>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'Cost Summary Nominal'!$C$10:$I$10</c:f>
              <c:numCache>
                <c:formatCode>"$"#,##0_);[Red]\("$"#,##0\)</c:formatCode>
                <c:ptCount val="7"/>
                <c:pt idx="0" formatCode="_(&quot;$&quot;* #,##0_);_(&quot;$&quot;* \(#,##0\);_(&quot;$&quot;* &quot;-&quot;_);_(@_)">
                  <c:v>0</c:v>
                </c:pt>
                <c:pt idx="1">
                  <c:v>0</c:v>
                </c:pt>
                <c:pt idx="2">
                  <c:v>0</c:v>
                </c:pt>
                <c:pt idx="3">
                  <c:v>0</c:v>
                </c:pt>
                <c:pt idx="4">
                  <c:v>0</c:v>
                </c:pt>
                <c:pt idx="5">
                  <c:v>0</c:v>
                </c:pt>
                <c:pt idx="6">
                  <c:v>0</c:v>
                </c:pt>
              </c:numCache>
            </c:numRef>
          </c:val>
          <c:extLst>
            <c:ext xmlns:c16="http://schemas.microsoft.com/office/drawing/2014/chart" uri="{C3380CC4-5D6E-409C-BE32-E72D297353CC}">
              <c16:uniqueId val="{00000006-5771-47C4-8F8D-3595D6B12BD7}"/>
            </c:ext>
          </c:extLst>
        </c:ser>
        <c:ser>
          <c:idx val="4"/>
          <c:order val="7"/>
          <c:tx>
            <c:strRef>
              <c:f>'Cost Summary Nominal'!$B$12</c:f>
              <c:strCache>
                <c:ptCount val="1"/>
                <c:pt idx="0">
                  <c:v>Revenue Loss</c:v>
                </c:pt>
              </c:strCache>
            </c:strRef>
          </c:tx>
          <c:spPr>
            <a:solidFill>
              <a:srgbClr val="84BD00"/>
            </a:solidFill>
            <a:ln>
              <a:noFill/>
            </a:ln>
            <a:effectLst/>
          </c:spPr>
          <c:invertIfNegative val="0"/>
          <c:dLbls>
            <c:numFmt formatCode="[&gt;49999]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Summary Nominal'!$C$5:$I$5</c:f>
              <c:strCache>
                <c:ptCount val="7"/>
                <c:pt idx="0">
                  <c:v>Conventional Diesel</c:v>
                </c:pt>
                <c:pt idx="1">
                  <c:v>Mobile Carbon Capture 50%</c:v>
                </c:pt>
                <c:pt idx="2">
                  <c:v>Mobile Carbon Capture 90%</c:v>
                </c:pt>
                <c:pt idx="3">
                  <c:v>BEV 250 mile</c:v>
                </c:pt>
                <c:pt idx="4">
                  <c:v>BEV 500 mile</c:v>
                </c:pt>
                <c:pt idx="5">
                  <c:v>H2 FCEV</c:v>
                </c:pt>
                <c:pt idx="6">
                  <c:v>H2 ICHEV</c:v>
                </c:pt>
              </c:strCache>
            </c:strRef>
          </c:cat>
          <c:val>
            <c:numRef>
              <c:f>'Cost Summary Nominal'!$C$12:$I$12</c:f>
              <c:numCache>
                <c:formatCode>"$"#,##0_);[Red]\("$"#,##0\)</c:formatCode>
                <c:ptCount val="7"/>
                <c:pt idx="0" formatCode="_(&quot;$&quot;* #,##0_);_(&quot;$&quot;* \(#,##0\);_(&quot;$&quot;* &quot;-&quot;_);_(@_)">
                  <c:v>0</c:v>
                </c:pt>
                <c:pt idx="1">
                  <c:v>18480.328027392272</c:v>
                </c:pt>
                <c:pt idx="2">
                  <c:v>27193.413004880142</c:v>
                </c:pt>
                <c:pt idx="3">
                  <c:v>197418.38599738761</c:v>
                </c:pt>
                <c:pt idx="4">
                  <c:v>109530.61775661931</c:v>
                </c:pt>
                <c:pt idx="5">
                  <c:v>3710.3809244657346</c:v>
                </c:pt>
                <c:pt idx="6">
                  <c:v>8818.130700129941</c:v>
                </c:pt>
              </c:numCache>
            </c:numRef>
          </c:val>
          <c:extLst>
            <c:ext xmlns:c16="http://schemas.microsoft.com/office/drawing/2014/chart" uri="{C3380CC4-5D6E-409C-BE32-E72D297353CC}">
              <c16:uniqueId val="{00000004-5771-47C4-8F8D-3595D6B12BD7}"/>
            </c:ext>
          </c:extLst>
        </c:ser>
        <c:dLbls>
          <c:dLblPos val="ctr"/>
          <c:showLegendKey val="0"/>
          <c:showVal val="1"/>
          <c:showCatName val="0"/>
          <c:showSerName val="0"/>
          <c:showPercent val="0"/>
          <c:showBubbleSize val="0"/>
        </c:dLbls>
        <c:gapWidth val="150"/>
        <c:overlap val="100"/>
        <c:axId val="1140645984"/>
        <c:axId val="1140644016"/>
      </c:barChart>
      <c:lineChart>
        <c:grouping val="standard"/>
        <c:varyColors val="0"/>
        <c:ser>
          <c:idx val="8"/>
          <c:order val="8"/>
          <c:tx>
            <c:strRef>
              <c:f>'Cost Summary Nominal'!$B$14</c:f>
              <c:strCache>
                <c:ptCount val="1"/>
                <c:pt idx="0">
                  <c:v>Total Cost</c:v>
                </c:pt>
              </c:strCache>
            </c:strRef>
          </c:tx>
          <c:spPr>
            <a:ln w="28575" cap="rnd">
              <a:noFill/>
              <a:round/>
            </a:ln>
            <a:effectLst>
              <a:glow>
                <a:schemeClr val="tx1">
                  <a:alpha val="40000"/>
                </a:schemeClr>
              </a:glow>
            </a:effectLst>
          </c:spPr>
          <c:marker>
            <c:symbol val="x"/>
            <c:size val="6"/>
            <c:spPr>
              <a:noFill/>
              <a:ln w="19050">
                <a:solidFill>
                  <a:schemeClr val="tx1"/>
                </a:solidFill>
              </a:ln>
              <a:effectLst>
                <a:glow>
                  <a:schemeClr val="tx1">
                    <a:alpha val="40000"/>
                  </a:schemeClr>
                </a:glow>
              </a:effectLst>
            </c:spPr>
          </c:marker>
          <c:dLbls>
            <c:dLbl>
              <c:idx val="5"/>
              <c:numFmt formatCode="&quot;$&quot;0.00,,\ &quot;M&quot;" sourceLinked="0"/>
              <c:spPr>
                <a:noFill/>
                <a:ln>
                  <a:noFill/>
                </a:ln>
                <a:effectLst>
                  <a:glow rad="127000">
                    <a:srgbClr val="FF0000"/>
                  </a:glow>
                </a:effectLst>
              </c:spPr>
              <c:txPr>
                <a:bodyPr rot="0" spcFirstLastPara="1" vertOverflow="ellipsis" vert="horz" wrap="square" lIns="38100" tIns="19050" rIns="38100" bIns="19050" anchor="t" anchorCtr="0">
                  <a:spAutoFit/>
                </a:bodyPr>
                <a:lstStyle/>
                <a:p>
                  <a:pPr>
                    <a:defRPr sz="1800" b="0" i="0" u="none" strike="noStrike" kern="1200" cap="none" spc="0" baseline="0">
                      <a:ln w="3175">
                        <a:solidFill>
                          <a:srgbClr val="FF0000"/>
                        </a:solidFill>
                      </a:ln>
                      <a:solidFill>
                        <a:schemeClr val="tx1"/>
                      </a:solidFill>
                      <a:effectLst>
                        <a:outerShdw blurRad="38100" dist="19050" dir="2700000" algn="tl" rotWithShape="0">
                          <a:schemeClr val="dk1">
                            <a:alpha val="40000"/>
                          </a:schemeClr>
                        </a:outerShdw>
                      </a:effectLst>
                      <a:latin typeface="+mj-lt"/>
                      <a:ea typeface="+mn-ea"/>
                      <a:cs typeface="+mn-cs"/>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3-949E-4F23-BCBE-60619A528669}"/>
                </c:ext>
              </c:extLst>
            </c:dLbl>
            <c:numFmt formatCode="&quot;$&quot;0.00,,\ &quot;M&quot;" sourceLinked="0"/>
            <c:spPr>
              <a:noFill/>
              <a:ln>
                <a:noFill/>
              </a:ln>
              <a:effectLst>
                <a:glow rad="127000">
                  <a:srgbClr val="FF0000"/>
                </a:glow>
              </a:effectLst>
            </c:spPr>
            <c:txPr>
              <a:bodyPr rot="0" spcFirstLastPara="1" vertOverflow="ellipsis" vert="horz" wrap="square" lIns="38100" tIns="19050" rIns="38100" bIns="19050" anchor="ctr" anchorCtr="1">
                <a:spAutoFit/>
              </a:bodyPr>
              <a:lstStyle/>
              <a:p>
                <a:pPr>
                  <a:defRPr sz="1800" b="0" i="0" u="none" strike="noStrike" kern="1200" cap="none" spc="0" baseline="0">
                    <a:ln w="3175">
                      <a:solidFill>
                        <a:srgbClr val="FF0000"/>
                      </a:solidFill>
                    </a:ln>
                    <a:solidFill>
                      <a:schemeClr val="tx1"/>
                    </a:solidFill>
                    <a:effectLst>
                      <a:outerShdw blurRad="38100" dist="19050" dir="2700000" algn="tl" rotWithShape="0">
                        <a:schemeClr val="dk1">
                          <a:alpha val="40000"/>
                        </a:schemeClr>
                      </a:outerShdw>
                    </a:effectLst>
                    <a:latin typeface="+mj-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'Cost Summary Nominal'!$C$14:$I$14</c:f>
              <c:numCache>
                <c:formatCode>"$"#,##0_);[Red]\("$"#,##0\)</c:formatCode>
                <c:ptCount val="7"/>
                <c:pt idx="0">
                  <c:v>865915.84684003401</c:v>
                </c:pt>
                <c:pt idx="1">
                  <c:v>872383.67107903725</c:v>
                </c:pt>
                <c:pt idx="2">
                  <c:v>905770.57105958986</c:v>
                </c:pt>
                <c:pt idx="3">
                  <c:v>1147348.8036165151</c:v>
                </c:pt>
                <c:pt idx="4">
                  <c:v>1134956.4883621293</c:v>
                </c:pt>
                <c:pt idx="5">
                  <c:v>998220.12417810713</c:v>
                </c:pt>
                <c:pt idx="6">
                  <c:v>1011882.1112112446</c:v>
                </c:pt>
              </c:numCache>
            </c:numRef>
          </c:val>
          <c:smooth val="0"/>
          <c:extLst>
            <c:ext xmlns:c16="http://schemas.microsoft.com/office/drawing/2014/chart" uri="{C3380CC4-5D6E-409C-BE32-E72D297353CC}">
              <c16:uniqueId val="{00000001-949E-4F23-BCBE-60619A528669}"/>
            </c:ext>
          </c:extLst>
        </c:ser>
        <c:dLbls>
          <c:dLblPos val="ctr"/>
          <c:showLegendKey val="0"/>
          <c:showVal val="1"/>
          <c:showCatName val="0"/>
          <c:showSerName val="0"/>
          <c:showPercent val="0"/>
          <c:showBubbleSize val="0"/>
        </c:dLbls>
        <c:marker val="1"/>
        <c:smooth val="0"/>
        <c:axId val="1140645984"/>
        <c:axId val="1140644016"/>
      </c:lineChart>
      <c:catAx>
        <c:axId val="1140645984"/>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endParaRPr lang="en-US"/>
          </a:p>
        </c:txPr>
        <c:crossAx val="1140644016"/>
        <c:crosses val="autoZero"/>
        <c:auto val="1"/>
        <c:lblAlgn val="ctr"/>
        <c:lblOffset val="100"/>
        <c:noMultiLvlLbl val="0"/>
      </c:catAx>
      <c:valAx>
        <c:axId val="11406440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0"/>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endParaRPr lang="en-US"/>
          </a:p>
        </c:txPr>
        <c:crossAx val="1140645984"/>
        <c:crosses val="autoZero"/>
        <c:crossBetween val="between"/>
      </c:valAx>
      <c:spPr>
        <a:noFill/>
        <a:ln>
          <a:solidFill>
            <a:schemeClr val="tx1">
              <a:lumMod val="50000"/>
              <a:lumOff val="50000"/>
            </a:schemeClr>
          </a:solidFill>
        </a:ln>
        <a:effectLst/>
      </c:spPr>
    </c:plotArea>
    <c:legend>
      <c:legendPos val="b"/>
      <c:layout>
        <c:manualLayout>
          <c:xMode val="edge"/>
          <c:yMode val="edge"/>
          <c:x val="0.83833402625612974"/>
          <c:y val="0.16230105157151928"/>
          <c:w val="0.15759890522201189"/>
          <c:h val="0.6657447476155377"/>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rgbClr val="00843D"/>
      </a:solidFill>
      <a:round/>
    </a:ln>
    <a:effectLst/>
  </c:spPr>
  <c:txPr>
    <a:bodyPr/>
    <a:lstStyle/>
    <a:p>
      <a:pPr>
        <a:defRPr sz="1600" b="1">
          <a:latin typeface="+mj-lt"/>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r>
              <a:rPr lang="en-US"/>
              <a:t>Example of HD-</a:t>
            </a:r>
            <a:r>
              <a:rPr lang="en-US" b="1">
                <a:solidFill>
                  <a:srgbClr val="FF0000"/>
                </a:solidFill>
              </a:rPr>
              <a:t>BEV</a:t>
            </a:r>
            <a:r>
              <a:rPr lang="en-US"/>
              <a:t> TCO </a:t>
            </a:r>
            <a:endParaRPr lang="zh-CN"/>
          </a:p>
        </c:rich>
      </c:tx>
      <c:layout>
        <c:manualLayout>
          <c:xMode val="edge"/>
          <c:yMode val="edge"/>
          <c:x val="6.9957933584624023E-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3.1139279446615754E-2"/>
          <c:y val="8.1192995724488737E-2"/>
          <c:w val="0.612264069035382"/>
          <c:h val="0.89634306555987231"/>
        </c:manualLayout>
      </c:layout>
      <c:pieChart>
        <c:varyColors val="1"/>
        <c:ser>
          <c:idx val="0"/>
          <c:order val="0"/>
          <c:dPt>
            <c:idx val="0"/>
            <c:bubble3D val="0"/>
            <c:spPr>
              <a:solidFill>
                <a:srgbClr val="5F6369"/>
              </a:solidFill>
              <a:ln w="19050">
                <a:solidFill>
                  <a:schemeClr val="lt1"/>
                </a:solidFill>
              </a:ln>
              <a:effectLst/>
            </c:spPr>
            <c:extLst>
              <c:ext xmlns:c16="http://schemas.microsoft.com/office/drawing/2014/chart" uri="{C3380CC4-5D6E-409C-BE32-E72D297353CC}">
                <c16:uniqueId val="{00000001-E1FD-4816-9194-3D3B0443ECEA}"/>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E1FD-4816-9194-3D3B0443ECEA}"/>
              </c:ext>
            </c:extLst>
          </c:dPt>
          <c:dPt>
            <c:idx val="2"/>
            <c:bubble3D val="0"/>
            <c:spPr>
              <a:solidFill>
                <a:schemeClr val="tx1">
                  <a:lumMod val="85000"/>
                  <a:lumOff val="15000"/>
                </a:schemeClr>
              </a:solidFill>
              <a:ln w="19050">
                <a:solidFill>
                  <a:schemeClr val="lt1"/>
                </a:solidFill>
              </a:ln>
              <a:effectLst/>
            </c:spPr>
            <c:extLst>
              <c:ext xmlns:c16="http://schemas.microsoft.com/office/drawing/2014/chart" uri="{C3380CC4-5D6E-409C-BE32-E72D297353CC}">
                <c16:uniqueId val="{00000005-E1FD-4816-9194-3D3B0443ECE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1FD-4816-9194-3D3B0443ECEA}"/>
              </c:ext>
            </c:extLst>
          </c:dPt>
          <c:dPt>
            <c:idx val="4"/>
            <c:bubble3D val="0"/>
            <c:spPr>
              <a:solidFill>
                <a:srgbClr val="F05F41"/>
              </a:solidFill>
              <a:ln w="19050">
                <a:solidFill>
                  <a:schemeClr val="lt1"/>
                </a:solidFill>
              </a:ln>
              <a:effectLst/>
            </c:spPr>
            <c:extLst>
              <c:ext xmlns:c16="http://schemas.microsoft.com/office/drawing/2014/chart" uri="{C3380CC4-5D6E-409C-BE32-E72D297353CC}">
                <c16:uniqueId val="{00000009-E1FD-4816-9194-3D3B0443ECEA}"/>
              </c:ext>
            </c:extLst>
          </c:dPt>
          <c:dPt>
            <c:idx val="5"/>
            <c:bubble3D val="0"/>
            <c:spPr>
              <a:solidFill>
                <a:srgbClr val="00843D"/>
              </a:solidFill>
              <a:ln w="19050">
                <a:solidFill>
                  <a:schemeClr val="lt1"/>
                </a:solidFill>
              </a:ln>
              <a:effectLst/>
            </c:spPr>
            <c:extLst>
              <c:ext xmlns:c16="http://schemas.microsoft.com/office/drawing/2014/chart" uri="{C3380CC4-5D6E-409C-BE32-E72D297353CC}">
                <c16:uniqueId val="{0000000B-E1FD-4816-9194-3D3B0443ECEA}"/>
              </c:ext>
            </c:extLst>
          </c:dPt>
          <c:dPt>
            <c:idx val="6"/>
            <c:bubble3D val="0"/>
            <c:spPr>
              <a:solidFill>
                <a:srgbClr val="84BD00"/>
              </a:solidFill>
              <a:ln w="19050">
                <a:solidFill>
                  <a:schemeClr val="lt1"/>
                </a:solidFill>
              </a:ln>
              <a:effectLst/>
            </c:spPr>
            <c:extLst>
              <c:ext xmlns:c16="http://schemas.microsoft.com/office/drawing/2014/chart" uri="{C3380CC4-5D6E-409C-BE32-E72D297353CC}">
                <c16:uniqueId val="{0000000D-E1FD-4816-9194-3D3B0443ECEA}"/>
              </c:ext>
            </c:extLst>
          </c:dPt>
          <c:dPt>
            <c:idx val="7"/>
            <c:bubble3D val="0"/>
            <c:spPr>
              <a:solidFill>
                <a:srgbClr val="643278"/>
              </a:solidFill>
              <a:ln w="19050">
                <a:solidFill>
                  <a:schemeClr val="lt1"/>
                </a:solidFill>
              </a:ln>
              <a:effectLst/>
            </c:spPr>
            <c:extLst>
              <c:ext xmlns:c16="http://schemas.microsoft.com/office/drawing/2014/chart" uri="{C3380CC4-5D6E-409C-BE32-E72D297353CC}">
                <c16:uniqueId val="{0000000F-E1FD-4816-9194-3D3B0443ECEA}"/>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'Cost Summary Nominal'!$B$6:$B$13</c:f>
              <c:strCache>
                <c:ptCount val="8"/>
                <c:pt idx="0">
                  <c:v>Vehicle Cost</c:v>
                </c:pt>
                <c:pt idx="1">
                  <c:v>Fuel Cost</c:v>
                </c:pt>
                <c:pt idx="2">
                  <c:v>Infrastructure Cost</c:v>
                </c:pt>
                <c:pt idx="3">
                  <c:v>Maintenance Cost</c:v>
                </c:pt>
                <c:pt idx="4">
                  <c:v>Durability Cost</c:v>
                </c:pt>
                <c:pt idx="5">
                  <c:v>Insurance Cost</c:v>
                </c:pt>
                <c:pt idx="6">
                  <c:v>Revenue Loss</c:v>
                </c:pt>
                <c:pt idx="7">
                  <c:v>GHG Emission Cost</c:v>
                </c:pt>
              </c:strCache>
            </c:strRef>
          </c:cat>
          <c:val>
            <c:numRef>
              <c:f>'Cost Summary Nominal'!$F$6:$F$13</c:f>
              <c:numCache>
                <c:formatCode>"$"#,##0_);[Red]\("$"#,##0\)</c:formatCode>
                <c:ptCount val="8"/>
                <c:pt idx="0">
                  <c:v>164950.63743799072</c:v>
                </c:pt>
                <c:pt idx="1">
                  <c:v>344897.40985320543</c:v>
                </c:pt>
                <c:pt idx="2">
                  <c:v>64895.426714959605</c:v>
                </c:pt>
                <c:pt idx="3">
                  <c:v>117395.87544039948</c:v>
                </c:pt>
                <c:pt idx="4">
                  <c:v>0</c:v>
                </c:pt>
                <c:pt idx="5">
                  <c:v>84217.762292952189</c:v>
                </c:pt>
                <c:pt idx="6">
                  <c:v>197418.38599738761</c:v>
                </c:pt>
                <c:pt idx="7">
                  <c:v>173573.30587962014</c:v>
                </c:pt>
              </c:numCache>
            </c:numRef>
          </c:val>
          <c:extLst>
            <c:ext xmlns:c16="http://schemas.microsoft.com/office/drawing/2014/chart" uri="{C3380CC4-5D6E-409C-BE32-E72D297353CC}">
              <c16:uniqueId val="{00000010-E1FD-4816-9194-3D3B0443ECE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63952420023931511"/>
          <c:y val="6.2521373854791493E-2"/>
          <c:w val="0.35056992933457171"/>
          <c:h val="0.8838119517313841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rgbClr val="00B0F0"/>
      </a:solidFill>
      <a:round/>
    </a:ln>
    <a:effectLst/>
  </c:spPr>
  <c:txPr>
    <a:bodyPr/>
    <a:lstStyle/>
    <a:p>
      <a:pPr>
        <a:defRPr>
          <a:latin typeface="+mn-lt"/>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r>
              <a:rPr lang="en-US"/>
              <a:t>Example of HD-</a:t>
            </a:r>
            <a:r>
              <a:rPr lang="en-US" b="1">
                <a:solidFill>
                  <a:srgbClr val="FF0000"/>
                </a:solidFill>
              </a:rPr>
              <a:t>H2ICEV</a:t>
            </a:r>
            <a:r>
              <a:rPr lang="en-US"/>
              <a:t> TCO </a:t>
            </a:r>
            <a:endParaRPr lang="zh-CN"/>
          </a:p>
        </c:rich>
      </c:tx>
      <c:layout>
        <c:manualLayout>
          <c:xMode val="edge"/>
          <c:yMode val="edge"/>
          <c:x val="6.9957933584624023E-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3.1139279446615754E-2"/>
          <c:y val="8.1192995724488737E-2"/>
          <c:w val="0.612264069035382"/>
          <c:h val="0.89634306555987231"/>
        </c:manualLayout>
      </c:layout>
      <c:pieChart>
        <c:varyColors val="1"/>
        <c:ser>
          <c:idx val="0"/>
          <c:order val="0"/>
          <c:dPt>
            <c:idx val="0"/>
            <c:bubble3D val="0"/>
            <c:spPr>
              <a:solidFill>
                <a:srgbClr val="5F6369"/>
              </a:solidFill>
              <a:ln w="19050">
                <a:solidFill>
                  <a:schemeClr val="lt1"/>
                </a:solidFill>
              </a:ln>
              <a:effectLst/>
            </c:spPr>
            <c:extLst>
              <c:ext xmlns:c16="http://schemas.microsoft.com/office/drawing/2014/chart" uri="{C3380CC4-5D6E-409C-BE32-E72D297353CC}">
                <c16:uniqueId val="{00000001-45EA-45BB-8897-081EA3A78DBA}"/>
              </c:ext>
            </c:extLst>
          </c:dPt>
          <c:dPt>
            <c:idx val="1"/>
            <c:bubble3D val="0"/>
            <c:spPr>
              <a:solidFill>
                <a:srgbClr val="00A3E0"/>
              </a:solidFill>
              <a:ln w="19050">
                <a:solidFill>
                  <a:schemeClr val="lt1"/>
                </a:solidFill>
              </a:ln>
              <a:effectLst/>
            </c:spPr>
            <c:extLst>
              <c:ext xmlns:c16="http://schemas.microsoft.com/office/drawing/2014/chart" uri="{C3380CC4-5D6E-409C-BE32-E72D297353CC}">
                <c16:uniqueId val="{00000003-45EA-45BB-8897-081EA3A78DBA}"/>
              </c:ext>
            </c:extLst>
          </c:dPt>
          <c:dPt>
            <c:idx val="2"/>
            <c:bubble3D val="0"/>
            <c:spPr>
              <a:solidFill>
                <a:schemeClr val="tx1"/>
              </a:solidFill>
              <a:ln w="19050">
                <a:solidFill>
                  <a:schemeClr val="lt1"/>
                </a:solidFill>
              </a:ln>
              <a:effectLst/>
            </c:spPr>
            <c:extLst>
              <c:ext xmlns:c16="http://schemas.microsoft.com/office/drawing/2014/chart" uri="{C3380CC4-5D6E-409C-BE32-E72D297353CC}">
                <c16:uniqueId val="{00000005-45EA-45BB-8897-081EA3A78DB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EA-45BB-8897-081EA3A78DBA}"/>
              </c:ext>
            </c:extLst>
          </c:dPt>
          <c:dPt>
            <c:idx val="4"/>
            <c:bubble3D val="0"/>
            <c:spPr>
              <a:solidFill>
                <a:srgbClr val="F05F41"/>
              </a:solidFill>
              <a:ln w="19050">
                <a:solidFill>
                  <a:schemeClr val="lt1"/>
                </a:solidFill>
              </a:ln>
              <a:effectLst/>
            </c:spPr>
            <c:extLst>
              <c:ext xmlns:c16="http://schemas.microsoft.com/office/drawing/2014/chart" uri="{C3380CC4-5D6E-409C-BE32-E72D297353CC}">
                <c16:uniqueId val="{00000009-45EA-45BB-8897-081EA3A78DBA}"/>
              </c:ext>
            </c:extLst>
          </c:dPt>
          <c:dPt>
            <c:idx val="5"/>
            <c:bubble3D val="0"/>
            <c:spPr>
              <a:solidFill>
                <a:srgbClr val="00843D"/>
              </a:solidFill>
              <a:ln w="19050">
                <a:solidFill>
                  <a:schemeClr val="lt1"/>
                </a:solidFill>
              </a:ln>
              <a:effectLst/>
            </c:spPr>
            <c:extLst>
              <c:ext xmlns:c16="http://schemas.microsoft.com/office/drawing/2014/chart" uri="{C3380CC4-5D6E-409C-BE32-E72D297353CC}">
                <c16:uniqueId val="{0000000B-45EA-45BB-8897-081EA3A78DBA}"/>
              </c:ext>
            </c:extLst>
          </c:dPt>
          <c:dPt>
            <c:idx val="6"/>
            <c:bubble3D val="0"/>
            <c:spPr>
              <a:solidFill>
                <a:srgbClr val="84BD00"/>
              </a:solidFill>
              <a:ln w="19050">
                <a:solidFill>
                  <a:schemeClr val="lt1"/>
                </a:solidFill>
              </a:ln>
              <a:effectLst/>
            </c:spPr>
            <c:extLst>
              <c:ext xmlns:c16="http://schemas.microsoft.com/office/drawing/2014/chart" uri="{C3380CC4-5D6E-409C-BE32-E72D297353CC}">
                <c16:uniqueId val="{0000000D-45EA-45BB-8897-081EA3A78DBA}"/>
              </c:ext>
            </c:extLst>
          </c:dPt>
          <c:dPt>
            <c:idx val="7"/>
            <c:bubble3D val="0"/>
            <c:spPr>
              <a:solidFill>
                <a:srgbClr val="643278"/>
              </a:solidFill>
              <a:ln w="19050">
                <a:solidFill>
                  <a:schemeClr val="lt1"/>
                </a:solidFill>
              </a:ln>
              <a:effectLst/>
            </c:spPr>
            <c:extLst>
              <c:ext xmlns:c16="http://schemas.microsoft.com/office/drawing/2014/chart" uri="{C3380CC4-5D6E-409C-BE32-E72D297353CC}">
                <c16:uniqueId val="{0000000F-45EA-45BB-8897-081EA3A78DBA}"/>
              </c:ext>
            </c:extLst>
          </c:dPt>
          <c:dLbls>
            <c:dLbl>
              <c:idx val="6"/>
              <c:layout>
                <c:manualLayout>
                  <c:x val="-2.0311908512974128E-2"/>
                  <c:y val="2.9122047957070726E-2"/>
                </c:manualLayout>
              </c:layout>
              <c:spPr>
                <a:noFill/>
                <a:ln>
                  <a:noFill/>
                </a:ln>
                <a:effectLst/>
              </c:spPr>
              <c:txPr>
                <a:bodyPr rot="0" spcFirstLastPara="1" vertOverflow="ellipsis" vert="horz" wrap="square" lIns="38100" tIns="19050" rIns="38100" bIns="19050" anchor="ctr" anchorCtr="1">
                  <a:noAutofit/>
                </a:bodyPr>
                <a:lstStyle/>
                <a:p>
                  <a:pPr>
                    <a:defRPr sz="1050" b="1"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5.4177545691906005E-2"/>
                      <c:h val="7.889733840304182E-2"/>
                    </c:manualLayout>
                  </c15:layout>
                </c:ext>
                <c:ext xmlns:c16="http://schemas.microsoft.com/office/drawing/2014/chart" uri="{C3380CC4-5D6E-409C-BE32-E72D297353CC}">
                  <c16:uniqueId val="{0000000D-45EA-45BB-8897-081EA3A78DBA}"/>
                </c:ext>
              </c:extLst>
            </c:dLbl>
            <c:dLbl>
              <c:idx val="7"/>
              <c:layout>
                <c:manualLayout>
                  <c:x val="-3.4182941269555443E-3"/>
                  <c:y val="2.3648486360918652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F-45EA-45BB-8897-081EA3A78DBA}"/>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'Cost Summary Nominal'!$B$6:$B$13</c:f>
              <c:strCache>
                <c:ptCount val="8"/>
                <c:pt idx="0">
                  <c:v>Vehicle Cost</c:v>
                </c:pt>
                <c:pt idx="1">
                  <c:v>Fuel Cost</c:v>
                </c:pt>
                <c:pt idx="2">
                  <c:v>Infrastructure Cost</c:v>
                </c:pt>
                <c:pt idx="3">
                  <c:v>Maintenance Cost</c:v>
                </c:pt>
                <c:pt idx="4">
                  <c:v>Durability Cost</c:v>
                </c:pt>
                <c:pt idx="5">
                  <c:v>Insurance Cost</c:v>
                </c:pt>
                <c:pt idx="6">
                  <c:v>Revenue Loss</c:v>
                </c:pt>
                <c:pt idx="7">
                  <c:v>GHG Emission Cost</c:v>
                </c:pt>
              </c:strCache>
            </c:strRef>
          </c:cat>
          <c:val>
            <c:numRef>
              <c:f>'Cost Summary Nominal'!$I$6:$I$13</c:f>
              <c:numCache>
                <c:formatCode>"$"#,##0_);[Red]\("$"#,##0\)</c:formatCode>
                <c:ptCount val="8"/>
                <c:pt idx="0">
                  <c:v>168861.91699903429</c:v>
                </c:pt>
                <c:pt idx="1">
                  <c:v>518983.96551716625</c:v>
                </c:pt>
                <c:pt idx="2">
                  <c:v>0</c:v>
                </c:pt>
                <c:pt idx="3">
                  <c:v>158653.98572241058</c:v>
                </c:pt>
                <c:pt idx="4">
                  <c:v>0</c:v>
                </c:pt>
                <c:pt idx="5">
                  <c:v>84814.880890529239</c:v>
                </c:pt>
                <c:pt idx="6">
                  <c:v>8818.130700129941</c:v>
                </c:pt>
                <c:pt idx="7">
                  <c:v>71749.231381974329</c:v>
                </c:pt>
              </c:numCache>
            </c:numRef>
          </c:val>
          <c:extLst>
            <c:ext xmlns:c16="http://schemas.microsoft.com/office/drawing/2014/chart" uri="{C3380CC4-5D6E-409C-BE32-E72D297353CC}">
              <c16:uniqueId val="{00000010-45EA-45BB-8897-081EA3A78DBA}"/>
            </c:ext>
          </c:extLst>
        </c:ser>
        <c:dLbls>
          <c:dLblPos val="bestFit"/>
          <c:showLegendKey val="0"/>
          <c:showVal val="1"/>
          <c:showCatName val="0"/>
          <c:showSerName val="0"/>
          <c:showPercent val="0"/>
          <c:showBubbleSize val="0"/>
          <c:showLeaderLines val="0"/>
        </c:dLbls>
        <c:firstSliceAng val="54"/>
      </c:pieChart>
      <c:spPr>
        <a:noFill/>
        <a:ln>
          <a:noFill/>
        </a:ln>
        <a:effectLst/>
      </c:spPr>
    </c:plotArea>
    <c:legend>
      <c:legendPos val="b"/>
      <c:layout>
        <c:manualLayout>
          <c:xMode val="edge"/>
          <c:yMode val="edge"/>
          <c:x val="0.64136525948748091"/>
          <c:y val="8.9276438072519684E-2"/>
          <c:w val="0.35381904896871597"/>
          <c:h val="0.83848754911635959"/>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rgbClr val="00B0F0"/>
      </a:solidFill>
      <a:round/>
    </a:ln>
    <a:effectLst/>
  </c:spPr>
  <c:txPr>
    <a:bodyPr/>
    <a:lstStyle/>
    <a:p>
      <a:pPr>
        <a:defRPr>
          <a:latin typeface="+mn-lt"/>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16571956820061"/>
          <c:y val="3.7475206702035274E-2"/>
          <c:w val="0.72609027444968721"/>
          <c:h val="0.84944794319616446"/>
        </c:manualLayout>
      </c:layout>
      <c:barChart>
        <c:barDir val="col"/>
        <c:grouping val="stacked"/>
        <c:varyColors val="0"/>
        <c:ser>
          <c:idx val="0"/>
          <c:order val="0"/>
          <c:tx>
            <c:strRef>
              <c:f>'Cost Summary Nominal'!$B$6</c:f>
              <c:strCache>
                <c:ptCount val="1"/>
                <c:pt idx="0">
                  <c:v>Vehicle Cost</c:v>
                </c:pt>
              </c:strCache>
            </c:strRef>
          </c:tx>
          <c:spPr>
            <a:solidFill>
              <a:srgbClr val="5F6369"/>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Nominal'!$C$5:$I$5</c15:sqref>
                  </c15:fullRef>
                </c:ext>
              </c:extLst>
              <c:f>'Cost Summary Nominal'!$G$5</c:f>
              <c:strCache>
                <c:ptCount val="1"/>
                <c:pt idx="0">
                  <c:v>BEV 500 mile</c:v>
                </c:pt>
              </c:strCache>
            </c:strRef>
          </c:cat>
          <c:val>
            <c:numRef>
              <c:extLst>
                <c:ext xmlns:c15="http://schemas.microsoft.com/office/drawing/2012/chart" uri="{02D57815-91ED-43cb-92C2-25804820EDAC}">
                  <c15:fullRef>
                    <c15:sqref>'Cost Summary Nominal'!$C$6:$I$6</c15:sqref>
                  </c15:fullRef>
                </c:ext>
              </c:extLst>
              <c:f>'Cost Summary Nominal'!$G$6</c:f>
              <c:numCache>
                <c:formatCode>"$"#,##0_);[Red]\("$"#,##0\)</c:formatCode>
                <c:ptCount val="1"/>
                <c:pt idx="0">
                  <c:v>232873.09835298421</c:v>
                </c:pt>
              </c:numCache>
            </c:numRef>
          </c:val>
          <c:extLst>
            <c:ext xmlns:c16="http://schemas.microsoft.com/office/drawing/2014/chart" uri="{C3380CC4-5D6E-409C-BE32-E72D297353CC}">
              <c16:uniqueId val="{00000000-0EBF-4E47-BB52-98B3393DD2C1}"/>
            </c:ext>
          </c:extLst>
        </c:ser>
        <c:ser>
          <c:idx val="1"/>
          <c:order val="1"/>
          <c:tx>
            <c:strRef>
              <c:f>'Cost Summary Nominal'!$B$7</c:f>
              <c:strCache>
                <c:ptCount val="1"/>
                <c:pt idx="0">
                  <c:v>Fuel Cost</c:v>
                </c:pt>
              </c:strCache>
            </c:strRef>
          </c:tx>
          <c:spPr>
            <a:solidFill>
              <a:srgbClr val="00B0F0"/>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Nominal'!$C$5:$I$5</c15:sqref>
                  </c15:fullRef>
                </c:ext>
              </c:extLst>
              <c:f>'Cost Summary Nominal'!$G$5</c:f>
              <c:strCache>
                <c:ptCount val="1"/>
                <c:pt idx="0">
                  <c:v>BEV 500 mile</c:v>
                </c:pt>
              </c:strCache>
            </c:strRef>
          </c:cat>
          <c:val>
            <c:numRef>
              <c:extLst>
                <c:ext xmlns:c15="http://schemas.microsoft.com/office/drawing/2012/chart" uri="{02D57815-91ED-43cb-92C2-25804820EDAC}">
                  <c15:fullRef>
                    <c15:sqref>'Cost Summary Nominal'!$C$7:$I$7</c15:sqref>
                  </c15:fullRef>
                </c:ext>
              </c:extLst>
              <c:f>'Cost Summary Nominal'!$G$7</c:f>
              <c:numCache>
                <c:formatCode>"$"#,##0_);[Red]\("$"#,##0\)</c:formatCode>
                <c:ptCount val="1"/>
                <c:pt idx="0">
                  <c:v>324662.50133157568</c:v>
                </c:pt>
              </c:numCache>
            </c:numRef>
          </c:val>
          <c:extLst>
            <c:ext xmlns:c16="http://schemas.microsoft.com/office/drawing/2014/chart" uri="{C3380CC4-5D6E-409C-BE32-E72D297353CC}">
              <c16:uniqueId val="{00000001-0EBF-4E47-BB52-98B3393DD2C1}"/>
            </c:ext>
          </c:extLst>
        </c:ser>
        <c:ser>
          <c:idx val="2"/>
          <c:order val="2"/>
          <c:tx>
            <c:strRef>
              <c:f>'Cost Summary Nominal'!$B$8</c:f>
              <c:strCache>
                <c:ptCount val="1"/>
                <c:pt idx="0">
                  <c:v>Infrastructure Cost</c:v>
                </c:pt>
              </c:strCache>
            </c:strRef>
          </c:tx>
          <c:spPr>
            <a:solidFill>
              <a:schemeClr val="tx1"/>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Nominal'!$C$5:$I$5</c15:sqref>
                  </c15:fullRef>
                </c:ext>
              </c:extLst>
              <c:f>'Cost Summary Nominal'!$G$5</c:f>
              <c:strCache>
                <c:ptCount val="1"/>
                <c:pt idx="0">
                  <c:v>BEV 500 mile</c:v>
                </c:pt>
              </c:strCache>
            </c:strRef>
          </c:cat>
          <c:val>
            <c:numRef>
              <c:extLst>
                <c:ext xmlns:c15="http://schemas.microsoft.com/office/drawing/2012/chart" uri="{02D57815-91ED-43cb-92C2-25804820EDAC}">
                  <c15:fullRef>
                    <c15:sqref>'Cost Summary Nominal'!$C$8:$I$8</c15:sqref>
                  </c15:fullRef>
                </c:ext>
              </c:extLst>
              <c:f>'Cost Summary Nominal'!$G$8</c:f>
              <c:numCache>
                <c:formatCode>"$"#,##0_);[Red]\("$"#,##0\)</c:formatCode>
                <c:ptCount val="1"/>
                <c:pt idx="0">
                  <c:v>65868.858115683994</c:v>
                </c:pt>
              </c:numCache>
            </c:numRef>
          </c:val>
          <c:extLst>
            <c:ext xmlns:c16="http://schemas.microsoft.com/office/drawing/2014/chart" uri="{C3380CC4-5D6E-409C-BE32-E72D297353CC}">
              <c16:uniqueId val="{00000002-0EBF-4E47-BB52-98B3393DD2C1}"/>
            </c:ext>
          </c:extLst>
        </c:ser>
        <c:ser>
          <c:idx val="7"/>
          <c:order val="3"/>
          <c:tx>
            <c:strRef>
              <c:f>'Cost Summary Nominal'!$B$11</c:f>
              <c:strCache>
                <c:ptCount val="1"/>
                <c:pt idx="0">
                  <c:v>Insurance Cost</c:v>
                </c:pt>
              </c:strCache>
            </c:strRef>
          </c:tx>
          <c:spPr>
            <a:solidFill>
              <a:srgbClr val="00843D"/>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BEV 500 mile</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'Cost Summary Nominal'!$C$11:$I$11</c15:sqref>
                  </c15:fullRef>
                </c:ext>
              </c:extLst>
              <c:f>'Cost Summary Nominal'!$G$11</c:f>
              <c:numCache>
                <c:formatCode>"$"#,##0_);[Red]\("$"#,##0\)</c:formatCode>
                <c:ptCount val="1"/>
                <c:pt idx="0">
                  <c:v>94587.198681365931</c:v>
                </c:pt>
              </c:numCache>
            </c:numRef>
          </c:val>
          <c:extLst>
            <c:ext xmlns:c16="http://schemas.microsoft.com/office/drawing/2014/chart" uri="{C3380CC4-5D6E-409C-BE32-E72D297353CC}">
              <c16:uniqueId val="{00000003-0EBF-4E47-BB52-98B3393DD2C1}"/>
            </c:ext>
          </c:extLst>
        </c:ser>
        <c:ser>
          <c:idx val="3"/>
          <c:order val="4"/>
          <c:tx>
            <c:strRef>
              <c:f>'Cost Summary Nominal'!$B$9</c:f>
              <c:strCache>
                <c:ptCount val="1"/>
                <c:pt idx="0">
                  <c:v>Maintenance Cost</c:v>
                </c:pt>
              </c:strCache>
            </c:strRef>
          </c:tx>
          <c:spPr>
            <a:solidFill>
              <a:schemeClr val="accent4"/>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Nominal'!$C$5:$I$5</c15:sqref>
                  </c15:fullRef>
                </c:ext>
              </c:extLst>
              <c:f>'Cost Summary Nominal'!$G$5</c:f>
              <c:strCache>
                <c:ptCount val="1"/>
                <c:pt idx="0">
                  <c:v>BEV 500 mile</c:v>
                </c:pt>
              </c:strCache>
            </c:strRef>
          </c:cat>
          <c:val>
            <c:numRef>
              <c:extLst>
                <c:ext xmlns:c15="http://schemas.microsoft.com/office/drawing/2012/chart" uri="{02D57815-91ED-43cb-92C2-25804820EDAC}">
                  <c15:fullRef>
                    <c15:sqref>'Cost Summary Nominal'!$C$9:$I$9</c15:sqref>
                  </c15:fullRef>
                </c:ext>
              </c:extLst>
              <c:f>'Cost Summary Nominal'!$G$9</c:f>
              <c:numCache>
                <c:formatCode>"$"#,##0_);[Red]\("$"#,##0\)</c:formatCode>
                <c:ptCount val="1"/>
                <c:pt idx="0">
                  <c:v>131257.30865608572</c:v>
                </c:pt>
              </c:numCache>
            </c:numRef>
          </c:val>
          <c:extLst>
            <c:ext xmlns:c16="http://schemas.microsoft.com/office/drawing/2014/chart" uri="{C3380CC4-5D6E-409C-BE32-E72D297353CC}">
              <c16:uniqueId val="{00000004-0EBF-4E47-BB52-98B3393DD2C1}"/>
            </c:ext>
          </c:extLst>
        </c:ser>
        <c:ser>
          <c:idx val="5"/>
          <c:order val="5"/>
          <c:tx>
            <c:strRef>
              <c:f>'Cost Summary Nominal'!$B$13</c:f>
              <c:strCache>
                <c:ptCount val="1"/>
                <c:pt idx="0">
                  <c:v>GHG Emission Cost</c:v>
                </c:pt>
              </c:strCache>
            </c:strRef>
          </c:tx>
          <c:spPr>
            <a:solidFill>
              <a:srgbClr val="643278"/>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Nominal'!$C$5:$I$5</c15:sqref>
                  </c15:fullRef>
                </c:ext>
              </c:extLst>
              <c:f>'Cost Summary Nominal'!$G$5</c:f>
              <c:strCache>
                <c:ptCount val="1"/>
                <c:pt idx="0">
                  <c:v>BEV 500 mile</c:v>
                </c:pt>
              </c:strCache>
            </c:strRef>
          </c:cat>
          <c:val>
            <c:numRef>
              <c:extLst>
                <c:ext xmlns:c15="http://schemas.microsoft.com/office/drawing/2012/chart" uri="{02D57815-91ED-43cb-92C2-25804820EDAC}">
                  <c15:fullRef>
                    <c15:sqref>'Cost Summary Nominal'!$C$13:$I$13</c15:sqref>
                  </c15:fullRef>
                </c:ext>
              </c:extLst>
              <c:f>'Cost Summary Nominal'!$G$13</c:f>
              <c:numCache>
                <c:formatCode>"$"#,##0_);[Red]\("$"#,##0\)</c:formatCode>
                <c:ptCount val="1"/>
                <c:pt idx="0">
                  <c:v>176176.90546781447</c:v>
                </c:pt>
              </c:numCache>
            </c:numRef>
          </c:val>
          <c:extLst>
            <c:ext xmlns:c16="http://schemas.microsoft.com/office/drawing/2014/chart" uri="{C3380CC4-5D6E-409C-BE32-E72D297353CC}">
              <c16:uniqueId val="{00000005-0EBF-4E47-BB52-98B3393DD2C1}"/>
            </c:ext>
          </c:extLst>
        </c:ser>
        <c:ser>
          <c:idx val="6"/>
          <c:order val="6"/>
          <c:tx>
            <c:strRef>
              <c:f>'Cost Summary Nominal'!$B$10</c:f>
              <c:strCache>
                <c:ptCount val="1"/>
                <c:pt idx="0">
                  <c:v>Durability Cost</c:v>
                </c:pt>
              </c:strCache>
            </c:strRef>
          </c:tx>
          <c:spPr>
            <a:solidFill>
              <a:srgbClr val="F05F41"/>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BEV 500 mile</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'Cost Summary Nominal'!$C$10:$I$10</c15:sqref>
                  </c15:fullRef>
                </c:ext>
              </c:extLst>
              <c:f>'Cost Summary Nominal'!$G$10</c:f>
              <c:numCache>
                <c:formatCode>"$"#,##0_);[Red]\("$"#,##0\)</c:formatCode>
                <c:ptCount val="1"/>
                <c:pt idx="0">
                  <c:v>0</c:v>
                </c:pt>
              </c:numCache>
            </c:numRef>
          </c:val>
          <c:extLst>
            <c:ext xmlns:c15="http://schemas.microsoft.com/office/drawing/2012/chart" uri="{02D57815-91ED-43cb-92C2-25804820EDAC}">
              <c15:categoryFilterExceptions>
                <c15:categoryFilterException>
                  <c15:sqref>'Cost Summary Nominal'!$C$10</c15:sqref>
                  <c15:dLbl>
                    <c:idx val="-1"/>
                    <c:delete val="1"/>
                    <c:extLst>
                      <c:ext uri="{CE6537A1-D6FC-4f65-9D91-7224C49458BB}"/>
                      <c:ext xmlns:c16="http://schemas.microsoft.com/office/drawing/2014/chart" uri="{C3380CC4-5D6E-409C-BE32-E72D297353CC}">
                        <c16:uniqueId val="{00000000-5345-4316-A521-DD6C57D8C2D7}"/>
                      </c:ext>
                    </c:extLst>
                  </c15:dLbl>
                </c15:categoryFilterException>
                <c15:categoryFilterException>
                  <c15:sqref>'Cost Summary Nominal'!$D$10</c15:sqref>
                  <c15:dLbl>
                    <c:idx val="-1"/>
                    <c:delete val="1"/>
                    <c:extLst>
                      <c:ext uri="{CE6537A1-D6FC-4f65-9D91-7224C49458BB}"/>
                      <c:ext xmlns:c16="http://schemas.microsoft.com/office/drawing/2014/chart" uri="{C3380CC4-5D6E-409C-BE32-E72D297353CC}">
                        <c16:uniqueId val="{00000001-5345-4316-A521-DD6C57D8C2D7}"/>
                      </c:ext>
                    </c:extLst>
                  </c15:dLbl>
                </c15:categoryFilterException>
              </c15:categoryFilterExceptions>
            </c:ext>
            <c:ext xmlns:c16="http://schemas.microsoft.com/office/drawing/2014/chart" uri="{C3380CC4-5D6E-409C-BE32-E72D297353CC}">
              <c16:uniqueId val="{00000008-0EBF-4E47-BB52-98B3393DD2C1}"/>
            </c:ext>
          </c:extLst>
        </c:ser>
        <c:ser>
          <c:idx val="4"/>
          <c:order val="7"/>
          <c:tx>
            <c:strRef>
              <c:f>'Cost Summary Nominal'!$B$12</c:f>
              <c:strCache>
                <c:ptCount val="1"/>
                <c:pt idx="0">
                  <c:v>Revenue Loss</c:v>
                </c:pt>
              </c:strCache>
            </c:strRef>
          </c:tx>
          <c:spPr>
            <a:solidFill>
              <a:srgbClr val="84BD00"/>
            </a:solidFill>
            <a:ln>
              <a:noFill/>
            </a:ln>
            <a:effectLst/>
          </c:spPr>
          <c:invertIfNegative val="0"/>
          <c:dLbls>
            <c:numFmt formatCode="[&gt;49999]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Nominal'!$C$5:$I$5</c15:sqref>
                  </c15:fullRef>
                </c:ext>
              </c:extLst>
              <c:f>'Cost Summary Nominal'!$G$5</c:f>
              <c:strCache>
                <c:ptCount val="1"/>
                <c:pt idx="0">
                  <c:v>BEV 500 mile</c:v>
                </c:pt>
              </c:strCache>
            </c:strRef>
          </c:cat>
          <c:val>
            <c:numRef>
              <c:extLst>
                <c:ext xmlns:c15="http://schemas.microsoft.com/office/drawing/2012/chart" uri="{02D57815-91ED-43cb-92C2-25804820EDAC}">
                  <c15:fullRef>
                    <c15:sqref>'Cost Summary Nominal'!$C$12:$I$12</c15:sqref>
                  </c15:fullRef>
                </c:ext>
              </c:extLst>
              <c:f>'Cost Summary Nominal'!$G$12</c:f>
              <c:numCache>
                <c:formatCode>"$"#,##0_);[Red]\("$"#,##0\)</c:formatCode>
                <c:ptCount val="1"/>
                <c:pt idx="0">
                  <c:v>109530.61775661931</c:v>
                </c:pt>
              </c:numCache>
            </c:numRef>
          </c:val>
          <c:extLst>
            <c:ext xmlns:c16="http://schemas.microsoft.com/office/drawing/2014/chart" uri="{C3380CC4-5D6E-409C-BE32-E72D297353CC}">
              <c16:uniqueId val="{00000009-0EBF-4E47-BB52-98B3393DD2C1}"/>
            </c:ext>
          </c:extLst>
        </c:ser>
        <c:dLbls>
          <c:dLblPos val="ctr"/>
          <c:showLegendKey val="0"/>
          <c:showVal val="1"/>
          <c:showCatName val="0"/>
          <c:showSerName val="0"/>
          <c:showPercent val="0"/>
          <c:showBubbleSize val="0"/>
        </c:dLbls>
        <c:gapWidth val="150"/>
        <c:overlap val="100"/>
        <c:axId val="1140645984"/>
        <c:axId val="1140644016"/>
      </c:barChart>
      <c:lineChart>
        <c:grouping val="standard"/>
        <c:varyColors val="0"/>
        <c:ser>
          <c:idx val="8"/>
          <c:order val="8"/>
          <c:tx>
            <c:strRef>
              <c:f>'Cost Summary Nominal'!$B$14</c:f>
              <c:strCache>
                <c:ptCount val="1"/>
                <c:pt idx="0">
                  <c:v>Total Cost</c:v>
                </c:pt>
              </c:strCache>
            </c:strRef>
          </c:tx>
          <c:spPr>
            <a:ln w="28575" cap="rnd">
              <a:noFill/>
              <a:round/>
            </a:ln>
            <a:effectLst>
              <a:glow>
                <a:schemeClr val="tx1">
                  <a:alpha val="40000"/>
                </a:schemeClr>
              </a:glow>
            </a:effectLst>
          </c:spPr>
          <c:marker>
            <c:symbol val="x"/>
            <c:size val="6"/>
            <c:spPr>
              <a:noFill/>
              <a:ln w="19050">
                <a:solidFill>
                  <a:schemeClr val="tx1"/>
                </a:solidFill>
              </a:ln>
              <a:effectLst>
                <a:glow>
                  <a:schemeClr val="tx1">
                    <a:alpha val="40000"/>
                  </a:schemeClr>
                </a:glow>
              </a:effectLst>
            </c:spPr>
          </c:marker>
          <c:dLbls>
            <c:dLbl>
              <c:idx val="0"/>
              <c:dLblPos val="t"/>
              <c:showLegendKey val="0"/>
              <c:showVal val="1"/>
              <c:showCatName val="0"/>
              <c:showSerName val="0"/>
              <c:showPercent val="0"/>
              <c:showBubbleSize val="0"/>
              <c:extLst>
                <c:ext xmlns:c15="http://schemas.microsoft.com/office/drawing/2012/chart" uri="{CE6537A1-D6FC-4f65-9D91-7224C49458BB}">
                  <c15:layout>
                    <c:manualLayout>
                      <c:w val="0.30255642917740977"/>
                      <c:h val="8.6335663456774167E-2"/>
                    </c:manualLayout>
                  </c15:layout>
                </c:ext>
                <c:ext xmlns:c16="http://schemas.microsoft.com/office/drawing/2014/chart" uri="{C3380CC4-5D6E-409C-BE32-E72D297353CC}">
                  <c16:uniqueId val="{0000000C-0EBF-4E47-BB52-98B3393DD2C1}"/>
                </c:ext>
              </c:extLst>
            </c:dLbl>
            <c:numFmt formatCode="&quot;$&quot;0.00,,\ &quot;M&quot;" sourceLinked="0"/>
            <c:spPr>
              <a:noFill/>
              <a:ln>
                <a:noFill/>
              </a:ln>
              <a:effectLst>
                <a:glow rad="127000">
                  <a:srgbClr val="FF0000"/>
                </a:glow>
              </a:effectLst>
            </c:spPr>
            <c:txPr>
              <a:bodyPr rot="0" spcFirstLastPara="1" vertOverflow="ellipsis" vert="horz" wrap="square" lIns="38100" tIns="19050" rIns="38100" bIns="19050" anchor="ctr" anchorCtr="1">
                <a:spAutoFit/>
              </a:bodyPr>
              <a:lstStyle/>
              <a:p>
                <a:pPr>
                  <a:defRPr sz="1800" b="0" i="0" u="none" strike="noStrike" kern="1200" cap="none" spc="0" baseline="0">
                    <a:ln w="3175">
                      <a:solidFill>
                        <a:srgbClr val="FF0000"/>
                      </a:solidFill>
                    </a:ln>
                    <a:solidFill>
                      <a:schemeClr val="tx1"/>
                    </a:solidFill>
                    <a:effectLst>
                      <a:outerShdw blurRad="38100" dist="19050" dir="2700000" algn="tl" rotWithShape="0">
                        <a:schemeClr val="dk1">
                          <a:alpha val="40000"/>
                        </a:schemeClr>
                      </a:outerShdw>
                    </a:effectLst>
                    <a:latin typeface="+mj-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BEV 500 mile</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'Cost Summary Nominal'!$C$14:$I$14</c15:sqref>
                  </c15:fullRef>
                </c:ext>
              </c:extLst>
              <c:f>'Cost Summary Nominal'!$G$14</c:f>
              <c:numCache>
                <c:formatCode>"$"#,##0_);[Red]\("$"#,##0\)</c:formatCode>
                <c:ptCount val="1"/>
                <c:pt idx="0">
                  <c:v>1134956.4883621293</c:v>
                </c:pt>
              </c:numCache>
            </c:numRef>
          </c:val>
          <c:smooth val="0"/>
          <c:extLst>
            <c:ext xmlns:c15="http://schemas.microsoft.com/office/drawing/2012/chart" uri="{02D57815-91ED-43cb-92C2-25804820EDAC}">
              <c15:categoryFilterExceptions>
                <c15:categoryFilterException>
                  <c15:sqref>'Cost Summary Nominal'!$H$14</c15:sqref>
                  <c15:dLbl>
                    <c:idx val="0"/>
                    <c:numFmt formatCode="&quot;$&quot;0.00,,\ &quot;M&quot;" sourceLinked="0"/>
                    <c:spPr>
                      <a:noFill/>
                      <a:ln>
                        <a:noFill/>
                      </a:ln>
                      <a:effectLst>
                        <a:glow rad="127000">
                          <a:srgbClr val="FF0000"/>
                        </a:glow>
                      </a:effectLst>
                    </c:spPr>
                    <c:txPr>
                      <a:bodyPr rot="0" spcFirstLastPara="1" vertOverflow="ellipsis" vert="horz" wrap="square" lIns="38100" tIns="19050" rIns="38100" bIns="19050" anchor="t" anchorCtr="0">
                        <a:spAutoFit/>
                      </a:bodyPr>
                      <a:lstStyle/>
                      <a:p>
                        <a:pPr>
                          <a:defRPr sz="1800" b="0" i="0" u="none" strike="noStrike" kern="1200" cap="none" spc="0" baseline="0">
                            <a:ln w="3175">
                              <a:solidFill>
                                <a:srgbClr val="FF0000"/>
                              </a:solidFill>
                            </a:ln>
                            <a:solidFill>
                              <a:schemeClr val="tx1"/>
                            </a:solidFill>
                            <a:effectLst>
                              <a:outerShdw blurRad="38100" dist="19050" dir="2700000" algn="tl" rotWithShape="0">
                                <a:schemeClr val="dk1">
                                  <a:alpha val="40000"/>
                                </a:schemeClr>
                              </a:outerShdw>
                            </a:effectLst>
                            <a:latin typeface="+mj-lt"/>
                            <a:ea typeface="+mn-ea"/>
                            <a:cs typeface="+mn-cs"/>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2-5345-4316-A521-DD6C57D8C2D7}"/>
                      </c:ext>
                    </c:extLst>
                  </c15:dLbl>
                </c15:categoryFilterException>
              </c15:categoryFilterExceptions>
            </c:ext>
            <c:ext xmlns:c16="http://schemas.microsoft.com/office/drawing/2014/chart" uri="{C3380CC4-5D6E-409C-BE32-E72D297353CC}">
              <c16:uniqueId val="{0000000B-0EBF-4E47-BB52-98B3393DD2C1}"/>
            </c:ext>
          </c:extLst>
        </c:ser>
        <c:dLbls>
          <c:dLblPos val="ctr"/>
          <c:showLegendKey val="0"/>
          <c:showVal val="1"/>
          <c:showCatName val="0"/>
          <c:showSerName val="0"/>
          <c:showPercent val="0"/>
          <c:showBubbleSize val="0"/>
        </c:dLbls>
        <c:marker val="1"/>
        <c:smooth val="0"/>
        <c:axId val="1140645984"/>
        <c:axId val="1140644016"/>
      </c:lineChart>
      <c:catAx>
        <c:axId val="1140645984"/>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endParaRPr lang="en-US"/>
          </a:p>
        </c:txPr>
        <c:crossAx val="1140644016"/>
        <c:crosses val="autoZero"/>
        <c:auto val="1"/>
        <c:lblAlgn val="ctr"/>
        <c:lblOffset val="100"/>
        <c:noMultiLvlLbl val="0"/>
      </c:catAx>
      <c:valAx>
        <c:axId val="1140644016"/>
        <c:scaling>
          <c:orientation val="minMax"/>
        </c:scaling>
        <c:delete val="0"/>
        <c:axPos val="l"/>
        <c:majorGridlines>
          <c:spPr>
            <a:ln w="9525" cap="flat" cmpd="sng" algn="ctr">
              <a:solidFill>
                <a:schemeClr val="tx1">
                  <a:lumMod val="15000"/>
                  <a:lumOff val="85000"/>
                </a:schemeClr>
              </a:solidFill>
              <a:round/>
            </a:ln>
            <a:effectLst/>
          </c:spPr>
        </c:majorGridlines>
        <c:numFmt formatCode="0.0,,\ &quot;M&quot;" sourceLinked="0"/>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endParaRPr lang="en-US"/>
          </a:p>
        </c:txPr>
        <c:crossAx val="1140645984"/>
        <c:crosses val="autoZero"/>
        <c:crossBetween val="between"/>
      </c:valAx>
      <c:spPr>
        <a:noFill/>
        <a:ln>
          <a:solidFill>
            <a:schemeClr val="tx1">
              <a:lumMod val="50000"/>
              <a:lumOff val="50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noFill/>
      <a:round/>
    </a:ln>
    <a:effectLst/>
  </c:spPr>
  <c:txPr>
    <a:bodyPr/>
    <a:lstStyle/>
    <a:p>
      <a:pPr>
        <a:defRPr sz="1600" b="1">
          <a:latin typeface="+mj-lt"/>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 Analysis'!$D$48</c:f>
          <c:strCache>
            <c:ptCount val="1"/>
            <c:pt idx="0">
              <c:v>MCC</c:v>
            </c:pt>
          </c:strCache>
        </c:strRef>
      </c:tx>
      <c:layout>
        <c:manualLayout>
          <c:xMode val="edge"/>
          <c:yMode val="edge"/>
          <c:x val="0.20244486686831711"/>
          <c:y val="6.4089439630175035E-2"/>
        </c:manualLayout>
      </c:layout>
      <c:overlay val="0"/>
      <c:spPr>
        <a:noFill/>
        <a:ln w="25400">
          <a:solidFill>
            <a:schemeClr val="tx1"/>
          </a:solidFill>
        </a:ln>
        <a:effectLst/>
      </c:spPr>
      <c:txPr>
        <a:bodyPr rot="0" spcFirstLastPara="1" vertOverflow="ellipsis" vert="horz" wrap="square" anchor="ctr" anchorCtr="1"/>
        <a:lstStyle/>
        <a:p>
          <a:pPr>
            <a:defRPr sz="3600" b="1" i="0" u="none" strike="noStrike" kern="1200" cap="none" spc="2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7624288502173735"/>
          <c:y val="2.4661124078248477E-2"/>
          <c:w val="0.78516736610898474"/>
          <c:h val="0.89962120150915215"/>
        </c:manualLayout>
      </c:layout>
      <c:barChart>
        <c:barDir val="bar"/>
        <c:grouping val="stacked"/>
        <c:varyColors val="0"/>
        <c:ser>
          <c:idx val="1"/>
          <c:order val="1"/>
          <c:tx>
            <c:strRef>
              <c:f>'Sensitivity Analysis'!$H$49</c:f>
              <c:strCache>
                <c:ptCount val="1"/>
                <c:pt idx="0">
                  <c:v>dL0</c:v>
                </c:pt>
              </c:strCache>
            </c:strRef>
          </c:tx>
          <c:spPr>
            <a:noFill/>
            <a:ln w="9525" cap="flat" cmpd="sng" algn="ctr">
              <a:noFill/>
              <a:round/>
            </a:ln>
            <a:effectLst/>
          </c:spPr>
          <c:invertIfNegative val="0"/>
          <c:cat>
            <c:strRef>
              <c:f>'Sensitivity Analysis'!$D$50:$D$58</c:f>
              <c:strCache>
                <c:ptCount val="9"/>
                <c:pt idx="0">
                  <c:v>Total Vehicle Mile (million)
(1.2, 1.5, 1.8) </c:v>
                </c:pt>
                <c:pt idx="1">
                  <c:v>Diesel Price ($/gal)
(2.98, 3.73, 5.60) </c:v>
                </c:pt>
                <c:pt idx="2">
                  <c:v>Fuel Economy (mpg)
(8.58, 7.15, 5.72) </c:v>
                </c:pt>
                <c:pt idx="3">
                  <c:v>Carbon Price ($/ton)
(50, 100, 200) </c:v>
                </c:pt>
                <c:pt idx="4">
                  <c:v>MCC Cost ($)
(15,000, 30,000, 60,000) </c:v>
                </c:pt>
                <c:pt idx="5">
                  <c:v>Revenue Loss ($/kg) 
(8.8, 17.5, 26.3) </c:v>
                </c:pt>
                <c:pt idx="6">
                  <c:v>MCC Efficiency (%)
(75%, 50%, 38%) </c:v>
                </c:pt>
                <c:pt idx="7">
                  <c:v>MCC FE penalty (%)
(2.75%, 3.44%, 4.13%) </c:v>
                </c:pt>
                <c:pt idx="8">
                  <c:v>#N/A</c:v>
                </c:pt>
              </c:strCache>
            </c:strRef>
          </c:cat>
          <c:val>
            <c:numRef>
              <c:f>'Sensitivity Analysis'!$H$50:$H$58</c:f>
              <c:numCache>
                <c:formatCode>"$"#,##0</c:formatCode>
                <c:ptCount val="9"/>
                <c:pt idx="0">
                  <c:v>1528799.77</c:v>
                </c:pt>
                <c:pt idx="1">
                  <c:v>1669535.5</c:v>
                </c:pt>
                <c:pt idx="2">
                  <c:v>1661069.43</c:v>
                </c:pt>
                <c:pt idx="3">
                  <c:v>1748875.06</c:v>
                </c:pt>
                <c:pt idx="4">
                  <c:v>1793142.72</c:v>
                </c:pt>
                <c:pt idx="5">
                  <c:v>1805172.72</c:v>
                </c:pt>
                <c:pt idx="6">
                  <c:v>1803629.57</c:v>
                </c:pt>
                <c:pt idx="7">
                  <c:v>1824624.4</c:v>
                </c:pt>
                <c:pt idx="8" formatCode="General">
                  <c:v>#N/A</c:v>
                </c:pt>
              </c:numCache>
            </c:numRef>
          </c:val>
          <c:extLst>
            <c:ext xmlns:c16="http://schemas.microsoft.com/office/drawing/2014/chart" uri="{C3380CC4-5D6E-409C-BE32-E72D297353CC}">
              <c16:uniqueId val="{00000001-7B18-4FF0-8CB3-E70049455915}"/>
            </c:ext>
          </c:extLst>
        </c:ser>
        <c:ser>
          <c:idx val="2"/>
          <c:order val="2"/>
          <c:tx>
            <c:strRef>
              <c:f>'Sensitivity Analysis'!$I$49</c:f>
              <c:strCache>
                <c:ptCount val="1"/>
                <c:pt idx="0">
                  <c:v>dL1</c:v>
                </c:pt>
              </c:strCache>
            </c:strRef>
          </c:tx>
          <c:spPr>
            <a:solidFill>
              <a:srgbClr val="00843D"/>
            </a:solidFill>
            <a:ln w="9525" cap="flat" cmpd="sng" algn="ctr">
              <a:noFill/>
              <a:round/>
            </a:ln>
            <a:effectLst/>
          </c:spPr>
          <c:invertIfNegative val="0"/>
          <c:cat>
            <c:strRef>
              <c:f>'Sensitivity Analysis'!$D$50:$D$58</c:f>
              <c:strCache>
                <c:ptCount val="9"/>
                <c:pt idx="0">
                  <c:v>Total Vehicle Mile (million)
(1.2, 1.5, 1.8) </c:v>
                </c:pt>
                <c:pt idx="1">
                  <c:v>Diesel Price ($/gal)
(2.98, 3.73, 5.60) </c:v>
                </c:pt>
                <c:pt idx="2">
                  <c:v>Fuel Economy (mpg)
(8.58, 7.15, 5.72) </c:v>
                </c:pt>
                <c:pt idx="3">
                  <c:v>Carbon Price ($/ton)
(50, 100, 200) </c:v>
                </c:pt>
                <c:pt idx="4">
                  <c:v>MCC Cost ($)
(15,000, 30,000, 60,000) </c:v>
                </c:pt>
                <c:pt idx="5">
                  <c:v>Revenue Loss ($/kg) 
(8.8, 17.5, 26.3) </c:v>
                </c:pt>
                <c:pt idx="6">
                  <c:v>MCC Efficiency (%)
(75%, 50%, 38%) </c:v>
                </c:pt>
                <c:pt idx="7">
                  <c:v>MCC FE penalty (%)
(2.75%, 3.44%, 4.13%) </c:v>
                </c:pt>
                <c:pt idx="8">
                  <c:v>#N/A</c:v>
                </c:pt>
              </c:strCache>
            </c:strRef>
          </c:cat>
          <c:val>
            <c:numRef>
              <c:f>'Sensitivity Analysis'!$I$50:$I$58</c:f>
              <c:numCache>
                <c:formatCode>"$"#,##0</c:formatCode>
                <c:ptCount val="9"/>
                <c:pt idx="0">
                  <c:v>302622.94999999995</c:v>
                </c:pt>
                <c:pt idx="1">
                  <c:v>161887.21999999997</c:v>
                </c:pt>
                <c:pt idx="2">
                  <c:v>170353.29000000004</c:v>
                </c:pt>
                <c:pt idx="3">
                  <c:v>82547.659999999916</c:v>
                </c:pt>
                <c:pt idx="4">
                  <c:v>38280</c:v>
                </c:pt>
                <c:pt idx="5">
                  <c:v>26250</c:v>
                </c:pt>
                <c:pt idx="6">
                  <c:v>27793.149999999907</c:v>
                </c:pt>
                <c:pt idx="7">
                  <c:v>6798.3200000000652</c:v>
                </c:pt>
                <c:pt idx="8" formatCode="General">
                  <c:v>#N/A</c:v>
                </c:pt>
              </c:numCache>
            </c:numRef>
          </c:val>
          <c:extLst>
            <c:ext xmlns:c16="http://schemas.microsoft.com/office/drawing/2014/chart" uri="{C3380CC4-5D6E-409C-BE32-E72D297353CC}">
              <c16:uniqueId val="{00000002-7B18-4FF0-8CB3-E70049455915}"/>
            </c:ext>
          </c:extLst>
        </c:ser>
        <c:ser>
          <c:idx val="3"/>
          <c:order val="3"/>
          <c:tx>
            <c:strRef>
              <c:f>'Sensitivity Analysis'!$J$49</c:f>
              <c:strCache>
                <c:ptCount val="1"/>
                <c:pt idx="0">
                  <c:v>dL2</c:v>
                </c:pt>
              </c:strCache>
            </c:strRef>
          </c:tx>
          <c:spPr>
            <a:solidFill>
              <a:srgbClr val="00B0F0"/>
            </a:solidFill>
            <a:ln w="9525" cap="flat" cmpd="sng" algn="ctr">
              <a:noFill/>
              <a:round/>
            </a:ln>
            <a:effectLst/>
          </c:spPr>
          <c:invertIfNegative val="0"/>
          <c:cat>
            <c:strRef>
              <c:f>'Sensitivity Analysis'!$D$50:$D$58</c:f>
              <c:strCache>
                <c:ptCount val="9"/>
                <c:pt idx="0">
                  <c:v>Total Vehicle Mile (million)
(1.2, 1.5, 1.8) </c:v>
                </c:pt>
                <c:pt idx="1">
                  <c:v>Diesel Price ($/gal)
(2.98, 3.73, 5.60) </c:v>
                </c:pt>
                <c:pt idx="2">
                  <c:v>Fuel Economy (mpg)
(8.58, 7.15, 5.72) </c:v>
                </c:pt>
                <c:pt idx="3">
                  <c:v>Carbon Price ($/ton)
(50, 100, 200) </c:v>
                </c:pt>
                <c:pt idx="4">
                  <c:v>MCC Cost ($)
(15,000, 30,000, 60,000) </c:v>
                </c:pt>
                <c:pt idx="5">
                  <c:v>Revenue Loss ($/kg) 
(8.8, 17.5, 26.3) </c:v>
                </c:pt>
                <c:pt idx="6">
                  <c:v>MCC Efficiency (%)
(75%, 50%, 38%) </c:v>
                </c:pt>
                <c:pt idx="7">
                  <c:v>MCC FE penalty (%)
(2.75%, 3.44%, 4.13%) </c:v>
                </c:pt>
                <c:pt idx="8">
                  <c:v>#N/A</c:v>
                </c:pt>
              </c:strCache>
            </c:strRef>
          </c:cat>
          <c:val>
            <c:numRef>
              <c:f>'Sensitivity Analysis'!$J$50:$J$58</c:f>
              <c:numCache>
                <c:formatCode>"$"#,##0</c:formatCode>
                <c:ptCount val="9"/>
                <c:pt idx="0">
                  <c:v>302622.94999999995</c:v>
                </c:pt>
                <c:pt idx="1">
                  <c:v>404718.0399999998</c:v>
                </c:pt>
                <c:pt idx="2">
                  <c:v>255529.93999999994</c:v>
                </c:pt>
                <c:pt idx="3">
                  <c:v>165095.33000000007</c:v>
                </c:pt>
                <c:pt idx="4">
                  <c:v>76560</c:v>
                </c:pt>
                <c:pt idx="5">
                  <c:v>26250</c:v>
                </c:pt>
                <c:pt idx="6">
                  <c:v>13896.580000000075</c:v>
                </c:pt>
                <c:pt idx="7">
                  <c:v>6798.3200000000652</c:v>
                </c:pt>
                <c:pt idx="8" formatCode="General">
                  <c:v>#N/A</c:v>
                </c:pt>
              </c:numCache>
            </c:numRef>
          </c:val>
          <c:extLst>
            <c:ext xmlns:c16="http://schemas.microsoft.com/office/drawing/2014/chart" uri="{C3380CC4-5D6E-409C-BE32-E72D297353CC}">
              <c16:uniqueId val="{00000003-7B18-4FF0-8CB3-E70049455915}"/>
            </c:ext>
          </c:extLst>
        </c:ser>
        <c:dLbls>
          <c:showLegendKey val="0"/>
          <c:showVal val="0"/>
          <c:showCatName val="0"/>
          <c:showSerName val="0"/>
          <c:showPercent val="0"/>
          <c:showBubbleSize val="0"/>
        </c:dLbls>
        <c:gapWidth val="100"/>
        <c:overlap val="100"/>
        <c:axId val="1217611864"/>
        <c:axId val="1217618424"/>
      </c:barChart>
      <c:scatterChart>
        <c:scatterStyle val="lineMarker"/>
        <c:varyColors val="0"/>
        <c:ser>
          <c:idx val="0"/>
          <c:order val="0"/>
          <c:spPr>
            <a:ln w="15875" cap="rnd">
              <a:noFill/>
              <a:round/>
            </a:ln>
            <a:effectLst/>
          </c:spPr>
          <c:marker>
            <c:symbol val="none"/>
          </c:marker>
          <c:dLbls>
            <c:numFmt formatCode="&quot;$&quot;0.00,,\ &quot;M&quot;" sourceLinked="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'Sensitivity Analysis'!$E$50:$E$58</c:f>
              <c:numCache>
                <c:formatCode>"$"#,##0</c:formatCode>
                <c:ptCount val="9"/>
                <c:pt idx="0">
                  <c:v>1528799.77</c:v>
                </c:pt>
                <c:pt idx="1">
                  <c:v>1669535.5</c:v>
                </c:pt>
                <c:pt idx="2">
                  <c:v>1661069.43</c:v>
                </c:pt>
                <c:pt idx="3">
                  <c:v>1748875.06</c:v>
                </c:pt>
                <c:pt idx="4">
                  <c:v>1793142.72</c:v>
                </c:pt>
                <c:pt idx="5">
                  <c:v>1805172.72</c:v>
                </c:pt>
                <c:pt idx="6">
                  <c:v>1803629.57</c:v>
                </c:pt>
                <c:pt idx="7">
                  <c:v>1824624.4</c:v>
                </c:pt>
                <c:pt idx="8" formatCode="General">
                  <c:v>#N/A</c:v>
                </c:pt>
              </c:numCache>
            </c:numRef>
          </c:xVal>
          <c:yVal>
            <c:numRef>
              <c:f>'Sensitivity Analysis'!$C$50:$C$58</c:f>
              <c:numCache>
                <c:formatCode>General</c:formatCode>
                <c:ptCount val="9"/>
                <c:pt idx="0">
                  <c:v>1</c:v>
                </c:pt>
                <c:pt idx="1">
                  <c:v>2</c:v>
                </c:pt>
                <c:pt idx="2">
                  <c:v>3</c:v>
                </c:pt>
                <c:pt idx="3">
                  <c:v>4</c:v>
                </c:pt>
                <c:pt idx="4">
                  <c:v>5</c:v>
                </c:pt>
                <c:pt idx="5">
                  <c:v>6</c:v>
                </c:pt>
                <c:pt idx="6">
                  <c:v>7</c:v>
                </c:pt>
                <c:pt idx="7">
                  <c:v>8</c:v>
                </c:pt>
                <c:pt idx="8">
                  <c:v>9</c:v>
                </c:pt>
              </c:numCache>
            </c:numRef>
          </c:yVal>
          <c:smooth val="0"/>
          <c:extLst>
            <c:ext xmlns:c16="http://schemas.microsoft.com/office/drawing/2014/chart" uri="{C3380CC4-5D6E-409C-BE32-E72D297353CC}">
              <c16:uniqueId val="{00000000-7B18-4FF0-8CB3-E70049455915}"/>
            </c:ext>
          </c:extLst>
        </c:ser>
        <c:ser>
          <c:idx val="4"/>
          <c:order val="4"/>
          <c:spPr>
            <a:ln w="15875" cap="rnd">
              <a:noFill/>
              <a:round/>
            </a:ln>
            <a:effectLst/>
          </c:spPr>
          <c:marker>
            <c:symbol val="none"/>
          </c:marker>
          <c:dLbls>
            <c:numFmt formatCode="&quot;$&quot;0.00,,\ &quot;M&quot;" sourceLinked="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dLblPos val="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'Sensitivity Analysis'!$G$50:$G$58</c:f>
              <c:numCache>
                <c:formatCode>"$"#,##0</c:formatCode>
                <c:ptCount val="9"/>
                <c:pt idx="0">
                  <c:v>2134045.67</c:v>
                </c:pt>
                <c:pt idx="1">
                  <c:v>2236140.7599999998</c:v>
                </c:pt>
                <c:pt idx="2">
                  <c:v>2086952.66</c:v>
                </c:pt>
                <c:pt idx="3">
                  <c:v>1996518.05</c:v>
                </c:pt>
                <c:pt idx="4">
                  <c:v>1907982.72</c:v>
                </c:pt>
                <c:pt idx="5">
                  <c:v>1857672.72</c:v>
                </c:pt>
                <c:pt idx="6">
                  <c:v>1845319.3</c:v>
                </c:pt>
                <c:pt idx="7">
                  <c:v>1838221.04</c:v>
                </c:pt>
                <c:pt idx="8" formatCode="General">
                  <c:v>#N/A</c:v>
                </c:pt>
              </c:numCache>
            </c:numRef>
          </c:xVal>
          <c:yVal>
            <c:numRef>
              <c:f>'Sensitivity Analysis'!$C$50:$C$58</c:f>
              <c:numCache>
                <c:formatCode>General</c:formatCode>
                <c:ptCount val="9"/>
                <c:pt idx="0">
                  <c:v>1</c:v>
                </c:pt>
                <c:pt idx="1">
                  <c:v>2</c:v>
                </c:pt>
                <c:pt idx="2">
                  <c:v>3</c:v>
                </c:pt>
                <c:pt idx="3">
                  <c:v>4</c:v>
                </c:pt>
                <c:pt idx="4">
                  <c:v>5</c:v>
                </c:pt>
                <c:pt idx="5">
                  <c:v>6</c:v>
                </c:pt>
                <c:pt idx="6">
                  <c:v>7</c:v>
                </c:pt>
                <c:pt idx="7">
                  <c:v>8</c:v>
                </c:pt>
                <c:pt idx="8">
                  <c:v>9</c:v>
                </c:pt>
              </c:numCache>
            </c:numRef>
          </c:yVal>
          <c:smooth val="0"/>
          <c:extLst>
            <c:ext xmlns:c16="http://schemas.microsoft.com/office/drawing/2014/chart" uri="{C3380CC4-5D6E-409C-BE32-E72D297353CC}">
              <c16:uniqueId val="{00000004-7B18-4FF0-8CB3-E70049455915}"/>
            </c:ext>
          </c:extLst>
        </c:ser>
        <c:dLbls>
          <c:showLegendKey val="0"/>
          <c:showVal val="0"/>
          <c:showCatName val="0"/>
          <c:showSerName val="0"/>
          <c:showPercent val="0"/>
          <c:showBubbleSize val="0"/>
        </c:dLbls>
        <c:axId val="1240653752"/>
        <c:axId val="1240652112"/>
      </c:scatterChart>
      <c:valAx>
        <c:axId val="1217618424"/>
        <c:scaling>
          <c:orientation val="minMax"/>
          <c:min val="600000"/>
        </c:scaling>
        <c:delete val="1"/>
        <c:axPos val="t"/>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crossAx val="1217611864"/>
        <c:crosses val="max"/>
        <c:crossBetween val="between"/>
      </c:valAx>
      <c:catAx>
        <c:axId val="1217611864"/>
        <c:scaling>
          <c:orientation val="minMax"/>
        </c:scaling>
        <c:delete val="0"/>
        <c:axPos val="l"/>
        <c:numFmt formatCode="General" sourceLinked="1"/>
        <c:majorTickMark val="none"/>
        <c:minorTickMark val="none"/>
        <c:tickLblPos val="nextTo"/>
        <c:spPr>
          <a:noFill/>
          <a:ln w="25400" cap="flat" cmpd="sng" algn="ctr">
            <a:solidFill>
              <a:schemeClr val="tx1"/>
            </a:solidFill>
            <a:round/>
          </a:ln>
          <a:effectLst/>
        </c:spPr>
        <c:txPr>
          <a:bodyPr rot="0" spcFirstLastPara="1" vertOverflow="ellipsis" wrap="square" anchor="ctr" anchorCtr="1"/>
          <a:lstStyle/>
          <a:p>
            <a:pPr>
              <a:defRPr sz="1800" b="1" i="0" u="none" strike="noStrike" kern="1200" baseline="0">
                <a:solidFill>
                  <a:sysClr val="windowText" lastClr="000000"/>
                </a:solidFill>
                <a:latin typeface="+mn-lt"/>
                <a:ea typeface="+mn-ea"/>
                <a:cs typeface="+mn-cs"/>
              </a:defRPr>
            </a:pPr>
            <a:endParaRPr lang="en-US"/>
          </a:p>
        </c:txPr>
        <c:crossAx val="1217618424"/>
        <c:crosses val="autoZero"/>
        <c:auto val="1"/>
        <c:lblAlgn val="ctr"/>
        <c:lblOffset val="100"/>
        <c:noMultiLvlLbl val="0"/>
      </c:catAx>
      <c:valAx>
        <c:axId val="1240652112"/>
        <c:scaling>
          <c:orientation val="minMax"/>
          <c:max val="9.5"/>
          <c:min val="0.5"/>
        </c:scaling>
        <c:delete val="1"/>
        <c:axPos val="l"/>
        <c:numFmt formatCode="General" sourceLinked="1"/>
        <c:majorTickMark val="none"/>
        <c:minorTickMark val="none"/>
        <c:tickLblPos val="nextTo"/>
        <c:crossAx val="1240653752"/>
        <c:crosses val="autoZero"/>
        <c:crossBetween val="midCat"/>
      </c:valAx>
      <c:valAx>
        <c:axId val="1240653752"/>
        <c:scaling>
          <c:orientation val="minMax"/>
          <c:min val="1250000"/>
        </c:scaling>
        <c:delete val="0"/>
        <c:axPos val="b"/>
        <c:numFmt formatCode="&quot;$&quot;#,##0" sourceLinked="1"/>
        <c:majorTickMark val="none"/>
        <c:minorTickMark val="none"/>
        <c:tickLblPos val="nextTo"/>
        <c:spPr>
          <a:noFill/>
          <a:ln w="25400"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1240652112"/>
        <c:crosses val="autoZero"/>
        <c:crossBetween val="midCat"/>
      </c:valAx>
      <c:spPr>
        <a:noFill/>
        <a:ln w="1905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800" b="1">
          <a:solidFill>
            <a:sysClr val="windowText" lastClr="000000"/>
          </a:solidFill>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 Analysis'!$P$48:$V$48</c:f>
          <c:strCache>
            <c:ptCount val="7"/>
            <c:pt idx="0">
              <c:v>Absolute TCO Sensitivity -- Spread ($)</c:v>
            </c:pt>
          </c:strCache>
        </c:strRef>
      </c:tx>
      <c:layout>
        <c:manualLayout>
          <c:xMode val="edge"/>
          <c:yMode val="edge"/>
          <c:x val="0.43910436418505749"/>
          <c:y val="6.0304553047173482E-3"/>
        </c:manualLayout>
      </c:layout>
      <c:overlay val="0"/>
      <c:spPr>
        <a:noFill/>
        <a:ln>
          <a:noFill/>
        </a:ln>
        <a:effectLst/>
      </c:spPr>
      <c:txPr>
        <a:bodyPr rot="0" spcFirstLastPara="1" vertOverflow="ellipsis" vert="horz" wrap="square" anchor="ctr" anchorCtr="1"/>
        <a:lstStyle/>
        <a:p>
          <a:pPr>
            <a:defRPr sz="216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3438724157070381E-2"/>
          <c:y val="7.9822555142067694E-2"/>
          <c:w val="0.91438755263893146"/>
          <c:h val="0.68497758773046613"/>
        </c:manualLayout>
      </c:layout>
      <c:barChart>
        <c:barDir val="col"/>
        <c:grouping val="clustered"/>
        <c:varyColors val="0"/>
        <c:ser>
          <c:idx val="0"/>
          <c:order val="0"/>
          <c:tx>
            <c:strRef>
              <c:f>'Sensitivity Analysis'!$P$49</c:f>
              <c:strCache>
                <c:ptCount val="1"/>
                <c:pt idx="0">
                  <c:v>Diesel</c:v>
                </c:pt>
              </c:strCache>
            </c:strRef>
          </c:tx>
          <c:spPr>
            <a:solidFill>
              <a:srgbClr val="5F6369"/>
            </a:solidFill>
            <a:ln>
              <a:noFill/>
            </a:ln>
            <a:effectLst/>
          </c:spPr>
          <c:invertIfNegative val="0"/>
          <c:cat>
            <c:strRef>
              <c:f>'Sensitivity Analysis'!$D$4:$M$4</c:f>
              <c:strCache>
                <c:ptCount val="10"/>
                <c:pt idx="0">
                  <c:v>Total Vehicle Mile (million)</c:v>
                </c:pt>
                <c:pt idx="1">
                  <c:v>Carbon Price ($/ton)</c:v>
                </c:pt>
                <c:pt idx="2">
                  <c:v>Diesel Price ($/gal)</c:v>
                </c:pt>
                <c:pt idx="3">
                  <c:v>Revenue Loss ($/kg) </c:v>
                </c:pt>
                <c:pt idx="4">
                  <c:v>Electricity Carbon Intensity (g/kWh)</c:v>
                </c:pt>
                <c:pt idx="5">
                  <c:v>Electricity Cost ($/kWh)</c:v>
                </c:pt>
                <c:pt idx="6">
                  <c:v>MCC Efficiency (%)</c:v>
                </c:pt>
                <c:pt idx="7">
                  <c:v>MCC Cost ($)</c:v>
                </c:pt>
                <c:pt idx="8">
                  <c:v>Fuel Economy (mpg)</c:v>
                </c:pt>
                <c:pt idx="9">
                  <c:v>MCC FE penalty (%)</c:v>
                </c:pt>
              </c:strCache>
            </c:strRef>
          </c:cat>
          <c:val>
            <c:numRef>
              <c:f>'Sensitivity Analysis'!$P$50:$P$59</c:f>
              <c:numCache>
                <c:formatCode>"$"#,##0</c:formatCode>
                <c:ptCount val="10"/>
                <c:pt idx="0">
                  <c:v>622034.63000000012</c:v>
                </c:pt>
                <c:pt idx="1">
                  <c:v>399519.54999999981</c:v>
                </c:pt>
                <c:pt idx="2">
                  <c:v>569672.73000000021</c:v>
                </c:pt>
                <c:pt idx="3">
                  <c:v>0</c:v>
                </c:pt>
                <c:pt idx="4">
                  <c:v>0</c:v>
                </c:pt>
                <c:pt idx="5">
                  <c:v>0</c:v>
                </c:pt>
                <c:pt idx="6">
                  <c:v>0</c:v>
                </c:pt>
                <c:pt idx="7">
                  <c:v>0</c:v>
                </c:pt>
                <c:pt idx="8">
                  <c:v>447152.74</c:v>
                </c:pt>
                <c:pt idx="9">
                  <c:v>0</c:v>
                </c:pt>
              </c:numCache>
            </c:numRef>
          </c:val>
          <c:extLst>
            <c:ext xmlns:c16="http://schemas.microsoft.com/office/drawing/2014/chart" uri="{C3380CC4-5D6E-409C-BE32-E72D297353CC}">
              <c16:uniqueId val="{00000000-F3FB-4C86-9CFF-749C6CF06510}"/>
            </c:ext>
          </c:extLst>
        </c:ser>
        <c:ser>
          <c:idx val="1"/>
          <c:order val="1"/>
          <c:tx>
            <c:strRef>
              <c:f>'Sensitivity Analysis'!$Q$49</c:f>
              <c:strCache>
                <c:ptCount val="1"/>
                <c:pt idx="0">
                  <c:v>NG</c:v>
                </c:pt>
              </c:strCache>
            </c:strRef>
          </c:tx>
          <c:spPr>
            <a:solidFill>
              <a:srgbClr val="643278"/>
            </a:solidFill>
            <a:ln>
              <a:noFill/>
            </a:ln>
            <a:effectLst/>
          </c:spPr>
          <c:invertIfNegative val="0"/>
          <c:cat>
            <c:strRef>
              <c:f>'Sensitivity Analysis'!$D$4:$M$4</c:f>
              <c:strCache>
                <c:ptCount val="10"/>
                <c:pt idx="0">
                  <c:v>Total Vehicle Mile (million)</c:v>
                </c:pt>
                <c:pt idx="1">
                  <c:v>Carbon Price ($/ton)</c:v>
                </c:pt>
                <c:pt idx="2">
                  <c:v>Diesel Price ($/gal)</c:v>
                </c:pt>
                <c:pt idx="3">
                  <c:v>Revenue Loss ($/kg) </c:v>
                </c:pt>
                <c:pt idx="4">
                  <c:v>Electricity Carbon Intensity (g/kWh)</c:v>
                </c:pt>
                <c:pt idx="5">
                  <c:v>Electricity Cost ($/kWh)</c:v>
                </c:pt>
                <c:pt idx="6">
                  <c:v>MCC Efficiency (%)</c:v>
                </c:pt>
                <c:pt idx="7">
                  <c:v>MCC Cost ($)</c:v>
                </c:pt>
                <c:pt idx="8">
                  <c:v>Fuel Economy (mpg)</c:v>
                </c:pt>
                <c:pt idx="9">
                  <c:v>MCC FE penalty (%)</c:v>
                </c:pt>
              </c:strCache>
            </c:strRef>
          </c:cat>
          <c:val>
            <c:numRef>
              <c:f>'Sensitivity Analysis'!$Q$50:$Q$59</c:f>
              <c:numCache>
                <c:formatCode>"$"#,##0</c:formatCode>
                <c:ptCount val="10"/>
                <c:pt idx="0">
                  <c:v>569190.45000000019</c:v>
                </c:pt>
                <c:pt idx="1">
                  <c:v>366014.29999999981</c:v>
                </c:pt>
                <c:pt idx="2">
                  <c:v>486899.77</c:v>
                </c:pt>
                <c:pt idx="3">
                  <c:v>17500</c:v>
                </c:pt>
                <c:pt idx="4">
                  <c:v>0</c:v>
                </c:pt>
                <c:pt idx="5">
                  <c:v>0</c:v>
                </c:pt>
                <c:pt idx="6">
                  <c:v>0</c:v>
                </c:pt>
                <c:pt idx="7">
                  <c:v>0</c:v>
                </c:pt>
                <c:pt idx="8">
                  <c:v>385429.7799999998</c:v>
                </c:pt>
                <c:pt idx="9">
                  <c:v>0</c:v>
                </c:pt>
              </c:numCache>
            </c:numRef>
          </c:val>
          <c:extLst>
            <c:ext xmlns:c16="http://schemas.microsoft.com/office/drawing/2014/chart" uri="{C3380CC4-5D6E-409C-BE32-E72D297353CC}">
              <c16:uniqueId val="{00000001-F3FB-4C86-9CFF-749C6CF06510}"/>
            </c:ext>
          </c:extLst>
        </c:ser>
        <c:ser>
          <c:idx val="2"/>
          <c:order val="2"/>
          <c:tx>
            <c:strRef>
              <c:f>'Sensitivity Analysis'!$R$49</c:f>
              <c:strCache>
                <c:ptCount val="1"/>
                <c:pt idx="0">
                  <c:v>MCC</c:v>
                </c:pt>
              </c:strCache>
            </c:strRef>
          </c:tx>
          <c:spPr>
            <a:solidFill>
              <a:srgbClr val="00A3E0"/>
            </a:solidFill>
            <a:ln>
              <a:noFill/>
            </a:ln>
            <a:effectLst/>
          </c:spPr>
          <c:invertIfNegative val="0"/>
          <c:cat>
            <c:strRef>
              <c:f>'Sensitivity Analysis'!$D$4:$M$4</c:f>
              <c:strCache>
                <c:ptCount val="10"/>
                <c:pt idx="0">
                  <c:v>Total Vehicle Mile (million)</c:v>
                </c:pt>
                <c:pt idx="1">
                  <c:v>Carbon Price ($/ton)</c:v>
                </c:pt>
                <c:pt idx="2">
                  <c:v>Diesel Price ($/gal)</c:v>
                </c:pt>
                <c:pt idx="3">
                  <c:v>Revenue Loss ($/kg) </c:v>
                </c:pt>
                <c:pt idx="4">
                  <c:v>Electricity Carbon Intensity (g/kWh)</c:v>
                </c:pt>
                <c:pt idx="5">
                  <c:v>Electricity Cost ($/kWh)</c:v>
                </c:pt>
                <c:pt idx="6">
                  <c:v>MCC Efficiency (%)</c:v>
                </c:pt>
                <c:pt idx="7">
                  <c:v>MCC Cost ($)</c:v>
                </c:pt>
                <c:pt idx="8">
                  <c:v>Fuel Economy (mpg)</c:v>
                </c:pt>
                <c:pt idx="9">
                  <c:v>MCC FE penalty (%)</c:v>
                </c:pt>
              </c:strCache>
            </c:strRef>
          </c:cat>
          <c:val>
            <c:numRef>
              <c:f>'Sensitivity Analysis'!$R$50:$R$59</c:f>
              <c:numCache>
                <c:formatCode>"$"#,##0</c:formatCode>
                <c:ptCount val="10"/>
                <c:pt idx="0">
                  <c:v>605245.89999999991</c:v>
                </c:pt>
                <c:pt idx="1">
                  <c:v>247642.99</c:v>
                </c:pt>
                <c:pt idx="2">
                  <c:v>566605.25999999978</c:v>
                </c:pt>
                <c:pt idx="3">
                  <c:v>52500</c:v>
                </c:pt>
                <c:pt idx="4">
                  <c:v>0</c:v>
                </c:pt>
                <c:pt idx="5">
                  <c:v>0</c:v>
                </c:pt>
                <c:pt idx="6">
                  <c:v>41689.729999999981</c:v>
                </c:pt>
                <c:pt idx="7">
                  <c:v>114840</c:v>
                </c:pt>
                <c:pt idx="8">
                  <c:v>425883.23</c:v>
                </c:pt>
                <c:pt idx="9">
                  <c:v>13596.64000000013</c:v>
                </c:pt>
              </c:numCache>
            </c:numRef>
          </c:val>
          <c:extLst>
            <c:ext xmlns:c16="http://schemas.microsoft.com/office/drawing/2014/chart" uri="{C3380CC4-5D6E-409C-BE32-E72D297353CC}">
              <c16:uniqueId val="{00000002-F3FB-4C86-9CFF-749C6CF06510}"/>
            </c:ext>
          </c:extLst>
        </c:ser>
        <c:ser>
          <c:idx val="3"/>
          <c:order val="3"/>
          <c:tx>
            <c:strRef>
              <c:f>'Sensitivity Analysis'!$S$49</c:f>
              <c:strCache>
                <c:ptCount val="1"/>
                <c:pt idx="0">
                  <c:v>BEV300</c:v>
                </c:pt>
              </c:strCache>
            </c:strRef>
          </c:tx>
          <c:spPr>
            <a:solidFill>
              <a:srgbClr val="84BD00"/>
            </a:solidFill>
            <a:ln>
              <a:noFill/>
            </a:ln>
            <a:effectLst/>
          </c:spPr>
          <c:invertIfNegative val="0"/>
          <c:cat>
            <c:strRef>
              <c:f>'Sensitivity Analysis'!$D$4:$M$4</c:f>
              <c:strCache>
                <c:ptCount val="10"/>
                <c:pt idx="0">
                  <c:v>Total Vehicle Mile (million)</c:v>
                </c:pt>
                <c:pt idx="1">
                  <c:v>Carbon Price ($/ton)</c:v>
                </c:pt>
                <c:pt idx="2">
                  <c:v>Diesel Price ($/gal)</c:v>
                </c:pt>
                <c:pt idx="3">
                  <c:v>Revenue Loss ($/kg) </c:v>
                </c:pt>
                <c:pt idx="4">
                  <c:v>Electricity Carbon Intensity (g/kWh)</c:v>
                </c:pt>
                <c:pt idx="5">
                  <c:v>Electricity Cost ($/kWh)</c:v>
                </c:pt>
                <c:pt idx="6">
                  <c:v>MCC Efficiency (%)</c:v>
                </c:pt>
                <c:pt idx="7">
                  <c:v>MCC Cost ($)</c:v>
                </c:pt>
                <c:pt idx="8">
                  <c:v>Fuel Economy (mpg)</c:v>
                </c:pt>
                <c:pt idx="9">
                  <c:v>MCC FE penalty (%)</c:v>
                </c:pt>
              </c:strCache>
            </c:strRef>
          </c:cat>
          <c:val>
            <c:numRef>
              <c:f>'Sensitivity Analysis'!$S$50:$S$59</c:f>
              <c:numCache>
                <c:formatCode>"$"#,##0</c:formatCode>
                <c:ptCount val="10"/>
                <c:pt idx="0">
                  <c:v>539003.98999999976</c:v>
                </c:pt>
                <c:pt idx="1">
                  <c:v>209545.76</c:v>
                </c:pt>
                <c:pt idx="2">
                  <c:v>0</c:v>
                </c:pt>
                <c:pt idx="3">
                  <c:v>43730.84999999986</c:v>
                </c:pt>
                <c:pt idx="4">
                  <c:v>49174.280000000028</c:v>
                </c:pt>
                <c:pt idx="5">
                  <c:v>298212.66000000015</c:v>
                </c:pt>
                <c:pt idx="6">
                  <c:v>0</c:v>
                </c:pt>
                <c:pt idx="7">
                  <c:v>0</c:v>
                </c:pt>
                <c:pt idx="8">
                  <c:v>0</c:v>
                </c:pt>
                <c:pt idx="9">
                  <c:v>0</c:v>
                </c:pt>
              </c:numCache>
            </c:numRef>
          </c:val>
          <c:extLst>
            <c:ext xmlns:c16="http://schemas.microsoft.com/office/drawing/2014/chart" uri="{C3380CC4-5D6E-409C-BE32-E72D297353CC}">
              <c16:uniqueId val="{00000003-F3FB-4C86-9CFF-749C6CF06510}"/>
            </c:ext>
          </c:extLst>
        </c:ser>
        <c:ser>
          <c:idx val="4"/>
          <c:order val="4"/>
          <c:tx>
            <c:strRef>
              <c:f>'Sensitivity Analysis'!$T$49</c:f>
              <c:strCache>
                <c:ptCount val="1"/>
                <c:pt idx="0">
                  <c:v>BEV500</c:v>
                </c:pt>
              </c:strCache>
            </c:strRef>
          </c:tx>
          <c:spPr>
            <a:solidFill>
              <a:srgbClr val="00843D"/>
            </a:solidFill>
            <a:ln>
              <a:noFill/>
            </a:ln>
            <a:effectLst/>
          </c:spPr>
          <c:invertIfNegative val="0"/>
          <c:cat>
            <c:strRef>
              <c:f>'Sensitivity Analysis'!$D$4:$M$4</c:f>
              <c:strCache>
                <c:ptCount val="10"/>
                <c:pt idx="0">
                  <c:v>Total Vehicle Mile (million)</c:v>
                </c:pt>
                <c:pt idx="1">
                  <c:v>Carbon Price ($/ton)</c:v>
                </c:pt>
                <c:pt idx="2">
                  <c:v>Diesel Price ($/gal)</c:v>
                </c:pt>
                <c:pt idx="3">
                  <c:v>Revenue Loss ($/kg) </c:v>
                </c:pt>
                <c:pt idx="4">
                  <c:v>Electricity Carbon Intensity (g/kWh)</c:v>
                </c:pt>
                <c:pt idx="5">
                  <c:v>Electricity Cost ($/kWh)</c:v>
                </c:pt>
                <c:pt idx="6">
                  <c:v>MCC Efficiency (%)</c:v>
                </c:pt>
                <c:pt idx="7">
                  <c:v>MCC Cost ($)</c:v>
                </c:pt>
                <c:pt idx="8">
                  <c:v>Fuel Economy (mpg)</c:v>
                </c:pt>
                <c:pt idx="9">
                  <c:v>MCC FE penalty (%)</c:v>
                </c:pt>
              </c:strCache>
            </c:strRef>
          </c:cat>
          <c:val>
            <c:numRef>
              <c:f>'Sensitivity Analysis'!$T$50:$T$59</c:f>
              <c:numCache>
                <c:formatCode>"$"#,##0</c:formatCode>
                <c:ptCount val="10"/>
                <c:pt idx="0">
                  <c:v>502953.40000000014</c:v>
                </c:pt>
                <c:pt idx="1">
                  <c:v>225174.43000000017</c:v>
                </c:pt>
                <c:pt idx="2">
                  <c:v>0</c:v>
                </c:pt>
                <c:pt idx="3">
                  <c:v>93351.339999999851</c:v>
                </c:pt>
                <c:pt idx="4">
                  <c:v>50403.639999999665</c:v>
                </c:pt>
                <c:pt idx="5">
                  <c:v>305667.98</c:v>
                </c:pt>
                <c:pt idx="6">
                  <c:v>0</c:v>
                </c:pt>
                <c:pt idx="7">
                  <c:v>0</c:v>
                </c:pt>
                <c:pt idx="8">
                  <c:v>0</c:v>
                </c:pt>
                <c:pt idx="9">
                  <c:v>0</c:v>
                </c:pt>
              </c:numCache>
            </c:numRef>
          </c:val>
          <c:extLst>
            <c:ext xmlns:c16="http://schemas.microsoft.com/office/drawing/2014/chart" uri="{C3380CC4-5D6E-409C-BE32-E72D297353CC}">
              <c16:uniqueId val="{00000004-F3FB-4C86-9CFF-749C6CF06510}"/>
            </c:ext>
          </c:extLst>
        </c:ser>
        <c:ser>
          <c:idx val="5"/>
          <c:order val="5"/>
          <c:tx>
            <c:strRef>
              <c:f>'Sensitivity Analysis'!$U$49</c:f>
              <c:strCache>
                <c:ptCount val="1"/>
                <c:pt idx="0">
                  <c:v>H2FCV</c:v>
                </c:pt>
              </c:strCache>
            </c:strRef>
          </c:tx>
          <c:spPr>
            <a:solidFill>
              <a:schemeClr val="accent1">
                <a:lumMod val="60000"/>
                <a:lumOff val="40000"/>
              </a:schemeClr>
            </a:solidFill>
            <a:ln>
              <a:noFill/>
            </a:ln>
            <a:effectLst/>
          </c:spPr>
          <c:invertIfNegative val="0"/>
          <c:cat>
            <c:strRef>
              <c:f>'Sensitivity Analysis'!$D$4:$M$4</c:f>
              <c:strCache>
                <c:ptCount val="10"/>
                <c:pt idx="0">
                  <c:v>Total Vehicle Mile (million)</c:v>
                </c:pt>
                <c:pt idx="1">
                  <c:v>Carbon Price ($/ton)</c:v>
                </c:pt>
                <c:pt idx="2">
                  <c:v>Diesel Price ($/gal)</c:v>
                </c:pt>
                <c:pt idx="3">
                  <c:v>Revenue Loss ($/kg) </c:v>
                </c:pt>
                <c:pt idx="4">
                  <c:v>Electricity Carbon Intensity (g/kWh)</c:v>
                </c:pt>
                <c:pt idx="5">
                  <c:v>Electricity Cost ($/kWh)</c:v>
                </c:pt>
                <c:pt idx="6">
                  <c:v>MCC Efficiency (%)</c:v>
                </c:pt>
                <c:pt idx="7">
                  <c:v>MCC Cost ($)</c:v>
                </c:pt>
                <c:pt idx="8">
                  <c:v>Fuel Economy (mpg)</c:v>
                </c:pt>
                <c:pt idx="9">
                  <c:v>MCC FE penalty (%)</c:v>
                </c:pt>
              </c:strCache>
            </c:strRef>
          </c:cat>
          <c:val>
            <c:numRef>
              <c:f>'Sensitivity Analysis'!$U$50:$U$59</c:f>
              <c:numCache>
                <c:formatCode>"$"#,##0</c:formatCode>
                <c:ptCount val="10"/>
                <c:pt idx="0">
                  <c:v>695285.81</c:v>
                </c:pt>
                <c:pt idx="1">
                  <c:v>65899.470000000205</c:v>
                </c:pt>
                <c:pt idx="2">
                  <c:v>0</c:v>
                </c:pt>
                <c:pt idx="3">
                  <c:v>19140.339999999851</c:v>
                </c:pt>
                <c:pt idx="4">
                  <c:v>0</c:v>
                </c:pt>
                <c:pt idx="5">
                  <c:v>0</c:v>
                </c:pt>
                <c:pt idx="6">
                  <c:v>0</c:v>
                </c:pt>
                <c:pt idx="7">
                  <c:v>0</c:v>
                </c:pt>
                <c:pt idx="8">
                  <c:v>527849.11999999965</c:v>
                </c:pt>
                <c:pt idx="9">
                  <c:v>0</c:v>
                </c:pt>
              </c:numCache>
            </c:numRef>
          </c:val>
          <c:extLst>
            <c:ext xmlns:c16="http://schemas.microsoft.com/office/drawing/2014/chart" uri="{C3380CC4-5D6E-409C-BE32-E72D297353CC}">
              <c16:uniqueId val="{00000005-F3FB-4C86-9CFF-749C6CF06510}"/>
            </c:ext>
          </c:extLst>
        </c:ser>
        <c:ser>
          <c:idx val="6"/>
          <c:order val="6"/>
          <c:tx>
            <c:strRef>
              <c:f>'Sensitivity Analysis'!$V$49</c:f>
              <c:strCache>
                <c:ptCount val="1"/>
                <c:pt idx="0">
                  <c:v>H2ICEV</c:v>
                </c:pt>
              </c:strCache>
            </c:strRef>
          </c:tx>
          <c:spPr>
            <a:solidFill>
              <a:srgbClr val="0033A0"/>
            </a:solidFill>
            <a:ln>
              <a:noFill/>
            </a:ln>
            <a:effectLst/>
          </c:spPr>
          <c:invertIfNegative val="0"/>
          <c:cat>
            <c:strRef>
              <c:f>'Sensitivity Analysis'!$D$4:$M$4</c:f>
              <c:strCache>
                <c:ptCount val="10"/>
                <c:pt idx="0">
                  <c:v>Total Vehicle Mile (million)</c:v>
                </c:pt>
                <c:pt idx="1">
                  <c:v>Carbon Price ($/ton)</c:v>
                </c:pt>
                <c:pt idx="2">
                  <c:v>Diesel Price ($/gal)</c:v>
                </c:pt>
                <c:pt idx="3">
                  <c:v>Revenue Loss ($/kg) </c:v>
                </c:pt>
                <c:pt idx="4">
                  <c:v>Electricity Carbon Intensity (g/kWh)</c:v>
                </c:pt>
                <c:pt idx="5">
                  <c:v>Electricity Cost ($/kWh)</c:v>
                </c:pt>
                <c:pt idx="6">
                  <c:v>MCC Efficiency (%)</c:v>
                </c:pt>
                <c:pt idx="7">
                  <c:v>MCC Cost ($)</c:v>
                </c:pt>
                <c:pt idx="8">
                  <c:v>Fuel Economy (mpg)</c:v>
                </c:pt>
                <c:pt idx="9">
                  <c:v>MCC FE penalty (%)</c:v>
                </c:pt>
              </c:strCache>
            </c:strRef>
          </c:cat>
          <c:val>
            <c:numRef>
              <c:f>'Sensitivity Analysis'!$V$50:$V$59</c:f>
              <c:numCache>
                <c:formatCode>"$"#,##0</c:formatCode>
                <c:ptCount val="10"/>
                <c:pt idx="0">
                  <c:v>751503.99999999977</c:v>
                </c:pt>
                <c:pt idx="1">
                  <c:v>66089.799999999814</c:v>
                </c:pt>
                <c:pt idx="2">
                  <c:v>0</c:v>
                </c:pt>
                <c:pt idx="3">
                  <c:v>25053.329999999609</c:v>
                </c:pt>
                <c:pt idx="4">
                  <c:v>0</c:v>
                </c:pt>
                <c:pt idx="5">
                  <c:v>0</c:v>
                </c:pt>
                <c:pt idx="6">
                  <c:v>0</c:v>
                </c:pt>
                <c:pt idx="7">
                  <c:v>0</c:v>
                </c:pt>
                <c:pt idx="8">
                  <c:v>615826.58999999985</c:v>
                </c:pt>
                <c:pt idx="9">
                  <c:v>0</c:v>
                </c:pt>
              </c:numCache>
            </c:numRef>
          </c:val>
          <c:extLst>
            <c:ext xmlns:c16="http://schemas.microsoft.com/office/drawing/2014/chart" uri="{C3380CC4-5D6E-409C-BE32-E72D297353CC}">
              <c16:uniqueId val="{00000006-F3FB-4C86-9CFF-749C6CF06510}"/>
            </c:ext>
          </c:extLst>
        </c:ser>
        <c:dLbls>
          <c:showLegendKey val="0"/>
          <c:showVal val="0"/>
          <c:showCatName val="0"/>
          <c:showSerName val="0"/>
          <c:showPercent val="0"/>
          <c:showBubbleSize val="0"/>
        </c:dLbls>
        <c:gapWidth val="219"/>
        <c:overlap val="-27"/>
        <c:axId val="1510194272"/>
        <c:axId val="1510193616"/>
      </c:barChart>
      <c:catAx>
        <c:axId val="151019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crossAx val="1510193616"/>
        <c:crosses val="autoZero"/>
        <c:auto val="1"/>
        <c:lblAlgn val="ctr"/>
        <c:lblOffset val="100"/>
        <c:noMultiLvlLbl val="0"/>
      </c:catAx>
      <c:valAx>
        <c:axId val="15101936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crossAx val="1510194272"/>
        <c:crosses val="autoZero"/>
        <c:crossBetween val="between"/>
      </c:valAx>
      <c:spPr>
        <a:noFill/>
        <a:ln w="25400">
          <a:solidFill>
            <a:schemeClr val="tx1"/>
          </a:solidFill>
        </a:ln>
        <a:effectLst/>
      </c:spPr>
    </c:plotArea>
    <c:legend>
      <c:legendPos val="b"/>
      <c:layout>
        <c:manualLayout>
          <c:xMode val="edge"/>
          <c:yMode val="edge"/>
          <c:x val="0.54905186912315573"/>
          <c:y val="0.11205842423855233"/>
          <c:w val="0.42697716790255585"/>
          <c:h val="7.861094695820224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800" b="1">
          <a:solidFill>
            <a:schemeClr val="tx1"/>
          </a:solidFill>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r>
              <a:rPr lang="en-US" b="1"/>
              <a:t>Hydrogen cost</a:t>
            </a:r>
          </a:p>
        </c:rich>
      </c:tx>
      <c:layout>
        <c:manualLayout>
          <c:xMode val="edge"/>
          <c:yMode val="edge"/>
          <c:x val="0.31324983945874302"/>
          <c:y val="6.0750903483161572E-3"/>
        </c:manualLayout>
      </c:layout>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4804578861480206"/>
          <c:y val="0.14310659161560468"/>
          <c:w val="0.66167162635122689"/>
          <c:h val="0.69366971955976764"/>
        </c:manualLayout>
      </c:layout>
      <c:scatterChart>
        <c:scatterStyle val="lineMarker"/>
        <c:varyColors val="0"/>
        <c:ser>
          <c:idx val="1"/>
          <c:order val="0"/>
          <c:spPr>
            <a:ln w="38100" cap="rnd">
              <a:solidFill>
                <a:srgbClr val="0033A0"/>
              </a:solidFill>
              <a:round/>
            </a:ln>
            <a:effectLst/>
          </c:spPr>
          <c:marker>
            <c:symbol val="none"/>
          </c:marker>
          <c:xVal>
            <c:numRef>
              <c:f>'Cost Projection'!$B$6:$B$49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Projection'!$F$6:$F$49</c:f>
              <c:numCache>
                <c:formatCode>0.00_);[Red]\(0.00\)</c:formatCode>
                <c:ptCount val="44"/>
                <c:pt idx="0">
                  <c:v>13</c:v>
                </c:pt>
                <c:pt idx="1">
                  <c:v>9</c:v>
                </c:pt>
                <c:pt idx="2">
                  <c:v>8.5</c:v>
                </c:pt>
                <c:pt idx="3">
                  <c:v>8</c:v>
                </c:pt>
                <c:pt idx="4">
                  <c:v>7.65</c:v>
                </c:pt>
                <c:pt idx="5">
                  <c:v>7.3</c:v>
                </c:pt>
                <c:pt idx="6">
                  <c:v>6.95</c:v>
                </c:pt>
                <c:pt idx="7">
                  <c:v>6.6</c:v>
                </c:pt>
                <c:pt idx="8">
                  <c:v>6.25</c:v>
                </c:pt>
                <c:pt idx="9">
                  <c:v>5.9</c:v>
                </c:pt>
                <c:pt idx="10">
                  <c:v>5.5500000000000007</c:v>
                </c:pt>
                <c:pt idx="11">
                  <c:v>5.1999999999999993</c:v>
                </c:pt>
                <c:pt idx="12">
                  <c:v>4.8499999999999996</c:v>
                </c:pt>
                <c:pt idx="13">
                  <c:v>4.5</c:v>
                </c:pt>
                <c:pt idx="14">
                  <c:v>4.4666666666666668</c:v>
                </c:pt>
                <c:pt idx="15">
                  <c:v>4.4333333333333336</c:v>
                </c:pt>
                <c:pt idx="16">
                  <c:v>4.4000000000000004</c:v>
                </c:pt>
                <c:pt idx="17">
                  <c:v>4.3666666666666663</c:v>
                </c:pt>
                <c:pt idx="18">
                  <c:v>4.333333333333333</c:v>
                </c:pt>
                <c:pt idx="19">
                  <c:v>4.3</c:v>
                </c:pt>
                <c:pt idx="20">
                  <c:v>4.2666666666666666</c:v>
                </c:pt>
                <c:pt idx="21">
                  <c:v>4.2333333333333334</c:v>
                </c:pt>
                <c:pt idx="22">
                  <c:v>4.2</c:v>
                </c:pt>
                <c:pt idx="23">
                  <c:v>4.166666666666667</c:v>
                </c:pt>
                <c:pt idx="24">
                  <c:v>4.1333333333333337</c:v>
                </c:pt>
                <c:pt idx="25">
                  <c:v>4.0999999999999996</c:v>
                </c:pt>
                <c:pt idx="26">
                  <c:v>4.0666666666666664</c:v>
                </c:pt>
                <c:pt idx="27">
                  <c:v>4.0333333333333332</c:v>
                </c:pt>
                <c:pt idx="28">
                  <c:v>4</c:v>
                </c:pt>
                <c:pt idx="29">
                  <c:v>4</c:v>
                </c:pt>
                <c:pt idx="30">
                  <c:v>4</c:v>
                </c:pt>
                <c:pt idx="31">
                  <c:v>4</c:v>
                </c:pt>
                <c:pt idx="32">
                  <c:v>4</c:v>
                </c:pt>
                <c:pt idx="33">
                  <c:v>4</c:v>
                </c:pt>
                <c:pt idx="34">
                  <c:v>4</c:v>
                </c:pt>
                <c:pt idx="35">
                  <c:v>4</c:v>
                </c:pt>
                <c:pt idx="36">
                  <c:v>4</c:v>
                </c:pt>
                <c:pt idx="37">
                  <c:v>4</c:v>
                </c:pt>
                <c:pt idx="38">
                  <c:v>4</c:v>
                </c:pt>
                <c:pt idx="39">
                  <c:v>4</c:v>
                </c:pt>
                <c:pt idx="40">
                  <c:v>4</c:v>
                </c:pt>
                <c:pt idx="41">
                  <c:v>4</c:v>
                </c:pt>
                <c:pt idx="42">
                  <c:v>4</c:v>
                </c:pt>
                <c:pt idx="43">
                  <c:v>4</c:v>
                </c:pt>
              </c:numCache>
            </c:numRef>
          </c:yVal>
          <c:smooth val="0"/>
          <c:extLst>
            <c:ext xmlns:c16="http://schemas.microsoft.com/office/drawing/2014/chart" uri="{C3380CC4-5D6E-409C-BE32-E72D297353CC}">
              <c16:uniqueId val="{00000003-4745-4CA1-A8D3-6441277B13D2}"/>
            </c:ext>
          </c:extLst>
        </c:ser>
        <c:ser>
          <c:idx val="0"/>
          <c:order val="1"/>
          <c:spPr>
            <a:ln w="38100" cap="rnd">
              <a:solidFill>
                <a:srgbClr val="0000FF"/>
              </a:solidFill>
              <a:round/>
            </a:ln>
            <a:effectLst/>
          </c:spPr>
          <c:marker>
            <c:symbol val="none"/>
          </c:marker>
          <c:xVal>
            <c:numRef>
              <c:f>'Cost Projection'!$B$6:$B$49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Projection'!$F$6:$F$49</c:f>
              <c:numCache>
                <c:formatCode>0.00_);[Red]\(0.00\)</c:formatCode>
                <c:ptCount val="44"/>
                <c:pt idx="0">
                  <c:v>13</c:v>
                </c:pt>
                <c:pt idx="1">
                  <c:v>9</c:v>
                </c:pt>
                <c:pt idx="2">
                  <c:v>8.5</c:v>
                </c:pt>
                <c:pt idx="3">
                  <c:v>8</c:v>
                </c:pt>
                <c:pt idx="4">
                  <c:v>7.65</c:v>
                </c:pt>
                <c:pt idx="5">
                  <c:v>7.3</c:v>
                </c:pt>
                <c:pt idx="6">
                  <c:v>6.95</c:v>
                </c:pt>
                <c:pt idx="7">
                  <c:v>6.6</c:v>
                </c:pt>
                <c:pt idx="8">
                  <c:v>6.25</c:v>
                </c:pt>
                <c:pt idx="9">
                  <c:v>5.9</c:v>
                </c:pt>
                <c:pt idx="10">
                  <c:v>5.5500000000000007</c:v>
                </c:pt>
                <c:pt idx="11">
                  <c:v>5.1999999999999993</c:v>
                </c:pt>
                <c:pt idx="12">
                  <c:v>4.8499999999999996</c:v>
                </c:pt>
                <c:pt idx="13">
                  <c:v>4.5</c:v>
                </c:pt>
                <c:pt idx="14">
                  <c:v>4.4666666666666668</c:v>
                </c:pt>
                <c:pt idx="15">
                  <c:v>4.4333333333333336</c:v>
                </c:pt>
                <c:pt idx="16">
                  <c:v>4.4000000000000004</c:v>
                </c:pt>
                <c:pt idx="17">
                  <c:v>4.3666666666666663</c:v>
                </c:pt>
                <c:pt idx="18">
                  <c:v>4.333333333333333</c:v>
                </c:pt>
                <c:pt idx="19">
                  <c:v>4.3</c:v>
                </c:pt>
                <c:pt idx="20">
                  <c:v>4.2666666666666666</c:v>
                </c:pt>
                <c:pt idx="21">
                  <c:v>4.2333333333333334</c:v>
                </c:pt>
                <c:pt idx="22">
                  <c:v>4.2</c:v>
                </c:pt>
                <c:pt idx="23">
                  <c:v>4.166666666666667</c:v>
                </c:pt>
                <c:pt idx="24">
                  <c:v>4.1333333333333337</c:v>
                </c:pt>
                <c:pt idx="25">
                  <c:v>4.0999999999999996</c:v>
                </c:pt>
                <c:pt idx="26">
                  <c:v>4.0666666666666664</c:v>
                </c:pt>
                <c:pt idx="27">
                  <c:v>4.0333333333333332</c:v>
                </c:pt>
                <c:pt idx="28">
                  <c:v>4</c:v>
                </c:pt>
                <c:pt idx="29">
                  <c:v>4</c:v>
                </c:pt>
                <c:pt idx="30">
                  <c:v>4</c:v>
                </c:pt>
                <c:pt idx="31">
                  <c:v>4</c:v>
                </c:pt>
                <c:pt idx="32">
                  <c:v>4</c:v>
                </c:pt>
                <c:pt idx="33">
                  <c:v>4</c:v>
                </c:pt>
                <c:pt idx="34">
                  <c:v>4</c:v>
                </c:pt>
                <c:pt idx="35">
                  <c:v>4</c:v>
                </c:pt>
                <c:pt idx="36">
                  <c:v>4</c:v>
                </c:pt>
                <c:pt idx="37">
                  <c:v>4</c:v>
                </c:pt>
                <c:pt idx="38">
                  <c:v>4</c:v>
                </c:pt>
                <c:pt idx="39">
                  <c:v>4</c:v>
                </c:pt>
                <c:pt idx="40">
                  <c:v>4</c:v>
                </c:pt>
                <c:pt idx="41">
                  <c:v>4</c:v>
                </c:pt>
                <c:pt idx="42">
                  <c:v>4</c:v>
                </c:pt>
                <c:pt idx="43">
                  <c:v>4</c:v>
                </c:pt>
              </c:numCache>
            </c:numRef>
          </c:yVal>
          <c:smooth val="0"/>
          <c:extLst>
            <c:ext xmlns:c16="http://schemas.microsoft.com/office/drawing/2014/chart" uri="{C3380CC4-5D6E-409C-BE32-E72D297353CC}">
              <c16:uniqueId val="{00000002-4745-4CA1-A8D3-6441277B13D2}"/>
            </c:ext>
          </c:extLst>
        </c:ser>
        <c:dLbls>
          <c:showLegendKey val="0"/>
          <c:showVal val="0"/>
          <c:showCatName val="0"/>
          <c:showSerName val="0"/>
          <c:showPercent val="0"/>
          <c:showBubbleSize val="0"/>
        </c:dLbls>
        <c:axId val="204970752"/>
        <c:axId val="204979872"/>
      </c:scatterChart>
      <c:valAx>
        <c:axId val="204970752"/>
        <c:scaling>
          <c:orientation val="minMax"/>
          <c:max val="206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9872"/>
        <c:crosses val="autoZero"/>
        <c:crossBetween val="midCat"/>
        <c:majorUnit val="10"/>
      </c:valAx>
      <c:valAx>
        <c:axId val="204979872"/>
        <c:scaling>
          <c:orientation val="minMax"/>
          <c:max val="15"/>
          <c:min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USD / kg-H2</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_);[Red]\(0\)" sourceLinked="0"/>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0752"/>
        <c:crosses val="autoZero"/>
        <c:crossBetween val="midCat"/>
      </c:valAx>
      <c:spPr>
        <a:noFill/>
        <a:ln w="12700">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r>
              <a:rPr lang="en-US" b="1"/>
              <a:t>Battery cost</a:t>
            </a:r>
          </a:p>
        </c:rich>
      </c:tx>
      <c:layout>
        <c:manualLayout>
          <c:xMode val="edge"/>
          <c:yMode val="edge"/>
          <c:x val="0.35295221005442684"/>
          <c:y val="6.0749290491665022E-3"/>
        </c:manualLayout>
      </c:layout>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7185060601039773"/>
          <c:y val="0.13879880850794962"/>
          <c:w val="0.6339046952128774"/>
          <c:h val="0.69366971955976764"/>
        </c:manualLayout>
      </c:layout>
      <c:scatterChart>
        <c:scatterStyle val="lineMarker"/>
        <c:varyColors val="0"/>
        <c:ser>
          <c:idx val="0"/>
          <c:order val="0"/>
          <c:tx>
            <c:strRef>
              <c:f>'Cost Projection'!$I$5</c:f>
              <c:strCache>
                <c:ptCount val="1"/>
                <c:pt idx="0">
                  <c:v>LFP</c:v>
                </c:pt>
              </c:strCache>
            </c:strRef>
          </c:tx>
          <c:spPr>
            <a:ln w="38100" cap="rnd">
              <a:solidFill>
                <a:srgbClr val="00B050"/>
              </a:solidFill>
              <a:round/>
            </a:ln>
            <a:effectLst/>
          </c:spPr>
          <c:marker>
            <c:symbol val="none"/>
          </c:marker>
          <c:xVal>
            <c:numRef>
              <c:f>'Cost Projection'!$B$6:$B$49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Projection'!$I$6:$I$49</c:f>
              <c:numCache>
                <c:formatCode>0.00_);[Red]\(0.00\)</c:formatCode>
                <c:ptCount val="44"/>
                <c:pt idx="0">
                  <c:v>177.66539999999995</c:v>
                </c:pt>
                <c:pt idx="1">
                  <c:v>148.66589999999999</c:v>
                </c:pt>
                <c:pt idx="2">
                  <c:v>105</c:v>
                </c:pt>
                <c:pt idx="3">
                  <c:v>104.09090909090909</c:v>
                </c:pt>
                <c:pt idx="4">
                  <c:v>103.18181818181819</c:v>
                </c:pt>
                <c:pt idx="5">
                  <c:v>102.27272727272728</c:v>
                </c:pt>
                <c:pt idx="6">
                  <c:v>101.36363636363636</c:v>
                </c:pt>
                <c:pt idx="7">
                  <c:v>100.45454545454545</c:v>
                </c:pt>
                <c:pt idx="8">
                  <c:v>99.545454545454547</c:v>
                </c:pt>
                <c:pt idx="9">
                  <c:v>98.63636363636364</c:v>
                </c:pt>
                <c:pt idx="10">
                  <c:v>97.727272727272734</c:v>
                </c:pt>
                <c:pt idx="11">
                  <c:v>96.818181818181813</c:v>
                </c:pt>
                <c:pt idx="12">
                  <c:v>95.909090909090907</c:v>
                </c:pt>
                <c:pt idx="13">
                  <c:v>95</c:v>
                </c:pt>
                <c:pt idx="14">
                  <c:v>93.666666666666671</c:v>
                </c:pt>
                <c:pt idx="15">
                  <c:v>92.333333333333329</c:v>
                </c:pt>
                <c:pt idx="16">
                  <c:v>91</c:v>
                </c:pt>
                <c:pt idx="17">
                  <c:v>89.666666666666671</c:v>
                </c:pt>
                <c:pt idx="18">
                  <c:v>88.333333333333329</c:v>
                </c:pt>
                <c:pt idx="19">
                  <c:v>87</c:v>
                </c:pt>
                <c:pt idx="20">
                  <c:v>85.666666666666671</c:v>
                </c:pt>
                <c:pt idx="21">
                  <c:v>84.333333333333329</c:v>
                </c:pt>
                <c:pt idx="22">
                  <c:v>83</c:v>
                </c:pt>
                <c:pt idx="23">
                  <c:v>81.666666666666671</c:v>
                </c:pt>
                <c:pt idx="24">
                  <c:v>80.333333333333329</c:v>
                </c:pt>
                <c:pt idx="25">
                  <c:v>79</c:v>
                </c:pt>
                <c:pt idx="26">
                  <c:v>77.666666666666657</c:v>
                </c:pt>
                <c:pt idx="27">
                  <c:v>76.333333333333329</c:v>
                </c:pt>
                <c:pt idx="28">
                  <c:v>75</c:v>
                </c:pt>
                <c:pt idx="29">
                  <c:v>75</c:v>
                </c:pt>
                <c:pt idx="30">
                  <c:v>75</c:v>
                </c:pt>
                <c:pt idx="31">
                  <c:v>75</c:v>
                </c:pt>
                <c:pt idx="32">
                  <c:v>75</c:v>
                </c:pt>
                <c:pt idx="33">
                  <c:v>75</c:v>
                </c:pt>
                <c:pt idx="34">
                  <c:v>75</c:v>
                </c:pt>
                <c:pt idx="35">
                  <c:v>75</c:v>
                </c:pt>
                <c:pt idx="36">
                  <c:v>75</c:v>
                </c:pt>
                <c:pt idx="37">
                  <c:v>75</c:v>
                </c:pt>
                <c:pt idx="38">
                  <c:v>75</c:v>
                </c:pt>
                <c:pt idx="39">
                  <c:v>75</c:v>
                </c:pt>
                <c:pt idx="40">
                  <c:v>75</c:v>
                </c:pt>
                <c:pt idx="41">
                  <c:v>75</c:v>
                </c:pt>
                <c:pt idx="42">
                  <c:v>75</c:v>
                </c:pt>
                <c:pt idx="43">
                  <c:v>75</c:v>
                </c:pt>
              </c:numCache>
            </c:numRef>
          </c:yVal>
          <c:smooth val="0"/>
          <c:extLst>
            <c:ext xmlns:c16="http://schemas.microsoft.com/office/drawing/2014/chart" uri="{C3380CC4-5D6E-409C-BE32-E72D297353CC}">
              <c16:uniqueId val="{00000003-5AD1-4916-A04F-64860E997AC5}"/>
            </c:ext>
          </c:extLst>
        </c:ser>
        <c:ser>
          <c:idx val="1"/>
          <c:order val="1"/>
          <c:tx>
            <c:strRef>
              <c:f>'Cost Projection'!$H$5</c:f>
              <c:strCache>
                <c:ptCount val="1"/>
                <c:pt idx="0">
                  <c:v>NMC811</c:v>
                </c:pt>
              </c:strCache>
            </c:strRef>
          </c:tx>
          <c:spPr>
            <a:ln w="38100" cap="rnd">
              <a:solidFill>
                <a:srgbClr val="00A3E0"/>
              </a:solidFill>
              <a:round/>
            </a:ln>
            <a:effectLst/>
          </c:spPr>
          <c:marker>
            <c:symbol val="none"/>
          </c:marker>
          <c:xVal>
            <c:numRef>
              <c:f>'Cost Projection'!$B$6:$B$49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Projection'!$H$6:$H$49</c:f>
              <c:numCache>
                <c:formatCode>0.00_);[Red]\(0.00\)</c:formatCode>
                <c:ptCount val="44"/>
                <c:pt idx="0">
                  <c:v>214</c:v>
                </c:pt>
                <c:pt idx="1">
                  <c:v>172</c:v>
                </c:pt>
                <c:pt idx="2">
                  <c:v>125</c:v>
                </c:pt>
                <c:pt idx="3">
                  <c:v>123.18181818181819</c:v>
                </c:pt>
                <c:pt idx="4">
                  <c:v>121.36363636363637</c:v>
                </c:pt>
                <c:pt idx="5">
                  <c:v>119.54545454545455</c:v>
                </c:pt>
                <c:pt idx="6">
                  <c:v>117.72727272727273</c:v>
                </c:pt>
                <c:pt idx="7">
                  <c:v>115.90909090909091</c:v>
                </c:pt>
                <c:pt idx="8">
                  <c:v>114.09090909090909</c:v>
                </c:pt>
                <c:pt idx="9">
                  <c:v>112.27272727272728</c:v>
                </c:pt>
                <c:pt idx="10">
                  <c:v>110.45454545454545</c:v>
                </c:pt>
                <c:pt idx="11">
                  <c:v>108.63636363636364</c:v>
                </c:pt>
                <c:pt idx="12">
                  <c:v>106.81818181818181</c:v>
                </c:pt>
                <c:pt idx="13">
                  <c:v>105</c:v>
                </c:pt>
                <c:pt idx="14">
                  <c:v>103.66666666666667</c:v>
                </c:pt>
                <c:pt idx="15">
                  <c:v>102.33333333333333</c:v>
                </c:pt>
                <c:pt idx="16">
                  <c:v>101</c:v>
                </c:pt>
                <c:pt idx="17">
                  <c:v>99.666666666666671</c:v>
                </c:pt>
                <c:pt idx="18">
                  <c:v>98.333333333333329</c:v>
                </c:pt>
                <c:pt idx="19">
                  <c:v>97</c:v>
                </c:pt>
                <c:pt idx="20">
                  <c:v>95.666666666666671</c:v>
                </c:pt>
                <c:pt idx="21">
                  <c:v>94.333333333333329</c:v>
                </c:pt>
                <c:pt idx="22">
                  <c:v>93</c:v>
                </c:pt>
                <c:pt idx="23">
                  <c:v>91.666666666666671</c:v>
                </c:pt>
                <c:pt idx="24">
                  <c:v>90.333333333333329</c:v>
                </c:pt>
                <c:pt idx="25">
                  <c:v>89</c:v>
                </c:pt>
                <c:pt idx="26">
                  <c:v>87.666666666666657</c:v>
                </c:pt>
                <c:pt idx="27">
                  <c:v>86.333333333333329</c:v>
                </c:pt>
                <c:pt idx="28">
                  <c:v>85</c:v>
                </c:pt>
                <c:pt idx="29">
                  <c:v>85</c:v>
                </c:pt>
                <c:pt idx="30">
                  <c:v>85</c:v>
                </c:pt>
                <c:pt idx="31">
                  <c:v>85</c:v>
                </c:pt>
                <c:pt idx="32">
                  <c:v>85</c:v>
                </c:pt>
                <c:pt idx="33">
                  <c:v>85</c:v>
                </c:pt>
                <c:pt idx="34">
                  <c:v>85</c:v>
                </c:pt>
                <c:pt idx="35">
                  <c:v>85</c:v>
                </c:pt>
                <c:pt idx="36">
                  <c:v>85</c:v>
                </c:pt>
                <c:pt idx="37">
                  <c:v>85</c:v>
                </c:pt>
                <c:pt idx="38">
                  <c:v>85</c:v>
                </c:pt>
                <c:pt idx="39">
                  <c:v>85</c:v>
                </c:pt>
                <c:pt idx="40">
                  <c:v>85</c:v>
                </c:pt>
                <c:pt idx="41">
                  <c:v>85</c:v>
                </c:pt>
                <c:pt idx="42">
                  <c:v>85</c:v>
                </c:pt>
                <c:pt idx="43">
                  <c:v>85</c:v>
                </c:pt>
              </c:numCache>
            </c:numRef>
          </c:yVal>
          <c:smooth val="0"/>
          <c:extLst>
            <c:ext xmlns:c16="http://schemas.microsoft.com/office/drawing/2014/chart" uri="{C3380CC4-5D6E-409C-BE32-E72D297353CC}">
              <c16:uniqueId val="{00000005-5AD1-4916-A04F-64860E997AC5}"/>
            </c:ext>
          </c:extLst>
        </c:ser>
        <c:dLbls>
          <c:showLegendKey val="0"/>
          <c:showVal val="0"/>
          <c:showCatName val="0"/>
          <c:showSerName val="0"/>
          <c:showPercent val="0"/>
          <c:showBubbleSize val="0"/>
        </c:dLbls>
        <c:axId val="204970752"/>
        <c:axId val="204979872"/>
      </c:scatterChart>
      <c:valAx>
        <c:axId val="204970752"/>
        <c:scaling>
          <c:orientation val="minMax"/>
          <c:max val="206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9872"/>
        <c:crosses val="autoZero"/>
        <c:crossBetween val="midCat"/>
        <c:majorUnit val="10"/>
      </c:valAx>
      <c:valAx>
        <c:axId val="204979872"/>
        <c:scaling>
          <c:orientation val="minMax"/>
          <c:min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USD / kWh</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_);[Red]\(0\)" sourceLinked="0"/>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0752"/>
        <c:crosses val="autoZero"/>
        <c:crossBetween val="midCat"/>
      </c:valAx>
      <c:spPr>
        <a:noFill/>
        <a:ln w="12700">
          <a:solidFill>
            <a:schemeClr val="tx1"/>
          </a:solidFill>
        </a:ln>
        <a:effectLst/>
      </c:spPr>
    </c:plotArea>
    <c:legend>
      <c:legendPos val="t"/>
      <c:layout>
        <c:manualLayout>
          <c:xMode val="edge"/>
          <c:yMode val="edge"/>
          <c:x val="0.51855670425379607"/>
          <c:y val="0.1724122880498081"/>
          <c:w val="0.35991140399963734"/>
          <c:h val="0.17198421606253678"/>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r>
              <a:rPr lang="en-US" b="1"/>
              <a:t>Durability</a:t>
            </a:r>
          </a:p>
        </c:rich>
      </c:tx>
      <c:layout>
        <c:manualLayout>
          <c:xMode val="edge"/>
          <c:yMode val="edge"/>
          <c:x val="0.40831810696135062"/>
          <c:y val="1.03391374102635E-2"/>
        </c:manualLayout>
      </c:layout>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596963730922323"/>
          <c:y val="0.13879880850794962"/>
          <c:w val="0.64978585330959504"/>
          <c:h val="0.69366971955976764"/>
        </c:manualLayout>
      </c:layout>
      <c:scatterChart>
        <c:scatterStyle val="lineMarker"/>
        <c:varyColors val="0"/>
        <c:ser>
          <c:idx val="0"/>
          <c:order val="0"/>
          <c:tx>
            <c:v>Fuel Cell</c:v>
          </c:tx>
          <c:spPr>
            <a:ln w="38100" cap="rnd">
              <a:solidFill>
                <a:srgbClr val="F05F41"/>
              </a:solidFill>
              <a:round/>
            </a:ln>
            <a:effectLst/>
          </c:spPr>
          <c:marker>
            <c:symbol val="none"/>
          </c:marker>
          <c:xVal>
            <c:numRef>
              <c:f>'Cost Projection'!$B$6:$B$49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Projection'!$S$6:$S$49</c:f>
              <c:numCache>
                <c:formatCode>0.00_);[Red]\(0.00\)</c:formatCode>
                <c:ptCount val="44"/>
                <c:pt idx="0">
                  <c:v>5</c:v>
                </c:pt>
                <c:pt idx="1">
                  <c:v>6.5</c:v>
                </c:pt>
                <c:pt idx="2">
                  <c:v>7.2</c:v>
                </c:pt>
                <c:pt idx="3">
                  <c:v>7.5</c:v>
                </c:pt>
                <c:pt idx="4">
                  <c:v>8.0500000000000007</c:v>
                </c:pt>
                <c:pt idx="5">
                  <c:v>8.6</c:v>
                </c:pt>
                <c:pt idx="6">
                  <c:v>9.15</c:v>
                </c:pt>
                <c:pt idx="7">
                  <c:v>9.6999999999999993</c:v>
                </c:pt>
                <c:pt idx="8">
                  <c:v>10.25</c:v>
                </c:pt>
                <c:pt idx="9">
                  <c:v>10.8</c:v>
                </c:pt>
                <c:pt idx="10">
                  <c:v>11.35</c:v>
                </c:pt>
                <c:pt idx="11">
                  <c:v>11.9</c:v>
                </c:pt>
                <c:pt idx="12">
                  <c:v>12.45</c:v>
                </c:pt>
                <c:pt idx="13">
                  <c:v>13</c:v>
                </c:pt>
                <c:pt idx="14">
                  <c:v>13.133333333333333</c:v>
                </c:pt>
                <c:pt idx="15">
                  <c:v>13.266666666666667</c:v>
                </c:pt>
                <c:pt idx="16">
                  <c:v>13.4</c:v>
                </c:pt>
                <c:pt idx="17">
                  <c:v>13.533333333333333</c:v>
                </c:pt>
                <c:pt idx="18">
                  <c:v>13.666666666666666</c:v>
                </c:pt>
                <c:pt idx="19">
                  <c:v>13.8</c:v>
                </c:pt>
                <c:pt idx="20">
                  <c:v>13.933333333333334</c:v>
                </c:pt>
                <c:pt idx="21">
                  <c:v>14.066666666666666</c:v>
                </c:pt>
                <c:pt idx="22">
                  <c:v>14.2</c:v>
                </c:pt>
                <c:pt idx="23">
                  <c:v>14.333333333333334</c:v>
                </c:pt>
                <c:pt idx="24">
                  <c:v>14.466666666666667</c:v>
                </c:pt>
                <c:pt idx="25">
                  <c:v>14.6</c:v>
                </c:pt>
                <c:pt idx="26">
                  <c:v>14.733333333333334</c:v>
                </c:pt>
                <c:pt idx="27">
                  <c:v>14.866666666666667</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numCache>
            </c:numRef>
          </c:yVal>
          <c:smooth val="0"/>
          <c:extLst>
            <c:ext xmlns:c16="http://schemas.microsoft.com/office/drawing/2014/chart" uri="{C3380CC4-5D6E-409C-BE32-E72D297353CC}">
              <c16:uniqueId val="{00000003-0177-4183-B524-8480F5A79B4D}"/>
            </c:ext>
          </c:extLst>
        </c:ser>
        <c:ser>
          <c:idx val="1"/>
          <c:order val="1"/>
          <c:tx>
            <c:v>Battery</c:v>
          </c:tx>
          <c:spPr>
            <a:ln w="38100" cap="rnd">
              <a:solidFill>
                <a:srgbClr val="00B050"/>
              </a:solidFill>
              <a:round/>
            </a:ln>
            <a:effectLst/>
          </c:spPr>
          <c:marker>
            <c:symbol val="none"/>
          </c:marker>
          <c:xVal>
            <c:numRef>
              <c:f>'Cost Projection'!$B$6:$B$49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Projection'!$R$6:$R$49</c:f>
              <c:numCache>
                <c:formatCode>0.00_);[Red]\(0.00\)</c:formatCode>
                <c:ptCount val="44"/>
                <c:pt idx="0">
                  <c:v>7</c:v>
                </c:pt>
                <c:pt idx="1">
                  <c:v>8</c:v>
                </c:pt>
                <c:pt idx="2">
                  <c:v>9</c:v>
                </c:pt>
                <c:pt idx="3">
                  <c:v>10</c:v>
                </c:pt>
                <c:pt idx="4">
                  <c:v>10.5</c:v>
                </c:pt>
                <c:pt idx="5">
                  <c:v>11</c:v>
                </c:pt>
                <c:pt idx="6">
                  <c:v>11.5</c:v>
                </c:pt>
                <c:pt idx="7">
                  <c:v>12</c:v>
                </c:pt>
                <c:pt idx="8">
                  <c:v>12.5</c:v>
                </c:pt>
                <c:pt idx="9">
                  <c:v>13</c:v>
                </c:pt>
                <c:pt idx="10">
                  <c:v>13.5</c:v>
                </c:pt>
                <c:pt idx="11">
                  <c:v>14</c:v>
                </c:pt>
                <c:pt idx="12">
                  <c:v>14.5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numCache>
            </c:numRef>
          </c:yVal>
          <c:smooth val="0"/>
          <c:extLst>
            <c:ext xmlns:c16="http://schemas.microsoft.com/office/drawing/2014/chart" uri="{C3380CC4-5D6E-409C-BE32-E72D297353CC}">
              <c16:uniqueId val="{00000005-0177-4183-B524-8480F5A79B4D}"/>
            </c:ext>
          </c:extLst>
        </c:ser>
        <c:dLbls>
          <c:showLegendKey val="0"/>
          <c:showVal val="0"/>
          <c:showCatName val="0"/>
          <c:showSerName val="0"/>
          <c:showPercent val="0"/>
          <c:showBubbleSize val="0"/>
        </c:dLbls>
        <c:axId val="204970752"/>
        <c:axId val="204979872"/>
      </c:scatterChart>
      <c:valAx>
        <c:axId val="204970752"/>
        <c:scaling>
          <c:orientation val="minMax"/>
          <c:max val="206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9872"/>
        <c:crosses val="autoZero"/>
        <c:crossBetween val="midCat"/>
        <c:majorUnit val="10"/>
      </c:valAx>
      <c:valAx>
        <c:axId val="204979872"/>
        <c:scaling>
          <c:orientation val="minMax"/>
          <c:min val="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Years</a:t>
                </a:r>
              </a:p>
            </c:rich>
          </c:tx>
          <c:layout>
            <c:manualLayout>
              <c:xMode val="edge"/>
              <c:yMode val="edge"/>
              <c:x val="7.4366681729326513E-3"/>
              <c:y val="0.4007066041603225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_);[Red]\(0\)" sourceLinked="0"/>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0752"/>
        <c:crosses val="autoZero"/>
        <c:crossBetween val="midCat"/>
      </c:valAx>
      <c:spPr>
        <a:noFill/>
        <a:ln w="12700">
          <a:solidFill>
            <a:schemeClr val="tx1"/>
          </a:solidFill>
        </a:ln>
        <a:effectLst/>
      </c:spPr>
    </c:plotArea>
    <c:legend>
      <c:legendPos val="r"/>
      <c:layout>
        <c:manualLayout>
          <c:xMode val="edge"/>
          <c:yMode val="edge"/>
          <c:x val="0.50922296647850829"/>
          <c:y val="0.57198743919279393"/>
          <c:w val="0.36791441246888645"/>
          <c:h val="0.2373701137261366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r>
              <a:rPr lang="en-US" b="1"/>
              <a:t>Carbon Tax</a:t>
            </a:r>
          </a:p>
        </c:rich>
      </c:tx>
      <c:layout>
        <c:manualLayout>
          <c:xMode val="edge"/>
          <c:yMode val="edge"/>
          <c:x val="0.36079279666000419"/>
          <c:y val="1.0382892699480872E-2"/>
        </c:manualLayout>
      </c:layout>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596963730922323"/>
          <c:y val="0.13879880850794962"/>
          <c:w val="0.64978585330959504"/>
          <c:h val="0.69366971955976764"/>
        </c:manualLayout>
      </c:layout>
      <c:scatterChart>
        <c:scatterStyle val="lineMarker"/>
        <c:varyColors val="0"/>
        <c:ser>
          <c:idx val="1"/>
          <c:order val="0"/>
          <c:tx>
            <c:strRef>
              <c:f>'Cost Projection'!$X$4</c:f>
              <c:strCache>
                <c:ptCount val="1"/>
                <c:pt idx="0">
                  <c:v>Carbon Tax</c:v>
                </c:pt>
              </c:strCache>
            </c:strRef>
          </c:tx>
          <c:spPr>
            <a:ln w="38100" cap="rnd">
              <a:solidFill>
                <a:schemeClr val="tx1"/>
              </a:solidFill>
              <a:round/>
            </a:ln>
            <a:effectLst/>
          </c:spPr>
          <c:marker>
            <c:symbol val="none"/>
          </c:marker>
          <c:xVal>
            <c:numRef>
              <c:f>'Cost Projection'!$B$6:$B$49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Projection'!$X$6:$X$49</c:f>
              <c:numCache>
                <c:formatCode>0</c:formatCode>
                <c:ptCount val="44"/>
                <c:pt idx="0">
                  <c:v>0</c:v>
                </c:pt>
                <c:pt idx="1">
                  <c:v>0</c:v>
                </c:pt>
                <c:pt idx="2">
                  <c:v>0</c:v>
                </c:pt>
                <c:pt idx="3">
                  <c:v>0</c:v>
                </c:pt>
                <c:pt idx="4">
                  <c:v>5</c:v>
                </c:pt>
                <c:pt idx="5">
                  <c:v>10</c:v>
                </c:pt>
                <c:pt idx="6">
                  <c:v>15</c:v>
                </c:pt>
                <c:pt idx="7">
                  <c:v>20</c:v>
                </c:pt>
                <c:pt idx="8">
                  <c:v>25</c:v>
                </c:pt>
                <c:pt idx="9">
                  <c:v>30</c:v>
                </c:pt>
                <c:pt idx="10">
                  <c:v>35</c:v>
                </c:pt>
                <c:pt idx="11">
                  <c:v>40</c:v>
                </c:pt>
                <c:pt idx="12">
                  <c:v>45</c:v>
                </c:pt>
                <c:pt idx="13">
                  <c:v>50</c:v>
                </c:pt>
                <c:pt idx="14">
                  <c:v>56.666666666666664</c:v>
                </c:pt>
                <c:pt idx="15">
                  <c:v>63.333333333333336</c:v>
                </c:pt>
                <c:pt idx="16">
                  <c:v>70</c:v>
                </c:pt>
                <c:pt idx="17">
                  <c:v>76.666666666666671</c:v>
                </c:pt>
                <c:pt idx="18">
                  <c:v>83.333333333333329</c:v>
                </c:pt>
                <c:pt idx="19">
                  <c:v>90</c:v>
                </c:pt>
                <c:pt idx="20">
                  <c:v>96.666666666666657</c:v>
                </c:pt>
                <c:pt idx="21">
                  <c:v>103.33333333333334</c:v>
                </c:pt>
                <c:pt idx="22">
                  <c:v>110</c:v>
                </c:pt>
                <c:pt idx="23">
                  <c:v>116.66666666666666</c:v>
                </c:pt>
                <c:pt idx="24">
                  <c:v>123.33333333333333</c:v>
                </c:pt>
                <c:pt idx="25">
                  <c:v>130</c:v>
                </c:pt>
                <c:pt idx="26">
                  <c:v>136.66666666666669</c:v>
                </c:pt>
                <c:pt idx="27">
                  <c:v>143.33333333333331</c:v>
                </c:pt>
                <c:pt idx="28">
                  <c:v>150</c:v>
                </c:pt>
                <c:pt idx="29">
                  <c:v>150</c:v>
                </c:pt>
                <c:pt idx="30">
                  <c:v>150</c:v>
                </c:pt>
                <c:pt idx="31">
                  <c:v>150</c:v>
                </c:pt>
                <c:pt idx="32">
                  <c:v>150</c:v>
                </c:pt>
                <c:pt idx="33">
                  <c:v>150</c:v>
                </c:pt>
                <c:pt idx="34">
                  <c:v>150</c:v>
                </c:pt>
                <c:pt idx="35">
                  <c:v>150</c:v>
                </c:pt>
                <c:pt idx="36">
                  <c:v>150</c:v>
                </c:pt>
                <c:pt idx="37">
                  <c:v>150</c:v>
                </c:pt>
                <c:pt idx="38">
                  <c:v>150</c:v>
                </c:pt>
                <c:pt idx="39">
                  <c:v>150</c:v>
                </c:pt>
                <c:pt idx="40">
                  <c:v>150</c:v>
                </c:pt>
                <c:pt idx="41">
                  <c:v>150</c:v>
                </c:pt>
                <c:pt idx="42">
                  <c:v>150</c:v>
                </c:pt>
                <c:pt idx="43">
                  <c:v>150</c:v>
                </c:pt>
              </c:numCache>
            </c:numRef>
          </c:yVal>
          <c:smooth val="0"/>
          <c:extLst>
            <c:ext xmlns:c16="http://schemas.microsoft.com/office/drawing/2014/chart" uri="{C3380CC4-5D6E-409C-BE32-E72D297353CC}">
              <c16:uniqueId val="{00000001-24F2-446C-AB90-D07029B656B3}"/>
            </c:ext>
          </c:extLst>
        </c:ser>
        <c:dLbls>
          <c:showLegendKey val="0"/>
          <c:showVal val="0"/>
          <c:showCatName val="0"/>
          <c:showSerName val="0"/>
          <c:showPercent val="0"/>
          <c:showBubbleSize val="0"/>
        </c:dLbls>
        <c:axId val="204970752"/>
        <c:axId val="204979872"/>
      </c:scatterChart>
      <c:valAx>
        <c:axId val="204970752"/>
        <c:scaling>
          <c:orientation val="minMax"/>
          <c:max val="206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9872"/>
        <c:crosses val="autoZero"/>
        <c:crossBetween val="midCat"/>
        <c:majorUnit val="10"/>
      </c:valAx>
      <c:valAx>
        <c:axId val="204979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USD / Ton - CO2</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_);[Red]\(0\)" sourceLinked="0"/>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0752"/>
        <c:crosses val="autoZero"/>
        <c:crossBetween val="midCat"/>
      </c:valAx>
      <c:spPr>
        <a:noFill/>
        <a:ln w="12700">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r>
              <a:rPr lang="en-US" b="1"/>
              <a:t>Diesel cost</a:t>
            </a:r>
          </a:p>
        </c:rich>
      </c:tx>
      <c:layout>
        <c:manualLayout>
          <c:xMode val="edge"/>
          <c:yMode val="edge"/>
          <c:x val="0.39662497381822504"/>
          <c:y val="6.0751092240971857E-3"/>
        </c:manualLayout>
      </c:layout>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4414231631335598"/>
          <c:y val="0.13879880850794962"/>
          <c:w val="0.66161329752812792"/>
          <c:h val="0.69366971955976764"/>
        </c:manualLayout>
      </c:layout>
      <c:scatterChart>
        <c:scatterStyle val="lineMarker"/>
        <c:varyColors val="0"/>
        <c:ser>
          <c:idx val="1"/>
          <c:order val="0"/>
          <c:spPr>
            <a:ln w="38100" cap="rnd">
              <a:solidFill>
                <a:schemeClr val="tx1">
                  <a:lumMod val="50000"/>
                  <a:lumOff val="50000"/>
                </a:schemeClr>
              </a:solidFill>
              <a:round/>
            </a:ln>
            <a:effectLst/>
          </c:spPr>
          <c:marker>
            <c:symbol val="none"/>
          </c:marker>
          <c:xVal>
            <c:numRef>
              <c:f>'Cost Projection'!$B$6:$B$49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Projection'!$C$6:$C$49</c:f>
              <c:numCache>
                <c:formatCode>0.00_);[Red]\(0.00\)</c:formatCode>
                <c:ptCount val="44"/>
                <c:pt idx="0">
                  <c:v>0.63</c:v>
                </c:pt>
                <c:pt idx="1">
                  <c:v>0.75</c:v>
                </c:pt>
                <c:pt idx="2">
                  <c:v>1.1499999999999999</c:v>
                </c:pt>
                <c:pt idx="3">
                  <c:v>1.66</c:v>
                </c:pt>
                <c:pt idx="4">
                  <c:v>1.694</c:v>
                </c:pt>
                <c:pt idx="5">
                  <c:v>1.728</c:v>
                </c:pt>
                <c:pt idx="6">
                  <c:v>1.762</c:v>
                </c:pt>
                <c:pt idx="7">
                  <c:v>1.796</c:v>
                </c:pt>
                <c:pt idx="8">
                  <c:v>1.83</c:v>
                </c:pt>
                <c:pt idx="9">
                  <c:v>1.8639999999999999</c:v>
                </c:pt>
                <c:pt idx="10">
                  <c:v>1.8979999999999999</c:v>
                </c:pt>
                <c:pt idx="11">
                  <c:v>1.9319999999999999</c:v>
                </c:pt>
                <c:pt idx="12">
                  <c:v>1.966</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numCache>
            </c:numRef>
          </c:yVal>
          <c:smooth val="0"/>
          <c:extLst>
            <c:ext xmlns:c16="http://schemas.microsoft.com/office/drawing/2014/chart" uri="{C3380CC4-5D6E-409C-BE32-E72D297353CC}">
              <c16:uniqueId val="{00000000-ABBF-4A80-916D-2EBCA9C606C0}"/>
            </c:ext>
          </c:extLst>
        </c:ser>
        <c:dLbls>
          <c:showLegendKey val="0"/>
          <c:showVal val="0"/>
          <c:showCatName val="0"/>
          <c:showSerName val="0"/>
          <c:showPercent val="0"/>
          <c:showBubbleSize val="0"/>
        </c:dLbls>
        <c:axId val="204970752"/>
        <c:axId val="204979872"/>
      </c:scatterChart>
      <c:valAx>
        <c:axId val="204970752"/>
        <c:scaling>
          <c:orientation val="minMax"/>
          <c:max val="206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9872"/>
        <c:crosses val="autoZero"/>
        <c:crossBetween val="midCat"/>
        <c:majorUnit val="10"/>
      </c:valAx>
      <c:valAx>
        <c:axId val="204979872"/>
        <c:scaling>
          <c:orientation val="minMax"/>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USD / gallon</a:t>
                </a:r>
              </a:p>
            </c:rich>
          </c:tx>
          <c:layout>
            <c:manualLayout>
              <c:xMode val="edge"/>
              <c:yMode val="edge"/>
              <c:x val="0"/>
              <c:y val="0.2961921026790786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0_);[Red]\(0.0\)" sourceLinked="0"/>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0752"/>
        <c:crosses val="autoZero"/>
        <c:crossBetween val="midCat"/>
      </c:valAx>
      <c:spPr>
        <a:noFill/>
        <a:ln w="12700">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r>
              <a:rPr lang="en-US" b="1"/>
              <a:t>Fuel economy</a:t>
            </a:r>
          </a:p>
        </c:rich>
      </c:tx>
      <c:layout>
        <c:manualLayout>
          <c:xMode val="edge"/>
          <c:yMode val="edge"/>
          <c:x val="0.32910834835678554"/>
          <c:y val="6.0751092240971857E-3"/>
        </c:manualLayout>
      </c:layout>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4806755480633405"/>
          <c:y val="0.13879880850794962"/>
          <c:w val="0.65768818337196511"/>
          <c:h val="0.69366971955976764"/>
        </c:manualLayout>
      </c:layout>
      <c:scatterChart>
        <c:scatterStyle val="lineMarker"/>
        <c:varyColors val="0"/>
        <c:ser>
          <c:idx val="0"/>
          <c:order val="0"/>
          <c:tx>
            <c:v>Diesel</c:v>
          </c:tx>
          <c:spPr>
            <a:ln w="38100" cap="rnd">
              <a:solidFill>
                <a:srgbClr val="5F6369"/>
              </a:solidFill>
              <a:round/>
            </a:ln>
            <a:effectLst/>
          </c:spPr>
          <c:marker>
            <c:symbol val="none"/>
          </c:marker>
          <c:xVal>
            <c:numRef>
              <c:f>'Cost Projection'!$BF$6:$BF$49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Projection'!$BG$6:$BG$49</c:f>
              <c:numCache>
                <c:formatCode>0.00</c:formatCode>
                <c:ptCount val="44"/>
                <c:pt idx="0">
                  <c:v>7.13</c:v>
                </c:pt>
                <c:pt idx="1">
                  <c:v>7.13</c:v>
                </c:pt>
                <c:pt idx="2">
                  <c:v>7.13</c:v>
                </c:pt>
                <c:pt idx="3">
                  <c:v>7.13</c:v>
                </c:pt>
                <c:pt idx="4">
                  <c:v>7.2012999999999998</c:v>
                </c:pt>
                <c:pt idx="5">
                  <c:v>7.2733129999999999</c:v>
                </c:pt>
                <c:pt idx="6">
                  <c:v>7.3460461300000004</c:v>
                </c:pt>
                <c:pt idx="7">
                  <c:v>7.4195065913000002</c:v>
                </c:pt>
                <c:pt idx="8">
                  <c:v>7.4937016572130002</c:v>
                </c:pt>
                <c:pt idx="9">
                  <c:v>7.5686386737851299</c:v>
                </c:pt>
                <c:pt idx="10">
                  <c:v>7.6443250605229816</c:v>
                </c:pt>
                <c:pt idx="11">
                  <c:v>7.7207683111282117</c:v>
                </c:pt>
                <c:pt idx="12">
                  <c:v>7.7979759942394935</c:v>
                </c:pt>
                <c:pt idx="13">
                  <c:v>7.8759557541818888</c:v>
                </c:pt>
                <c:pt idx="14">
                  <c:v>7.9153355329527972</c:v>
                </c:pt>
                <c:pt idx="15">
                  <c:v>7.95491221061756</c:v>
                </c:pt>
                <c:pt idx="16">
                  <c:v>7.9946867716706471</c:v>
                </c:pt>
                <c:pt idx="17">
                  <c:v>8.0346602055289988</c:v>
                </c:pt>
                <c:pt idx="18">
                  <c:v>8.0748335065566437</c:v>
                </c:pt>
                <c:pt idx="19">
                  <c:v>8.1152076740894259</c:v>
                </c:pt>
                <c:pt idx="20">
                  <c:v>8.155783712459872</c:v>
                </c:pt>
                <c:pt idx="21">
                  <c:v>8.1965626310221698</c:v>
                </c:pt>
                <c:pt idx="22">
                  <c:v>8.2375454441772789</c:v>
                </c:pt>
                <c:pt idx="23">
                  <c:v>8.278733171398164</c:v>
                </c:pt>
                <c:pt idx="24">
                  <c:v>8.3201268372551542</c:v>
                </c:pt>
                <c:pt idx="25">
                  <c:v>8.3617274714414282</c:v>
                </c:pt>
                <c:pt idx="26">
                  <c:v>8.4035361087986349</c:v>
                </c:pt>
                <c:pt idx="27">
                  <c:v>8.4455537893426271</c:v>
                </c:pt>
                <c:pt idx="28">
                  <c:v>8.4877815582893401</c:v>
                </c:pt>
                <c:pt idx="29">
                  <c:v>8.4877815582893401</c:v>
                </c:pt>
                <c:pt idx="30">
                  <c:v>8.4877815582893401</c:v>
                </c:pt>
                <c:pt idx="31">
                  <c:v>8.4877815582893401</c:v>
                </c:pt>
                <c:pt idx="32">
                  <c:v>8.4877815582893401</c:v>
                </c:pt>
                <c:pt idx="33">
                  <c:v>8.4877815582893401</c:v>
                </c:pt>
                <c:pt idx="34">
                  <c:v>8.4877815582893401</c:v>
                </c:pt>
                <c:pt idx="35">
                  <c:v>8.4877815582893401</c:v>
                </c:pt>
                <c:pt idx="36">
                  <c:v>8.4877815582893401</c:v>
                </c:pt>
                <c:pt idx="37">
                  <c:v>8.4877815582893401</c:v>
                </c:pt>
                <c:pt idx="38">
                  <c:v>8.4877815582893401</c:v>
                </c:pt>
                <c:pt idx="39">
                  <c:v>8.4877815582893401</c:v>
                </c:pt>
                <c:pt idx="40">
                  <c:v>8.4877815582893401</c:v>
                </c:pt>
                <c:pt idx="41">
                  <c:v>8.4877815582893401</c:v>
                </c:pt>
                <c:pt idx="42">
                  <c:v>8.4877815582893401</c:v>
                </c:pt>
                <c:pt idx="43">
                  <c:v>8.4877815582893401</c:v>
                </c:pt>
              </c:numCache>
            </c:numRef>
          </c:yVal>
          <c:smooth val="0"/>
          <c:extLst>
            <c:ext xmlns:c16="http://schemas.microsoft.com/office/drawing/2014/chart" uri="{C3380CC4-5D6E-409C-BE32-E72D297353CC}">
              <c16:uniqueId val="{00000000-A4E7-494B-9311-D8CAF7F907A1}"/>
            </c:ext>
          </c:extLst>
        </c:ser>
        <c:ser>
          <c:idx val="1"/>
          <c:order val="1"/>
          <c:tx>
            <c:strRef>
              <c:f>'Cost Projection'!$BL$4</c:f>
              <c:strCache>
                <c:ptCount val="1"/>
                <c:pt idx="0">
                  <c:v>BEV</c:v>
                </c:pt>
              </c:strCache>
            </c:strRef>
          </c:tx>
          <c:spPr>
            <a:ln w="38100" cap="rnd">
              <a:solidFill>
                <a:srgbClr val="00B050"/>
              </a:solidFill>
              <a:round/>
            </a:ln>
            <a:effectLst/>
          </c:spPr>
          <c:marker>
            <c:symbol val="none"/>
          </c:marker>
          <c:xVal>
            <c:numRef>
              <c:f>'Cost Projection'!$BF$6:$BF$49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Projection'!$BL$6:$BL$49</c:f>
              <c:numCache>
                <c:formatCode>0.00</c:formatCode>
                <c:ptCount val="44"/>
                <c:pt idx="0">
                  <c:v>14.973000000000001</c:v>
                </c:pt>
                <c:pt idx="1">
                  <c:v>15.2582</c:v>
                </c:pt>
                <c:pt idx="2">
                  <c:v>15.472099999999999</c:v>
                </c:pt>
                <c:pt idx="3">
                  <c:v>15.686000000000002</c:v>
                </c:pt>
                <c:pt idx="4">
                  <c:v>15.893269100000001</c:v>
                </c:pt>
                <c:pt idx="5">
                  <c:v>16.103114982000001</c:v>
                </c:pt>
                <c:pt idx="6">
                  <c:v>16.315568454730002</c:v>
                </c:pt>
                <c:pt idx="7">
                  <c:v>16.530660685416404</c:v>
                </c:pt>
                <c:pt idx="8">
                  <c:v>16.748423203871059</c:v>
                </c:pt>
                <c:pt idx="9">
                  <c:v>16.968887906626261</c:v>
                </c:pt>
                <c:pt idx="10">
                  <c:v>17.192087061116187</c:v>
                </c:pt>
                <c:pt idx="11">
                  <c:v>17.418053309905247</c:v>
                </c:pt>
                <c:pt idx="12">
                  <c:v>17.646819674963972</c:v>
                </c:pt>
                <c:pt idx="13">
                  <c:v>17.878419561992889</c:v>
                </c:pt>
                <c:pt idx="14">
                  <c:v>17.983642330868754</c:v>
                </c:pt>
                <c:pt idx="15">
                  <c:v>18.089470366944333</c:v>
                </c:pt>
                <c:pt idx="16">
                  <c:v>18.19590709232239</c:v>
                </c:pt>
                <c:pt idx="17">
                  <c:v>18.302955948195059</c:v>
                </c:pt>
                <c:pt idx="18">
                  <c:v>18.410620394949145</c:v>
                </c:pt>
                <c:pt idx="19">
                  <c:v>18.518903912272069</c:v>
                </c:pt>
                <c:pt idx="20">
                  <c:v>18.627809999258346</c:v>
                </c:pt>
                <c:pt idx="21">
                  <c:v>18.73734217451668</c:v>
                </c:pt>
                <c:pt idx="22">
                  <c:v>18.847503976277611</c:v>
                </c:pt>
                <c:pt idx="23">
                  <c:v>18.958298962501797</c:v>
                </c:pt>
                <c:pt idx="24">
                  <c:v>19.069730710988811</c:v>
                </c:pt>
                <c:pt idx="25">
                  <c:v>19.181802819486638</c:v>
                </c:pt>
                <c:pt idx="26">
                  <c:v>19.294518905801663</c:v>
                </c:pt>
                <c:pt idx="27">
                  <c:v>19.407882607909357</c:v>
                </c:pt>
                <c:pt idx="28">
                  <c:v>19.521897584065481</c:v>
                </c:pt>
                <c:pt idx="29">
                  <c:v>19.521897584065481</c:v>
                </c:pt>
                <c:pt idx="30">
                  <c:v>19.521897584065481</c:v>
                </c:pt>
                <c:pt idx="31">
                  <c:v>19.521897584065481</c:v>
                </c:pt>
                <c:pt idx="32">
                  <c:v>19.521897584065481</c:v>
                </c:pt>
                <c:pt idx="33">
                  <c:v>19.521897584065481</c:v>
                </c:pt>
                <c:pt idx="34">
                  <c:v>19.521897584065481</c:v>
                </c:pt>
                <c:pt idx="35">
                  <c:v>19.521897584065481</c:v>
                </c:pt>
                <c:pt idx="36">
                  <c:v>19.521897584065481</c:v>
                </c:pt>
                <c:pt idx="37">
                  <c:v>19.521897584065481</c:v>
                </c:pt>
                <c:pt idx="38">
                  <c:v>19.521897584065481</c:v>
                </c:pt>
                <c:pt idx="39">
                  <c:v>19.521897584065481</c:v>
                </c:pt>
                <c:pt idx="40">
                  <c:v>19.521897584065481</c:v>
                </c:pt>
                <c:pt idx="41">
                  <c:v>19.521897584065481</c:v>
                </c:pt>
                <c:pt idx="42">
                  <c:v>19.521897584065481</c:v>
                </c:pt>
                <c:pt idx="43">
                  <c:v>19.521897584065481</c:v>
                </c:pt>
              </c:numCache>
            </c:numRef>
          </c:yVal>
          <c:smooth val="0"/>
          <c:extLst>
            <c:ext xmlns:c16="http://schemas.microsoft.com/office/drawing/2014/chart" uri="{C3380CC4-5D6E-409C-BE32-E72D297353CC}">
              <c16:uniqueId val="{00000001-A4E7-494B-9311-D8CAF7F907A1}"/>
            </c:ext>
          </c:extLst>
        </c:ser>
        <c:ser>
          <c:idx val="2"/>
          <c:order val="2"/>
          <c:tx>
            <c:v>FCEV</c:v>
          </c:tx>
          <c:spPr>
            <a:ln w="38100" cap="rnd">
              <a:solidFill>
                <a:srgbClr val="F05F41"/>
              </a:solidFill>
              <a:round/>
            </a:ln>
            <a:effectLst/>
          </c:spPr>
          <c:marker>
            <c:symbol val="none"/>
          </c:marker>
          <c:xVal>
            <c:numRef>
              <c:f>'Cost Projection'!$BF$6:$BF$49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Projection'!$BM$6:$BM$49</c:f>
              <c:numCache>
                <c:formatCode>0.00</c:formatCode>
                <c:ptCount val="44"/>
                <c:pt idx="0">
                  <c:v>8.0568999999999988</c:v>
                </c:pt>
                <c:pt idx="1">
                  <c:v>8.0568999999999988</c:v>
                </c:pt>
                <c:pt idx="2">
                  <c:v>8.0568999999999988</c:v>
                </c:pt>
                <c:pt idx="3">
                  <c:v>8.2707999999999995</c:v>
                </c:pt>
                <c:pt idx="4">
                  <c:v>8.3823131999999987</c:v>
                </c:pt>
                <c:pt idx="5">
                  <c:v>8.4952295839999987</c:v>
                </c:pt>
                <c:pt idx="6">
                  <c:v>8.6095660643599992</c:v>
                </c:pt>
                <c:pt idx="7">
                  <c:v>8.7253397513688</c:v>
                </c:pt>
                <c:pt idx="8">
                  <c:v>8.8425679555113401</c:v>
                </c:pt>
                <c:pt idx="9">
                  <c:v>8.9612681897615936</c:v>
                </c:pt>
                <c:pt idx="10">
                  <c:v>9.0814581719013017</c:v>
                </c:pt>
                <c:pt idx="11">
                  <c:v>9.2031558268648279</c:v>
                </c:pt>
                <c:pt idx="12">
                  <c:v>9.3263792891104345</c:v>
                </c:pt>
                <c:pt idx="13">
                  <c:v>9.4511469050182662</c:v>
                </c:pt>
                <c:pt idx="14">
                  <c:v>9.5511715430963751</c:v>
                </c:pt>
                <c:pt idx="15">
                  <c:v>9.6519601488826403</c:v>
                </c:pt>
                <c:pt idx="16">
                  <c:v>9.7535178614381888</c:v>
                </c:pt>
                <c:pt idx="17">
                  <c:v>9.855849852115572</c:v>
                </c:pt>
                <c:pt idx="18">
                  <c:v>9.9589613247531936</c:v>
                </c:pt>
                <c:pt idx="19">
                  <c:v>10.062857515870888</c:v>
                </c:pt>
                <c:pt idx="20">
                  <c:v>10.167543694866639</c:v>
                </c:pt>
                <c:pt idx="21">
                  <c:v>10.273025164214454</c:v>
                </c:pt>
                <c:pt idx="22">
                  <c:v>10.379307259663371</c:v>
                </c:pt>
                <c:pt idx="23">
                  <c:v>10.486395350437673</c:v>
                </c:pt>
                <c:pt idx="24">
                  <c:v>10.594294839438231</c:v>
                </c:pt>
                <c:pt idx="25">
                  <c:v>10.703011163445028</c:v>
                </c:pt>
                <c:pt idx="26">
                  <c:v>10.81254979332091</c:v>
                </c:pt>
                <c:pt idx="27">
                  <c:v>10.922916234216466</c:v>
                </c:pt>
                <c:pt idx="28">
                  <c:v>11.034116025776143</c:v>
                </c:pt>
                <c:pt idx="29">
                  <c:v>11.034116025776143</c:v>
                </c:pt>
                <c:pt idx="30">
                  <c:v>11.034116025776143</c:v>
                </c:pt>
                <c:pt idx="31">
                  <c:v>11.034116025776143</c:v>
                </c:pt>
                <c:pt idx="32">
                  <c:v>11.034116025776143</c:v>
                </c:pt>
                <c:pt idx="33">
                  <c:v>11.034116025776143</c:v>
                </c:pt>
                <c:pt idx="34">
                  <c:v>11.034116025776143</c:v>
                </c:pt>
                <c:pt idx="35">
                  <c:v>11.034116025776143</c:v>
                </c:pt>
                <c:pt idx="36">
                  <c:v>11.034116025776143</c:v>
                </c:pt>
                <c:pt idx="37">
                  <c:v>11.034116025776143</c:v>
                </c:pt>
                <c:pt idx="38">
                  <c:v>11.034116025776143</c:v>
                </c:pt>
                <c:pt idx="39">
                  <c:v>11.034116025776143</c:v>
                </c:pt>
                <c:pt idx="40">
                  <c:v>11.034116025776143</c:v>
                </c:pt>
                <c:pt idx="41">
                  <c:v>11.034116025776143</c:v>
                </c:pt>
                <c:pt idx="42">
                  <c:v>11.034116025776143</c:v>
                </c:pt>
                <c:pt idx="43">
                  <c:v>11.034116025776143</c:v>
                </c:pt>
              </c:numCache>
            </c:numRef>
          </c:yVal>
          <c:smooth val="0"/>
          <c:extLst>
            <c:ext xmlns:c16="http://schemas.microsoft.com/office/drawing/2014/chart" uri="{C3380CC4-5D6E-409C-BE32-E72D297353CC}">
              <c16:uniqueId val="{00000002-A4E7-494B-9311-D8CAF7F907A1}"/>
            </c:ext>
          </c:extLst>
        </c:ser>
        <c:ser>
          <c:idx val="3"/>
          <c:order val="3"/>
          <c:tx>
            <c:v>H2ICE</c:v>
          </c:tx>
          <c:spPr>
            <a:ln w="38100" cap="rnd">
              <a:solidFill>
                <a:srgbClr val="0000FF"/>
              </a:solidFill>
              <a:round/>
            </a:ln>
            <a:effectLst/>
          </c:spPr>
          <c:marker>
            <c:symbol val="none"/>
          </c:marker>
          <c:xVal>
            <c:numRef>
              <c:f>'Cost Projection'!$BF$6:$BF$49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Projection'!$BN$6:$BN$49</c:f>
              <c:numCache>
                <c:formatCode>0.00</c:formatCode>
                <c:ptCount val="44"/>
                <c:pt idx="0">
                  <c:v>6.4169999999999998</c:v>
                </c:pt>
                <c:pt idx="1">
                  <c:v>6.5596000000000005</c:v>
                </c:pt>
                <c:pt idx="2">
                  <c:v>6.7021999999999995</c:v>
                </c:pt>
                <c:pt idx="3">
                  <c:v>6.9874000000000001</c:v>
                </c:pt>
                <c:pt idx="4">
                  <c:v>7.1436896000000001</c:v>
                </c:pt>
                <c:pt idx="5">
                  <c:v>7.3024062519999999</c:v>
                </c:pt>
                <c:pt idx="6">
                  <c:v>7.4635828680800005</c:v>
                </c:pt>
                <c:pt idx="7">
                  <c:v>7.6272527758564008</c:v>
                </c:pt>
                <c:pt idx="8">
                  <c:v>7.7934497235015208</c:v>
                </c:pt>
                <c:pt idx="9">
                  <c:v>7.9622078848219573</c:v>
                </c:pt>
                <c:pt idx="10">
                  <c:v>8.1335618643964533</c:v>
                </c:pt>
                <c:pt idx="11">
                  <c:v>8.3075467027739567</c:v>
                </c:pt>
                <c:pt idx="12">
                  <c:v>8.4841978817325696</c:v>
                </c:pt>
                <c:pt idx="13">
                  <c:v>8.6635513296000788</c:v>
                </c:pt>
                <c:pt idx="14">
                  <c:v>8.7332535380245879</c:v>
                </c:pt>
                <c:pt idx="15">
                  <c:v>8.8034361797501006</c:v>
                </c:pt>
                <c:pt idx="16">
                  <c:v>8.8741023165544188</c:v>
                </c:pt>
                <c:pt idx="17">
                  <c:v>8.9452550288222845</c:v>
                </c:pt>
                <c:pt idx="18">
                  <c:v>9.0168974156549186</c:v>
                </c:pt>
                <c:pt idx="19">
                  <c:v>9.0890325949801571</c:v>
                </c:pt>
                <c:pt idx="20">
                  <c:v>9.1616637036632564</c:v>
                </c:pt>
                <c:pt idx="21">
                  <c:v>9.2347938976183119</c:v>
                </c:pt>
                <c:pt idx="22">
                  <c:v>9.3084263519203247</c:v>
                </c:pt>
                <c:pt idx="23">
                  <c:v>9.3825642609179187</c:v>
                </c:pt>
                <c:pt idx="24">
                  <c:v>9.4572108383466915</c:v>
                </c:pt>
                <c:pt idx="25">
                  <c:v>9.5323693174432282</c:v>
                </c:pt>
                <c:pt idx="26">
                  <c:v>9.6080429510597725</c:v>
                </c:pt>
                <c:pt idx="27">
                  <c:v>9.6842350117795437</c:v>
                </c:pt>
                <c:pt idx="28">
                  <c:v>9.7609487920327407</c:v>
                </c:pt>
                <c:pt idx="29">
                  <c:v>9.7609487920327407</c:v>
                </c:pt>
                <c:pt idx="30">
                  <c:v>9.7609487920327407</c:v>
                </c:pt>
                <c:pt idx="31">
                  <c:v>9.7609487920327407</c:v>
                </c:pt>
                <c:pt idx="32">
                  <c:v>9.7609487920327407</c:v>
                </c:pt>
                <c:pt idx="33">
                  <c:v>9.7609487920327407</c:v>
                </c:pt>
                <c:pt idx="34">
                  <c:v>9.7609487920327407</c:v>
                </c:pt>
                <c:pt idx="35">
                  <c:v>9.7609487920327407</c:v>
                </c:pt>
                <c:pt idx="36">
                  <c:v>9.7609487920327407</c:v>
                </c:pt>
                <c:pt idx="37">
                  <c:v>9.7609487920327407</c:v>
                </c:pt>
                <c:pt idx="38">
                  <c:v>9.7609487920327407</c:v>
                </c:pt>
                <c:pt idx="39">
                  <c:v>9.7609487920327407</c:v>
                </c:pt>
                <c:pt idx="40">
                  <c:v>9.7609487920327407</c:v>
                </c:pt>
                <c:pt idx="41">
                  <c:v>9.7609487920327407</c:v>
                </c:pt>
                <c:pt idx="42">
                  <c:v>9.7609487920327407</c:v>
                </c:pt>
                <c:pt idx="43">
                  <c:v>9.7609487920327407</c:v>
                </c:pt>
              </c:numCache>
            </c:numRef>
          </c:yVal>
          <c:smooth val="0"/>
          <c:extLst>
            <c:ext xmlns:c16="http://schemas.microsoft.com/office/drawing/2014/chart" uri="{C3380CC4-5D6E-409C-BE32-E72D297353CC}">
              <c16:uniqueId val="{00000003-A4E7-494B-9311-D8CAF7F907A1}"/>
            </c:ext>
          </c:extLst>
        </c:ser>
        <c:dLbls>
          <c:showLegendKey val="0"/>
          <c:showVal val="0"/>
          <c:showCatName val="0"/>
          <c:showSerName val="0"/>
          <c:showPercent val="0"/>
          <c:showBubbleSize val="0"/>
        </c:dLbls>
        <c:axId val="204970752"/>
        <c:axId val="204979872"/>
      </c:scatterChart>
      <c:valAx>
        <c:axId val="204970752"/>
        <c:scaling>
          <c:orientation val="minMax"/>
          <c:max val="206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9872"/>
        <c:crosses val="autoZero"/>
        <c:crossBetween val="midCat"/>
        <c:majorUnit val="10"/>
      </c:valAx>
      <c:valAx>
        <c:axId val="204979872"/>
        <c:scaling>
          <c:orientation val="minMax"/>
          <c:max val="22"/>
          <c:min val="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MPGe</a:t>
                </a:r>
              </a:p>
            </c:rich>
          </c:tx>
          <c:layout>
            <c:manualLayout>
              <c:xMode val="edge"/>
              <c:yMode val="edge"/>
              <c:x val="0"/>
              <c:y val="0.39759990367052606"/>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_);[Red]\(0\)" sourceLinked="0"/>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0752"/>
        <c:crosses val="autoZero"/>
        <c:crossBetween val="midCat"/>
      </c:valAx>
      <c:spPr>
        <a:noFill/>
        <a:ln w="12700">
          <a:solidFill>
            <a:schemeClr val="tx1"/>
          </a:solidFill>
        </a:ln>
        <a:effectLst/>
      </c:spPr>
    </c:plotArea>
    <c:legend>
      <c:legendPos val="t"/>
      <c:layout>
        <c:manualLayout>
          <c:xMode val="edge"/>
          <c:yMode val="edge"/>
          <c:x val="0.37172946587335221"/>
          <c:y val="0.35510469894495478"/>
          <c:w val="0.52604163090905565"/>
          <c:h val="0.2333445830782354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644274934383201"/>
          <c:y val="2.3377617691405596E-2"/>
          <c:w val="0.80145655621172351"/>
          <c:h val="0.90236354498240912"/>
        </c:manualLayout>
      </c:layout>
      <c:scatterChart>
        <c:scatterStyle val="smoothMarker"/>
        <c:varyColors val="0"/>
        <c:ser>
          <c:idx val="7"/>
          <c:order val="0"/>
          <c:tx>
            <c:strRef>
              <c:f>'Future Projection'!$S$1</c:f>
              <c:strCache>
                <c:ptCount val="1"/>
                <c:pt idx="0">
                  <c:v>Conventional Diesel</c:v>
                </c:pt>
              </c:strCache>
            </c:strRef>
          </c:tx>
          <c:spPr>
            <a:ln w="25400">
              <a:solidFill>
                <a:schemeClr val="tx1"/>
              </a:solidFill>
            </a:ln>
          </c:spPr>
          <c:marker>
            <c:symbol val="none"/>
          </c:marker>
          <c:xVal>
            <c:numRef>
              <c:f>'Future Projection'!$R$2:$R$27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Projection'!$S$2:$S$27</c:f>
              <c:numCache>
                <c:formatCode>0.0%</c:formatCode>
                <c:ptCount val="26"/>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1"/>
          <c:extLst>
            <c:ext xmlns:c16="http://schemas.microsoft.com/office/drawing/2014/chart" uri="{C3380CC4-5D6E-409C-BE32-E72D297353CC}">
              <c16:uniqueId val="{00000041-5C38-4BC2-B4D4-088EB05022C6}"/>
            </c:ext>
          </c:extLst>
        </c:ser>
        <c:ser>
          <c:idx val="8"/>
          <c:order val="1"/>
          <c:tx>
            <c:strRef>
              <c:f>'Future Projection'!$T$1</c:f>
              <c:strCache>
                <c:ptCount val="1"/>
                <c:pt idx="0">
                  <c:v>Mobile Carbon Capture 50%</c:v>
                </c:pt>
              </c:strCache>
            </c:strRef>
          </c:tx>
          <c:spPr>
            <a:ln w="25400">
              <a:solidFill>
                <a:srgbClr val="00B0F0"/>
              </a:solidFill>
            </a:ln>
          </c:spPr>
          <c:marker>
            <c:symbol val="none"/>
          </c:marker>
          <c:xVal>
            <c:numRef>
              <c:f>'Future Projection'!$R$2:$R$27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Projection'!$T$2:$T$27</c:f>
              <c:numCache>
                <c:formatCode>0.0%</c:formatCode>
                <c:ptCount val="26"/>
                <c:pt idx="0">
                  <c:v>1.2691373845162703</c:v>
                </c:pt>
                <c:pt idx="1">
                  <c:v>1.2488777419089285</c:v>
                </c:pt>
                <c:pt idx="2">
                  <c:v>1.2294865441353771</c:v>
                </c:pt>
                <c:pt idx="3">
                  <c:v>1.2109334059644552</c:v>
                </c:pt>
                <c:pt idx="4">
                  <c:v>1.1931935063862209</c:v>
                </c:pt>
                <c:pt idx="5">
                  <c:v>1.1762433267239698</c:v>
                </c:pt>
                <c:pt idx="6">
                  <c:v>1.1595784777699321</c:v>
                </c:pt>
                <c:pt idx="7">
                  <c:v>1.1437831979869686</c:v>
                </c:pt>
                <c:pt idx="8">
                  <c:v>1.1288554262630328</c:v>
                </c:pt>
                <c:pt idx="9">
                  <c:v>1.1147815193407182</c:v>
                </c:pt>
                <c:pt idx="10">
                  <c:v>1.101543158485542</c:v>
                </c:pt>
                <c:pt idx="11">
                  <c:v>1.0915288112738328</c:v>
                </c:pt>
                <c:pt idx="12">
                  <c:v>1.0819672154063382</c:v>
                </c:pt>
                <c:pt idx="13">
                  <c:v>1.0728675862476622</c:v>
                </c:pt>
                <c:pt idx="14">
                  <c:v>1.0642386212365611</c:v>
                </c:pt>
                <c:pt idx="15">
                  <c:v>1.0560994118236577</c:v>
                </c:pt>
                <c:pt idx="16">
                  <c:v>1.0484733304331497</c:v>
                </c:pt>
                <c:pt idx="17">
                  <c:v>1.0413863105581724</c:v>
                </c:pt>
                <c:pt idx="18">
                  <c:v>1.0348765436230678</c:v>
                </c:pt>
                <c:pt idx="19">
                  <c:v>1.0289908210392045</c:v>
                </c:pt>
                <c:pt idx="20">
                  <c:v>1.0237756440416996</c:v>
                </c:pt>
                <c:pt idx="21">
                  <c:v>1.0192934212371589</c:v>
                </c:pt>
                <c:pt idx="22">
                  <c:v>1.0156298742553007</c:v>
                </c:pt>
                <c:pt idx="23">
                  <c:v>1.0129089428326481</c:v>
                </c:pt>
                <c:pt idx="24">
                  <c:v>1.0112277186205474</c:v>
                </c:pt>
                <c:pt idx="25">
                  <c:v>1.010673483950469</c:v>
                </c:pt>
              </c:numCache>
            </c:numRef>
          </c:yVal>
          <c:smooth val="1"/>
          <c:extLst>
            <c:ext xmlns:c16="http://schemas.microsoft.com/office/drawing/2014/chart" uri="{C3380CC4-5D6E-409C-BE32-E72D297353CC}">
              <c16:uniqueId val="{00000042-5C38-4BC2-B4D4-088EB05022C6}"/>
            </c:ext>
          </c:extLst>
        </c:ser>
        <c:ser>
          <c:idx val="11"/>
          <c:order val="3"/>
          <c:tx>
            <c:strRef>
              <c:f>'Future Projection'!$W$1</c:f>
              <c:strCache>
                <c:ptCount val="1"/>
                <c:pt idx="0">
                  <c:v>BEV 500 mile</c:v>
                </c:pt>
              </c:strCache>
            </c:strRef>
          </c:tx>
          <c:spPr>
            <a:ln w="25400">
              <a:solidFill>
                <a:srgbClr val="00B050"/>
              </a:solidFill>
            </a:ln>
          </c:spPr>
          <c:marker>
            <c:symbol val="none"/>
          </c:marker>
          <c:xVal>
            <c:numRef>
              <c:f>'Future Projection'!$R$2:$R$27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Projection'!$W$2:$W$27</c:f>
              <c:numCache>
                <c:formatCode>0.0%</c:formatCode>
                <c:ptCount val="26"/>
                <c:pt idx="0">
                  <c:v>1.9723709460756094</c:v>
                </c:pt>
                <c:pt idx="1">
                  <c:v>1.9107862126778843</c:v>
                </c:pt>
                <c:pt idx="2">
                  <c:v>1.8441422281875912</c:v>
                </c:pt>
                <c:pt idx="3">
                  <c:v>1.7927580524201927</c:v>
                </c:pt>
                <c:pt idx="4">
                  <c:v>1.7361364585212937</c:v>
                </c:pt>
                <c:pt idx="5">
                  <c:v>1.6920273745495908</c:v>
                </c:pt>
                <c:pt idx="6">
                  <c:v>1.648094067144215</c:v>
                </c:pt>
                <c:pt idx="7">
                  <c:v>1.6148372964645015</c:v>
                </c:pt>
                <c:pt idx="8">
                  <c:v>1.5780744128431412</c:v>
                </c:pt>
                <c:pt idx="9">
                  <c:v>1.551869849461208</c:v>
                </c:pt>
                <c:pt idx="10">
                  <c:v>1.523096878009317</c:v>
                </c:pt>
                <c:pt idx="11">
                  <c:v>1.5040329368049337</c:v>
                </c:pt>
                <c:pt idx="12">
                  <c:v>1.4857264724459813</c:v>
                </c:pt>
                <c:pt idx="13">
                  <c:v>1.4682470013879145</c:v>
                </c:pt>
                <c:pt idx="14">
                  <c:v>1.4516607667323396</c:v>
                </c:pt>
                <c:pt idx="15">
                  <c:v>1.436050632244948</c:v>
                </c:pt>
                <c:pt idx="16">
                  <c:v>1.4214651076749607</c:v>
                </c:pt>
                <c:pt idx="17">
                  <c:v>1.407682986582091</c:v>
                </c:pt>
                <c:pt idx="18">
                  <c:v>1.3947497292398232</c:v>
                </c:pt>
                <c:pt idx="19">
                  <c:v>1.3827225044186524</c:v>
                </c:pt>
                <c:pt idx="20">
                  <c:v>1.371655386871506</c:v>
                </c:pt>
                <c:pt idx="21">
                  <c:v>1.3616234893824486</c:v>
                </c:pt>
                <c:pt idx="22">
                  <c:v>1.3527615062620533</c:v>
                </c:pt>
                <c:pt idx="23">
                  <c:v>1.3452025463008683</c:v>
                </c:pt>
                <c:pt idx="24">
                  <c:v>1.3390584712147351</c:v>
                </c:pt>
                <c:pt idx="25">
                  <c:v>1.3344249730029114</c:v>
                </c:pt>
              </c:numCache>
            </c:numRef>
          </c:yVal>
          <c:smooth val="1"/>
          <c:extLst>
            <c:ext xmlns:c16="http://schemas.microsoft.com/office/drawing/2014/chart" uri="{C3380CC4-5D6E-409C-BE32-E72D297353CC}">
              <c16:uniqueId val="{00000045-5C38-4BC2-B4D4-088EB05022C6}"/>
            </c:ext>
          </c:extLst>
        </c:ser>
        <c:ser>
          <c:idx val="12"/>
          <c:order val="4"/>
          <c:tx>
            <c:strRef>
              <c:f>'Future Projection'!$X$1</c:f>
              <c:strCache>
                <c:ptCount val="1"/>
                <c:pt idx="0">
                  <c:v>H2 FCEV</c:v>
                </c:pt>
              </c:strCache>
            </c:strRef>
          </c:tx>
          <c:spPr>
            <a:ln w="25400">
              <a:solidFill>
                <a:srgbClr val="F05F41"/>
              </a:solidFill>
            </a:ln>
          </c:spPr>
          <c:marker>
            <c:symbol val="none"/>
          </c:marker>
          <c:xVal>
            <c:numRef>
              <c:f>'Future Projection'!$R$2:$R$27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Projection'!$X$2:$X$27</c:f>
              <c:numCache>
                <c:formatCode>0.0%</c:formatCode>
                <c:ptCount val="26"/>
                <c:pt idx="0">
                  <c:v>2.6442974682676756</c:v>
                </c:pt>
                <c:pt idx="1">
                  <c:v>2.4530480571185915</c:v>
                </c:pt>
                <c:pt idx="2">
                  <c:v>2.3039482949861316</c:v>
                </c:pt>
                <c:pt idx="3">
                  <c:v>2.1613306094992257</c:v>
                </c:pt>
                <c:pt idx="4">
                  <c:v>2.0410991183882312</c:v>
                </c:pt>
                <c:pt idx="5">
                  <c:v>1.9198894134124369</c:v>
                </c:pt>
                <c:pt idx="6">
                  <c:v>1.8157814939894457</c:v>
                </c:pt>
                <c:pt idx="7">
                  <c:v>1.713292250457175</c:v>
                </c:pt>
                <c:pt idx="8">
                  <c:v>1.6301529586724646</c:v>
                </c:pt>
                <c:pt idx="9">
                  <c:v>1.5506725394118406</c:v>
                </c:pt>
                <c:pt idx="10">
                  <c:v>1.482786912106528</c:v>
                </c:pt>
                <c:pt idx="11">
                  <c:v>1.4525782128771227</c:v>
                </c:pt>
                <c:pt idx="12">
                  <c:v>1.4235738878509558</c:v>
                </c:pt>
                <c:pt idx="13">
                  <c:v>1.3964999793854251</c:v>
                </c:pt>
                <c:pt idx="14">
                  <c:v>1.3705730477750453</c:v>
                </c:pt>
                <c:pt idx="15">
                  <c:v>1.3458036956548671</c:v>
                </c:pt>
                <c:pt idx="16">
                  <c:v>1.3222088406207597</c:v>
                </c:pt>
                <c:pt idx="17">
                  <c:v>1.2998081625495375</c:v>
                </c:pt>
                <c:pt idx="18">
                  <c:v>1.2745735034485199</c:v>
                </c:pt>
                <c:pt idx="19">
                  <c:v>1.2547118221932658</c:v>
                </c:pt>
                <c:pt idx="20">
                  <c:v>1.2361792240068739</c:v>
                </c:pt>
                <c:pt idx="21">
                  <c:v>1.2190463036999346</c:v>
                </c:pt>
                <c:pt idx="22">
                  <c:v>1.2034179018863529</c:v>
                </c:pt>
                <c:pt idx="23">
                  <c:v>1.1894551353768783</c:v>
                </c:pt>
                <c:pt idx="24">
                  <c:v>1.1772675246192315</c:v>
                </c:pt>
                <c:pt idx="25">
                  <c:v>1.1633220558521042</c:v>
                </c:pt>
              </c:numCache>
            </c:numRef>
          </c:yVal>
          <c:smooth val="1"/>
          <c:extLst>
            <c:ext xmlns:c16="http://schemas.microsoft.com/office/drawing/2014/chart" uri="{C3380CC4-5D6E-409C-BE32-E72D297353CC}">
              <c16:uniqueId val="{00000046-5C38-4BC2-B4D4-088EB05022C6}"/>
            </c:ext>
          </c:extLst>
        </c:ser>
        <c:ser>
          <c:idx val="13"/>
          <c:order val="5"/>
          <c:tx>
            <c:strRef>
              <c:f>'Future Projection'!$Y$1</c:f>
              <c:strCache>
                <c:ptCount val="1"/>
                <c:pt idx="0">
                  <c:v>H2 ICHEV</c:v>
                </c:pt>
              </c:strCache>
            </c:strRef>
          </c:tx>
          <c:spPr>
            <a:ln w="25400">
              <a:solidFill>
                <a:srgbClr val="0000FF"/>
              </a:solidFill>
              <a:prstDash val="solid"/>
            </a:ln>
          </c:spPr>
          <c:marker>
            <c:symbol val="none"/>
          </c:marker>
          <c:xVal>
            <c:numRef>
              <c:f>'Future Projection'!$R$2:$R$27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Projection'!$Y$2:$Y$27</c:f>
              <c:numCache>
                <c:formatCode>0.0%</c:formatCode>
                <c:ptCount val="26"/>
                <c:pt idx="0">
                  <c:v>2.2477545782273762</c:v>
                </c:pt>
                <c:pt idx="1">
                  <c:v>2.115403658359988</c:v>
                </c:pt>
                <c:pt idx="2">
                  <c:v>1.9936494984559037</c:v>
                </c:pt>
                <c:pt idx="3">
                  <c:v>1.8822950532409679</c:v>
                </c:pt>
                <c:pt idx="4">
                  <c:v>1.7810477894473422</c:v>
                </c:pt>
                <c:pt idx="5">
                  <c:v>1.6897739833546017</c:v>
                </c:pt>
                <c:pt idx="6">
                  <c:v>1.6065723666856786</c:v>
                </c:pt>
                <c:pt idx="7">
                  <c:v>1.5337674904246561</c:v>
                </c:pt>
                <c:pt idx="8">
                  <c:v>1.4715101106228783</c:v>
                </c:pt>
                <c:pt idx="9">
                  <c:v>1.4198174177018537</c:v>
                </c:pt>
                <c:pt idx="10">
                  <c:v>1.3783844951761728</c:v>
                </c:pt>
                <c:pt idx="11">
                  <c:v>1.3566782738868761</c:v>
                </c:pt>
                <c:pt idx="12">
                  <c:v>1.3359104759192753</c:v>
                </c:pt>
                <c:pt idx="13">
                  <c:v>1.3160876589326356</c:v>
                </c:pt>
                <c:pt idx="14">
                  <c:v>1.2972147989224889</c:v>
                </c:pt>
                <c:pt idx="15">
                  <c:v>1.2793145013607261</c:v>
                </c:pt>
                <c:pt idx="16">
                  <c:v>1.2624157595311158</c:v>
                </c:pt>
                <c:pt idx="17">
                  <c:v>1.2465505996803603</c:v>
                </c:pt>
                <c:pt idx="18">
                  <c:v>1.2317707113127552</c:v>
                </c:pt>
                <c:pt idx="19">
                  <c:v>1.2181404790008912</c:v>
                </c:pt>
                <c:pt idx="20">
                  <c:v>1.2057214783322279</c:v>
                </c:pt>
                <c:pt idx="21">
                  <c:v>1.1945994949862071</c:v>
                </c:pt>
                <c:pt idx="22">
                  <c:v>1.1848960045827037</c:v>
                </c:pt>
                <c:pt idx="23">
                  <c:v>1.1767908142106345</c:v>
                </c:pt>
                <c:pt idx="24">
                  <c:v>1.1704152967775643</c:v>
                </c:pt>
                <c:pt idx="25">
                  <c:v>1.1658812772809792</c:v>
                </c:pt>
              </c:numCache>
            </c:numRef>
          </c:yVal>
          <c:smooth val="1"/>
          <c:extLst>
            <c:ext xmlns:c16="http://schemas.microsoft.com/office/drawing/2014/chart" uri="{C3380CC4-5D6E-409C-BE32-E72D297353CC}">
              <c16:uniqueId val="{00000047-5C38-4BC2-B4D4-088EB05022C6}"/>
            </c:ext>
          </c:extLst>
        </c:ser>
        <c:dLbls>
          <c:showLegendKey val="0"/>
          <c:showVal val="0"/>
          <c:showCatName val="0"/>
          <c:showSerName val="0"/>
          <c:showPercent val="0"/>
          <c:showBubbleSize val="0"/>
        </c:dLbls>
        <c:axId val="184286751"/>
        <c:axId val="184303551"/>
        <c:extLst>
          <c:ext xmlns:c15="http://schemas.microsoft.com/office/drawing/2012/chart" uri="{02D57815-91ED-43cb-92C2-25804820EDAC}">
            <c15:filteredScatterSeries>
              <c15:ser>
                <c:idx val="10"/>
                <c:order val="2"/>
                <c:tx>
                  <c:strRef>
                    <c:extLst>
                      <c:ext uri="{02D57815-91ED-43cb-92C2-25804820EDAC}">
                        <c15:formulaRef>
                          <c15:sqref>'Future Projection'!$V$1</c15:sqref>
                        </c15:formulaRef>
                      </c:ext>
                    </c:extLst>
                    <c:strCache>
                      <c:ptCount val="1"/>
                      <c:pt idx="0">
                        <c:v>BEV 250 mile</c:v>
                      </c:pt>
                    </c:strCache>
                  </c:strRef>
                </c:tx>
                <c:spPr>
                  <a:ln w="25400">
                    <a:solidFill>
                      <a:srgbClr val="00B050"/>
                    </a:solidFill>
                    <a:prstDash val="dash"/>
                  </a:ln>
                </c:spPr>
                <c:marker>
                  <c:symbol val="none"/>
                </c:marker>
                <c:xVal>
                  <c:numRef>
                    <c:extLst>
                      <c:ext uri="{02D57815-91ED-43cb-92C2-25804820EDAC}">
                        <c15:formulaRef>
                          <c15:sqref>'Future Projection'!$R$2:$R$27</c15:sqref>
                        </c15:formulaRef>
                      </c:ext>
                    </c:extLst>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extLst>
                      <c:ext uri="{02D57815-91ED-43cb-92C2-25804820EDAC}">
                        <c15:formulaRef>
                          <c15:sqref>'Future Projection'!$V$2:$V$27</c15:sqref>
                        </c15:formulaRef>
                      </c:ext>
                    </c:extLst>
                    <c:numCache>
                      <c:formatCode>0.0%</c:formatCode>
                      <c:ptCount val="26"/>
                      <c:pt idx="0">
                        <c:v>1.9343095649313264</c:v>
                      </c:pt>
                      <c:pt idx="1">
                        <c:v>1.8813164905358855</c:v>
                      </c:pt>
                      <c:pt idx="2">
                        <c:v>1.826838106147751</c:v>
                      </c:pt>
                      <c:pt idx="3">
                        <c:v>1.7809237733204075</c:v>
                      </c:pt>
                      <c:pt idx="4">
                        <c:v>1.7335301656852022</c:v>
                      </c:pt>
                      <c:pt idx="5">
                        <c:v>1.6934547078547517</c:v>
                      </c:pt>
                      <c:pt idx="6">
                        <c:v>1.6531203328258426</c:v>
                      </c:pt>
                      <c:pt idx="7">
                        <c:v>1.6195015606636423</c:v>
                      </c:pt>
                      <c:pt idx="8">
                        <c:v>1.5857611639038423</c:v>
                      </c:pt>
                      <c:pt idx="9">
                        <c:v>1.5589548840649305</c:v>
                      </c:pt>
                      <c:pt idx="10">
                        <c:v>1.5326653912107415</c:v>
                      </c:pt>
                      <c:pt idx="11">
                        <c:v>1.5116956358266496</c:v>
                      </c:pt>
                      <c:pt idx="12">
                        <c:v>1.491558650300427</c:v>
                      </c:pt>
                      <c:pt idx="13">
                        <c:v>1.4723421017123588</c:v>
                      </c:pt>
                      <c:pt idx="14">
                        <c:v>1.4541287439740183</c:v>
                      </c:pt>
                      <c:pt idx="15">
                        <c:v>1.4370225025948868</c:v>
                      </c:pt>
                      <c:pt idx="16">
                        <c:v>1.4210947695957767</c:v>
                      </c:pt>
                      <c:pt idx="17">
                        <c:v>1.4061516952010056</c:v>
                      </c:pt>
                      <c:pt idx="18">
                        <c:v>1.3922682555428672</c:v>
                      </c:pt>
                      <c:pt idx="19">
                        <c:v>1.3795349950664442</c:v>
                      </c:pt>
                      <c:pt idx="20">
                        <c:v>1.3680384355416031</c:v>
                      </c:pt>
                      <c:pt idx="21">
                        <c:v>1.357893964725396</c:v>
                      </c:pt>
                      <c:pt idx="22">
                        <c:v>1.3492877825591263</c:v>
                      </c:pt>
                      <c:pt idx="23">
                        <c:v>1.342424554186523</c:v>
                      </c:pt>
                      <c:pt idx="24">
                        <c:v>1.3374731868486549</c:v>
                      </c:pt>
                      <c:pt idx="25">
                        <c:v>1.3345810066507346</c:v>
                      </c:pt>
                    </c:numCache>
                  </c:numRef>
                </c:yVal>
                <c:smooth val="1"/>
                <c:extLst>
                  <c:ext xmlns:c16="http://schemas.microsoft.com/office/drawing/2014/chart" uri="{C3380CC4-5D6E-409C-BE32-E72D297353CC}">
                    <c16:uniqueId val="{00000044-5C38-4BC2-B4D4-088EB05022C6}"/>
                  </c:ext>
                </c:extLst>
              </c15:ser>
            </c15:filteredScatterSeries>
            <c15:filteredScatterSeries>
              <c15:ser>
                <c:idx val="14"/>
                <c:order val="6"/>
                <c:tx>
                  <c:v>Without Carbon Tax</c:v>
                </c:tx>
                <c:spPr>
                  <a:ln w="25400">
                    <a:solidFill>
                      <a:srgbClr val="00B0F0">
                        <a:alpha val="40000"/>
                      </a:srgbClr>
                    </a:solidFill>
                  </a:ln>
                </c:spPr>
                <c:marker>
                  <c:symbol val="none"/>
                </c:marker>
                <c:xVal>
                  <c:numRef>
                    <c:extLst xmlns:c15="http://schemas.microsoft.com/office/drawing/2012/chart">
                      <c:ext xmlns:c15="http://schemas.microsoft.com/office/drawing/2012/chart" uri="{02D57815-91ED-43cb-92C2-25804820EDAC}">
                        <c15:formulaRef>
                          <c15:sqref>'Future Projection'!$R$30:$R$55</c15:sqref>
                        </c15:formulaRef>
                      </c:ext>
                    </c:extLst>
                    <c:numCache>
                      <c:formatCode>General</c:formatCode>
                      <c:ptCount val="26"/>
                    </c:numCache>
                  </c:numRef>
                </c:xVal>
                <c:yVal>
                  <c:numRef>
                    <c:extLst xmlns:c15="http://schemas.microsoft.com/office/drawing/2012/chart">
                      <c:ext xmlns:c15="http://schemas.microsoft.com/office/drawing/2012/chart" uri="{02D57815-91ED-43cb-92C2-25804820EDAC}">
                        <c15:formulaRef>
                          <c15:sqref>'Future Projection'!$T$30:$T$55</c15:sqref>
                        </c15:formulaRef>
                      </c:ext>
                    </c:extLst>
                    <c:numCache>
                      <c:formatCode>0.0%</c:formatCode>
                      <c:ptCount val="26"/>
                    </c:numCache>
                  </c:numRef>
                </c:yVal>
                <c:smooth val="1"/>
                <c:extLst xmlns:c15="http://schemas.microsoft.com/office/drawing/2012/chart">
                  <c:ext xmlns:c16="http://schemas.microsoft.com/office/drawing/2014/chart" uri="{C3380CC4-5D6E-409C-BE32-E72D297353CC}">
                    <c16:uniqueId val="{00000048-5C38-4BC2-B4D4-088EB05022C6}"/>
                  </c:ext>
                </c:extLst>
              </c15:ser>
            </c15:filteredScatterSeries>
            <c15:filteredScatterSeries>
              <c15:ser>
                <c:idx val="4"/>
                <c:order val="7"/>
                <c:tx>
                  <c:strRef>
                    <c:extLst xmlns:c15="http://schemas.microsoft.com/office/drawing/2012/chart">
                      <c:ext xmlns:c15="http://schemas.microsoft.com/office/drawing/2012/chart" uri="{02D57815-91ED-43cb-92C2-25804820EDAC}">
                        <c15:formulaRef>
                          <c15:sqref>'Future Projection'!$W$1</c15:sqref>
                        </c15:formulaRef>
                      </c:ext>
                    </c:extLst>
                    <c:strCache>
                      <c:ptCount val="1"/>
                      <c:pt idx="0">
                        <c:v>BEV 500 mile</c:v>
                      </c:pt>
                    </c:strCache>
                  </c:strRef>
                </c:tx>
                <c:spPr>
                  <a:ln w="25400" cap="rnd">
                    <a:solidFill>
                      <a:srgbClr val="00B050">
                        <a:alpha val="40000"/>
                      </a:srgbClr>
                    </a:solidFill>
                    <a:round/>
                  </a:ln>
                  <a:effectLst/>
                </c:spPr>
                <c:marker>
                  <c:symbol val="none"/>
                </c:marker>
                <c:xVal>
                  <c:numRef>
                    <c:extLst xmlns:c15="http://schemas.microsoft.com/office/drawing/2012/chart">
                      <c:ext xmlns:c15="http://schemas.microsoft.com/office/drawing/2012/chart" uri="{02D57815-91ED-43cb-92C2-25804820EDAC}">
                        <c15:formulaRef>
                          <c15:sqref>'Future Projection'!$R$30:$R$55</c15:sqref>
                        </c15:formulaRef>
                      </c:ext>
                    </c:extLst>
                    <c:numCache>
                      <c:formatCode>General</c:formatCode>
                      <c:ptCount val="26"/>
                    </c:numCache>
                  </c:numRef>
                </c:xVal>
                <c:yVal>
                  <c:numRef>
                    <c:extLst xmlns:c15="http://schemas.microsoft.com/office/drawing/2012/chart">
                      <c:ext xmlns:c15="http://schemas.microsoft.com/office/drawing/2012/chart" uri="{02D57815-91ED-43cb-92C2-25804820EDAC}">
                        <c15:formulaRef>
                          <c15:sqref>'Future Projection'!$W$30:$W$55</c15:sqref>
                        </c15:formulaRef>
                      </c:ext>
                    </c:extLst>
                    <c:numCache>
                      <c:formatCode>0.0%</c:formatCode>
                      <c:ptCount val="26"/>
                    </c:numCache>
                  </c:numRef>
                </c:yVal>
                <c:smooth val="1"/>
                <c:extLst xmlns:c15="http://schemas.microsoft.com/office/drawing/2012/chart">
                  <c:ext xmlns:c16="http://schemas.microsoft.com/office/drawing/2014/chart" uri="{C3380CC4-5D6E-409C-BE32-E72D297353CC}">
                    <c16:uniqueId val="{00000038-5C38-4BC2-B4D4-088EB05022C6}"/>
                  </c:ext>
                </c:extLst>
              </c15:ser>
            </c15:filteredScatterSeries>
            <c15:filteredScatterSeries>
              <c15:ser>
                <c:idx val="5"/>
                <c:order val="8"/>
                <c:tx>
                  <c:strRef>
                    <c:extLst xmlns:c15="http://schemas.microsoft.com/office/drawing/2012/chart">
                      <c:ext xmlns:c15="http://schemas.microsoft.com/office/drawing/2012/chart" uri="{02D57815-91ED-43cb-92C2-25804820EDAC}">
                        <c15:formulaRef>
                          <c15:sqref>'Future Projection'!$X$1</c15:sqref>
                        </c15:formulaRef>
                      </c:ext>
                    </c:extLst>
                    <c:strCache>
                      <c:ptCount val="1"/>
                      <c:pt idx="0">
                        <c:v>H2 FCEV</c:v>
                      </c:pt>
                    </c:strCache>
                  </c:strRef>
                </c:tx>
                <c:spPr>
                  <a:ln w="25400" cap="rnd">
                    <a:solidFill>
                      <a:srgbClr val="F05F41">
                        <a:alpha val="40000"/>
                      </a:srgbClr>
                    </a:solidFill>
                    <a:round/>
                  </a:ln>
                  <a:effectLst/>
                </c:spPr>
                <c:marker>
                  <c:symbol val="none"/>
                </c:marker>
                <c:xVal>
                  <c:numRef>
                    <c:extLst xmlns:c15="http://schemas.microsoft.com/office/drawing/2012/chart">
                      <c:ext xmlns:c15="http://schemas.microsoft.com/office/drawing/2012/chart" uri="{02D57815-91ED-43cb-92C2-25804820EDAC}">
                        <c15:formulaRef>
                          <c15:sqref>'Future Projection'!$R$30:$R$55</c15:sqref>
                        </c15:formulaRef>
                      </c:ext>
                    </c:extLst>
                    <c:numCache>
                      <c:formatCode>General</c:formatCode>
                      <c:ptCount val="26"/>
                    </c:numCache>
                  </c:numRef>
                </c:xVal>
                <c:yVal>
                  <c:numRef>
                    <c:extLst xmlns:c15="http://schemas.microsoft.com/office/drawing/2012/chart">
                      <c:ext xmlns:c15="http://schemas.microsoft.com/office/drawing/2012/chart" uri="{02D57815-91ED-43cb-92C2-25804820EDAC}">
                        <c15:formulaRef>
                          <c15:sqref>'Future Projection'!$X$30:$X$55</c15:sqref>
                        </c15:formulaRef>
                      </c:ext>
                    </c:extLst>
                    <c:numCache>
                      <c:formatCode>0.0%</c:formatCode>
                      <c:ptCount val="26"/>
                    </c:numCache>
                  </c:numRef>
                </c:yVal>
                <c:smooth val="1"/>
                <c:extLst xmlns:c15="http://schemas.microsoft.com/office/drawing/2012/chart">
                  <c:ext xmlns:c16="http://schemas.microsoft.com/office/drawing/2014/chart" uri="{C3380CC4-5D6E-409C-BE32-E72D297353CC}">
                    <c16:uniqueId val="{0000003A-5C38-4BC2-B4D4-088EB05022C6}"/>
                  </c:ext>
                </c:extLst>
              </c15:ser>
            </c15:filteredScatterSeries>
            <c15:filteredScatterSeries>
              <c15:ser>
                <c:idx val="6"/>
                <c:order val="9"/>
                <c:tx>
                  <c:strRef>
                    <c:extLst xmlns:c15="http://schemas.microsoft.com/office/drawing/2012/chart">
                      <c:ext xmlns:c15="http://schemas.microsoft.com/office/drawing/2012/chart" uri="{02D57815-91ED-43cb-92C2-25804820EDAC}">
                        <c15:formulaRef>
                          <c15:sqref>'Future Projection'!$Y$1</c15:sqref>
                        </c15:formulaRef>
                      </c:ext>
                    </c:extLst>
                    <c:strCache>
                      <c:ptCount val="1"/>
                      <c:pt idx="0">
                        <c:v>H2 ICHEV</c:v>
                      </c:pt>
                    </c:strCache>
                  </c:strRef>
                </c:tx>
                <c:spPr>
                  <a:ln w="25400" cap="rnd">
                    <a:solidFill>
                      <a:srgbClr val="0000FF">
                        <a:alpha val="40000"/>
                      </a:srgbClr>
                    </a:solidFill>
                    <a:prstDash val="solid"/>
                    <a:round/>
                  </a:ln>
                  <a:effectLst/>
                </c:spPr>
                <c:marker>
                  <c:symbol val="none"/>
                </c:marker>
                <c:xVal>
                  <c:numRef>
                    <c:extLst xmlns:c15="http://schemas.microsoft.com/office/drawing/2012/chart">
                      <c:ext xmlns:c15="http://schemas.microsoft.com/office/drawing/2012/chart" uri="{02D57815-91ED-43cb-92C2-25804820EDAC}">
                        <c15:formulaRef>
                          <c15:sqref>'Future Projection'!$R$30:$R$55</c15:sqref>
                        </c15:formulaRef>
                      </c:ext>
                    </c:extLst>
                    <c:numCache>
                      <c:formatCode>General</c:formatCode>
                      <c:ptCount val="26"/>
                    </c:numCache>
                  </c:numRef>
                </c:xVal>
                <c:yVal>
                  <c:numRef>
                    <c:extLst xmlns:c15="http://schemas.microsoft.com/office/drawing/2012/chart">
                      <c:ext xmlns:c15="http://schemas.microsoft.com/office/drawing/2012/chart" uri="{02D57815-91ED-43cb-92C2-25804820EDAC}">
                        <c15:formulaRef>
                          <c15:sqref>'Future Projection'!$Y$30:$Y$55</c15:sqref>
                        </c15:formulaRef>
                      </c:ext>
                    </c:extLst>
                    <c:numCache>
                      <c:formatCode>0.0%</c:formatCode>
                      <c:ptCount val="26"/>
                    </c:numCache>
                  </c:numRef>
                </c:yVal>
                <c:smooth val="1"/>
                <c:extLst xmlns:c15="http://schemas.microsoft.com/office/drawing/2012/chart">
                  <c:ext xmlns:c16="http://schemas.microsoft.com/office/drawing/2014/chart" uri="{C3380CC4-5D6E-409C-BE32-E72D297353CC}">
                    <c16:uniqueId val="{0000003C-5C38-4BC2-B4D4-088EB05022C6}"/>
                  </c:ext>
                </c:extLst>
              </c15:ser>
            </c15:filteredScatterSeries>
          </c:ext>
        </c:extLst>
      </c:scatterChart>
      <c:valAx>
        <c:axId val="184286751"/>
        <c:scaling>
          <c:orientation val="minMax"/>
          <c:max val="2050"/>
          <c:min val="202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84303551"/>
        <c:crosses val="autoZero"/>
        <c:crossBetween val="midCat"/>
      </c:valAx>
      <c:valAx>
        <c:axId val="184303551"/>
        <c:scaling>
          <c:orientation val="minMax"/>
          <c:min val="0.8"/>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84286751"/>
        <c:crosses val="autoZero"/>
        <c:crossBetween val="midCat"/>
        <c:majorUnit val="0.2"/>
      </c:valAx>
      <c:spPr>
        <a:ln>
          <a:solidFill>
            <a:schemeClr val="tx1"/>
          </a:solidFill>
        </a:ln>
      </c:spPr>
    </c:plotArea>
    <c:legend>
      <c:legendPos val="b"/>
      <c:layout>
        <c:manualLayout>
          <c:xMode val="edge"/>
          <c:yMode val="edge"/>
          <c:x val="0.46331773443532581"/>
          <c:y val="4.915372557596967E-2"/>
          <c:w val="0.47320260238258571"/>
          <c:h val="0.25408701516477111"/>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ln>
      <a:noFill/>
    </a:ln>
  </c:spPr>
  <c:txPr>
    <a:bodyPr/>
    <a:lstStyle/>
    <a:p>
      <a:pPr>
        <a:defRPr sz="1800"/>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46432411807555"/>
          <c:y val="4.3522802631278057E-2"/>
          <c:w val="0.78280439834888471"/>
          <c:h val="0.85405385240550513"/>
        </c:manualLayout>
      </c:layout>
      <c:scatterChart>
        <c:scatterStyle val="smoothMarker"/>
        <c:varyColors val="0"/>
        <c:ser>
          <c:idx val="0"/>
          <c:order val="0"/>
          <c:tx>
            <c:strRef>
              <c:f>'Future Projection'!$J$1</c:f>
              <c:strCache>
                <c:ptCount val="1"/>
                <c:pt idx="0">
                  <c:v>Conventional Diesel</c:v>
                </c:pt>
              </c:strCache>
            </c:strRef>
          </c:tx>
          <c:spPr>
            <a:ln w="25400" cap="rnd">
              <a:solidFill>
                <a:schemeClr val="tx1"/>
              </a:solidFill>
              <a:round/>
            </a:ln>
            <a:effectLst/>
          </c:spPr>
          <c:marker>
            <c:symbol val="none"/>
          </c:marker>
          <c:xVal>
            <c:numRef>
              <c:f>'Future Projection'!$A$2:$A$27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Projection'!$J$2:$J$27</c:f>
              <c:numCache>
                <c:formatCode>"$"#,##0.00_);\("$"#,##0.00\)</c:formatCode>
                <c:ptCount val="26"/>
                <c:pt idx="0">
                  <c:v>0.58363200000000004</c:v>
                </c:pt>
                <c:pt idx="1">
                  <c:v>0.58891088000000003</c:v>
                </c:pt>
                <c:pt idx="2">
                  <c:v>0.59391687000000004</c:v>
                </c:pt>
                <c:pt idx="3">
                  <c:v>0.59864144999999991</c:v>
                </c:pt>
                <c:pt idx="4">
                  <c:v>0.60307497999999993</c:v>
                </c:pt>
                <c:pt idx="5">
                  <c:v>0.60720925999999997</c:v>
                </c:pt>
                <c:pt idx="6">
                  <c:v>0.61290433</c:v>
                </c:pt>
                <c:pt idx="7">
                  <c:v>0.6182754399999999</c:v>
                </c:pt>
                <c:pt idx="8">
                  <c:v>0.62330235000000001</c:v>
                </c:pt>
                <c:pt idx="9">
                  <c:v>0.62797435000000001</c:v>
                </c:pt>
                <c:pt idx="10">
                  <c:v>0.63228631999999996</c:v>
                </c:pt>
                <c:pt idx="11">
                  <c:v>0.63816026000000003</c:v>
                </c:pt>
                <c:pt idx="12">
                  <c:v>0.64383838999999998</c:v>
                </c:pt>
                <c:pt idx="13">
                  <c:v>0.64929789000000004</c:v>
                </c:pt>
                <c:pt idx="14">
                  <c:v>0.65451576</c:v>
                </c:pt>
                <c:pt idx="15">
                  <c:v>0.65946039000000001</c:v>
                </c:pt>
                <c:pt idx="16">
                  <c:v>0.66409590000000007</c:v>
                </c:pt>
                <c:pt idx="17">
                  <c:v>0.66838356999999993</c:v>
                </c:pt>
                <c:pt idx="18">
                  <c:v>0.67227389999999998</c:v>
                </c:pt>
                <c:pt idx="19">
                  <c:v>0.67570938999999997</c:v>
                </c:pt>
                <c:pt idx="20">
                  <c:v>0.67863230000000008</c:v>
                </c:pt>
                <c:pt idx="21">
                  <c:v>0.68097149999999995</c:v>
                </c:pt>
                <c:pt idx="22">
                  <c:v>0.68263633000000001</c:v>
                </c:pt>
                <c:pt idx="23">
                  <c:v>0.68350445999999998</c:v>
                </c:pt>
                <c:pt idx="24">
                  <c:v>0.68347990000000003</c:v>
                </c:pt>
                <c:pt idx="25">
                  <c:v>0.682481</c:v>
                </c:pt>
              </c:numCache>
            </c:numRef>
          </c:yVal>
          <c:smooth val="1"/>
          <c:extLst>
            <c:ext xmlns:c16="http://schemas.microsoft.com/office/drawing/2014/chart" uri="{C3380CC4-5D6E-409C-BE32-E72D297353CC}">
              <c16:uniqueId val="{00000000-8292-4FED-A081-A2E2857BC921}"/>
            </c:ext>
          </c:extLst>
        </c:ser>
        <c:ser>
          <c:idx val="1"/>
          <c:order val="1"/>
          <c:tx>
            <c:strRef>
              <c:f>'Future Projection'!$K$1</c:f>
              <c:strCache>
                <c:ptCount val="1"/>
                <c:pt idx="0">
                  <c:v>Mobile Carbon Capture 50%</c:v>
                </c:pt>
              </c:strCache>
            </c:strRef>
          </c:tx>
          <c:spPr>
            <a:ln w="38100" cap="rnd">
              <a:solidFill>
                <a:srgbClr val="00A3E0"/>
              </a:solidFill>
              <a:round/>
            </a:ln>
            <a:effectLst/>
          </c:spPr>
          <c:marker>
            <c:symbol val="none"/>
          </c:marker>
          <c:xVal>
            <c:numRef>
              <c:f>'Future Projection'!$A$2:$A$27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Projection'!$K$2:$K$27</c:f>
              <c:numCache>
                <c:formatCode>"$"#,##0.00_);\("$"#,##0.00\)</c:formatCode>
                <c:ptCount val="26"/>
                <c:pt idx="0">
                  <c:v>0.74070918999999991</c:v>
                </c:pt>
                <c:pt idx="1">
                  <c:v>0.73547768999999996</c:v>
                </c:pt>
                <c:pt idx="2">
                  <c:v>0.7302128</c:v>
                </c:pt>
                <c:pt idx="3">
                  <c:v>0.72491493000000007</c:v>
                </c:pt>
                <c:pt idx="4">
                  <c:v>0.71958515000000001</c:v>
                </c:pt>
                <c:pt idx="5">
                  <c:v>0.71422584</c:v>
                </c:pt>
                <c:pt idx="6">
                  <c:v>0.71071066999999999</c:v>
                </c:pt>
                <c:pt idx="7">
                  <c:v>0.70717306000000002</c:v>
                </c:pt>
                <c:pt idx="8">
                  <c:v>0.70361823999999995</c:v>
                </c:pt>
                <c:pt idx="9">
                  <c:v>0.70005419999999996</c:v>
                </c:pt>
                <c:pt idx="10">
                  <c:v>0.69649067000000009</c:v>
                </c:pt>
                <c:pt idx="11">
                  <c:v>0.69657031000000003</c:v>
                </c:pt>
                <c:pt idx="12">
                  <c:v>0.69661203000000005</c:v>
                </c:pt>
                <c:pt idx="13">
                  <c:v>0.69661066000000005</c:v>
                </c:pt>
                <c:pt idx="14">
                  <c:v>0.69656094999999996</c:v>
                </c:pt>
                <c:pt idx="15">
                  <c:v>0.69645572999999994</c:v>
                </c:pt>
                <c:pt idx="16">
                  <c:v>0.69628683999999996</c:v>
                </c:pt>
                <c:pt idx="17">
                  <c:v>0.69604549999999998</c:v>
                </c:pt>
                <c:pt idx="18">
                  <c:v>0.69572049000000002</c:v>
                </c:pt>
                <c:pt idx="19">
                  <c:v>0.69529876000000002</c:v>
                </c:pt>
                <c:pt idx="20">
                  <c:v>0.69476722000000002</c:v>
                </c:pt>
                <c:pt idx="21">
                  <c:v>0.69410977000000007</c:v>
                </c:pt>
                <c:pt idx="22">
                  <c:v>0.69330585</c:v>
                </c:pt>
                <c:pt idx="23">
                  <c:v>0.69232778000000006</c:v>
                </c:pt>
                <c:pt idx="24">
                  <c:v>0.69115381999999992</c:v>
                </c:pt>
                <c:pt idx="25">
                  <c:v>0.68976545</c:v>
                </c:pt>
              </c:numCache>
            </c:numRef>
          </c:yVal>
          <c:smooth val="1"/>
          <c:extLst>
            <c:ext xmlns:c16="http://schemas.microsoft.com/office/drawing/2014/chart" uri="{C3380CC4-5D6E-409C-BE32-E72D297353CC}">
              <c16:uniqueId val="{00000001-8292-4FED-A081-A2E2857BC921}"/>
            </c:ext>
          </c:extLst>
        </c:ser>
        <c:ser>
          <c:idx val="4"/>
          <c:order val="4"/>
          <c:tx>
            <c:strRef>
              <c:f>'Future Projection'!$N$1</c:f>
              <c:strCache>
                <c:ptCount val="1"/>
                <c:pt idx="0">
                  <c:v>BEV 500 mile</c:v>
                </c:pt>
              </c:strCache>
            </c:strRef>
          </c:tx>
          <c:spPr>
            <a:ln w="38100" cap="rnd">
              <a:solidFill>
                <a:srgbClr val="00B050"/>
              </a:solidFill>
              <a:round/>
            </a:ln>
            <a:effectLst/>
          </c:spPr>
          <c:marker>
            <c:symbol val="none"/>
          </c:marker>
          <c:xVal>
            <c:numRef>
              <c:f>'Future Projection'!$A$2:$A$27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Projection'!$N$2:$N$27</c:f>
              <c:numCache>
                <c:formatCode>"$"#,##0.00_);\("$"#,##0.00\)</c:formatCode>
                <c:ptCount val="26"/>
                <c:pt idx="0">
                  <c:v>1.1511388</c:v>
                </c:pt>
                <c:pt idx="1">
                  <c:v>1.12528279</c:v>
                </c:pt>
                <c:pt idx="2">
                  <c:v>1.09526718</c:v>
                </c:pt>
                <c:pt idx="3">
                  <c:v>1.07321928</c:v>
                </c:pt>
                <c:pt idx="4">
                  <c:v>1.0470204599999999</c:v>
                </c:pt>
                <c:pt idx="5">
                  <c:v>1.0274146899999999</c:v>
                </c:pt>
                <c:pt idx="6">
                  <c:v>1.0101239900000001</c:v>
                </c:pt>
                <c:pt idx="7">
                  <c:v>0.99841424000000001</c:v>
                </c:pt>
                <c:pt idx="8">
                  <c:v>0.98361748999999998</c:v>
                </c:pt>
                <c:pt idx="9">
                  <c:v>0.97453445999999999</c:v>
                </c:pt>
                <c:pt idx="10">
                  <c:v>0.96303331999999997</c:v>
                </c:pt>
                <c:pt idx="11">
                  <c:v>0.95981405000000009</c:v>
                </c:pt>
                <c:pt idx="12">
                  <c:v>0.95656774</c:v>
                </c:pt>
                <c:pt idx="13">
                  <c:v>0.95332968000000007</c:v>
                </c:pt>
                <c:pt idx="14">
                  <c:v>0.95013484999999998</c:v>
                </c:pt>
                <c:pt idx="15">
                  <c:v>0.94701851000000004</c:v>
                </c:pt>
                <c:pt idx="16">
                  <c:v>0.94398915000000005</c:v>
                </c:pt>
                <c:pt idx="17">
                  <c:v>0.94087218000000006</c:v>
                </c:pt>
                <c:pt idx="18">
                  <c:v>0.93765383999999996</c:v>
                </c:pt>
                <c:pt idx="19">
                  <c:v>0.93431858000000001</c:v>
                </c:pt>
                <c:pt idx="20">
                  <c:v>0.93084964999999997</c:v>
                </c:pt>
                <c:pt idx="21">
                  <c:v>0.92722679000000008</c:v>
                </c:pt>
                <c:pt idx="22">
                  <c:v>0.92344415000000002</c:v>
                </c:pt>
                <c:pt idx="23">
                  <c:v>0.91945193999999997</c:v>
                </c:pt>
                <c:pt idx="24">
                  <c:v>0.91521954999999999</c:v>
                </c:pt>
                <c:pt idx="25">
                  <c:v>0.91071968999999997</c:v>
                </c:pt>
              </c:numCache>
            </c:numRef>
          </c:yVal>
          <c:smooth val="1"/>
          <c:extLst>
            <c:ext xmlns:c16="http://schemas.microsoft.com/office/drawing/2014/chart" uri="{C3380CC4-5D6E-409C-BE32-E72D297353CC}">
              <c16:uniqueId val="{00000004-8292-4FED-A081-A2E2857BC921}"/>
            </c:ext>
          </c:extLst>
        </c:ser>
        <c:ser>
          <c:idx val="5"/>
          <c:order val="5"/>
          <c:tx>
            <c:strRef>
              <c:f>'Future Projection'!$O$1</c:f>
              <c:strCache>
                <c:ptCount val="1"/>
                <c:pt idx="0">
                  <c:v>H2 FCEV</c:v>
                </c:pt>
              </c:strCache>
            </c:strRef>
          </c:tx>
          <c:spPr>
            <a:ln w="38100" cap="rnd">
              <a:solidFill>
                <a:srgbClr val="F05F41"/>
              </a:solidFill>
              <a:round/>
            </a:ln>
            <a:effectLst/>
          </c:spPr>
          <c:marker>
            <c:symbol val="none"/>
          </c:marker>
          <c:xVal>
            <c:numRef>
              <c:f>'Future Projection'!$A$2:$A$27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Projection'!$O$2:$O$27</c:f>
              <c:numCache>
                <c:formatCode>"$"#,##0.00_);\("$"#,##0.00\)</c:formatCode>
                <c:ptCount val="26"/>
                <c:pt idx="0">
                  <c:v>1.54329662</c:v>
                </c:pt>
                <c:pt idx="1">
                  <c:v>1.44462669</c:v>
                </c:pt>
                <c:pt idx="2">
                  <c:v>1.36835376</c:v>
                </c:pt>
                <c:pt idx="3">
                  <c:v>1.2938620900000002</c:v>
                </c:pt>
                <c:pt idx="4">
                  <c:v>1.2309358100000001</c:v>
                </c:pt>
                <c:pt idx="5">
                  <c:v>1.1657746299999998</c:v>
                </c:pt>
                <c:pt idx="6">
                  <c:v>1.1129003400000002</c:v>
                </c:pt>
                <c:pt idx="7">
                  <c:v>1.0592865200000001</c:v>
                </c:pt>
                <c:pt idx="8">
                  <c:v>1.0160781700000001</c:v>
                </c:pt>
                <c:pt idx="9">
                  <c:v>0.97378257999999995</c:v>
                </c:pt>
                <c:pt idx="10">
                  <c:v>0.93754588000000005</c:v>
                </c:pt>
                <c:pt idx="11">
                  <c:v>0.92697768999999997</c:v>
                </c:pt>
                <c:pt idx="12">
                  <c:v>0.91655152000000006</c:v>
                </c:pt>
                <c:pt idx="13">
                  <c:v>0.90674449000000001</c:v>
                </c:pt>
                <c:pt idx="14">
                  <c:v>0.89706165999999998</c:v>
                </c:pt>
                <c:pt idx="15">
                  <c:v>0.88750423000000001</c:v>
                </c:pt>
                <c:pt idx="16">
                  <c:v>0.87807347000000002</c:v>
                </c:pt>
                <c:pt idx="17">
                  <c:v>0.86877042000000004</c:v>
                </c:pt>
                <c:pt idx="18">
                  <c:v>0.85686249999999997</c:v>
                </c:pt>
                <c:pt idx="19">
                  <c:v>0.84782056000000006</c:v>
                </c:pt>
                <c:pt idx="20">
                  <c:v>0.83891115000000005</c:v>
                </c:pt>
                <c:pt idx="21">
                  <c:v>0.83013579000000004</c:v>
                </c:pt>
                <c:pt idx="22">
                  <c:v>0.82149678000000004</c:v>
                </c:pt>
                <c:pt idx="23">
                  <c:v>0.81299789</c:v>
                </c:pt>
                <c:pt idx="24">
                  <c:v>0.80463868999999999</c:v>
                </c:pt>
                <c:pt idx="25">
                  <c:v>0.79394519999999991</c:v>
                </c:pt>
              </c:numCache>
            </c:numRef>
          </c:yVal>
          <c:smooth val="1"/>
          <c:extLst>
            <c:ext xmlns:c16="http://schemas.microsoft.com/office/drawing/2014/chart" uri="{C3380CC4-5D6E-409C-BE32-E72D297353CC}">
              <c16:uniqueId val="{00000005-8292-4FED-A081-A2E2857BC921}"/>
            </c:ext>
          </c:extLst>
        </c:ser>
        <c:ser>
          <c:idx val="6"/>
          <c:order val="6"/>
          <c:tx>
            <c:strRef>
              <c:f>'Future Projection'!$P$1</c:f>
              <c:strCache>
                <c:ptCount val="1"/>
                <c:pt idx="0">
                  <c:v>H2 ICHEV</c:v>
                </c:pt>
              </c:strCache>
            </c:strRef>
          </c:tx>
          <c:spPr>
            <a:ln w="38100" cap="rnd">
              <a:solidFill>
                <a:srgbClr val="0000FF"/>
              </a:solidFill>
              <a:round/>
            </a:ln>
            <a:effectLst/>
          </c:spPr>
          <c:marker>
            <c:symbol val="none"/>
          </c:marker>
          <c:xVal>
            <c:numRef>
              <c:f>'Future Projection'!$A$2:$A$27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Projection'!$P$2:$P$27</c:f>
              <c:numCache>
                <c:formatCode>"$"#,##0.00_);\("$"#,##0.00\)</c:formatCode>
                <c:ptCount val="26"/>
                <c:pt idx="0">
                  <c:v>1.3118615</c:v>
                </c:pt>
                <c:pt idx="1">
                  <c:v>1.2457842299999999</c:v>
                </c:pt>
                <c:pt idx="2">
                  <c:v>1.18406207</c:v>
                </c:pt>
                <c:pt idx="3">
                  <c:v>1.12681984</c:v>
                </c:pt>
                <c:pt idx="4">
                  <c:v>1.0741053600000001</c:v>
                </c:pt>
                <c:pt idx="5">
                  <c:v>1.02604641</c:v>
                </c:pt>
                <c:pt idx="6">
                  <c:v>0.98467515999999999</c:v>
                </c:pt>
                <c:pt idx="7">
                  <c:v>0.94829077000000006</c:v>
                </c:pt>
                <c:pt idx="8">
                  <c:v>0.91719571</c:v>
                </c:pt>
                <c:pt idx="9">
                  <c:v>0.89160892000000003</c:v>
                </c:pt>
                <c:pt idx="10">
                  <c:v>0.87153365999999999</c:v>
                </c:pt>
                <c:pt idx="11">
                  <c:v>0.86577816000000007</c:v>
                </c:pt>
                <c:pt idx="12">
                  <c:v>0.86011044999999997</c:v>
                </c:pt>
                <c:pt idx="13">
                  <c:v>0.85453293999999991</c:v>
                </c:pt>
                <c:pt idx="14">
                  <c:v>0.84904752999999999</c:v>
                </c:pt>
                <c:pt idx="15">
                  <c:v>0.84365723999999997</c:v>
                </c:pt>
                <c:pt idx="16">
                  <c:v>0.83836513000000001</c:v>
                </c:pt>
                <c:pt idx="17">
                  <c:v>0.83317393999999989</c:v>
                </c:pt>
                <c:pt idx="18">
                  <c:v>0.82808730000000008</c:v>
                </c:pt>
                <c:pt idx="19">
                  <c:v>0.82310896</c:v>
                </c:pt>
                <c:pt idx="20">
                  <c:v>0.81824154000000004</c:v>
                </c:pt>
                <c:pt idx="21">
                  <c:v>0.81348820999999993</c:v>
                </c:pt>
                <c:pt idx="22">
                  <c:v>0.80885306000000001</c:v>
                </c:pt>
                <c:pt idx="23">
                  <c:v>0.80434177000000007</c:v>
                </c:pt>
                <c:pt idx="24">
                  <c:v>0.79995532999999996</c:v>
                </c:pt>
                <c:pt idx="25">
                  <c:v>0.79569181999999994</c:v>
                </c:pt>
              </c:numCache>
            </c:numRef>
          </c:yVal>
          <c:smooth val="1"/>
          <c:extLst>
            <c:ext xmlns:c16="http://schemas.microsoft.com/office/drawing/2014/chart" uri="{C3380CC4-5D6E-409C-BE32-E72D297353CC}">
              <c16:uniqueId val="{00000006-8292-4FED-A081-A2E2857BC921}"/>
            </c:ext>
          </c:extLst>
        </c:ser>
        <c:dLbls>
          <c:showLegendKey val="0"/>
          <c:showVal val="0"/>
          <c:showCatName val="0"/>
          <c:showSerName val="0"/>
          <c:showPercent val="0"/>
          <c:showBubbleSize val="0"/>
        </c:dLbls>
        <c:axId val="43427343"/>
        <c:axId val="43411023"/>
        <c:extLst>
          <c:ext xmlns:c15="http://schemas.microsoft.com/office/drawing/2012/chart" uri="{02D57815-91ED-43cb-92C2-25804820EDAC}">
            <c15:filteredScatterSeries>
              <c15:ser>
                <c:idx val="2"/>
                <c:order val="2"/>
                <c:tx>
                  <c:strRef>
                    <c:extLst>
                      <c:ext uri="{02D57815-91ED-43cb-92C2-25804820EDAC}">
                        <c15:formulaRef>
                          <c15:sqref>'Future Projection'!$L$1</c15:sqref>
                        </c15:formulaRef>
                      </c:ext>
                    </c:extLst>
                    <c:strCache>
                      <c:ptCount val="1"/>
                      <c:pt idx="0">
                        <c:v>Mobile Carbon Capture 90%</c:v>
                      </c:pt>
                    </c:strCache>
                  </c:strRef>
                </c:tx>
                <c:spPr>
                  <a:ln w="38100" cap="rnd">
                    <a:solidFill>
                      <a:srgbClr val="00A3E0"/>
                    </a:solidFill>
                    <a:prstDash val="dash"/>
                    <a:round/>
                  </a:ln>
                  <a:effectLst/>
                </c:spPr>
                <c:marker>
                  <c:symbol val="none"/>
                </c:marker>
                <c:xVal>
                  <c:numRef>
                    <c:extLst>
                      <c:ext uri="{02D57815-91ED-43cb-92C2-25804820EDAC}">
                        <c15:formulaRef>
                          <c15:sqref>'Future Projection'!$A$2:$A$27</c15:sqref>
                        </c15:formulaRef>
                      </c:ext>
                    </c:extLst>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extLst>
                      <c:ext uri="{02D57815-91ED-43cb-92C2-25804820EDAC}">
                        <c15:formulaRef>
                          <c15:sqref>'Future Projection'!$L$2:$L$27</c15:sqref>
                        </c15:formulaRef>
                      </c:ext>
                    </c:extLst>
                    <c:numCache>
                      <c:formatCode>"$"#,##0.00_);\("$"#,##0.00\)</c:formatCode>
                      <c:ptCount val="26"/>
                      <c:pt idx="0">
                        <c:v>0.90873181999999997</c:v>
                      </c:pt>
                      <c:pt idx="1">
                        <c:v>0.89394316000000007</c:v>
                      </c:pt>
                      <c:pt idx="2">
                        <c:v>0.87935292000000009</c:v>
                      </c:pt>
                      <c:pt idx="3">
                        <c:v>0.86497042000000002</c:v>
                      </c:pt>
                      <c:pt idx="4">
                        <c:v>0.85080754000000003</c:v>
                      </c:pt>
                      <c:pt idx="5">
                        <c:v>0.83687750000000005</c:v>
                      </c:pt>
                      <c:pt idx="6">
                        <c:v>0.82506803000000006</c:v>
                      </c:pt>
                      <c:pt idx="7">
                        <c:v>0.81353117000000008</c:v>
                      </c:pt>
                      <c:pt idx="8">
                        <c:v>0.80229826999999998</c:v>
                      </c:pt>
                      <c:pt idx="9">
                        <c:v>0.79139714000000005</c:v>
                      </c:pt>
                      <c:pt idx="10">
                        <c:v>0.78085384999999996</c:v>
                      </c:pt>
                      <c:pt idx="11">
                        <c:v>0.7751529399999999</c:v>
                      </c:pt>
                      <c:pt idx="12">
                        <c:v>0.76956433999999996</c:v>
                      </c:pt>
                      <c:pt idx="13">
                        <c:v>0.76409945999999995</c:v>
                      </c:pt>
                      <c:pt idx="14">
                        <c:v>0.75876981999999993</c:v>
                      </c:pt>
                      <c:pt idx="15">
                        <c:v>0.75359125999999999</c:v>
                      </c:pt>
                      <c:pt idx="16">
                        <c:v>0.74858177000000004</c:v>
                      </c:pt>
                      <c:pt idx="17">
                        <c:v>0.74376077000000007</c:v>
                      </c:pt>
                      <c:pt idx="18">
                        <c:v>0.73915312</c:v>
                      </c:pt>
                      <c:pt idx="19">
                        <c:v>0.73478768999999999</c:v>
                      </c:pt>
                      <c:pt idx="20">
                        <c:v>0.73069346999999996</c:v>
                      </c:pt>
                      <c:pt idx="21">
                        <c:v>0.72690619999999995</c:v>
                      </c:pt>
                      <c:pt idx="22">
                        <c:v>0.72347145999999996</c:v>
                      </c:pt>
                      <c:pt idx="23">
                        <c:v>0.72045075000000003</c:v>
                      </c:pt>
                      <c:pt idx="24">
                        <c:v>0.71789231999999992</c:v>
                      </c:pt>
                      <c:pt idx="25">
                        <c:v>0.71583721</c:v>
                      </c:pt>
                    </c:numCache>
                  </c:numRef>
                </c:yVal>
                <c:smooth val="1"/>
                <c:extLst>
                  <c:ext xmlns:c16="http://schemas.microsoft.com/office/drawing/2014/chart" uri="{C3380CC4-5D6E-409C-BE32-E72D297353CC}">
                    <c16:uniqueId val="{00000002-8292-4FED-A081-A2E2857BC92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'Future Projection'!$M$1</c15:sqref>
                        </c15:formulaRef>
                      </c:ext>
                    </c:extLst>
                    <c:strCache>
                      <c:ptCount val="1"/>
                      <c:pt idx="0">
                        <c:v>BEV 250 mile</c:v>
                      </c:pt>
                    </c:strCache>
                  </c:strRef>
                </c:tx>
                <c:spPr>
                  <a:ln w="38100" cap="rnd">
                    <a:solidFill>
                      <a:srgbClr val="00B050"/>
                    </a:solidFill>
                    <a:prstDash val="dash"/>
                    <a:round/>
                  </a:ln>
                  <a:effectLst/>
                </c:spPr>
                <c:marker>
                  <c:symbol val="none"/>
                </c:marker>
                <c:xVal>
                  <c:numRef>
                    <c:extLst xmlns:c15="http://schemas.microsoft.com/office/drawing/2012/chart">
                      <c:ext xmlns:c15="http://schemas.microsoft.com/office/drawing/2012/chart" uri="{02D57815-91ED-43cb-92C2-25804820EDAC}">
                        <c15:formulaRef>
                          <c15:sqref>'Future Projection'!$A$2:$A$27</c15:sqref>
                        </c15:formulaRef>
                      </c:ext>
                    </c:extLst>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extLst xmlns:c15="http://schemas.microsoft.com/office/drawing/2012/chart">
                      <c:ext xmlns:c15="http://schemas.microsoft.com/office/drawing/2012/chart" uri="{02D57815-91ED-43cb-92C2-25804820EDAC}">
                        <c15:formulaRef>
                          <c15:sqref>'Future Projection'!$M$2:$M$27</c15:sqref>
                        </c15:formulaRef>
                      </c:ext>
                    </c:extLst>
                    <c:numCache>
                      <c:formatCode>"$"#,##0.00_);\("$"#,##0.00\)</c:formatCode>
                      <c:ptCount val="26"/>
                      <c:pt idx="0">
                        <c:v>1.12892496</c:v>
                      </c:pt>
                      <c:pt idx="1">
                        <c:v>1.10792775</c:v>
                      </c:pt>
                      <c:pt idx="2">
                        <c:v>1.0849899700000001</c:v>
                      </c:pt>
                      <c:pt idx="3">
                        <c:v>1.06613479</c:v>
                      </c:pt>
                      <c:pt idx="4">
                        <c:v>1.0454486700000001</c:v>
                      </c:pt>
                      <c:pt idx="5">
                        <c:v>1.0282813799999999</c:v>
                      </c:pt>
                      <c:pt idx="6">
                        <c:v>1.0132046100000001</c:v>
                      </c:pt>
                      <c:pt idx="7">
                        <c:v>1.00129804</c:v>
                      </c:pt>
                      <c:pt idx="8">
                        <c:v>0.98840866000000005</c:v>
                      </c:pt>
                      <c:pt idx="9">
                        <c:v>0.97898368000000002</c:v>
                      </c:pt>
                      <c:pt idx="10">
                        <c:v>0.96908335999999995</c:v>
                      </c:pt>
                      <c:pt idx="11">
                        <c:v>0.96470407999999996</c:v>
                      </c:pt>
                      <c:pt idx="12">
                        <c:v>0.96032271999999996</c:v>
                      </c:pt>
                      <c:pt idx="13">
                        <c:v>0.95598861999999996</c:v>
                      </c:pt>
                      <c:pt idx="14">
                        <c:v>0.95175018</c:v>
                      </c:pt>
                      <c:pt idx="15">
                        <c:v>0.94765942000000003</c:v>
                      </c:pt>
                      <c:pt idx="16">
                        <c:v>0.94374320999999994</c:v>
                      </c:pt>
                      <c:pt idx="17">
                        <c:v>0.93984868999999993</c:v>
                      </c:pt>
                      <c:pt idx="18">
                        <c:v>0.93598561000000002</c:v>
                      </c:pt>
                      <c:pt idx="19">
                        <c:v>0.93216474999999999</c:v>
                      </c:pt>
                      <c:pt idx="20">
                        <c:v>0.92839506999999999</c:v>
                      </c:pt>
                      <c:pt idx="21">
                        <c:v>0.92468708999999993</c:v>
                      </c:pt>
                      <c:pt idx="22">
                        <c:v>0.92107285999999999</c:v>
                      </c:pt>
                      <c:pt idx="23">
                        <c:v>0.91755317000000003</c:v>
                      </c:pt>
                      <c:pt idx="24">
                        <c:v>0.91413604000000004</c:v>
                      </c:pt>
                      <c:pt idx="25">
                        <c:v>0.91082618000000004</c:v>
                      </c:pt>
                    </c:numCache>
                  </c:numRef>
                </c:yVal>
                <c:smooth val="1"/>
                <c:extLst xmlns:c15="http://schemas.microsoft.com/office/drawing/2012/chart">
                  <c:ext xmlns:c16="http://schemas.microsoft.com/office/drawing/2014/chart" uri="{C3380CC4-5D6E-409C-BE32-E72D297353CC}">
                    <c16:uniqueId val="{00000003-8292-4FED-A081-A2E2857BC921}"/>
                  </c:ext>
                </c:extLst>
              </c15:ser>
            </c15:filteredScatterSeries>
          </c:ext>
        </c:extLst>
      </c:scatterChart>
      <c:valAx>
        <c:axId val="43427343"/>
        <c:scaling>
          <c:orientation val="minMax"/>
          <c:max val="2050"/>
          <c:min val="202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43411023"/>
        <c:crosses val="autoZero"/>
        <c:crossBetween val="midCat"/>
      </c:valAx>
      <c:valAx>
        <c:axId val="43411023"/>
        <c:scaling>
          <c:orientation val="minMax"/>
          <c:max val="1.6"/>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a:t>Cost</a:t>
                </a:r>
                <a:r>
                  <a:rPr lang="en-US" baseline="0"/>
                  <a:t> per mile [$/mile]</a:t>
                </a:r>
                <a:endParaRPr lang="en-US"/>
              </a:p>
            </c:rich>
          </c:tx>
          <c:layout>
            <c:manualLayout>
              <c:xMode val="edge"/>
              <c:yMode val="edge"/>
              <c:x val="9.0284612860892389E-3"/>
              <c:y val="0.29377077865266837"/>
            </c:manualLayout>
          </c:layout>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quot;$&quot;#,##0.00_);\(&quot;$&quot;#,##0.00\)"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43427343"/>
        <c:crosses val="autoZero"/>
        <c:crossBetween val="midCat"/>
      </c:valAx>
      <c:spPr>
        <a:noFill/>
        <a:ln w="12700">
          <a:solidFill>
            <a:schemeClr val="tx1"/>
          </a:solidFill>
        </a:ln>
        <a:effectLst/>
      </c:spPr>
    </c:plotArea>
    <c:legend>
      <c:legendPos val="b"/>
      <c:layout>
        <c:manualLayout>
          <c:xMode val="edge"/>
          <c:yMode val="edge"/>
          <c:x val="0.50852485236220479"/>
          <c:y val="4.7797631065347602E-2"/>
          <c:w val="0.44756377259010027"/>
          <c:h val="0.2046433138165421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r>
              <a:rPr lang="en-US" b="1"/>
              <a:t>MCC Performance</a:t>
            </a:r>
          </a:p>
        </c:rich>
      </c:tx>
      <c:layout>
        <c:manualLayout>
          <c:xMode val="edge"/>
          <c:yMode val="edge"/>
          <c:x val="0.25844973478480188"/>
          <c:y val="1.9952078027749304E-3"/>
        </c:manualLayout>
      </c:layout>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7887041315124222"/>
          <c:y val="0.13879880850794962"/>
          <c:w val="0.6592867007993346"/>
          <c:h val="0.65173122747878642"/>
        </c:manualLayout>
      </c:layout>
      <c:barChart>
        <c:barDir val="col"/>
        <c:grouping val="clustered"/>
        <c:varyColors val="0"/>
        <c:ser>
          <c:idx val="0"/>
          <c:order val="1"/>
          <c:tx>
            <c:strRef>
              <c:f>'MCC Efficiency'!$D$9</c:f>
              <c:strCache>
                <c:ptCount val="1"/>
                <c:pt idx="0">
                  <c:v>MCC System Cost</c:v>
                </c:pt>
              </c:strCache>
            </c:strRef>
          </c:tx>
          <c:spPr>
            <a:solidFill>
              <a:srgbClr val="00A3E0"/>
            </a:solidFill>
            <a:ln>
              <a:noFill/>
            </a:ln>
            <a:effectLst/>
          </c:spPr>
          <c:invertIfNegative val="0"/>
          <c:cat>
            <c:numRef>
              <c:f>'MCC Efficiency'!$B$10:$B$13</c:f>
              <c:numCache>
                <c:formatCode>0%</c:formatCode>
                <c:ptCount val="4"/>
                <c:pt idx="0">
                  <c:v>0.5</c:v>
                </c:pt>
                <c:pt idx="1">
                  <c:v>0.75</c:v>
                </c:pt>
                <c:pt idx="2">
                  <c:v>0.9</c:v>
                </c:pt>
                <c:pt idx="3">
                  <c:v>1</c:v>
                </c:pt>
              </c:numCache>
            </c:numRef>
          </c:cat>
          <c:val>
            <c:numRef>
              <c:f>'MCC Efficiency'!$D$10:$D$13</c:f>
              <c:numCache>
                <c:formatCode>"$"#,##0</c:formatCode>
                <c:ptCount val="4"/>
                <c:pt idx="0">
                  <c:v>15000</c:v>
                </c:pt>
                <c:pt idx="1">
                  <c:v>17500</c:v>
                </c:pt>
                <c:pt idx="2">
                  <c:v>20000</c:v>
                </c:pt>
                <c:pt idx="3">
                  <c:v>30000</c:v>
                </c:pt>
              </c:numCache>
            </c:numRef>
          </c:val>
          <c:extLst>
            <c:ext xmlns:c16="http://schemas.microsoft.com/office/drawing/2014/chart" uri="{C3380CC4-5D6E-409C-BE32-E72D297353CC}">
              <c16:uniqueId val="{00000001-CB3A-4E2E-9C03-66571644EFA0}"/>
            </c:ext>
          </c:extLst>
        </c:ser>
        <c:dLbls>
          <c:showLegendKey val="0"/>
          <c:showVal val="0"/>
          <c:showCatName val="0"/>
          <c:showSerName val="0"/>
          <c:showPercent val="0"/>
          <c:showBubbleSize val="0"/>
        </c:dLbls>
        <c:gapWidth val="150"/>
        <c:axId val="204970752"/>
        <c:axId val="204979872"/>
      </c:barChart>
      <c:lineChart>
        <c:grouping val="standard"/>
        <c:varyColors val="0"/>
        <c:ser>
          <c:idx val="1"/>
          <c:order val="0"/>
          <c:tx>
            <c:v>Fuel Penalty</c:v>
          </c:tx>
          <c:spPr>
            <a:ln w="38100" cap="rnd">
              <a:solidFill>
                <a:srgbClr val="F05F41"/>
              </a:solidFill>
              <a:round/>
            </a:ln>
            <a:effectLst/>
          </c:spPr>
          <c:marker>
            <c:symbol val="none"/>
          </c:marker>
          <c:cat>
            <c:numRef>
              <c:f>'MCC Efficiency'!$B$10:$B$13</c:f>
              <c:numCache>
                <c:formatCode>0%</c:formatCode>
                <c:ptCount val="4"/>
                <c:pt idx="0">
                  <c:v>0.5</c:v>
                </c:pt>
                <c:pt idx="1">
                  <c:v>0.75</c:v>
                </c:pt>
                <c:pt idx="2">
                  <c:v>0.9</c:v>
                </c:pt>
                <c:pt idx="3">
                  <c:v>1</c:v>
                </c:pt>
              </c:numCache>
            </c:numRef>
          </c:cat>
          <c:val>
            <c:numRef>
              <c:f>'MCC Efficiency'!$C$10:$C$13</c:f>
              <c:numCache>
                <c:formatCode>0.00%</c:formatCode>
                <c:ptCount val="4"/>
                <c:pt idx="0">
                  <c:v>3.44E-2</c:v>
                </c:pt>
                <c:pt idx="1">
                  <c:v>0.12479999999999999</c:v>
                </c:pt>
                <c:pt idx="2">
                  <c:v>0.19729999999999998</c:v>
                </c:pt>
                <c:pt idx="3">
                  <c:v>0.24559999999999998</c:v>
                </c:pt>
              </c:numCache>
            </c:numRef>
          </c:val>
          <c:smooth val="0"/>
          <c:extLst>
            <c:ext xmlns:c16="http://schemas.microsoft.com/office/drawing/2014/chart" uri="{C3380CC4-5D6E-409C-BE32-E72D297353CC}">
              <c16:uniqueId val="{00000000-CB3A-4E2E-9C03-66571644EFA0}"/>
            </c:ext>
          </c:extLst>
        </c:ser>
        <c:dLbls>
          <c:showLegendKey val="0"/>
          <c:showVal val="0"/>
          <c:showCatName val="0"/>
          <c:showSerName val="0"/>
          <c:showPercent val="0"/>
          <c:showBubbleSize val="0"/>
        </c:dLbls>
        <c:marker val="1"/>
        <c:smooth val="0"/>
        <c:axId val="633706720"/>
        <c:axId val="633692320"/>
      </c:lineChart>
      <c:catAx>
        <c:axId val="204970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CO2 Capture</a:t>
                </a:r>
                <a:r>
                  <a:rPr lang="en-US" baseline="0"/>
                  <a:t> Rate</a:t>
                </a:r>
                <a:endParaRPr lang="en-US"/>
              </a:p>
            </c:rich>
          </c:tx>
          <c:layout>
            <c:manualLayout>
              <c:xMode val="edge"/>
              <c:yMode val="edge"/>
              <c:x val="0.31773180341122514"/>
              <c:y val="0.90551294210264921"/>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9872"/>
        <c:crosses val="autoZero"/>
        <c:auto val="1"/>
        <c:lblAlgn val="ctr"/>
        <c:lblOffset val="100"/>
        <c:tickMarkSkip val="1"/>
        <c:noMultiLvlLbl val="0"/>
      </c:catAx>
      <c:valAx>
        <c:axId val="204979872"/>
        <c:scaling>
          <c:orientation val="minMax"/>
        </c:scaling>
        <c:delete val="0"/>
        <c:axPos val="l"/>
        <c:majorGridlines>
          <c:spPr>
            <a:ln w="9525" cap="flat" cmpd="sng" algn="ctr">
              <a:solidFill>
                <a:schemeClr val="tx1">
                  <a:lumMod val="15000"/>
                  <a:lumOff val="85000"/>
                </a:schemeClr>
              </a:solidFill>
              <a:round/>
            </a:ln>
            <a:effectLst/>
          </c:spPr>
        </c:majorGridlines>
        <c:numFmt formatCode="0,\ &quot;K&quot;" sourceLinked="0"/>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rgbClr val="00A3E0"/>
                </a:solidFill>
                <a:latin typeface="+mn-lt"/>
                <a:ea typeface="+mn-ea"/>
                <a:cs typeface="+mn-cs"/>
              </a:defRPr>
            </a:pPr>
            <a:endParaRPr lang="en-US"/>
          </a:p>
        </c:txPr>
        <c:crossAx val="204970752"/>
        <c:crosses val="autoZero"/>
        <c:crossBetween val="between"/>
      </c:valAx>
      <c:valAx>
        <c:axId val="633692320"/>
        <c:scaling>
          <c:orientation val="minMax"/>
        </c:scaling>
        <c:delete val="0"/>
        <c:axPos val="r"/>
        <c:numFmt formatCode="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rgbClr val="F05F41"/>
                </a:solidFill>
                <a:latin typeface="+mn-lt"/>
                <a:ea typeface="+mn-ea"/>
                <a:cs typeface="+mn-cs"/>
              </a:defRPr>
            </a:pPr>
            <a:endParaRPr lang="en-US"/>
          </a:p>
        </c:txPr>
        <c:crossAx val="633706720"/>
        <c:crosses val="max"/>
        <c:crossBetween val="between"/>
      </c:valAx>
      <c:catAx>
        <c:axId val="633706720"/>
        <c:scaling>
          <c:orientation val="minMax"/>
        </c:scaling>
        <c:delete val="1"/>
        <c:axPos val="b"/>
        <c:numFmt formatCode="0%" sourceLinked="1"/>
        <c:majorTickMark val="out"/>
        <c:minorTickMark val="none"/>
        <c:tickLblPos val="nextTo"/>
        <c:crossAx val="633692320"/>
        <c:crosses val="autoZero"/>
        <c:auto val="1"/>
        <c:lblAlgn val="ctr"/>
        <c:lblOffset val="100"/>
        <c:noMultiLvlLbl val="0"/>
      </c:catAx>
      <c:spPr>
        <a:noFill/>
        <a:ln w="12700">
          <a:solidFill>
            <a:schemeClr val="tx1"/>
          </a:solidFill>
        </a:ln>
        <a:effectLst/>
      </c:spPr>
    </c:plotArea>
    <c:legend>
      <c:legendPos val="t"/>
      <c:layout>
        <c:manualLayout>
          <c:xMode val="edge"/>
          <c:yMode val="edge"/>
          <c:x val="0.23755307054857469"/>
          <c:y val="0.14441480508913382"/>
          <c:w val="0.55799117513005936"/>
          <c:h val="0.1649629357623662"/>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 Id="rId9" Type="http://schemas.openxmlformats.org/officeDocument/2006/relationships/image" Target="../media/image2.emf"/></Relationships>
</file>

<file path=xl/drawings/_rels/drawing4.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chart" Target="../charts/chart15.xml"/><Relationship Id="rId7" Type="http://schemas.openxmlformats.org/officeDocument/2006/relationships/image" Target="../media/image4.emf"/><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5" Type="http://schemas.openxmlformats.org/officeDocument/2006/relationships/chart" Target="../charts/chart23.xml"/><Relationship Id="rId4" Type="http://schemas.openxmlformats.org/officeDocument/2006/relationships/image" Target="../media/image2.emf"/></Relationships>
</file>

<file path=xl/drawings/_rels/drawing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4" Type="http://schemas.openxmlformats.org/officeDocument/2006/relationships/chart" Target="../charts/chart29.xml"/></Relationships>
</file>

<file path=xl/drawings/_rels/drawing8.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9.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13</xdr:col>
      <xdr:colOff>25400</xdr:colOff>
      <xdr:row>11</xdr:row>
      <xdr:rowOff>12700</xdr:rowOff>
    </xdr:from>
    <xdr:to>
      <xdr:col>13</xdr:col>
      <xdr:colOff>996203</xdr:colOff>
      <xdr:row>11</xdr:row>
      <xdr:rowOff>729876</xdr:rowOff>
    </xdr:to>
    <xdr:sp macro="" textlink="">
      <xdr:nvSpPr>
        <xdr:cNvPr id="1025" name="Button 1" hidden="1">
          <a:extLst>
            <a:ext uri="{63B3BB69-23CF-44E3-9099-C40C66FF867C}">
              <a14:compatExt xmlns:a14="http://schemas.microsoft.com/office/drawing/2010/main"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Run Carbon Price</a:t>
          </a:r>
        </a:p>
        <a:p>
          <a:pPr algn="ctr" rtl="0">
            <a:defRPr sz="1000"/>
          </a:pPr>
          <a:r>
            <a:rPr lang="en-US" sz="1400" b="1" i="0" u="none" strike="noStrike" baseline="0">
              <a:solidFill>
                <a:srgbClr val="000000"/>
              </a:solidFill>
              <a:latin typeface="Calibri"/>
              <a:ea typeface="Calibri"/>
              <a:cs typeface="Calibri"/>
            </a:rPr>
            <a:t>Breakeven</a:t>
          </a:r>
        </a:p>
      </xdr:txBody>
    </xdr:sp>
    <xdr:clientData fPrintsWithSheet="0"/>
  </xdr:twoCellAnchor>
  <mc:AlternateContent xmlns:mc="http://schemas.openxmlformats.org/markup-compatibility/2006">
    <mc:Choice xmlns:a14="http://schemas.microsoft.com/office/drawing/2010/main" Requires="a14">
      <xdr:twoCellAnchor>
        <xdr:from>
          <xdr:col>16</xdr:col>
          <xdr:colOff>584200</xdr:colOff>
          <xdr:row>0</xdr:row>
          <xdr:rowOff>69850</xdr:rowOff>
        </xdr:from>
        <xdr:to>
          <xdr:col>17</xdr:col>
          <xdr:colOff>679450</xdr:colOff>
          <xdr:row>1</xdr:row>
          <xdr:rowOff>57150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200-000057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Reference Scenario</a:t>
              </a:r>
            </a:p>
          </xdr:txBody>
        </xdr:sp>
        <xdr:clientData fPrintsWithSheet="0"/>
      </xdr:twoCellAnchor>
    </mc:Choice>
    <mc:Fallback/>
  </mc:AlternateContent>
  <xdr:twoCellAnchor>
    <xdr:from>
      <xdr:col>12</xdr:col>
      <xdr:colOff>956234</xdr:colOff>
      <xdr:row>38</xdr:row>
      <xdr:rowOff>14941</xdr:rowOff>
    </xdr:from>
    <xdr:to>
      <xdr:col>19</xdr:col>
      <xdr:colOff>1053352</xdr:colOff>
      <xdr:row>68</xdr:row>
      <xdr:rowOff>37353</xdr:rowOff>
    </xdr:to>
    <xdr:graphicFrame macro="">
      <xdr:nvGraphicFramePr>
        <xdr:cNvPr id="6" name="Chart 5">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1104900</xdr:colOff>
          <xdr:row>12</xdr:row>
          <xdr:rowOff>57150</xdr:rowOff>
        </xdr:from>
        <xdr:to>
          <xdr:col>12</xdr:col>
          <xdr:colOff>889000</xdr:colOff>
          <xdr:row>15</xdr:row>
          <xdr:rowOff>133350</xdr:rowOff>
        </xdr:to>
        <xdr:sp macro="" textlink="">
          <xdr:nvSpPr>
            <xdr:cNvPr id="1232" name="Button 208" hidden="1">
              <a:extLst>
                <a:ext uri="{63B3BB69-23CF-44E3-9099-C40C66FF867C}">
                  <a14:compatExt spid="_x0000_s1232"/>
                </a:ext>
                <a:ext uri="{FF2B5EF4-FFF2-40B4-BE49-F238E27FC236}">
                  <a16:creationId xmlns:a16="http://schemas.microsoft.com/office/drawing/2014/main" id="{00000000-0008-0000-0200-0000D0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Breakeven Carbon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0</xdr:colOff>
      <xdr:row>0</xdr:row>
      <xdr:rowOff>0</xdr:rowOff>
    </xdr:from>
    <xdr:to>
      <xdr:col>26</xdr:col>
      <xdr:colOff>287911</xdr:colOff>
      <xdr:row>25</xdr:row>
      <xdr:rowOff>176893</xdr:rowOff>
    </xdr:to>
    <xdr:graphicFrame macro="">
      <xdr:nvGraphicFramePr>
        <xdr:cNvPr id="3" name="Chart 2">
          <a:extLst>
            <a:ext uri="{FF2B5EF4-FFF2-40B4-BE49-F238E27FC236}">
              <a16:creationId xmlns:a16="http://schemas.microsoft.com/office/drawing/2014/main" id="{D0ECE65D-A1E0-4A1C-9749-00F8168865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26</xdr:row>
      <xdr:rowOff>0</xdr:rowOff>
    </xdr:from>
    <xdr:to>
      <xdr:col>26</xdr:col>
      <xdr:colOff>278492</xdr:colOff>
      <xdr:row>49</xdr:row>
      <xdr:rowOff>136071</xdr:rowOff>
    </xdr:to>
    <xdr:graphicFrame macro="">
      <xdr:nvGraphicFramePr>
        <xdr:cNvPr id="6" name="Chart 5">
          <a:extLst>
            <a:ext uri="{FF2B5EF4-FFF2-40B4-BE49-F238E27FC236}">
              <a16:creationId xmlns:a16="http://schemas.microsoft.com/office/drawing/2014/main" id="{4098F4AB-5103-49D5-995D-47BBD1E2C9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52</xdr:row>
      <xdr:rowOff>176891</xdr:rowOff>
    </xdr:from>
    <xdr:to>
      <xdr:col>26</xdr:col>
      <xdr:colOff>287911</xdr:colOff>
      <xdr:row>93</xdr:row>
      <xdr:rowOff>122463</xdr:rowOff>
    </xdr:to>
    <xdr:graphicFrame macro="">
      <xdr:nvGraphicFramePr>
        <xdr:cNvPr id="2" name="Chart 1">
          <a:extLst>
            <a:ext uri="{FF2B5EF4-FFF2-40B4-BE49-F238E27FC236}">
              <a16:creationId xmlns:a16="http://schemas.microsoft.com/office/drawing/2014/main" id="{24916F5C-FDD2-4F3D-9ECB-28CE92B187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7</xdr:row>
      <xdr:rowOff>0</xdr:rowOff>
    </xdr:from>
    <xdr:to>
      <xdr:col>6</xdr:col>
      <xdr:colOff>7471</xdr:colOff>
      <xdr:row>26</xdr:row>
      <xdr:rowOff>127680</xdr:rowOff>
    </xdr:to>
    <xdr:graphicFrame macro="">
      <xdr:nvGraphicFramePr>
        <xdr:cNvPr id="2" name="Chart 1">
          <a:extLst>
            <a:ext uri="{FF2B5EF4-FFF2-40B4-BE49-F238E27FC236}">
              <a16:creationId xmlns:a16="http://schemas.microsoft.com/office/drawing/2014/main" id="{40EDED6C-4B7D-4C4D-AB56-A3537736C5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29</xdr:row>
      <xdr:rowOff>0</xdr:rowOff>
    </xdr:from>
    <xdr:to>
      <xdr:col>5</xdr:col>
      <xdr:colOff>1456765</xdr:colOff>
      <xdr:row>48</xdr:row>
      <xdr:rowOff>135149</xdr:rowOff>
    </xdr:to>
    <xdr:graphicFrame macro="">
      <xdr:nvGraphicFramePr>
        <xdr:cNvPr id="8" name="Chart 7">
          <a:extLst>
            <a:ext uri="{FF2B5EF4-FFF2-40B4-BE49-F238E27FC236}">
              <a16:creationId xmlns:a16="http://schemas.microsoft.com/office/drawing/2014/main" id="{758B3586-C034-41C5-96D8-19F02ACF67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7</xdr:row>
      <xdr:rowOff>0</xdr:rowOff>
    </xdr:from>
    <xdr:to>
      <xdr:col>16</xdr:col>
      <xdr:colOff>1395931</xdr:colOff>
      <xdr:row>28</xdr:row>
      <xdr:rowOff>101600</xdr:rowOff>
    </xdr:to>
    <xdr:graphicFrame macro="">
      <xdr:nvGraphicFramePr>
        <xdr:cNvPr id="16" name="Chart 15">
          <a:extLst>
            <a:ext uri="{FF2B5EF4-FFF2-40B4-BE49-F238E27FC236}">
              <a16:creationId xmlns:a16="http://schemas.microsoft.com/office/drawing/2014/main" id="{676F943A-C49F-4E29-85F4-0F36C45A86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0</xdr:colOff>
      <xdr:row>28</xdr:row>
      <xdr:rowOff>44450</xdr:rowOff>
    </xdr:from>
    <xdr:to>
      <xdr:col>16</xdr:col>
      <xdr:colOff>1435841</xdr:colOff>
      <xdr:row>48</xdr:row>
      <xdr:rowOff>136071</xdr:rowOff>
    </xdr:to>
    <xdr:graphicFrame macro="">
      <xdr:nvGraphicFramePr>
        <xdr:cNvPr id="17" name="Chart 16">
          <a:extLst>
            <a:ext uri="{FF2B5EF4-FFF2-40B4-BE49-F238E27FC236}">
              <a16:creationId xmlns:a16="http://schemas.microsoft.com/office/drawing/2014/main" id="{030FF0A8-B0AB-4EB9-B52A-68CA62C801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0</xdr:colOff>
      <xdr:row>22</xdr:row>
      <xdr:rowOff>0</xdr:rowOff>
    </xdr:from>
    <xdr:to>
      <xdr:col>52</xdr:col>
      <xdr:colOff>35486</xdr:colOff>
      <xdr:row>43</xdr:row>
      <xdr:rowOff>138545</xdr:rowOff>
    </xdr:to>
    <xdr:graphicFrame macro="">
      <xdr:nvGraphicFramePr>
        <xdr:cNvPr id="21" name="Chart 20">
          <a:extLst>
            <a:ext uri="{FF2B5EF4-FFF2-40B4-BE49-F238E27FC236}">
              <a16:creationId xmlns:a16="http://schemas.microsoft.com/office/drawing/2014/main" id="{6ADA8923-D208-45D9-B61F-1C7CFE2770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1124855</xdr:colOff>
      <xdr:row>7</xdr:row>
      <xdr:rowOff>181425</xdr:rowOff>
    </xdr:from>
    <xdr:to>
      <xdr:col>30</xdr:col>
      <xdr:colOff>834572</xdr:colOff>
      <xdr:row>47</xdr:row>
      <xdr:rowOff>45357</xdr:rowOff>
    </xdr:to>
    <xdr:graphicFrame macro="">
      <xdr:nvGraphicFramePr>
        <xdr:cNvPr id="26" name="Chart 25">
          <a:extLst>
            <a:ext uri="{FF2B5EF4-FFF2-40B4-BE49-F238E27FC236}">
              <a16:creationId xmlns:a16="http://schemas.microsoft.com/office/drawing/2014/main" id="{7B4758BF-87C8-40F0-86DF-91886551A9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33</xdr:col>
      <xdr:colOff>45357</xdr:colOff>
      <xdr:row>7</xdr:row>
      <xdr:rowOff>45357</xdr:rowOff>
    </xdr:from>
    <xdr:to>
      <xdr:col>44</xdr:col>
      <xdr:colOff>934357</xdr:colOff>
      <xdr:row>45</xdr:row>
      <xdr:rowOff>6350</xdr:rowOff>
    </xdr:to>
    <xdr:graphicFrame macro="">
      <xdr:nvGraphicFramePr>
        <xdr:cNvPr id="4" name="Chart 3">
          <a:extLst>
            <a:ext uri="{FF2B5EF4-FFF2-40B4-BE49-F238E27FC236}">
              <a16:creationId xmlns:a16="http://schemas.microsoft.com/office/drawing/2014/main" id="{6B811A29-D2C7-1B43-99D5-41B8EF5392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33</xdr:col>
      <xdr:colOff>0</xdr:colOff>
      <xdr:row>47</xdr:row>
      <xdr:rowOff>0</xdr:rowOff>
    </xdr:from>
    <xdr:to>
      <xdr:col>44</xdr:col>
      <xdr:colOff>889000</xdr:colOff>
      <xdr:row>80</xdr:row>
      <xdr:rowOff>15421</xdr:rowOff>
    </xdr:to>
    <xdr:graphicFrame macro="">
      <xdr:nvGraphicFramePr>
        <xdr:cNvPr id="6" name="Chart 5">
          <a:extLst>
            <a:ext uri="{FF2B5EF4-FFF2-40B4-BE49-F238E27FC236}">
              <a16:creationId xmlns:a16="http://schemas.microsoft.com/office/drawing/2014/main" id="{C8C0828F-8EAD-45AC-8E0A-FE649489F1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723462</xdr:colOff>
          <xdr:row>2</xdr:row>
          <xdr:rowOff>60739</xdr:rowOff>
        </xdr:from>
        <xdr:to>
          <xdr:col>31</xdr:col>
          <xdr:colOff>372307</xdr:colOff>
          <xdr:row>5</xdr:row>
          <xdr:rowOff>107272</xdr:rowOff>
        </xdr:to>
        <xdr:pic>
          <xdr:nvPicPr>
            <xdr:cNvPr id="3" name="Picture 2" descr="Camera view from the TCO Calculation page.">
              <a:extLst>
                <a:ext uri="{FF2B5EF4-FFF2-40B4-BE49-F238E27FC236}">
                  <a16:creationId xmlns:a16="http://schemas.microsoft.com/office/drawing/2014/main" id="{9A334B90-5032-4A71-93AE-178254A6E250}"/>
                </a:ext>
              </a:extLst>
            </xdr:cNvPr>
            <xdr:cNvPicPr>
              <a:picLocks noChangeAspect="1" noChangeArrowheads="1"/>
              <a:extLst>
                <a:ext uri="{84589F7E-364E-4C9E-8A38-B11213B215E9}">
                  <a14:cameraTool cellRange="'TCO Calculation'!B7:P8" spid="_x0000_s42288"/>
                </a:ext>
              </a:extLst>
            </xdr:cNvPicPr>
          </xdr:nvPicPr>
          <xdr:blipFill>
            <a:blip xmlns:r="http://schemas.openxmlformats.org/officeDocument/2006/relationships" r:embed="rId9"/>
            <a:srcRect/>
            <a:stretch>
              <a:fillRect/>
            </a:stretch>
          </xdr:blipFill>
          <xdr:spPr bwMode="auto">
            <a:xfrm>
              <a:off x="7437897" y="773043"/>
              <a:ext cx="27364800" cy="110436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0</xdr:colOff>
      <xdr:row>14</xdr:row>
      <xdr:rowOff>171450</xdr:rowOff>
    </xdr:from>
    <xdr:to>
      <xdr:col>8</xdr:col>
      <xdr:colOff>406519</xdr:colOff>
      <xdr:row>49</xdr:row>
      <xdr:rowOff>0</xdr:rowOff>
    </xdr:to>
    <xdr:graphicFrame macro="">
      <xdr:nvGraphicFramePr>
        <xdr:cNvPr id="2" name="Chart 1">
          <a:extLst>
            <a:ext uri="{FF2B5EF4-FFF2-40B4-BE49-F238E27FC236}">
              <a16:creationId xmlns:a16="http://schemas.microsoft.com/office/drawing/2014/main" id="{E03B4963-885B-4D46-B9D4-2B32AED82E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571501</xdr:colOff>
      <xdr:row>14</xdr:row>
      <xdr:rowOff>171451</xdr:rowOff>
    </xdr:from>
    <xdr:to>
      <xdr:col>12</xdr:col>
      <xdr:colOff>31750</xdr:colOff>
      <xdr:row>29</xdr:row>
      <xdr:rowOff>171451</xdr:rowOff>
    </xdr:to>
    <xdr:graphicFrame macro="">
      <xdr:nvGraphicFramePr>
        <xdr:cNvPr id="3" name="Chart 2">
          <a:extLst>
            <a:ext uri="{FF2B5EF4-FFF2-40B4-BE49-F238E27FC236}">
              <a16:creationId xmlns:a16="http://schemas.microsoft.com/office/drawing/2014/main" id="{8077ABFA-092F-4166-A921-91C4807A7D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584200</xdr:colOff>
      <xdr:row>30</xdr:row>
      <xdr:rowOff>158750</xdr:rowOff>
    </xdr:from>
    <xdr:to>
      <xdr:col>12</xdr:col>
      <xdr:colOff>38100</xdr:colOff>
      <xdr:row>49</xdr:row>
      <xdr:rowOff>0</xdr:rowOff>
    </xdr:to>
    <xdr:graphicFrame macro="">
      <xdr:nvGraphicFramePr>
        <xdr:cNvPr id="5" name="Chart 4">
          <a:extLst>
            <a:ext uri="{FF2B5EF4-FFF2-40B4-BE49-F238E27FC236}">
              <a16:creationId xmlns:a16="http://schemas.microsoft.com/office/drawing/2014/main" id="{976AEF27-DD8B-4484-9C89-473AC9BBB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206589</xdr:colOff>
      <xdr:row>14</xdr:row>
      <xdr:rowOff>164353</xdr:rowOff>
    </xdr:from>
    <xdr:to>
      <xdr:col>19</xdr:col>
      <xdr:colOff>308159</xdr:colOff>
      <xdr:row>29</xdr:row>
      <xdr:rowOff>164353</xdr:rowOff>
    </xdr:to>
    <xdr:graphicFrame macro="">
      <xdr:nvGraphicFramePr>
        <xdr:cNvPr id="10" name="Chart 9">
          <a:extLst>
            <a:ext uri="{FF2B5EF4-FFF2-40B4-BE49-F238E27FC236}">
              <a16:creationId xmlns:a16="http://schemas.microsoft.com/office/drawing/2014/main" id="{F9D121F9-3E2F-4538-A53A-7D1D0587DB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209176</xdr:colOff>
      <xdr:row>30</xdr:row>
      <xdr:rowOff>164352</xdr:rowOff>
    </xdr:from>
    <xdr:to>
      <xdr:col>19</xdr:col>
      <xdr:colOff>299876</xdr:colOff>
      <xdr:row>49</xdr:row>
      <xdr:rowOff>10718</xdr:rowOff>
    </xdr:to>
    <xdr:graphicFrame macro="">
      <xdr:nvGraphicFramePr>
        <xdr:cNvPr id="11" name="Chart 10">
          <a:extLst>
            <a:ext uri="{FF2B5EF4-FFF2-40B4-BE49-F238E27FC236}">
              <a16:creationId xmlns:a16="http://schemas.microsoft.com/office/drawing/2014/main" id="{5E8E2306-B089-4D29-9E66-3E01A0C139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381000</xdr:colOff>
      <xdr:row>2</xdr:row>
      <xdr:rowOff>597646</xdr:rowOff>
    </xdr:from>
    <xdr:to>
      <xdr:col>15</xdr:col>
      <xdr:colOff>349249</xdr:colOff>
      <xdr:row>14</xdr:row>
      <xdr:rowOff>22411</xdr:rowOff>
    </xdr:to>
    <xdr:graphicFrame macro="">
      <xdr:nvGraphicFramePr>
        <xdr:cNvPr id="14" name="Chart 13">
          <a:extLst>
            <a:ext uri="{FF2B5EF4-FFF2-40B4-BE49-F238E27FC236}">
              <a16:creationId xmlns:a16="http://schemas.microsoft.com/office/drawing/2014/main" id="{02A45089-F951-49D1-ADC9-D9C720009F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18</xdr:col>
          <xdr:colOff>425450</xdr:colOff>
          <xdr:row>1</xdr:row>
          <xdr:rowOff>685800</xdr:rowOff>
        </xdr:to>
        <xdr:pic>
          <xdr:nvPicPr>
            <xdr:cNvPr id="7" name="Picture 6" descr="Camera view from the TCO Calculation page.">
              <a:extLst>
                <a:ext uri="{FF2B5EF4-FFF2-40B4-BE49-F238E27FC236}">
                  <a16:creationId xmlns:a16="http://schemas.microsoft.com/office/drawing/2014/main" id="{7CF80964-5BDB-40B2-96ED-04902D57E3CB}"/>
                </a:ext>
              </a:extLst>
            </xdr:cNvPr>
            <xdr:cNvPicPr>
              <a:picLocks noChangeAspect="1" noChangeArrowheads="1"/>
              <a:extLst>
                <a:ext uri="{84589F7E-364E-4C9E-8A38-B11213B215E9}">
                  <a14:cameraTool cellRange="'TCO Calculation'!B7:P8" spid="_x0000_s62872"/>
                </a:ext>
              </a:extLst>
            </xdr:cNvPicPr>
          </xdr:nvPicPr>
          <xdr:blipFill>
            <a:blip xmlns:r="http://schemas.openxmlformats.org/officeDocument/2006/relationships" r:embed="rId7"/>
            <a:srcRect/>
            <a:stretch>
              <a:fillRect/>
            </a:stretch>
          </xdr:blipFill>
          <xdr:spPr bwMode="auto">
            <a:xfrm>
              <a:off x="641350" y="0"/>
              <a:ext cx="20466050" cy="86995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xdr:col>
      <xdr:colOff>0</xdr:colOff>
      <xdr:row>53</xdr:row>
      <xdr:rowOff>99786</xdr:rowOff>
    </xdr:from>
    <xdr:to>
      <xdr:col>4</xdr:col>
      <xdr:colOff>326571</xdr:colOff>
      <xdr:row>97</xdr:row>
      <xdr:rowOff>90714</xdr:rowOff>
    </xdr:to>
    <xdr:graphicFrame macro="">
      <xdr:nvGraphicFramePr>
        <xdr:cNvPr id="4" name="Chart 3">
          <a:extLst>
            <a:ext uri="{FF2B5EF4-FFF2-40B4-BE49-F238E27FC236}">
              <a16:creationId xmlns:a16="http://schemas.microsoft.com/office/drawing/2014/main" id="{6EE74157-F959-4E5F-8E26-29E19F6D41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14</xdr:row>
      <xdr:rowOff>171450</xdr:rowOff>
    </xdr:from>
    <xdr:to>
      <xdr:col>8</xdr:col>
      <xdr:colOff>406519</xdr:colOff>
      <xdr:row>49</xdr:row>
      <xdr:rowOff>0</xdr:rowOff>
    </xdr:to>
    <xdr:graphicFrame macro="">
      <xdr:nvGraphicFramePr>
        <xdr:cNvPr id="6" name="Chart 5">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571501</xdr:colOff>
      <xdr:row>14</xdr:row>
      <xdr:rowOff>171451</xdr:rowOff>
    </xdr:from>
    <xdr:to>
      <xdr:col>12</xdr:col>
      <xdr:colOff>31750</xdr:colOff>
      <xdr:row>29</xdr:row>
      <xdr:rowOff>171451</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584200</xdr:colOff>
      <xdr:row>30</xdr:row>
      <xdr:rowOff>158750</xdr:rowOff>
    </xdr:from>
    <xdr:to>
      <xdr:col>12</xdr:col>
      <xdr:colOff>38100</xdr:colOff>
      <xdr:row>49</xdr:row>
      <xdr:rowOff>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19</xdr:col>
          <xdr:colOff>120650</xdr:colOff>
          <xdr:row>1</xdr:row>
          <xdr:rowOff>741252</xdr:rowOff>
        </xdr:to>
        <xdr:pic>
          <xdr:nvPicPr>
            <xdr:cNvPr id="3" name="Picture 2" descr="Camera view from the TCO Calculation page.">
              <a:extLst>
                <a:ext uri="{FF2B5EF4-FFF2-40B4-BE49-F238E27FC236}">
                  <a16:creationId xmlns:a16="http://schemas.microsoft.com/office/drawing/2014/main" id="{38E91C49-4FA3-4249-90AF-2137DFE1E129}"/>
                </a:ext>
              </a:extLst>
            </xdr:cNvPr>
            <xdr:cNvPicPr>
              <a:picLocks noChangeAspect="1" noChangeArrowheads="1"/>
              <a:extLst>
                <a:ext uri="{84589F7E-364E-4C9E-8A38-B11213B215E9}">
                  <a14:cameraTool cellRange="'TCO Calculation'!B7:P8" spid="_x0000_s83015"/>
                </a:ext>
              </a:extLst>
            </xdr:cNvPicPr>
          </xdr:nvPicPr>
          <xdr:blipFill>
            <a:blip xmlns:r="http://schemas.openxmlformats.org/officeDocument/2006/relationships" r:embed="rId4"/>
            <a:srcRect/>
            <a:stretch>
              <a:fillRect/>
            </a:stretch>
          </xdr:blipFill>
          <xdr:spPr bwMode="auto">
            <a:xfrm>
              <a:off x="0" y="0"/>
              <a:ext cx="21443950" cy="92540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4</xdr:col>
      <xdr:colOff>2</xdr:colOff>
      <xdr:row>59</xdr:row>
      <xdr:rowOff>0</xdr:rowOff>
    </xdr:from>
    <xdr:to>
      <xdr:col>5</xdr:col>
      <xdr:colOff>1099040</xdr:colOff>
      <xdr:row>96</xdr:row>
      <xdr:rowOff>38589</xdr:rowOff>
    </xdr:to>
    <xdr:graphicFrame macro="">
      <xdr:nvGraphicFramePr>
        <xdr:cNvPr id="2" name="Chart 1">
          <a:extLst>
            <a:ext uri="{FF2B5EF4-FFF2-40B4-BE49-F238E27FC236}">
              <a16:creationId xmlns:a16="http://schemas.microsoft.com/office/drawing/2014/main" id="{33FFA1DC-5414-475F-AE67-5302D622A1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127000</xdr:colOff>
      <xdr:row>60</xdr:row>
      <xdr:rowOff>127001</xdr:rowOff>
    </xdr:from>
    <xdr:to>
      <xdr:col>13</xdr:col>
      <xdr:colOff>226786</xdr:colOff>
      <xdr:row>105</xdr:row>
      <xdr:rowOff>172357</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13</xdr:col>
          <xdr:colOff>107950</xdr:colOff>
          <xdr:row>13</xdr:row>
          <xdr:rowOff>222250</xdr:rowOff>
        </xdr:from>
        <xdr:to>
          <xdr:col>13</xdr:col>
          <xdr:colOff>2305050</xdr:colOff>
          <xdr:row>15</xdr:row>
          <xdr:rowOff>165100</xdr:rowOff>
        </xdr:to>
        <xdr:sp macro="" textlink="">
          <xdr:nvSpPr>
            <xdr:cNvPr id="25613" name="Button 13" hidden="1">
              <a:extLst>
                <a:ext uri="{63B3BB69-23CF-44E3-9099-C40C66FF867C}">
                  <a14:compatExt spid="_x0000_s25613"/>
                </a:ext>
                <a:ext uri="{FF2B5EF4-FFF2-40B4-BE49-F238E27FC236}">
                  <a16:creationId xmlns:a16="http://schemas.microsoft.com/office/drawing/2014/main" id="{00000000-0008-0000-0700-00000D6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Fill Sensitivity</a:t>
              </a:r>
            </a:p>
            <a:p>
              <a:pPr algn="ctr" rtl="0">
                <a:defRPr sz="1000"/>
              </a:pPr>
              <a:r>
                <a:rPr lang="en-US" sz="1400" b="1" i="0" u="none" strike="noStrike" baseline="0">
                  <a:solidFill>
                    <a:srgbClr val="000000"/>
                  </a:solidFill>
                  <a:latin typeface="Calibri"/>
                  <a:ea typeface="Calibri"/>
                  <a:cs typeface="Calibri"/>
                </a:rPr>
                <a:t>Row 17-43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127000</xdr:colOff>
          <xdr:row>16</xdr:row>
          <xdr:rowOff>95250</xdr:rowOff>
        </xdr:from>
        <xdr:to>
          <xdr:col>13</xdr:col>
          <xdr:colOff>2298700</xdr:colOff>
          <xdr:row>19</xdr:row>
          <xdr:rowOff>114300</xdr:rowOff>
        </xdr:to>
        <xdr:sp macro="" textlink="">
          <xdr:nvSpPr>
            <xdr:cNvPr id="25614" name="Button 14" hidden="1">
              <a:extLst>
                <a:ext uri="{63B3BB69-23CF-44E3-9099-C40C66FF867C}">
                  <a14:compatExt spid="_x0000_s25614"/>
                </a:ext>
                <a:ext uri="{FF2B5EF4-FFF2-40B4-BE49-F238E27FC236}">
                  <a16:creationId xmlns:a16="http://schemas.microsoft.com/office/drawing/2014/main" id="{00000000-0008-0000-0700-00000E6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Run Sensitivity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88900</xdr:colOff>
          <xdr:row>3</xdr:row>
          <xdr:rowOff>12700</xdr:rowOff>
        </xdr:from>
        <xdr:to>
          <xdr:col>13</xdr:col>
          <xdr:colOff>2286000</xdr:colOff>
          <xdr:row>4</xdr:row>
          <xdr:rowOff>114300</xdr:rowOff>
        </xdr:to>
        <xdr:sp macro="" textlink="">
          <xdr:nvSpPr>
            <xdr:cNvPr id="25615" name="Button 15" hidden="1">
              <a:extLst>
                <a:ext uri="{63B3BB69-23CF-44E3-9099-C40C66FF867C}">
                  <a14:compatExt spid="_x0000_s25615"/>
                </a:ext>
                <a:ext uri="{FF2B5EF4-FFF2-40B4-BE49-F238E27FC236}">
                  <a16:creationId xmlns:a16="http://schemas.microsoft.com/office/drawing/2014/main" id="{00000000-0008-0000-0700-00000F6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Reference Scenario</a:t>
              </a:r>
            </a:p>
          </xdr:txBody>
        </xdr:sp>
        <xdr:clientData fPrintsWithSheet="0"/>
      </xdr:twoCellAnchor>
    </mc:Choice>
    <mc:Fallback/>
  </mc:AlternateContent>
  <xdr:twoCellAnchor>
    <xdr:from>
      <xdr:col>1</xdr:col>
      <xdr:colOff>1615782</xdr:colOff>
      <xdr:row>106</xdr:row>
      <xdr:rowOff>90715</xdr:rowOff>
    </xdr:from>
    <xdr:to>
      <xdr:col>12</xdr:col>
      <xdr:colOff>907143</xdr:colOff>
      <xdr:row>144</xdr:row>
      <xdr:rowOff>44451</xdr:rowOff>
    </xdr:to>
    <xdr:graphicFrame macro="">
      <xdr:nvGraphicFramePr>
        <xdr:cNvPr id="11" name="Chart 10">
          <a:extLst>
            <a:ext uri="{FF2B5EF4-FFF2-40B4-BE49-F238E27FC236}">
              <a16:creationId xmlns:a16="http://schemas.microsoft.com/office/drawing/2014/main" id="{3B342231-DA50-4C5C-9AE2-C42040934E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0</xdr:colOff>
      <xdr:row>51</xdr:row>
      <xdr:rowOff>0</xdr:rowOff>
    </xdr:from>
    <xdr:to>
      <xdr:col>19</xdr:col>
      <xdr:colOff>217278</xdr:colOff>
      <xdr:row>64</xdr:row>
      <xdr:rowOff>101921</xdr:rowOff>
    </xdr:to>
    <xdr:graphicFrame macro="">
      <xdr:nvGraphicFramePr>
        <xdr:cNvPr id="2" name="Chart 1">
          <a:extLst>
            <a:ext uri="{FF2B5EF4-FFF2-40B4-BE49-F238E27FC236}">
              <a16:creationId xmlns:a16="http://schemas.microsoft.com/office/drawing/2014/main" id="{CE8C0085-4CC4-4EA5-928F-B766103247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51</xdr:row>
      <xdr:rowOff>0</xdr:rowOff>
    </xdr:from>
    <xdr:to>
      <xdr:col>24</xdr:col>
      <xdr:colOff>493690</xdr:colOff>
      <xdr:row>64</xdr:row>
      <xdr:rowOff>101921</xdr:rowOff>
    </xdr:to>
    <xdr:graphicFrame macro="">
      <xdr:nvGraphicFramePr>
        <xdr:cNvPr id="3" name="Chart 2">
          <a:extLst>
            <a:ext uri="{FF2B5EF4-FFF2-40B4-BE49-F238E27FC236}">
              <a16:creationId xmlns:a16="http://schemas.microsoft.com/office/drawing/2014/main" id="{C38BF00D-B30F-424D-8ED3-1AF4B30FD4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0</xdr:colOff>
      <xdr:row>51</xdr:row>
      <xdr:rowOff>0</xdr:rowOff>
    </xdr:from>
    <xdr:to>
      <xdr:col>30</xdr:col>
      <xdr:colOff>277042</xdr:colOff>
      <xdr:row>64</xdr:row>
      <xdr:rowOff>101921</xdr:rowOff>
    </xdr:to>
    <xdr:graphicFrame macro="">
      <xdr:nvGraphicFramePr>
        <xdr:cNvPr id="4" name="Chart 3">
          <a:extLst>
            <a:ext uri="{FF2B5EF4-FFF2-40B4-BE49-F238E27FC236}">
              <a16:creationId xmlns:a16="http://schemas.microsoft.com/office/drawing/2014/main" id="{6657D0E8-B5CB-4660-A88C-4DEADEE295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66</xdr:row>
      <xdr:rowOff>0</xdr:rowOff>
    </xdr:from>
    <xdr:to>
      <xdr:col>19</xdr:col>
      <xdr:colOff>217278</xdr:colOff>
      <xdr:row>81</xdr:row>
      <xdr:rowOff>34685</xdr:rowOff>
    </xdr:to>
    <xdr:graphicFrame macro="">
      <xdr:nvGraphicFramePr>
        <xdr:cNvPr id="5" name="Chart 4">
          <a:extLst>
            <a:ext uri="{FF2B5EF4-FFF2-40B4-BE49-F238E27FC236}">
              <a16:creationId xmlns:a16="http://schemas.microsoft.com/office/drawing/2014/main" id="{FE79F3FC-96E3-4954-BDCB-ACD45F3DEC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67</xdr:row>
      <xdr:rowOff>0</xdr:rowOff>
    </xdr:from>
    <xdr:to>
      <xdr:col>24</xdr:col>
      <xdr:colOff>493690</xdr:colOff>
      <xdr:row>82</xdr:row>
      <xdr:rowOff>34686</xdr:rowOff>
    </xdr:to>
    <xdr:graphicFrame macro="">
      <xdr:nvGraphicFramePr>
        <xdr:cNvPr id="6" name="Chart 5">
          <a:extLst>
            <a:ext uri="{FF2B5EF4-FFF2-40B4-BE49-F238E27FC236}">
              <a16:creationId xmlns:a16="http://schemas.microsoft.com/office/drawing/2014/main" id="{32A4EAA0-8EF2-49F4-BC73-4454F02321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0</xdr:colOff>
      <xdr:row>67</xdr:row>
      <xdr:rowOff>0</xdr:rowOff>
    </xdr:from>
    <xdr:to>
      <xdr:col>30</xdr:col>
      <xdr:colOff>275975</xdr:colOff>
      <xdr:row>82</xdr:row>
      <xdr:rowOff>34686</xdr:rowOff>
    </xdr:to>
    <xdr:graphicFrame macro="">
      <xdr:nvGraphicFramePr>
        <xdr:cNvPr id="11" name="Chart 10">
          <a:extLst>
            <a:ext uri="{FF2B5EF4-FFF2-40B4-BE49-F238E27FC236}">
              <a16:creationId xmlns:a16="http://schemas.microsoft.com/office/drawing/2014/main" id="{3C4E591A-212E-4421-B5FB-AE7483FCC3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27</xdr:col>
      <xdr:colOff>415926</xdr:colOff>
      <xdr:row>0</xdr:row>
      <xdr:rowOff>0</xdr:rowOff>
    </xdr:from>
    <xdr:to>
      <xdr:col>30</xdr:col>
      <xdr:colOff>85726</xdr:colOff>
      <xdr:row>0</xdr:row>
      <xdr:rowOff>285750</xdr:rowOff>
    </xdr:to>
    <xdr:sp macro="[0]!RunFutureProjection" textlink="">
      <xdr:nvSpPr>
        <xdr:cNvPr id="2" name="Rectangle 1">
          <a:extLst>
            <a:ext uri="{FF2B5EF4-FFF2-40B4-BE49-F238E27FC236}">
              <a16:creationId xmlns:a16="http://schemas.microsoft.com/office/drawing/2014/main" id="{A1E032E1-B143-439A-9F88-678936828D32}"/>
            </a:ext>
          </a:extLst>
        </xdr:cNvPr>
        <xdr:cNvSpPr/>
      </xdr:nvSpPr>
      <xdr:spPr>
        <a:xfrm>
          <a:off x="13979526" y="0"/>
          <a:ext cx="1498600" cy="2857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Run future projection</a:t>
          </a:r>
        </a:p>
      </xdr:txBody>
    </xdr:sp>
    <xdr:clientData/>
  </xdr:twoCellAnchor>
  <xdr:twoCellAnchor>
    <xdr:from>
      <xdr:col>25</xdr:col>
      <xdr:colOff>574674</xdr:colOff>
      <xdr:row>0</xdr:row>
      <xdr:rowOff>622300</xdr:rowOff>
    </xdr:from>
    <xdr:to>
      <xdr:col>37</xdr:col>
      <xdr:colOff>574674</xdr:colOff>
      <xdr:row>30</xdr:row>
      <xdr:rowOff>82550</xdr:rowOff>
    </xdr:to>
    <xdr:graphicFrame macro="">
      <xdr:nvGraphicFramePr>
        <xdr:cNvPr id="11" name="Chart 10">
          <a:extLst>
            <a:ext uri="{FF2B5EF4-FFF2-40B4-BE49-F238E27FC236}">
              <a16:creationId xmlns:a16="http://schemas.microsoft.com/office/drawing/2014/main" id="{A3F4D1BB-7309-5F07-2752-1BA961CCDC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27</xdr:row>
      <xdr:rowOff>165100</xdr:rowOff>
    </xdr:from>
    <xdr:to>
      <xdr:col>8</xdr:col>
      <xdr:colOff>457200</xdr:colOff>
      <xdr:row>57</xdr:row>
      <xdr:rowOff>101600</xdr:rowOff>
    </xdr:to>
    <xdr:graphicFrame macro="">
      <xdr:nvGraphicFramePr>
        <xdr:cNvPr id="13" name="Chart 12">
          <a:extLst>
            <a:ext uri="{FF2B5EF4-FFF2-40B4-BE49-F238E27FC236}">
              <a16:creationId xmlns:a16="http://schemas.microsoft.com/office/drawing/2014/main" id="{1D32D1AE-0374-597C-E571-2E95C83930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1099832</xdr:colOff>
      <xdr:row>13</xdr:row>
      <xdr:rowOff>183931</xdr:rowOff>
    </xdr:from>
    <xdr:to>
      <xdr:col>5</xdr:col>
      <xdr:colOff>741643</xdr:colOff>
      <xdr:row>26</xdr:row>
      <xdr:rowOff>20244</xdr:rowOff>
    </xdr:to>
    <xdr:pic>
      <xdr:nvPicPr>
        <xdr:cNvPr id="5" name="Picture 4">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99832" y="2207172"/>
          <a:ext cx="5878286" cy="4005754"/>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117231</xdr:colOff>
      <xdr:row>0</xdr:row>
      <xdr:rowOff>0</xdr:rowOff>
    </xdr:from>
    <xdr:to>
      <xdr:col>11</xdr:col>
      <xdr:colOff>610576</xdr:colOff>
      <xdr:row>15</xdr:row>
      <xdr:rowOff>33987</xdr:rowOff>
    </xdr:to>
    <xdr:graphicFrame macro="">
      <xdr:nvGraphicFramePr>
        <xdr:cNvPr id="3" name="Chart 2">
          <a:extLst>
            <a:ext uri="{FF2B5EF4-FFF2-40B4-BE49-F238E27FC236}">
              <a16:creationId xmlns:a16="http://schemas.microsoft.com/office/drawing/2014/main" id="{56E4548C-1218-4F5B-B620-40638486C8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REET2_202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REET1_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Vehi_Inputs"/>
      <sheetName val="Mat_Inputs"/>
      <sheetName val="Car"/>
      <sheetName val="SUV"/>
      <sheetName val="PUT"/>
      <sheetName val="Steel"/>
      <sheetName val="C.Iron"/>
      <sheetName val="W.Al"/>
      <sheetName val="C.Al"/>
      <sheetName val="Lead"/>
      <sheetName val="Nickel"/>
      <sheetName val="Cobalt"/>
      <sheetName val="Copper"/>
      <sheetName val="Zinc"/>
      <sheetName val="Magnesium"/>
      <sheetName val="Glass"/>
      <sheetName val="Vehi_Plastics"/>
      <sheetName val="Rubber"/>
      <sheetName val="Platinum"/>
      <sheetName val="Vanadium"/>
      <sheetName val="Zirconium"/>
      <sheetName val="Titanium"/>
      <sheetName val="Chromium"/>
      <sheetName val="Molybdenum"/>
      <sheetName val="Rare_Earth"/>
      <sheetName val="Manganese"/>
      <sheetName val="FC Materials"/>
      <sheetName val="Cement_Concrete"/>
      <sheetName val="Silicon"/>
      <sheetName val="Mat_Sum"/>
      <sheetName val="Vehi_Fluids"/>
      <sheetName val="Battery_Assembly"/>
      <sheetName val="Vehi_ADR"/>
      <sheetName val="Battery_Sum"/>
      <sheetName val="Battery_Materials"/>
      <sheetName val="Anode"/>
      <sheetName val="LiMn2O4"/>
      <sheetName val="Li_Chemicals"/>
      <sheetName val="Other_Cathodes"/>
      <sheetName val="Battery Recycling"/>
      <sheetName val="Vehi_Comp_Sum"/>
      <sheetName val="Vehi_Sum"/>
      <sheetName val="TEC_Results"/>
      <sheetName val="Electrolyzers"/>
      <sheetName val="Wind_Turbine"/>
      <sheetName val="Solar_PV"/>
      <sheetName val="Hydropower"/>
      <sheetName val="Nuclear_Power"/>
      <sheetName val="GREET1_Import_Export"/>
      <sheetName val="GREET2_Factors_T&amp;D"/>
      <sheetName val="GREET_Building_Import_Export"/>
      <sheetName val="MHDV_Inputs"/>
      <sheetName val="MHDV_Mat_Parameters"/>
      <sheetName val="Class 6 PnD Trucks"/>
      <sheetName val="Class 8 Day-cab Trucks"/>
      <sheetName val="Class 8 Sleeper-cab Trucks"/>
      <sheetName val="MHDV_Fluids"/>
      <sheetName val="MHDV_Trailer_Fluids"/>
      <sheetName val="MHDV_ADR"/>
      <sheetName val="MHDV_Trailer_ADR"/>
      <sheetName val="MHDV_Battery_Sum"/>
      <sheetName val="MHDV_Comp_Sum"/>
      <sheetName val="MHDV_Trailer_Comp_Sum"/>
      <sheetName val="MHDV_Sum"/>
      <sheetName val="MHDV_TEC_Resul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row r="88">
          <cell r="C88">
            <v>1229.0905077944051</v>
          </cell>
        </row>
        <row r="112">
          <cell r="I112">
            <v>179.73225044420704</v>
          </cell>
          <cell r="J112">
            <v>174.19718912990427</v>
          </cell>
          <cell r="K112">
            <v>173.37159130110956</v>
          </cell>
          <cell r="L112">
            <v>168.36563870386371</v>
          </cell>
        </row>
      </sheetData>
      <sheetData sheetId="53"/>
      <sheetData sheetId="54"/>
      <sheetData sheetId="55">
        <row r="79">
          <cell r="C79">
            <v>3</v>
          </cell>
        </row>
        <row r="81">
          <cell r="C81">
            <v>3</v>
          </cell>
        </row>
        <row r="82">
          <cell r="C82">
            <v>3</v>
          </cell>
        </row>
        <row r="86">
          <cell r="C86" t="str">
            <v>NMC811</v>
          </cell>
          <cell r="D86" t="str">
            <v>NMC622</v>
          </cell>
          <cell r="E86" t="str">
            <v>NMC532</v>
          </cell>
          <cell r="F86" t="str">
            <v>NMC111</v>
          </cell>
        </row>
        <row r="88">
          <cell r="C88">
            <v>1912.5918063979989</v>
          </cell>
          <cell r="D88">
            <v>1872.7324428478357</v>
          </cell>
          <cell r="E88">
            <v>1876.3821142466877</v>
          </cell>
          <cell r="F88">
            <v>1851.7548865327026</v>
          </cell>
        </row>
      </sheetData>
      <sheetData sheetId="56">
        <row r="9">
          <cell r="C9">
            <v>276</v>
          </cell>
          <cell r="E9">
            <v>69</v>
          </cell>
        </row>
        <row r="25">
          <cell r="B25">
            <v>426</v>
          </cell>
        </row>
        <row r="28">
          <cell r="B28">
            <v>1525.0203373464922</v>
          </cell>
        </row>
        <row r="94">
          <cell r="H94">
            <v>142.98898635562713</v>
          </cell>
        </row>
        <row r="95">
          <cell r="C95">
            <v>122.03509125245181</v>
          </cell>
          <cell r="D95">
            <v>118.26689694245054</v>
          </cell>
          <cell r="E95">
            <v>117.70932713042576</v>
          </cell>
          <cell r="F95">
            <v>115.26483426606126</v>
          </cell>
          <cell r="G95">
            <v>124.60726542068188</v>
          </cell>
          <cell r="H95">
            <v>95.533424456079018</v>
          </cell>
        </row>
      </sheetData>
      <sheetData sheetId="57"/>
      <sheetData sheetId="58"/>
      <sheetData sheetId="59"/>
      <sheetData sheetId="60"/>
      <sheetData sheetId="61">
        <row r="152">
          <cell r="D152">
            <v>177161721.74158111</v>
          </cell>
        </row>
      </sheetData>
      <sheetData sheetId="62"/>
      <sheetData sheetId="63"/>
      <sheetData sheetId="64">
        <row r="17">
          <cell r="G17">
            <v>69979778.03725487</v>
          </cell>
        </row>
        <row r="48">
          <cell r="G48">
            <v>71640280.418942124</v>
          </cell>
        </row>
        <row r="79">
          <cell r="G79">
            <v>241072005.95027125</v>
          </cell>
        </row>
        <row r="110">
          <cell r="G110">
            <v>89621314.055722028</v>
          </cell>
        </row>
      </sheetData>
      <sheetData sheetId="6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Inputs"/>
      <sheetName val="Results"/>
      <sheetName val="Petroleum"/>
      <sheetName val="Co_processing"/>
      <sheetName val="NG"/>
      <sheetName val="MeOH_FTD"/>
      <sheetName val="EtOH"/>
      <sheetName val="Electric"/>
      <sheetName val="Bio_electricity"/>
      <sheetName val="Hydrogen"/>
      <sheetName val="BioOil"/>
      <sheetName val="Algae"/>
      <sheetName val="Macroalgae"/>
      <sheetName val="Waste"/>
      <sheetName val="RNG"/>
      <sheetName val="Pyrolysis_IDL"/>
      <sheetName val="IBR"/>
      <sheetName val="PUP_conversion"/>
      <sheetName val="CESA"/>
      <sheetName val="E_fuel"/>
      <sheetName val="Fuel_Prod_TS"/>
      <sheetName val="EF_TS"/>
      <sheetName val="AgMining_EF_TS"/>
      <sheetName val="EF"/>
      <sheetName val="WCF"/>
      <sheetName val="Fuel_Specs"/>
      <sheetName val="Car_TS"/>
      <sheetName val="LDT1_TS"/>
      <sheetName val="LDT2_TS"/>
      <sheetName val="Vehicles"/>
      <sheetName val="Urban_Shares"/>
      <sheetName val="Compression"/>
      <sheetName val="Coal"/>
      <sheetName val="T&amp;D_Flowcharts"/>
      <sheetName val="T&amp;D"/>
      <sheetName val="Uranium"/>
      <sheetName val="ASU"/>
      <sheetName val="Ag_Inputs"/>
      <sheetName val="Enzymes_Yeast"/>
      <sheetName val="Pretreatment"/>
      <sheetName val="Catalyst"/>
      <sheetName val="Steam_Cracking"/>
      <sheetName val="Chemicals"/>
      <sheetName val="Plastics"/>
      <sheetName val="Animal_Feed"/>
      <sheetName val="EtOH-Diesel Additives"/>
      <sheetName val="OilGasCoalInfra"/>
      <sheetName val="ElecInfra"/>
      <sheetName val="Woody"/>
      <sheetName val="HDV_TS"/>
      <sheetName val="HDV_WTW"/>
      <sheetName val="JetFuel_WTP"/>
      <sheetName val="JetFuel_PTWa"/>
      <sheetName val="JetFuel_WTWa"/>
      <sheetName val="Rail_PTW"/>
      <sheetName val="Rail_WTW"/>
      <sheetName val="Marine_WTH"/>
      <sheetName val="Dist_Spec"/>
      <sheetName val="Forecast_Specs"/>
      <sheetName val="Forecast_Deleted"/>
      <sheetName val="GREET1_2022"/>
    </sheetNames>
    <definedNames>
      <definedName name="Gasoline_LHV" refersTo="='Fuel_Specs'!$B$16"/>
      <definedName name="GH2_Heating_Value" refersTo="='Fuel_Specs'!$B$82"/>
    </definedNames>
    <sheetDataSet>
      <sheetData sheetId="0"/>
      <sheetData sheetId="1"/>
      <sheetData sheetId="2"/>
      <sheetData sheetId="3"/>
      <sheetData sheetId="4"/>
      <sheetData sheetId="5"/>
      <sheetData sheetId="6"/>
      <sheetData sheetId="7"/>
      <sheetData sheetId="8"/>
      <sheetData sheetId="9"/>
      <sheetData sheetId="10">
        <row r="303">
          <cell r="B303" t="str">
            <v>Central Plants: NG to Gaseous Hydrogen with CCS</v>
          </cell>
          <cell r="C303"/>
          <cell r="D303" t="str">
            <v>Central Plants: PEM electrolysis to Gaseous Hydrogen via Solar</v>
          </cell>
          <cell r="E303"/>
          <cell r="F303" t="str">
            <v>Central Plants: Nuclear Energy to Gaseous Hydrogen (Thermo-Chemical Cracking of Water)</v>
          </cell>
          <cell r="G303"/>
          <cell r="H303" t="str">
            <v>Central Plants: Electrolysis (HTGR) to Gaseous Hydrogen</v>
          </cell>
          <cell r="I303"/>
          <cell r="J303" t="str">
            <v>Central Plants: Coal to Gaseous Hydrogen with CCS</v>
          </cell>
          <cell r="K303"/>
          <cell r="L303" t="str">
            <v>Central Plants: Biomass to Gaseous Hydrogen</v>
          </cell>
          <cell r="M303"/>
          <cell r="N303" t="str">
            <v>Central Plants: High Temperature Eletrolysis with SOEC to Gaseous Hydrogen</v>
          </cell>
          <cell r="O303"/>
          <cell r="P303" t="str">
            <v>Central Plants: Integrated Fermentation to Gaseous Hydrogen</v>
          </cell>
          <cell r="Q303"/>
          <cell r="R303" t="str">
            <v>Central Plants: Coke Oven Gas to Gaseous Hydrogen</v>
          </cell>
          <cell r="S303"/>
          <cell r="T303" t="str">
            <v>Central Plants: Pet Coke  to Gaseous Hydrogen</v>
          </cell>
          <cell r="U303"/>
          <cell r="V303" t="str">
            <v>Central Plants: Byproduction of Gaseous H2 from Chlorine plants</v>
          </cell>
          <cell r="W303"/>
          <cell r="X303" t="str">
            <v>Central Plants: By-product Gaseous H2 from NGL Steam Cracker Plants</v>
          </cell>
          <cell r="Y303"/>
          <cell r="Z303" t="str">
            <v>Refueling Stations: NG or FG to Gaseous Hydrogen</v>
          </cell>
          <cell r="AA303"/>
          <cell r="AB303" t="str">
            <v>Refueling Stations: Electricity to Gaseous Hydrogen</v>
          </cell>
          <cell r="AC303"/>
          <cell r="AD303" t="str">
            <v>Refueling Stations: EtOH to Gaseous Hydrogen</v>
          </cell>
          <cell r="AE303"/>
          <cell r="AF303" t="str">
            <v>Biomass-derived Liquid Reforming to Gaseous Hydrogen</v>
          </cell>
          <cell r="AG303"/>
          <cell r="AH303" t="str">
            <v>Refueling Stations: MeOH to Gaseous Hydrogen</v>
          </cell>
          <cell r="AI303"/>
          <cell r="AJ303" t="str">
            <v>Gaseous Hydrogen: Combined</v>
          </cell>
          <cell r="AK303"/>
          <cell r="AL303" t="str">
            <v>Gaseous Hydrogen: Combined (for MHDVs)</v>
          </cell>
          <cell r="AM303"/>
          <cell r="AN303" t="str">
            <v xml:space="preserve">Central Plants: NG or FG to Liquid Hydrogen </v>
          </cell>
          <cell r="AO303"/>
          <cell r="AP303" t="str">
            <v>Central Plants: PEM Electrolysis to Liquid Hydrogen</v>
          </cell>
          <cell r="AQ303"/>
          <cell r="AR303" t="str">
            <v>Central Plants: Nuclear Energy to Liquid Hydrogen (Thermo-Chemical Cracking of Water)</v>
          </cell>
          <cell r="AS303"/>
          <cell r="AT303" t="str">
            <v>Central Plants: Electrolysis (HTGR) to Liquid Hydrogen</v>
          </cell>
          <cell r="AU303"/>
          <cell r="AV303" t="str">
            <v>Central Plants: Coal to Liquid Hydrogen</v>
          </cell>
          <cell r="AW303"/>
          <cell r="AX303" t="str">
            <v>Central Plants: Biomass to Liquid Hydrogen</v>
          </cell>
          <cell r="AY303"/>
          <cell r="AZ303" t="str">
            <v>Central Plants: High Temperature Eletrolysis with SOEC to Liquid Hydrogen</v>
          </cell>
          <cell r="BA303"/>
          <cell r="BB303" t="str">
            <v>Central Plants: Integrated Fermentation to Liquid Hydrogen</v>
          </cell>
          <cell r="BC303"/>
          <cell r="BD303" t="str">
            <v>Central Plants: Coke Oven Gas to Liquid Hydrogen</v>
          </cell>
          <cell r="BE303"/>
          <cell r="BF303" t="str">
            <v>Central Plants: Byproduction of Liquid H2 from Chlorine plants</v>
          </cell>
          <cell r="BG303"/>
          <cell r="BH303" t="str">
            <v>Central Plants: By-product Liquid H2 from NGL Steam Cracker Plants</v>
          </cell>
          <cell r="BI303"/>
          <cell r="BJ303" t="str">
            <v>Refueling Stations: NG or FG to Liquid Hydrogen</v>
          </cell>
          <cell r="BK303"/>
          <cell r="BL303" t="str">
            <v>Refueling Stations: Electricity to Liquid Hydrogen</v>
          </cell>
          <cell r="BM303"/>
          <cell r="BN303" t="str">
            <v>Refueling Stations: EtOH to Liquid Hydrogen</v>
          </cell>
          <cell r="BO303"/>
          <cell r="BP303" t="str">
            <v>Biomass-derived Liquid Reforming to Liquid Hydrogen</v>
          </cell>
          <cell r="BQ303"/>
          <cell r="BR303" t="str">
            <v>Refueling Stations: MeOH to Liquid Hydrogen</v>
          </cell>
          <cell r="BS303"/>
          <cell r="BT303" t="str">
            <v>Liquid Hydrogen: Combined</v>
          </cell>
          <cell r="BU303"/>
          <cell r="BV303" t="str">
            <v>G. Hydrogen for Use in Refineries</v>
          </cell>
          <cell r="BW303"/>
          <cell r="BX303" t="str">
            <v>G. Hydrogen for Use in Renewable Diesel Production</v>
          </cell>
          <cell r="BY303"/>
          <cell r="BZ303" t="str">
            <v>G. Hydrogen for Use in Pyrolysis Oil Upgrading</v>
          </cell>
          <cell r="CA303"/>
          <cell r="CB303" t="str">
            <v>G. Hydrogen for Process Fuels</v>
          </cell>
          <cell r="CC303"/>
          <cell r="CD303" t="str">
            <v>SMR Gaseous H2 for Industries</v>
          </cell>
          <cell r="CE303"/>
          <cell r="CF303" t="str">
            <v>Central Plants: RNG to Gaseous H2</v>
          </cell>
          <cell r="CG303"/>
          <cell r="CH303" t="str">
            <v>Refueling Stations: RNG to Gaseous H2</v>
          </cell>
          <cell r="CI303"/>
          <cell r="CJ303" t="str">
            <v>Central Plants: NG ATR with CCS to Gaseous Hydrogen</v>
          </cell>
          <cell r="CK303"/>
          <cell r="CL303" t="str">
            <v>Central Plants: RNG ATR with CCS to Gaseous Hydrogen</v>
          </cell>
          <cell r="CM303"/>
        </row>
        <row r="304">
          <cell r="B304" t="str">
            <v>Feedstock</v>
          </cell>
          <cell r="C304" t="str">
            <v>Fuel</v>
          </cell>
          <cell r="D304" t="str">
            <v>Feedstock</v>
          </cell>
          <cell r="E304" t="str">
            <v>Fuel</v>
          </cell>
          <cell r="F304" t="str">
            <v>Feedstock</v>
          </cell>
          <cell r="G304" t="str">
            <v>Fuel</v>
          </cell>
          <cell r="H304" t="str">
            <v>Feedstock</v>
          </cell>
          <cell r="I304" t="str">
            <v>Fuel</v>
          </cell>
          <cell r="J304" t="str">
            <v>Feedstock</v>
          </cell>
          <cell r="K304" t="str">
            <v>Fuel</v>
          </cell>
          <cell r="L304" t="str">
            <v>Feedstock</v>
          </cell>
          <cell r="M304" t="str">
            <v>Fuel</v>
          </cell>
          <cell r="N304" t="str">
            <v>Feedstock</v>
          </cell>
          <cell r="O304" t="str">
            <v>Fuel</v>
          </cell>
          <cell r="P304" t="str">
            <v>Feedstock</v>
          </cell>
          <cell r="Q304" t="str">
            <v>Fuel</v>
          </cell>
          <cell r="R304" t="str">
            <v>Feedstock</v>
          </cell>
          <cell r="S304" t="str">
            <v>Fuel</v>
          </cell>
          <cell r="T304" t="str">
            <v>Feedstock</v>
          </cell>
          <cell r="U304" t="str">
            <v>Fuel</v>
          </cell>
          <cell r="V304" t="str">
            <v>Feedstock</v>
          </cell>
          <cell r="W304" t="str">
            <v>Fuel</v>
          </cell>
          <cell r="X304" t="str">
            <v>Feedstock</v>
          </cell>
          <cell r="Y304" t="str">
            <v>Fuel</v>
          </cell>
          <cell r="Z304" t="str">
            <v>Feedstock</v>
          </cell>
          <cell r="AA304" t="str">
            <v>Fuel</v>
          </cell>
          <cell r="AB304" t="str">
            <v>Feedstock</v>
          </cell>
          <cell r="AC304" t="str">
            <v>Fuel</v>
          </cell>
          <cell r="AD304" t="str">
            <v>Feedstock</v>
          </cell>
          <cell r="AE304" t="str">
            <v>Fuel</v>
          </cell>
          <cell r="AF304" t="str">
            <v>Feedstock</v>
          </cell>
          <cell r="AG304" t="str">
            <v>Fuel</v>
          </cell>
          <cell r="AH304" t="str">
            <v>Feedstock</v>
          </cell>
          <cell r="AI304" t="str">
            <v>Fuel</v>
          </cell>
          <cell r="AJ304" t="str">
            <v>Feedstock</v>
          </cell>
          <cell r="AK304" t="str">
            <v>Fuel</v>
          </cell>
          <cell r="AL304" t="str">
            <v>Feedstock</v>
          </cell>
          <cell r="AM304" t="str">
            <v>Fuel</v>
          </cell>
          <cell r="AN304" t="str">
            <v>Feedstock</v>
          </cell>
          <cell r="AO304" t="str">
            <v>Fuel</v>
          </cell>
          <cell r="AP304" t="str">
            <v>Feedstock</v>
          </cell>
          <cell r="AQ304" t="str">
            <v>Fuel</v>
          </cell>
          <cell r="AR304" t="str">
            <v>Feedstock</v>
          </cell>
          <cell r="AS304" t="str">
            <v>Fuel</v>
          </cell>
          <cell r="AT304" t="str">
            <v>Feedstock</v>
          </cell>
          <cell r="AU304" t="str">
            <v>Fuel</v>
          </cell>
          <cell r="AV304" t="str">
            <v>Feedstock</v>
          </cell>
          <cell r="AW304" t="str">
            <v>Fuel</v>
          </cell>
          <cell r="AX304" t="str">
            <v>Feedstock</v>
          </cell>
          <cell r="AY304" t="str">
            <v>Fuel</v>
          </cell>
          <cell r="AZ304" t="str">
            <v>Feedstock</v>
          </cell>
          <cell r="BA304" t="str">
            <v>Fuel</v>
          </cell>
          <cell r="BB304" t="str">
            <v>Feedstock</v>
          </cell>
          <cell r="BC304" t="str">
            <v>Fuel</v>
          </cell>
          <cell r="BD304" t="str">
            <v>Feedstock</v>
          </cell>
          <cell r="BE304" t="str">
            <v>Fuel</v>
          </cell>
          <cell r="BF304" t="str">
            <v>Feedstock</v>
          </cell>
          <cell r="BG304" t="str">
            <v>Fuel</v>
          </cell>
          <cell r="BH304" t="str">
            <v>Feedstock</v>
          </cell>
          <cell r="BI304" t="str">
            <v>Fuel</v>
          </cell>
          <cell r="BJ304" t="str">
            <v>Feedstock</v>
          </cell>
          <cell r="BK304" t="str">
            <v>Fuel</v>
          </cell>
          <cell r="BL304" t="str">
            <v>Feedstock</v>
          </cell>
          <cell r="BM304" t="str">
            <v>Fuel</v>
          </cell>
          <cell r="BN304" t="str">
            <v>Feedstock</v>
          </cell>
          <cell r="BO304" t="str">
            <v>Fuel</v>
          </cell>
          <cell r="BP304" t="str">
            <v>Feedstock</v>
          </cell>
          <cell r="BQ304" t="str">
            <v>Fuel</v>
          </cell>
          <cell r="BR304" t="str">
            <v>Feedstock</v>
          </cell>
          <cell r="BS304" t="str">
            <v>Fuel</v>
          </cell>
          <cell r="BT304" t="str">
            <v>Feedstock</v>
          </cell>
          <cell r="BU304" t="str">
            <v>Fuel</v>
          </cell>
          <cell r="BV304" t="str">
            <v>WTP</v>
          </cell>
          <cell r="BW304" t="str">
            <v>PTW</v>
          </cell>
          <cell r="BX304" t="str">
            <v>WTP</v>
          </cell>
          <cell r="BY304" t="str">
            <v>PTW</v>
          </cell>
          <cell r="BZ304" t="str">
            <v>WTP</v>
          </cell>
          <cell r="CA304" t="str">
            <v>PTW</v>
          </cell>
          <cell r="CB304" t="str">
            <v>WTP</v>
          </cell>
          <cell r="CC304" t="str">
            <v>PTW</v>
          </cell>
          <cell r="CD304" t="str">
            <v>Feedstock</v>
          </cell>
          <cell r="CE304" t="str">
            <v>Fuel</v>
          </cell>
          <cell r="CF304" t="str">
            <v>Feedstock</v>
          </cell>
          <cell r="CG304" t="str">
            <v>Fuel</v>
          </cell>
          <cell r="CH304" t="str">
            <v>Feedstock</v>
          </cell>
          <cell r="CI304" t="str">
            <v>Fuel</v>
          </cell>
          <cell r="CJ304" t="str">
            <v>Feedstock</v>
          </cell>
          <cell r="CK304" t="str">
            <v>Fuel</v>
          </cell>
          <cell r="CL304" t="str">
            <v>Feedstock</v>
          </cell>
          <cell r="CM304" t="str">
            <v>Fuel</v>
          </cell>
        </row>
        <row r="305">
          <cell r="B305"/>
          <cell r="C305">
            <v>0.9877134657839125</v>
          </cell>
          <cell r="D305"/>
          <cell r="E305">
            <v>1</v>
          </cell>
          <cell r="F305"/>
          <cell r="G305">
            <v>1</v>
          </cell>
          <cell r="H305"/>
          <cell r="I305">
            <v>1</v>
          </cell>
          <cell r="J305"/>
          <cell r="K305">
            <v>1</v>
          </cell>
          <cell r="L305"/>
          <cell r="M305">
            <v>1</v>
          </cell>
          <cell r="N305"/>
          <cell r="O305">
            <v>1</v>
          </cell>
          <cell r="Q305">
            <v>1</v>
          </cell>
          <cell r="R305"/>
          <cell r="S305">
            <v>1</v>
          </cell>
          <cell r="T305"/>
          <cell r="U305">
            <v>1</v>
          </cell>
          <cell r="V305"/>
          <cell r="W305">
            <v>1</v>
          </cell>
          <cell r="X305"/>
          <cell r="Y305">
            <v>1</v>
          </cell>
          <cell r="Z305"/>
          <cell r="AA305">
            <v>1</v>
          </cell>
          <cell r="AB305"/>
          <cell r="AC305">
            <v>1</v>
          </cell>
          <cell r="AD305"/>
          <cell r="AE305">
            <v>1</v>
          </cell>
          <cell r="AF305"/>
          <cell r="AG305">
            <v>1</v>
          </cell>
          <cell r="AH305"/>
          <cell r="AI305">
            <v>1</v>
          </cell>
          <cell r="AJ305"/>
          <cell r="AK305">
            <v>1</v>
          </cell>
          <cell r="AL305"/>
          <cell r="AM305">
            <v>1</v>
          </cell>
          <cell r="AN305"/>
          <cell r="AO305">
            <v>1.0670673831669069</v>
          </cell>
          <cell r="AP305"/>
          <cell r="AQ305">
            <v>1.080341030199496</v>
          </cell>
          <cell r="AR305"/>
          <cell r="AS305">
            <v>1.080341030199496</v>
          </cell>
          <cell r="AT305"/>
          <cell r="AU305">
            <v>1.080341030199496</v>
          </cell>
          <cell r="AV305"/>
          <cell r="AW305">
            <v>1.080341030199496</v>
          </cell>
          <cell r="AX305"/>
          <cell r="AY305">
            <v>1.080341030199496</v>
          </cell>
          <cell r="AZ305"/>
          <cell r="BA305">
            <v>1.080341030199496</v>
          </cell>
          <cell r="BC305">
            <v>1.080341030199496</v>
          </cell>
          <cell r="BD305"/>
          <cell r="BE305">
            <v>1.080341030199496</v>
          </cell>
          <cell r="BF305"/>
          <cell r="BG305">
            <v>1.080341030199496</v>
          </cell>
          <cell r="BH305"/>
          <cell r="BI305">
            <v>1.0803366698495154</v>
          </cell>
          <cell r="BJ305"/>
          <cell r="BK305">
            <v>1.001816347124117</v>
          </cell>
          <cell r="BL305"/>
          <cell r="BM305">
            <v>1.0222245103894232</v>
          </cell>
          <cell r="BN305"/>
          <cell r="BO305">
            <v>1.001816347124117</v>
          </cell>
          <cell r="BP305"/>
          <cell r="BQ305">
            <v>1.001816347124117</v>
          </cell>
          <cell r="BR305"/>
          <cell r="BS305">
            <v>1.001816347124117</v>
          </cell>
          <cell r="BT305"/>
          <cell r="BU305">
            <v>1</v>
          </cell>
          <cell r="BV305"/>
          <cell r="BW305"/>
          <cell r="BX305"/>
          <cell r="BY305"/>
          <cell r="BZ305"/>
          <cell r="CA305"/>
          <cell r="CB305"/>
          <cell r="CC305"/>
          <cell r="CD305"/>
          <cell r="CE305">
            <v>0.96143599537692093</v>
          </cell>
          <cell r="CF305"/>
          <cell r="CG305">
            <v>0.9877134657839125</v>
          </cell>
          <cell r="CH305"/>
          <cell r="CI305">
            <v>1</v>
          </cell>
          <cell r="CJ305"/>
          <cell r="CK305">
            <v>1.408572504040601</v>
          </cell>
          <cell r="CL305"/>
          <cell r="CM305">
            <v>1.408572504040601</v>
          </cell>
        </row>
        <row r="306">
          <cell r="B306">
            <v>113022.27535094548</v>
          </cell>
          <cell r="C306">
            <v>831944.25988597597</v>
          </cell>
          <cell r="D306">
            <v>1617842.5049796465</v>
          </cell>
          <cell r="E306">
            <v>213709.56881825134</v>
          </cell>
          <cell r="F306">
            <v>1024855.287612317</v>
          </cell>
          <cell r="G306">
            <v>213709.56881825134</v>
          </cell>
          <cell r="H306">
            <v>1227661.1774794725</v>
          </cell>
          <cell r="I306">
            <v>162782.35563891599</v>
          </cell>
          <cell r="J306">
            <v>19872.060468546959</v>
          </cell>
          <cell r="K306">
            <v>967501.32807648194</v>
          </cell>
          <cell r="L306">
            <v>38026.550898104775</v>
          </cell>
          <cell r="M306">
            <v>1540529.0659248955</v>
          </cell>
          <cell r="N306">
            <v>1276204.4849490093</v>
          </cell>
          <cell r="O306">
            <v>165800.88552825496</v>
          </cell>
          <cell r="P306">
            <v>38026.550898104775</v>
          </cell>
          <cell r="Q306">
            <v>3214022.9209262053</v>
          </cell>
          <cell r="R306">
            <v>0</v>
          </cell>
          <cell r="S306">
            <v>495728.16442956345</v>
          </cell>
          <cell r="T306">
            <v>155422.13089026854</v>
          </cell>
          <cell r="U306">
            <v>894975.80364565225</v>
          </cell>
          <cell r="V306">
            <v>191930.63020213746</v>
          </cell>
          <cell r="W306">
            <v>213709.56881825134</v>
          </cell>
          <cell r="X306">
            <v>1141786.2061512326</v>
          </cell>
          <cell r="Y306">
            <v>213709.56881825134</v>
          </cell>
          <cell r="Z306">
            <v>117609.62388458439</v>
          </cell>
          <cell r="AA306">
            <v>663277.3339923413</v>
          </cell>
          <cell r="AB306">
            <v>82979.195824761875</v>
          </cell>
          <cell r="AC306">
            <v>1623078.4516313919</v>
          </cell>
          <cell r="AD306">
            <v>1175232.9264387076</v>
          </cell>
          <cell r="AE306">
            <v>596254.21293520997</v>
          </cell>
          <cell r="AF306">
            <v>6515999.7617971767</v>
          </cell>
          <cell r="AG306">
            <v>493652.25503868132</v>
          </cell>
          <cell r="AH306">
            <v>531372.32241327001</v>
          </cell>
          <cell r="AI306">
            <v>759291.73544624948</v>
          </cell>
          <cell r="AJ306">
            <v>111633.62329766602</v>
          </cell>
          <cell r="AK306">
            <v>831944.25988597597</v>
          </cell>
          <cell r="AL306">
            <v>111633.62329766602</v>
          </cell>
          <cell r="AM306">
            <v>831944.25988597597</v>
          </cell>
          <cell r="AN306">
            <v>113022.27535094548</v>
          </cell>
          <cell r="AO306">
            <v>1481045.6724043146</v>
          </cell>
          <cell r="AP306">
            <v>1617842.5049796465</v>
          </cell>
          <cell r="AQ306">
            <v>732758.65662478365</v>
          </cell>
          <cell r="AR306">
            <v>1024855.287612317</v>
          </cell>
          <cell r="AS306">
            <v>403892.51334443619</v>
          </cell>
          <cell r="AT306">
            <v>1227661.1774794725</v>
          </cell>
          <cell r="AU306">
            <v>403892.51334443619</v>
          </cell>
          <cell r="AV306">
            <v>19872.060468546959</v>
          </cell>
          <cell r="AW306">
            <v>1627493.5351040682</v>
          </cell>
          <cell r="AX306">
            <v>38026.550898104775</v>
          </cell>
          <cell r="AY306">
            <v>2246558.9117441103</v>
          </cell>
          <cell r="AZ306">
            <v>1276204.4849490093</v>
          </cell>
          <cell r="BA306">
            <v>423384.88728580403</v>
          </cell>
          <cell r="BB306">
            <v>38026.550898104775</v>
          </cell>
          <cell r="BC306">
            <v>4054502.9870887515</v>
          </cell>
          <cell r="BD306">
            <v>0</v>
          </cell>
          <cell r="BE306">
            <v>1117813.1987557155</v>
          </cell>
          <cell r="BF306">
            <v>191930.63020213746</v>
          </cell>
          <cell r="BG306">
            <v>732758.65662478365</v>
          </cell>
          <cell r="BH306">
            <v>1141786.2061512326</v>
          </cell>
          <cell r="BI306">
            <v>732755.80515744037</v>
          </cell>
          <cell r="BJ306">
            <v>117609.62388458439</v>
          </cell>
          <cell r="BK306">
            <v>1343587.222989649</v>
          </cell>
          <cell r="BL306">
            <v>99644.367625328247</v>
          </cell>
          <cell r="BM306">
            <v>1986394.5074706888</v>
          </cell>
          <cell r="BN306">
            <v>1175232.9264387074</v>
          </cell>
          <cell r="BO306">
            <v>1276442.3646793361</v>
          </cell>
          <cell r="BP306">
            <v>6515999.7617971767</v>
          </cell>
          <cell r="BQ306">
            <v>1173654.0460116535</v>
          </cell>
          <cell r="BR306">
            <v>531372.32241327001</v>
          </cell>
          <cell r="BS306">
            <v>1439776.0199255119</v>
          </cell>
          <cell r="BT306">
            <v>120602.38359830299</v>
          </cell>
          <cell r="BU306">
            <v>1481045.6724043146</v>
          </cell>
          <cell r="BV306">
            <v>268663.18813012616</v>
          </cell>
          <cell r="BW306">
            <v>1000000</v>
          </cell>
          <cell r="BX306">
            <v>268663.18813012616</v>
          </cell>
          <cell r="BY306">
            <v>1000000</v>
          </cell>
          <cell r="BZ306">
            <v>268663.18813012616</v>
          </cell>
          <cell r="CA306">
            <v>1000000</v>
          </cell>
          <cell r="CB306">
            <v>268663.18813012616</v>
          </cell>
          <cell r="CC306">
            <v>1000000</v>
          </cell>
          <cell r="CD306">
            <v>113022.27535094548</v>
          </cell>
          <cell r="CE306">
            <v>159999.50432832545</v>
          </cell>
          <cell r="CF306">
            <v>34356.817727573056</v>
          </cell>
          <cell r="CG306">
            <v>793506.26798589888</v>
          </cell>
          <cell r="CH306">
            <v>38843.250272433026</v>
          </cell>
          <cell r="CI306">
            <v>637879.03959916811</v>
          </cell>
          <cell r="CJ306">
            <v>113022.27535094548</v>
          </cell>
          <cell r="CK306">
            <v>1826666.679457363</v>
          </cell>
          <cell r="CL306">
            <v>34356.817727573056</v>
          </cell>
          <cell r="CM306">
            <v>1826666.679457363</v>
          </cell>
        </row>
        <row r="307">
          <cell r="B307">
            <v>112272.17118212429</v>
          </cell>
          <cell r="C307">
            <v>760077.69396841968</v>
          </cell>
          <cell r="D307">
            <v>0</v>
          </cell>
          <cell r="E307">
            <v>165316.19177661045</v>
          </cell>
          <cell r="F307">
            <v>20102.196608973558</v>
          </cell>
          <cell r="G307">
            <v>165316.19177661045</v>
          </cell>
          <cell r="H307">
            <v>24080.166885211802</v>
          </cell>
          <cell r="I307">
            <v>86226.033795331488</v>
          </cell>
          <cell r="J307">
            <v>18817.430800950548</v>
          </cell>
          <cell r="K307">
            <v>902619.10965386033</v>
          </cell>
          <cell r="L307">
            <v>37555.245528659558</v>
          </cell>
          <cell r="M307">
            <v>286714.45266318461</v>
          </cell>
          <cell r="N307">
            <v>25756.974382406093</v>
          </cell>
          <cell r="O307">
            <v>86320.159934721771</v>
          </cell>
          <cell r="P307">
            <v>37555.245528659558</v>
          </cell>
          <cell r="Q307">
            <v>1278339.8553628402</v>
          </cell>
          <cell r="R307">
            <v>0</v>
          </cell>
          <cell r="S307">
            <v>401529.18456835288</v>
          </cell>
          <cell r="T307">
            <v>149094.46410193402</v>
          </cell>
          <cell r="U307">
            <v>841087.15598456759</v>
          </cell>
          <cell r="V307">
            <v>146144.68165594246</v>
          </cell>
          <cell r="W307">
            <v>165316.19177661045</v>
          </cell>
          <cell r="X307">
            <v>1133367.4764023654</v>
          </cell>
          <cell r="Y307">
            <v>165316.19177661045</v>
          </cell>
          <cell r="Z307">
            <v>116827.89218464201</v>
          </cell>
          <cell r="AA307">
            <v>582269.33704559109</v>
          </cell>
          <cell r="AB307">
            <v>0</v>
          </cell>
          <cell r="AC307">
            <v>0</v>
          </cell>
          <cell r="AD307">
            <v>716980.70309168519</v>
          </cell>
          <cell r="AE307">
            <v>195432.07303879139</v>
          </cell>
          <cell r="AF307">
            <v>148690.40843246368</v>
          </cell>
          <cell r="AG307">
            <v>366485.58105109783</v>
          </cell>
          <cell r="AH307">
            <v>508534.60671353433</v>
          </cell>
          <cell r="AI307">
            <v>663318.75026694988</v>
          </cell>
          <cell r="AJ307">
            <v>110892.73530938069</v>
          </cell>
          <cell r="AK307">
            <v>760077.69396841968</v>
          </cell>
          <cell r="AL307">
            <v>110892.73530938069</v>
          </cell>
          <cell r="AM307">
            <v>760077.69396841968</v>
          </cell>
          <cell r="AN307">
            <v>112272.17118212429</v>
          </cell>
          <cell r="AO307">
            <v>1262632.8023963734</v>
          </cell>
          <cell r="AP307">
            <v>0</v>
          </cell>
          <cell r="AQ307">
            <v>539704.83566911612</v>
          </cell>
          <cell r="AR307">
            <v>20102.196608973558</v>
          </cell>
          <cell r="AS307">
            <v>28974.45002746399</v>
          </cell>
          <cell r="AT307">
            <v>24080.166885211802</v>
          </cell>
          <cell r="AU307">
            <v>28974.45002746399</v>
          </cell>
          <cell r="AV307">
            <v>18817.430800950548</v>
          </cell>
          <cell r="AW307">
            <v>1416626.142264076</v>
          </cell>
          <cell r="AX307">
            <v>37555.245528659558</v>
          </cell>
          <cell r="AY307">
            <v>670856.35789974499</v>
          </cell>
          <cell r="AZ307">
            <v>25756.974382406093</v>
          </cell>
          <cell r="BA307">
            <v>29582.276344881971</v>
          </cell>
          <cell r="BB307">
            <v>37555.245528659558</v>
          </cell>
          <cell r="BC307">
            <v>1742149.9670242807</v>
          </cell>
          <cell r="BD307">
            <v>0</v>
          </cell>
          <cell r="BE307">
            <v>875273.73236351006</v>
          </cell>
          <cell r="BF307">
            <v>146144.68165594246</v>
          </cell>
          <cell r="BG307">
            <v>539704.83566911612</v>
          </cell>
          <cell r="BH307">
            <v>1133367.4764023654</v>
          </cell>
          <cell r="BI307">
            <v>539702.74442163401</v>
          </cell>
          <cell r="BJ307">
            <v>116827.89218464201</v>
          </cell>
          <cell r="BK307">
            <v>1081863.3389719946</v>
          </cell>
          <cell r="BL307">
            <v>0</v>
          </cell>
          <cell r="BM307">
            <v>0</v>
          </cell>
          <cell r="BN307">
            <v>716980.70309168519</v>
          </cell>
          <cell r="BO307">
            <v>692503.79797222244</v>
          </cell>
          <cell r="BP307">
            <v>148690.40843246368</v>
          </cell>
          <cell r="BQ307">
            <v>865687.64477286965</v>
          </cell>
          <cell r="BR307">
            <v>508534.60671353433</v>
          </cell>
          <cell r="BS307">
            <v>1163059.9660619693</v>
          </cell>
          <cell r="BT307">
            <v>119801.97190577639</v>
          </cell>
          <cell r="BU307">
            <v>1262632.8023963734</v>
          </cell>
          <cell r="BV307">
            <v>262393.0086577303</v>
          </cell>
          <cell r="BW307">
            <v>1000000</v>
          </cell>
          <cell r="BX307">
            <v>262393.0086577303</v>
          </cell>
          <cell r="BY307">
            <v>1000000</v>
          </cell>
          <cell r="BZ307">
            <v>262393.0086577303</v>
          </cell>
          <cell r="CA307">
            <v>1000000</v>
          </cell>
          <cell r="CB307">
            <v>262393.0086577303</v>
          </cell>
          <cell r="CC307">
            <v>1000000</v>
          </cell>
          <cell r="CD307">
            <v>112272.17118212429</v>
          </cell>
          <cell r="CE307">
            <v>154450.5020041166</v>
          </cell>
          <cell r="CF307">
            <v>30778.025445031297</v>
          </cell>
          <cell r="CG307">
            <v>243918.01469077254</v>
          </cell>
          <cell r="CH307">
            <v>33946.351593784515</v>
          </cell>
          <cell r="CI307">
            <v>233093.16114404739</v>
          </cell>
          <cell r="CJ307">
            <v>112272.17118212429</v>
          </cell>
          <cell r="CK307">
            <v>1723783.0282791667</v>
          </cell>
          <cell r="CL307">
            <v>30778.025445031297</v>
          </cell>
          <cell r="CM307">
            <v>315210.52423856565</v>
          </cell>
        </row>
        <row r="308">
          <cell r="B308">
            <v>792.82858024727443</v>
          </cell>
          <cell r="C308">
            <v>75963.836706342496</v>
          </cell>
          <cell r="D308">
            <v>0</v>
          </cell>
          <cell r="E308">
            <v>51149.364853852087</v>
          </cell>
          <cell r="F308">
            <v>5023.9960809428439</v>
          </cell>
          <cell r="G308">
            <v>51149.364853852087</v>
          </cell>
          <cell r="H308">
            <v>6018.1813168491872</v>
          </cell>
          <cell r="I308">
            <v>20601.057653975105</v>
          </cell>
          <cell r="J308">
            <v>1745.29429701104</v>
          </cell>
          <cell r="K308">
            <v>750113.81127128249</v>
          </cell>
          <cell r="L308">
            <v>495.10276858447276</v>
          </cell>
          <cell r="M308">
            <v>58973.074910141608</v>
          </cell>
          <cell r="N308">
            <v>6107.6682995482533</v>
          </cell>
          <cell r="O308">
            <v>20608.700128688168</v>
          </cell>
          <cell r="P308">
            <v>495.10276858447276</v>
          </cell>
          <cell r="Q308">
            <v>419530.21369406779</v>
          </cell>
          <cell r="R308">
            <v>0</v>
          </cell>
          <cell r="S308">
            <v>99572.342045744561</v>
          </cell>
          <cell r="T308">
            <v>6348.9744786947604</v>
          </cell>
          <cell r="U308">
            <v>56760.008965032001</v>
          </cell>
          <cell r="V308">
            <v>48401.390003896238</v>
          </cell>
          <cell r="W308">
            <v>51149.364853852087</v>
          </cell>
          <cell r="X308">
            <v>8899.6698519964702</v>
          </cell>
          <cell r="Y308">
            <v>51149.364853852087</v>
          </cell>
          <cell r="Z308">
            <v>826.26287241176806</v>
          </cell>
          <cell r="AA308">
            <v>85637.070143654477</v>
          </cell>
          <cell r="AB308">
            <v>0</v>
          </cell>
          <cell r="AC308">
            <v>0</v>
          </cell>
          <cell r="AD308">
            <v>47093.801984141726</v>
          </cell>
          <cell r="AE308">
            <v>75104.118856687157</v>
          </cell>
          <cell r="AF308">
            <v>910.36035679954455</v>
          </cell>
          <cell r="AG308">
            <v>134428.61409871731</v>
          </cell>
          <cell r="AH308">
            <v>24139.534779603815</v>
          </cell>
          <cell r="AI308">
            <v>101456.37335557071</v>
          </cell>
          <cell r="AJ308">
            <v>783.08746476857425</v>
          </cell>
          <cell r="AK308">
            <v>75963.836706342496</v>
          </cell>
          <cell r="AL308">
            <v>783.08746476857425</v>
          </cell>
          <cell r="AM308">
            <v>75963.836706342496</v>
          </cell>
          <cell r="AN308">
            <v>792.82858024727443</v>
          </cell>
          <cell r="AO308">
            <v>230891.25009551173</v>
          </cell>
          <cell r="AP308">
            <v>0</v>
          </cell>
          <cell r="AQ308">
            <v>204083.15801053582</v>
          </cell>
          <cell r="AR308">
            <v>5023.9960809428439</v>
          </cell>
          <cell r="AS308">
            <v>6815.2663395406325</v>
          </cell>
          <cell r="AT308">
            <v>6018.1813168491872</v>
          </cell>
          <cell r="AU308">
            <v>6815.2663395406325</v>
          </cell>
          <cell r="AV308">
            <v>1745.29429701104</v>
          </cell>
          <cell r="AW308">
            <v>1039585.8408523207</v>
          </cell>
          <cell r="AX308">
            <v>495.10276858447276</v>
          </cell>
          <cell r="AY308">
            <v>212535.43299272979</v>
          </cell>
          <cell r="AZ308">
            <v>6107.6682995482533</v>
          </cell>
          <cell r="BA308">
            <v>6864.6181698705523</v>
          </cell>
          <cell r="BB308">
            <v>495.10276858447276</v>
          </cell>
          <cell r="BC308">
            <v>602060.10375233926</v>
          </cell>
          <cell r="BD308">
            <v>0</v>
          </cell>
          <cell r="BE308">
            <v>256396.46011169502</v>
          </cell>
          <cell r="BF308">
            <v>48401.390003896238</v>
          </cell>
          <cell r="BG308">
            <v>204083.15801053582</v>
          </cell>
          <cell r="BH308">
            <v>8899.6698519964702</v>
          </cell>
          <cell r="BI308">
            <v>204082.35434869558</v>
          </cell>
          <cell r="BJ308">
            <v>826.26287241176806</v>
          </cell>
          <cell r="BK308">
            <v>276679.77995602193</v>
          </cell>
          <cell r="BL308">
            <v>0</v>
          </cell>
          <cell r="BM308">
            <v>0</v>
          </cell>
          <cell r="BN308">
            <v>47093.801984141726</v>
          </cell>
          <cell r="BO308">
            <v>266127.6971732761</v>
          </cell>
          <cell r="BP308">
            <v>910.36035679954455</v>
          </cell>
          <cell r="BQ308">
            <v>325559.94629162882</v>
          </cell>
          <cell r="BR308">
            <v>24139.534779603815</v>
          </cell>
          <cell r="BS308">
            <v>292527.81651383272</v>
          </cell>
          <cell r="BT308">
            <v>846.00151842439311</v>
          </cell>
          <cell r="BU308">
            <v>230891.25009551173</v>
          </cell>
          <cell r="BV308">
            <v>6628.3259319248391</v>
          </cell>
          <cell r="BW308">
            <v>0</v>
          </cell>
          <cell r="BX308">
            <v>6628.3259319248391</v>
          </cell>
          <cell r="BY308">
            <v>0</v>
          </cell>
          <cell r="BZ308">
            <v>6628.3259319248391</v>
          </cell>
          <cell r="CA308">
            <v>0</v>
          </cell>
          <cell r="CB308">
            <v>6628.3259319248391</v>
          </cell>
          <cell r="CC308">
            <v>0</v>
          </cell>
          <cell r="CD308">
            <v>792.82858024727443</v>
          </cell>
          <cell r="CE308">
            <v>5866.0719967115301</v>
          </cell>
          <cell r="CF308">
            <v>318.88398232427244</v>
          </cell>
          <cell r="CG308">
            <v>75732.255029118038</v>
          </cell>
          <cell r="CH308">
            <v>351.71027462235935</v>
          </cell>
          <cell r="CI308">
            <v>85484.050193249641</v>
          </cell>
          <cell r="CJ308">
            <v>792.82858024727443</v>
          </cell>
          <cell r="CK308">
            <v>108753.42945860056</v>
          </cell>
          <cell r="CL308">
            <v>318.88398232427244</v>
          </cell>
          <cell r="CM308">
            <v>108753.42945860056</v>
          </cell>
        </row>
        <row r="309">
          <cell r="B309">
            <v>111022.14790599093</v>
          </cell>
          <cell r="C309">
            <v>652365.31443098036</v>
          </cell>
          <cell r="D309">
            <v>0</v>
          </cell>
          <cell r="E309">
            <v>83431.01687674968</v>
          </cell>
          <cell r="F309">
            <v>12733.051023797005</v>
          </cell>
          <cell r="G309">
            <v>83431.01687674968</v>
          </cell>
          <cell r="H309">
            <v>15252.760659702102</v>
          </cell>
          <cell r="I309">
            <v>35751.752246984295</v>
          </cell>
          <cell r="J309">
            <v>3286.1143257952463</v>
          </cell>
          <cell r="K309">
            <v>111841.04419866551</v>
          </cell>
          <cell r="L309">
            <v>10088.684186203223</v>
          </cell>
          <cell r="M309">
            <v>164437.2689175813</v>
          </cell>
          <cell r="N309">
            <v>16185.152126275234</v>
          </cell>
          <cell r="O309">
            <v>35805.122155426085</v>
          </cell>
          <cell r="P309">
            <v>10088.684186203223</v>
          </cell>
          <cell r="Q309">
            <v>767141.85745323531</v>
          </cell>
          <cell r="R309">
            <v>0</v>
          </cell>
          <cell r="S309">
            <v>269224.71542873012</v>
          </cell>
          <cell r="T309">
            <v>89933.486328305036</v>
          </cell>
          <cell r="U309">
            <v>138921.55128660565</v>
          </cell>
          <cell r="V309">
            <v>93242.701892690311</v>
          </cell>
          <cell r="W309">
            <v>83431.01687674968</v>
          </cell>
          <cell r="X309">
            <v>1123748.6441022865</v>
          </cell>
          <cell r="Y309">
            <v>83431.01687674968</v>
          </cell>
          <cell r="Z309">
            <v>115541.61707184681</v>
          </cell>
          <cell r="AA309">
            <v>493725.27197072224</v>
          </cell>
          <cell r="AB309">
            <v>0</v>
          </cell>
          <cell r="AC309">
            <v>0</v>
          </cell>
          <cell r="AD309">
            <v>596943.27635297342</v>
          </cell>
          <cell r="AE309">
            <v>117901.04263758488</v>
          </cell>
          <cell r="AF309">
            <v>15666.966724282916</v>
          </cell>
          <cell r="AG309">
            <v>212653.9676663088</v>
          </cell>
          <cell r="AH309">
            <v>473658.7343035189</v>
          </cell>
          <cell r="AI309">
            <v>555833.9476401495</v>
          </cell>
          <cell r="AJ309">
            <v>109658.07048700044</v>
          </cell>
          <cell r="AK309">
            <v>652365.31443098036</v>
          </cell>
          <cell r="AL309">
            <v>109658.07048700044</v>
          </cell>
          <cell r="AM309">
            <v>652365.31443098036</v>
          </cell>
          <cell r="AN309">
            <v>111022.14790599093</v>
          </cell>
          <cell r="AO309">
            <v>1016244.280310288</v>
          </cell>
          <cell r="AP309">
            <v>0</v>
          </cell>
          <cell r="AQ309">
            <v>321218.50244836562</v>
          </cell>
          <cell r="AR309">
            <v>12733.051023797005</v>
          </cell>
          <cell r="AS309">
            <v>13326.220614328595</v>
          </cell>
          <cell r="AT309">
            <v>15252.760659702102</v>
          </cell>
          <cell r="AU309">
            <v>13326.220614328595</v>
          </cell>
          <cell r="AV309">
            <v>3286.1143257952463</v>
          </cell>
          <cell r="AW309">
            <v>351911.02063331974</v>
          </cell>
          <cell r="AX309">
            <v>10088.684186203223</v>
          </cell>
          <cell r="AY309">
            <v>408732.88023075782</v>
          </cell>
          <cell r="AZ309">
            <v>16185.152126275234</v>
          </cell>
          <cell r="BA309">
            <v>13670.860638016464</v>
          </cell>
          <cell r="BB309">
            <v>10088.684186203223</v>
          </cell>
          <cell r="BC309">
            <v>1059859.3763153292</v>
          </cell>
          <cell r="BD309">
            <v>0</v>
          </cell>
          <cell r="BE309">
            <v>602321.30683833687</v>
          </cell>
          <cell r="BF309">
            <v>93242.701892690311</v>
          </cell>
          <cell r="BG309">
            <v>321218.50244836562</v>
          </cell>
          <cell r="BH309">
            <v>1123748.6441022865</v>
          </cell>
          <cell r="BI309">
            <v>321217.24083222082</v>
          </cell>
          <cell r="BJ309">
            <v>115541.61707184681</v>
          </cell>
          <cell r="BK309">
            <v>796102.9636857704</v>
          </cell>
          <cell r="BL309">
            <v>0</v>
          </cell>
          <cell r="BM309">
            <v>0</v>
          </cell>
          <cell r="BN309">
            <v>596943.27635297342</v>
          </cell>
          <cell r="BO309">
            <v>417776.46085351787</v>
          </cell>
          <cell r="BP309">
            <v>15666.966724282916</v>
          </cell>
          <cell r="BQ309">
            <v>514521.13632611179</v>
          </cell>
          <cell r="BR309">
            <v>473658.7343035189</v>
          </cell>
          <cell r="BS309">
            <v>858324.45026963251</v>
          </cell>
          <cell r="BT309">
            <v>118468.11283961503</v>
          </cell>
          <cell r="BU309">
            <v>1016244.280310288</v>
          </cell>
          <cell r="BV309">
            <v>255066.46587730339</v>
          </cell>
          <cell r="BW309">
            <v>1000000</v>
          </cell>
          <cell r="BX309">
            <v>255066.46587730339</v>
          </cell>
          <cell r="BY309">
            <v>1000000</v>
          </cell>
          <cell r="BZ309">
            <v>255066.46587730339</v>
          </cell>
          <cell r="CA309">
            <v>1000000</v>
          </cell>
          <cell r="CB309">
            <v>255066.46587730339</v>
          </cell>
          <cell r="CC309">
            <v>1000000</v>
          </cell>
          <cell r="CD309">
            <v>111022.14790599093</v>
          </cell>
          <cell r="CE309">
            <v>148325.77659642327</v>
          </cell>
          <cell r="CF309">
            <v>30437.195082873648</v>
          </cell>
          <cell r="CG309">
            <v>136649.89049638767</v>
          </cell>
          <cell r="CH309">
            <v>33570.435753169455</v>
          </cell>
          <cell r="CI309">
            <v>144842.64230900208</v>
          </cell>
          <cell r="CJ309">
            <v>111022.14790599093</v>
          </cell>
          <cell r="CK309">
            <v>1582432.3732952378</v>
          </cell>
          <cell r="CL309">
            <v>30437.195082873648</v>
          </cell>
          <cell r="CM309">
            <v>173859.86925463672</v>
          </cell>
        </row>
        <row r="310">
          <cell r="B310">
            <v>457.194695886094</v>
          </cell>
          <cell r="C310">
            <v>31748.542831096835</v>
          </cell>
          <cell r="D310">
            <v>0</v>
          </cell>
          <cell r="E310">
            <v>30735.810046008686</v>
          </cell>
          <cell r="F310">
            <v>2345.1495042337083</v>
          </cell>
          <cell r="G310">
            <v>30735.810046008686</v>
          </cell>
          <cell r="H310">
            <v>2809.2249086605134</v>
          </cell>
          <cell r="I310">
            <v>29873.223894372088</v>
          </cell>
          <cell r="J310">
            <v>13786.02217814426</v>
          </cell>
          <cell r="K310">
            <v>40664.25418391233</v>
          </cell>
          <cell r="L310">
            <v>26971.45857387186</v>
          </cell>
          <cell r="M310">
            <v>63304.108835461702</v>
          </cell>
          <cell r="N310">
            <v>3464.1539565826047</v>
          </cell>
          <cell r="O310">
            <v>29906.337650607515</v>
          </cell>
          <cell r="P310">
            <v>26971.45857387186</v>
          </cell>
          <cell r="Q310">
            <v>91667.784215537118</v>
          </cell>
          <cell r="R310">
            <v>0</v>
          </cell>
          <cell r="S310">
            <v>32732.127093878222</v>
          </cell>
          <cell r="T310">
            <v>52812.003294934235</v>
          </cell>
          <cell r="U310">
            <v>645405.59573292988</v>
          </cell>
          <cell r="V310">
            <v>4500.5897593559239</v>
          </cell>
          <cell r="W310">
            <v>30735.810046008686</v>
          </cell>
          <cell r="X310">
            <v>719.16244808236354</v>
          </cell>
          <cell r="Y310">
            <v>30735.810046008686</v>
          </cell>
          <cell r="Z310">
            <v>460.01224038344071</v>
          </cell>
          <cell r="AA310">
            <v>2906.9949312144008</v>
          </cell>
          <cell r="AB310">
            <v>0</v>
          </cell>
          <cell r="AC310">
            <v>0</v>
          </cell>
          <cell r="AD310">
            <v>72943.624754570104</v>
          </cell>
          <cell r="AE310">
            <v>2426.9115445193593</v>
          </cell>
          <cell r="AF310">
            <v>132113.08135138123</v>
          </cell>
          <cell r="AG310">
            <v>19402.999286071725</v>
          </cell>
          <cell r="AH310">
            <v>10736.337630411628</v>
          </cell>
          <cell r="AI310">
            <v>6028.4292712296719</v>
          </cell>
          <cell r="AJ310">
            <v>451.57735761167578</v>
          </cell>
          <cell r="AK310">
            <v>31748.542831096835</v>
          </cell>
          <cell r="AL310">
            <v>451.57735761167578</v>
          </cell>
          <cell r="AM310">
            <v>31748.542831096835</v>
          </cell>
          <cell r="AN310">
            <v>457.194695886094</v>
          </cell>
          <cell r="AO310">
            <v>15497.271990573627</v>
          </cell>
          <cell r="AP310">
            <v>0</v>
          </cell>
          <cell r="AQ310">
            <v>14403.175210214693</v>
          </cell>
          <cell r="AR310">
            <v>2345.1495042337083</v>
          </cell>
          <cell r="AS310">
            <v>8832.9630735947649</v>
          </cell>
          <cell r="AT310">
            <v>2809.2249086605134</v>
          </cell>
          <cell r="AU310">
            <v>8832.9630735947649</v>
          </cell>
          <cell r="AV310">
            <v>13786.02217814426</v>
          </cell>
          <cell r="AW310">
            <v>25129.280778435656</v>
          </cell>
          <cell r="AX310">
            <v>26971.45857387186</v>
          </cell>
          <cell r="AY310">
            <v>49588.04467625737</v>
          </cell>
          <cell r="AZ310">
            <v>3464.1539565826047</v>
          </cell>
          <cell r="BA310">
            <v>9046.7975369949563</v>
          </cell>
          <cell r="BB310">
            <v>26971.45857387186</v>
          </cell>
          <cell r="BC310">
            <v>80230.486956612134</v>
          </cell>
          <cell r="BD310">
            <v>0</v>
          </cell>
          <cell r="BE310">
            <v>16555.965413478203</v>
          </cell>
          <cell r="BF310">
            <v>4500.5897593559239</v>
          </cell>
          <cell r="BG310">
            <v>14403.175210214693</v>
          </cell>
          <cell r="BH310">
            <v>719.16244808236354</v>
          </cell>
          <cell r="BI310">
            <v>14403.149240717579</v>
          </cell>
          <cell r="BJ310">
            <v>460.01224038344071</v>
          </cell>
          <cell r="BK310">
            <v>9080.5953302022917</v>
          </cell>
          <cell r="BL310">
            <v>0</v>
          </cell>
          <cell r="BM310">
            <v>0</v>
          </cell>
          <cell r="BN310">
            <v>72943.624754570104</v>
          </cell>
          <cell r="BO310">
            <v>8599.6399454284892</v>
          </cell>
          <cell r="BP310">
            <v>132113.08135138123</v>
          </cell>
          <cell r="BQ310">
            <v>25606.562155128981</v>
          </cell>
          <cell r="BR310">
            <v>10736.337630411628</v>
          </cell>
          <cell r="BS310">
            <v>12207.699278504169</v>
          </cell>
          <cell r="BT310">
            <v>487.85754773696414</v>
          </cell>
          <cell r="BU310">
            <v>15497.271990573627</v>
          </cell>
          <cell r="BV310">
            <v>698.21684850207589</v>
          </cell>
          <cell r="BW310">
            <v>0</v>
          </cell>
          <cell r="BX310">
            <v>698.21684850207589</v>
          </cell>
          <cell r="BY310">
            <v>0</v>
          </cell>
          <cell r="BZ310">
            <v>698.21684850207589</v>
          </cell>
          <cell r="CA310">
            <v>0</v>
          </cell>
          <cell r="CB310">
            <v>698.21684850207589</v>
          </cell>
          <cell r="CC310">
            <v>0</v>
          </cell>
          <cell r="CD310">
            <v>457.194695886094</v>
          </cell>
          <cell r="CE310">
            <v>258.6534109817805</v>
          </cell>
          <cell r="CF310">
            <v>21.946379833378025</v>
          </cell>
          <cell r="CG310">
            <v>31535.869165266846</v>
          </cell>
          <cell r="CH310">
            <v>24.205565992696354</v>
          </cell>
          <cell r="CI310">
            <v>2766.46864179566</v>
          </cell>
          <cell r="CJ310">
            <v>457.194695886094</v>
          </cell>
          <cell r="CK310">
            <v>32597.225525328373</v>
          </cell>
          <cell r="CL310">
            <v>21.946379833378025</v>
          </cell>
          <cell r="CM310">
            <v>32597.225525328373</v>
          </cell>
        </row>
        <row r="311">
          <cell r="B311">
            <v>3.4779713295852681</v>
          </cell>
          <cell r="C311">
            <v>82.916224664717049</v>
          </cell>
          <cell r="D311">
            <v>82.397139975247683</v>
          </cell>
          <cell r="E311">
            <v>17.06724204004345</v>
          </cell>
          <cell r="F311">
            <v>168.36852873247722</v>
          </cell>
          <cell r="G311">
            <v>17.06724204004345</v>
          </cell>
          <cell r="H311">
            <v>194.55234963337153</v>
          </cell>
          <cell r="I311">
            <v>14.678047055026333</v>
          </cell>
          <cell r="J311">
            <v>3.8668131808192499</v>
          </cell>
          <cell r="K311">
            <v>80.058092993628819</v>
          </cell>
          <cell r="L311">
            <v>1.7792738404336454</v>
          </cell>
          <cell r="M311">
            <v>52.032082577180809</v>
          </cell>
          <cell r="N311">
            <v>187.31618950738476</v>
          </cell>
          <cell r="O311">
            <v>15.258981307395597</v>
          </cell>
          <cell r="P311">
            <v>1.7792738404336454</v>
          </cell>
          <cell r="Q311">
            <v>419.41056994835958</v>
          </cell>
          <cell r="R311">
            <v>0</v>
          </cell>
          <cell r="S311">
            <v>61.38282841986608</v>
          </cell>
          <cell r="T311">
            <v>21.749059626334951</v>
          </cell>
          <cell r="U311">
            <v>96.853528854677862</v>
          </cell>
          <cell r="V311">
            <v>18.186121644198138</v>
          </cell>
          <cell r="W311">
            <v>17.06724204004345</v>
          </cell>
          <cell r="X311">
            <v>6.0758542305598944</v>
          </cell>
          <cell r="Y311">
            <v>17.06724204004345</v>
          </cell>
          <cell r="Z311">
            <v>3.5016771807036244</v>
          </cell>
          <cell r="AA311">
            <v>50.629795041652791</v>
          </cell>
          <cell r="AB311">
            <v>4.1585246608762816</v>
          </cell>
          <cell r="AC311">
            <v>81.341012051985473</v>
          </cell>
          <cell r="AD311">
            <v>556.78992903596259</v>
          </cell>
          <cell r="AE311">
            <v>24.208661216333944</v>
          </cell>
          <cell r="AF311">
            <v>2.9277069377971676</v>
          </cell>
          <cell r="AG311">
            <v>98.551339770922297</v>
          </cell>
          <cell r="AH311">
            <v>12.134938250612105</v>
          </cell>
          <cell r="AI311">
            <v>33.905480811648296</v>
          </cell>
          <cell r="AJ311">
            <v>3.4352391158417475</v>
          </cell>
          <cell r="AK311">
            <v>82.916224664717049</v>
          </cell>
          <cell r="AL311">
            <v>3.4352391158417475</v>
          </cell>
          <cell r="AM311">
            <v>82.916224664717049</v>
          </cell>
          <cell r="AN311">
            <v>3.4779713295852681</v>
          </cell>
          <cell r="AO311">
            <v>137.07816562212037</v>
          </cell>
          <cell r="AP311">
            <v>82.397139975247683</v>
          </cell>
          <cell r="AQ311">
            <v>65.938807895791783</v>
          </cell>
          <cell r="AR311">
            <v>168.36852873247722</v>
          </cell>
          <cell r="AS311">
            <v>50.510409379256636</v>
          </cell>
          <cell r="AT311">
            <v>194.55234963337153</v>
          </cell>
          <cell r="AU311">
            <v>50.510409379256636</v>
          </cell>
          <cell r="AV311">
            <v>3.8668131808192499</v>
          </cell>
          <cell r="AW311">
            <v>133.99040870813107</v>
          </cell>
          <cell r="AX311">
            <v>1.7792738404336454</v>
          </cell>
          <cell r="AY311">
            <v>103.71275974244386</v>
          </cell>
          <cell r="AZ311">
            <v>187.31618950738476</v>
          </cell>
          <cell r="BA311">
            <v>54.261834111714869</v>
          </cell>
          <cell r="BB311">
            <v>1.7792738404336454</v>
          </cell>
          <cell r="BC311">
            <v>500.6068132621557</v>
          </cell>
          <cell r="BD311">
            <v>0</v>
          </cell>
          <cell r="BE311">
            <v>113.81466742449891</v>
          </cell>
          <cell r="BF311">
            <v>18.186121644198138</v>
          </cell>
          <cell r="BG311">
            <v>65.938807895791783</v>
          </cell>
          <cell r="BH311">
            <v>6.0758542305598944</v>
          </cell>
          <cell r="BI311">
            <v>65.938548847719318</v>
          </cell>
          <cell r="BJ311">
            <v>3.5016771807036244</v>
          </cell>
          <cell r="BK311">
            <v>112.2513066869865</v>
          </cell>
          <cell r="BL311">
            <v>4.7224109732044468</v>
          </cell>
          <cell r="BM311">
            <v>94.140506310044628</v>
          </cell>
          <cell r="BN311">
            <v>556.78992903596259</v>
          </cell>
          <cell r="BO311">
            <v>85.782182911228134</v>
          </cell>
          <cell r="BP311">
            <v>2.9277069377971676</v>
          </cell>
          <cell r="BQ311">
            <v>160.25989357620824</v>
          </cell>
          <cell r="BR311">
            <v>12.134938250612105</v>
          </cell>
          <cell r="BS311">
            <v>95.496615296927516</v>
          </cell>
          <cell r="BT311">
            <v>3.7112297653900796</v>
          </cell>
          <cell r="BU311">
            <v>137.07816562212037</v>
          </cell>
          <cell r="BV311">
            <v>42.4178516094914</v>
          </cell>
          <cell r="BW311">
            <v>0</v>
          </cell>
          <cell r="BX311">
            <v>42.4178516094914</v>
          </cell>
          <cell r="BY311">
            <v>0</v>
          </cell>
          <cell r="BZ311">
            <v>42.4178516094914</v>
          </cell>
          <cell r="CA311">
            <v>0</v>
          </cell>
          <cell r="CB311">
            <v>42.4178516094914</v>
          </cell>
          <cell r="CC311">
            <v>0</v>
          </cell>
          <cell r="CD311">
            <v>3.4779713295852681</v>
          </cell>
          <cell r="CE311">
            <v>39.074004782339195</v>
          </cell>
          <cell r="CF311">
            <v>0.18930210633967651</v>
          </cell>
          <cell r="CG311">
            <v>81.309295209474314</v>
          </cell>
          <cell r="CH311">
            <v>0.20878908787464323</v>
          </cell>
          <cell r="CI311">
            <v>49.568000047798428</v>
          </cell>
          <cell r="CJ311">
            <v>3.4779713295852681</v>
          </cell>
          <cell r="CK311">
            <v>93.070689837391598</v>
          </cell>
          <cell r="CL311">
            <v>0.18930210633967651</v>
          </cell>
          <cell r="CM311">
            <v>93.070689837391598</v>
          </cell>
        </row>
        <row r="312">
          <cell r="B312">
            <v>11.107691832965823</v>
          </cell>
          <cell r="C312">
            <v>9.6726743295326667</v>
          </cell>
          <cell r="D312">
            <v>0</v>
          </cell>
          <cell r="E312">
            <v>1.6102382871450622</v>
          </cell>
          <cell r="F312">
            <v>0.75315524514925936</v>
          </cell>
          <cell r="G312">
            <v>1.6102382871450622</v>
          </cell>
          <cell r="H312">
            <v>0.90219513550926433</v>
          </cell>
          <cell r="I312">
            <v>0.90894945204427291</v>
          </cell>
          <cell r="J312">
            <v>7.321007930154769</v>
          </cell>
          <cell r="K312">
            <v>9.7540113654402489</v>
          </cell>
          <cell r="L312">
            <v>1.4982203207720808</v>
          </cell>
          <cell r="M312">
            <v>4.286629135596085</v>
          </cell>
          <cell r="N312">
            <v>1.0496111162614683</v>
          </cell>
          <cell r="O312">
            <v>0.91655227033108921</v>
          </cell>
          <cell r="P312">
            <v>1.4982203207720808</v>
          </cell>
          <cell r="Q312">
            <v>18.773304076981756</v>
          </cell>
          <cell r="R312">
            <v>0</v>
          </cell>
          <cell r="S312">
            <v>16.407585647965476</v>
          </cell>
          <cell r="T312">
            <v>6.3321864987545595</v>
          </cell>
          <cell r="U312">
            <v>8.1077910261834951</v>
          </cell>
          <cell r="V312">
            <v>1.4031095011604517</v>
          </cell>
          <cell r="W312">
            <v>1.6102382871450622</v>
          </cell>
          <cell r="X312">
            <v>13.843373292288849</v>
          </cell>
          <cell r="Y312">
            <v>1.6102382871450622</v>
          </cell>
          <cell r="Z312">
            <v>11.518719403989991</v>
          </cell>
          <cell r="AA312">
            <v>6.9284067254991504</v>
          </cell>
          <cell r="AB312">
            <v>0</v>
          </cell>
          <cell r="AC312">
            <v>0</v>
          </cell>
          <cell r="AD312">
            <v>79.463281541180109</v>
          </cell>
          <cell r="AE312">
            <v>2.7010183054403445</v>
          </cell>
          <cell r="AF312">
            <v>2.9663383688339962</v>
          </cell>
          <cell r="AG312">
            <v>3.4392119015120155</v>
          </cell>
          <cell r="AH312">
            <v>24.49220598330632</v>
          </cell>
          <cell r="AI312">
            <v>9.9410053436027379</v>
          </cell>
          <cell r="AJ312">
            <v>10.971216797198332</v>
          </cell>
          <cell r="AK312">
            <v>9.6726743295326667</v>
          </cell>
          <cell r="AL312">
            <v>10.971216797198332</v>
          </cell>
          <cell r="AM312">
            <v>9.6726743295326667</v>
          </cell>
          <cell r="AN312">
            <v>11.107691832965823</v>
          </cell>
          <cell r="AO312">
            <v>13.737045930398619</v>
          </cell>
          <cell r="AP312">
            <v>0</v>
          </cell>
          <cell r="AQ312">
            <v>5.0268654704480422</v>
          </cell>
          <cell r="AR312">
            <v>0.75315524514925936</v>
          </cell>
          <cell r="AS312">
            <v>0.49824236057902677</v>
          </cell>
          <cell r="AT312">
            <v>0.90219513550926433</v>
          </cell>
          <cell r="AU312">
            <v>0.49824236057902677</v>
          </cell>
          <cell r="AV312">
            <v>7.321007930154769</v>
          </cell>
          <cell r="AW312">
            <v>13.824917667564383</v>
          </cell>
          <cell r="AX312">
            <v>1.4982203207720808</v>
          </cell>
          <cell r="AY312">
            <v>7.918280316880125</v>
          </cell>
          <cell r="AZ312">
            <v>1.0496111162614683</v>
          </cell>
          <cell r="BA312">
            <v>0.5473381066832167</v>
          </cell>
          <cell r="BB312">
            <v>1.4982203207720808</v>
          </cell>
          <cell r="BC312">
            <v>23.568829647221943</v>
          </cell>
          <cell r="BD312">
            <v>0</v>
          </cell>
          <cell r="BE312">
            <v>21.012942098249098</v>
          </cell>
          <cell r="BF312">
            <v>1.4031095011604517</v>
          </cell>
          <cell r="BG312">
            <v>5.0268654704480422</v>
          </cell>
          <cell r="BH312">
            <v>13.843373292288849</v>
          </cell>
          <cell r="BI312">
            <v>5.0268460724622193</v>
          </cell>
          <cell r="BJ312">
            <v>11.518719403989991</v>
          </cell>
          <cell r="BK312">
            <v>11.548434570941586</v>
          </cell>
          <cell r="BL312">
            <v>0</v>
          </cell>
          <cell r="BM312">
            <v>0</v>
          </cell>
          <cell r="BN312">
            <v>79.463281541180109</v>
          </cell>
          <cell r="BO312">
            <v>7.3133677460834816</v>
          </cell>
          <cell r="BP312">
            <v>2.9663383688339962</v>
          </cell>
          <cell r="BQ312">
            <v>8.0529021579704185</v>
          </cell>
          <cell r="BR312">
            <v>24.49220598330632</v>
          </cell>
          <cell r="BS312">
            <v>14.566505113881286</v>
          </cell>
          <cell r="BT312">
            <v>11.852655657227265</v>
          </cell>
          <cell r="BU312">
            <v>13.737045930398619</v>
          </cell>
          <cell r="BV312">
            <v>13.827490004470189</v>
          </cell>
          <cell r="BW312">
            <v>0</v>
          </cell>
          <cell r="BX312">
            <v>13.827490004470189</v>
          </cell>
          <cell r="BY312">
            <v>0</v>
          </cell>
          <cell r="BZ312">
            <v>13.827490004470189</v>
          </cell>
          <cell r="CA312">
            <v>0</v>
          </cell>
          <cell r="CB312">
            <v>13.827490004470189</v>
          </cell>
          <cell r="CC312">
            <v>0</v>
          </cell>
          <cell r="CD312">
            <v>11.107691832965823</v>
          </cell>
          <cell r="CE312">
            <v>3.1481552507025983</v>
          </cell>
          <cell r="CF312">
            <v>-24.405622942553713</v>
          </cell>
          <cell r="CG312">
            <v>-7.680056423294312</v>
          </cell>
          <cell r="CH312">
            <v>-24.040153630308737</v>
          </cell>
          <cell r="CI312">
            <v>-4.5375867460507164</v>
          </cell>
          <cell r="CJ312">
            <v>11.107691832965823</v>
          </cell>
          <cell r="CK312">
            <v>3.0006275934437276</v>
          </cell>
          <cell r="CL312">
            <v>-24.405622942553713</v>
          </cell>
          <cell r="CM312">
            <v>3.0006275934437276</v>
          </cell>
        </row>
        <row r="313">
          <cell r="B313">
            <v>35.014272979137885</v>
          </cell>
          <cell r="C313">
            <v>31.518996045177399</v>
          </cell>
          <cell r="D313">
            <v>0</v>
          </cell>
          <cell r="E313">
            <v>9.9741308636219017</v>
          </cell>
          <cell r="F313">
            <v>2.9363395746649323</v>
          </cell>
          <cell r="G313">
            <v>9.9741308636219017</v>
          </cell>
          <cell r="H313">
            <v>3.5174040113616134</v>
          </cell>
          <cell r="I313">
            <v>7.4872915461475964</v>
          </cell>
          <cell r="J313">
            <v>1.7421531066535456</v>
          </cell>
          <cell r="K313">
            <v>17.663880424576313</v>
          </cell>
          <cell r="L313">
            <v>6.2350283000810425</v>
          </cell>
          <cell r="M313">
            <v>21.03116934060046</v>
          </cell>
          <cell r="N313">
            <v>4.0541705699488597</v>
          </cell>
          <cell r="O313">
            <v>7.5151032784376559</v>
          </cell>
          <cell r="P313">
            <v>6.2350283000810425</v>
          </cell>
          <cell r="Q313">
            <v>60.429336467756812</v>
          </cell>
          <cell r="R313">
            <v>0</v>
          </cell>
          <cell r="S313">
            <v>71.298612994664254</v>
          </cell>
          <cell r="T313">
            <v>11.11902484451179</v>
          </cell>
          <cell r="U313">
            <v>21.697095564097577</v>
          </cell>
          <cell r="V313">
            <v>5.3437540222596116</v>
          </cell>
          <cell r="W313">
            <v>9.9741308636219017</v>
          </cell>
          <cell r="X313">
            <v>57.922172414664956</v>
          </cell>
          <cell r="Y313">
            <v>9.9741308636219017</v>
          </cell>
          <cell r="Z313">
            <v>37.093833066572728</v>
          </cell>
          <cell r="AA313">
            <v>23.079601277724382</v>
          </cell>
          <cell r="AB313">
            <v>0</v>
          </cell>
          <cell r="AC313">
            <v>0</v>
          </cell>
          <cell r="AD313">
            <v>53.815317773556984</v>
          </cell>
          <cell r="AE313">
            <v>7.6261724917803528</v>
          </cell>
          <cell r="AF313">
            <v>22.411635820566698</v>
          </cell>
          <cell r="AG313">
            <v>14.45675466808267</v>
          </cell>
          <cell r="AH313">
            <v>25.592183466973395</v>
          </cell>
          <cell r="AI313">
            <v>16.38938569693228</v>
          </cell>
          <cell r="AJ313">
            <v>34.584068916128281</v>
          </cell>
          <cell r="AK313">
            <v>31.518996045177399</v>
          </cell>
          <cell r="AL313">
            <v>34.584068916128281</v>
          </cell>
          <cell r="AM313">
            <v>31.518996045177399</v>
          </cell>
          <cell r="AN313">
            <v>35.014272979137885</v>
          </cell>
          <cell r="AO313">
            <v>42.33957469947854</v>
          </cell>
          <cell r="AP313">
            <v>0</v>
          </cell>
          <cell r="AQ313">
            <v>19.06377285372762</v>
          </cell>
          <cell r="AR313">
            <v>2.9363395746649323</v>
          </cell>
          <cell r="AS313">
            <v>3.0048290349137194</v>
          </cell>
          <cell r="AT313">
            <v>3.5174040113616134</v>
          </cell>
          <cell r="AU313">
            <v>3.0048290349137194</v>
          </cell>
          <cell r="AV313">
            <v>1.7421531066535456</v>
          </cell>
          <cell r="AW313">
            <v>27.371324816385236</v>
          </cell>
          <cell r="AX313">
            <v>6.2350283000810425</v>
          </cell>
          <cell r="AY313">
            <v>31.00914519290211</v>
          </cell>
          <cell r="AZ313">
            <v>4.0541705699488597</v>
          </cell>
          <cell r="BA313">
            <v>3.184425297210058</v>
          </cell>
          <cell r="BB313">
            <v>6.2350283000810425</v>
          </cell>
          <cell r="BC313">
            <v>73.572601655026119</v>
          </cell>
          <cell r="BD313">
            <v>0</v>
          </cell>
          <cell r="BE313">
            <v>85.314572223479772</v>
          </cell>
          <cell r="BF313">
            <v>5.3437540222596116</v>
          </cell>
          <cell r="BG313">
            <v>19.06377285372762</v>
          </cell>
          <cell r="BH313">
            <v>57.922172414664956</v>
          </cell>
          <cell r="BI313">
            <v>19.06370367160012</v>
          </cell>
          <cell r="BJ313">
            <v>37.093833066572728</v>
          </cell>
          <cell r="BK313">
            <v>39.553781534006248</v>
          </cell>
          <cell r="BL313">
            <v>0</v>
          </cell>
          <cell r="BM313">
            <v>0</v>
          </cell>
          <cell r="BN313">
            <v>53.815317773556984</v>
          </cell>
          <cell r="BO313">
            <v>24.07228395712912</v>
          </cell>
          <cell r="BP313">
            <v>22.411635820566698</v>
          </cell>
          <cell r="BQ313">
            <v>30.915272841723411</v>
          </cell>
          <cell r="BR313">
            <v>25.592183466973395</v>
          </cell>
          <cell r="BS313">
            <v>32.851414199384244</v>
          </cell>
          <cell r="BT313">
            <v>37.362588641340402</v>
          </cell>
          <cell r="BU313">
            <v>42.33957469947854</v>
          </cell>
          <cell r="BV313">
            <v>36.038584225514008</v>
          </cell>
          <cell r="BW313">
            <v>0</v>
          </cell>
          <cell r="BX313">
            <v>36.038584225514008</v>
          </cell>
          <cell r="BY313">
            <v>0</v>
          </cell>
          <cell r="BZ313">
            <v>36.038584225514008</v>
          </cell>
          <cell r="CA313">
            <v>0</v>
          </cell>
          <cell r="CB313">
            <v>36.038584225514008</v>
          </cell>
          <cell r="CC313">
            <v>0</v>
          </cell>
          <cell r="CD313">
            <v>35.014272979137885</v>
          </cell>
          <cell r="CE313">
            <v>2.374601831417348</v>
          </cell>
          <cell r="CF313">
            <v>-22.455589045339693</v>
          </cell>
          <cell r="CG313">
            <v>3.4377243188805906</v>
          </cell>
          <cell r="CH313">
            <v>-20.449754175127342</v>
          </cell>
          <cell r="CI313">
            <v>4.5246151563565657</v>
          </cell>
          <cell r="CJ313">
            <v>35.014272979137885</v>
          </cell>
          <cell r="CK313">
            <v>14.932897776069346</v>
          </cell>
          <cell r="CL313">
            <v>-22.455589045339693</v>
          </cell>
          <cell r="CM313">
            <v>14.932897776069346</v>
          </cell>
        </row>
        <row r="314">
          <cell r="B314">
            <v>41.203027417373818</v>
          </cell>
          <cell r="C314">
            <v>41.794251396994866</v>
          </cell>
          <cell r="D314">
            <v>0</v>
          </cell>
          <cell r="E314">
            <v>11.388752225595205</v>
          </cell>
          <cell r="F314">
            <v>2.9707113367421654</v>
          </cell>
          <cell r="G314">
            <v>11.388752225595205</v>
          </cell>
          <cell r="H314">
            <v>3.5585775101119483</v>
          </cell>
          <cell r="I314">
            <v>6.9245917162624826</v>
          </cell>
          <cell r="J314">
            <v>4.8328666854299254</v>
          </cell>
          <cell r="K314">
            <v>17.18574891052376</v>
          </cell>
          <cell r="L314">
            <v>8.977976416607671</v>
          </cell>
          <cell r="M314">
            <v>30.250511422339624</v>
          </cell>
          <cell r="N314">
            <v>3.976233388832032</v>
          </cell>
          <cell r="O314">
            <v>6.9466866255044835</v>
          </cell>
          <cell r="P314">
            <v>8.977976416607671</v>
          </cell>
          <cell r="Q314">
            <v>93.564801144261978</v>
          </cell>
          <cell r="R314">
            <v>0</v>
          </cell>
          <cell r="S314">
            <v>73.04618229419664</v>
          </cell>
          <cell r="T314">
            <v>16.6514674176779</v>
          </cell>
          <cell r="U314">
            <v>21.395667108944608</v>
          </cell>
          <cell r="V314">
            <v>8.902165146445375</v>
          </cell>
          <cell r="W314">
            <v>11.388752225595205</v>
          </cell>
          <cell r="X314">
            <v>55.718138057083742</v>
          </cell>
          <cell r="Y314">
            <v>11.388752225595205</v>
          </cell>
          <cell r="Z314">
            <v>43.657594511647645</v>
          </cell>
          <cell r="AA314">
            <v>32.709108699635479</v>
          </cell>
          <cell r="AB314">
            <v>0</v>
          </cell>
          <cell r="AC314">
            <v>0</v>
          </cell>
          <cell r="AD314">
            <v>113.48941768174457</v>
          </cell>
          <cell r="AE314">
            <v>12.80024950744024</v>
          </cell>
          <cell r="AF314">
            <v>25.204477276975979</v>
          </cell>
          <cell r="AG314">
            <v>22.118091202510897</v>
          </cell>
          <cell r="AH314">
            <v>30.515063110062268</v>
          </cell>
          <cell r="AI314">
            <v>24.186742206081664</v>
          </cell>
          <cell r="AJ314">
            <v>40.696785011203865</v>
          </cell>
          <cell r="AK314">
            <v>41.794251396994866</v>
          </cell>
          <cell r="AL314">
            <v>40.696785011203865</v>
          </cell>
          <cell r="AM314">
            <v>41.794251396994866</v>
          </cell>
          <cell r="AN314">
            <v>41.203027417373818</v>
          </cell>
          <cell r="AO314">
            <v>64.512301671677307</v>
          </cell>
          <cell r="AP314">
            <v>0</v>
          </cell>
          <cell r="AQ314">
            <v>31.663993373117478</v>
          </cell>
          <cell r="AR314">
            <v>2.9707113367421654</v>
          </cell>
          <cell r="AS314">
            <v>2.8363556911012253</v>
          </cell>
          <cell r="AT314">
            <v>3.5585775101119483</v>
          </cell>
          <cell r="AU314">
            <v>2.8363556911012253</v>
          </cell>
          <cell r="AV314">
            <v>4.8328666854299254</v>
          </cell>
          <cell r="AW314">
            <v>37.926726743776243</v>
          </cell>
          <cell r="AX314">
            <v>8.977976416607671</v>
          </cell>
          <cell r="AY314">
            <v>52.041125735103165</v>
          </cell>
          <cell r="AZ314">
            <v>3.976233388832032</v>
          </cell>
          <cell r="BA314">
            <v>2.9790351572435934</v>
          </cell>
          <cell r="BB314">
            <v>8.977976416607671</v>
          </cell>
          <cell r="BC314">
            <v>120.44215071963413</v>
          </cell>
          <cell r="BD314">
            <v>0</v>
          </cell>
          <cell r="BE314">
            <v>98.272813995450733</v>
          </cell>
          <cell r="BF314">
            <v>8.902165146445375</v>
          </cell>
          <cell r="BG314">
            <v>31.663993373117478</v>
          </cell>
          <cell r="BH314">
            <v>55.718138057083742</v>
          </cell>
          <cell r="BI314">
            <v>31.663872604318783</v>
          </cell>
          <cell r="BJ314">
            <v>43.657594511647645</v>
          </cell>
          <cell r="BK314">
            <v>61.45373567410045</v>
          </cell>
          <cell r="BL314">
            <v>0</v>
          </cell>
          <cell r="BM314">
            <v>0</v>
          </cell>
          <cell r="BN314">
            <v>113.48941768174458</v>
          </cell>
          <cell r="BO314">
            <v>41.508715082767019</v>
          </cell>
          <cell r="BP314">
            <v>25.204477276975979</v>
          </cell>
          <cell r="BQ314">
            <v>50.843481212803496</v>
          </cell>
          <cell r="BR314">
            <v>30.515063110062268</v>
          </cell>
          <cell r="BS314">
            <v>52.915889604675407</v>
          </cell>
          <cell r="BT314">
            <v>43.966406644811393</v>
          </cell>
          <cell r="BU314">
            <v>64.512301671677307</v>
          </cell>
          <cell r="BV314">
            <v>43.340731976070145</v>
          </cell>
          <cell r="BW314">
            <v>0</v>
          </cell>
          <cell r="BX314">
            <v>43.340731976070145</v>
          </cell>
          <cell r="BY314">
            <v>0</v>
          </cell>
          <cell r="BZ314">
            <v>43.340731976070145</v>
          </cell>
          <cell r="CA314">
            <v>0</v>
          </cell>
          <cell r="CB314">
            <v>43.340731976070145</v>
          </cell>
          <cell r="CC314">
            <v>0</v>
          </cell>
          <cell r="CD314">
            <v>41.203027417373818</v>
          </cell>
          <cell r="CE314">
            <v>3.7266582985047854</v>
          </cell>
          <cell r="CF314">
            <v>9.8950272976341456</v>
          </cell>
          <cell r="CG314">
            <v>26.496346937177524</v>
          </cell>
          <cell r="CH314">
            <v>12.309430921380653</v>
          </cell>
          <cell r="CI314">
            <v>22.600862616460162</v>
          </cell>
          <cell r="CJ314">
            <v>41.203027417373818</v>
          </cell>
          <cell r="CK314">
            <v>20.045096640187708</v>
          </cell>
          <cell r="CL314">
            <v>9.8950272976341456</v>
          </cell>
          <cell r="CM314">
            <v>20.045096640187708</v>
          </cell>
        </row>
        <row r="315">
          <cell r="B315">
            <v>0.40554909582209131</v>
          </cell>
          <cell r="C315">
            <v>4.7398168237892229</v>
          </cell>
          <cell r="D315">
            <v>0</v>
          </cell>
          <cell r="E315">
            <v>1.3205957223263578</v>
          </cell>
          <cell r="F315">
            <v>0.18909575398713999</v>
          </cell>
          <cell r="G315">
            <v>1.3205957223263578</v>
          </cell>
          <cell r="H315">
            <v>0.22651541032399597</v>
          </cell>
          <cell r="I315">
            <v>0.6713853719205185</v>
          </cell>
          <cell r="J315">
            <v>8.5048430043686309</v>
          </cell>
          <cell r="K315">
            <v>7.4701242904202765</v>
          </cell>
          <cell r="L315">
            <v>0.649538353743218</v>
          </cell>
          <cell r="M315">
            <v>2.4555995090236173</v>
          </cell>
          <cell r="N315">
            <v>0.24973574189389477</v>
          </cell>
          <cell r="O315">
            <v>0.67262964361109878</v>
          </cell>
          <cell r="P315">
            <v>0.649538353743218</v>
          </cell>
          <cell r="Q315">
            <v>10.830399383997561</v>
          </cell>
          <cell r="R315">
            <v>0</v>
          </cell>
          <cell r="S315">
            <v>5.9606999441293684</v>
          </cell>
          <cell r="T315">
            <v>1.2774105049139552</v>
          </cell>
          <cell r="U315">
            <v>2.1070787520069234</v>
          </cell>
          <cell r="V315">
            <v>1.1589388517332657</v>
          </cell>
          <cell r="W315">
            <v>1.3205957223263578</v>
          </cell>
          <cell r="X315">
            <v>3.7941366965497831</v>
          </cell>
          <cell r="Y315">
            <v>1.3205957223263578</v>
          </cell>
          <cell r="Z315">
            <v>0.41111952835317866</v>
          </cell>
          <cell r="AA315">
            <v>3.4376854444750595</v>
          </cell>
          <cell r="AB315">
            <v>0</v>
          </cell>
          <cell r="AC315">
            <v>0</v>
          </cell>
          <cell r="AD315">
            <v>21.180406548294556</v>
          </cell>
          <cell r="AE315">
            <v>2.7189831331317307</v>
          </cell>
          <cell r="AF315">
            <v>1.6442557493952186</v>
          </cell>
          <cell r="AG315">
            <v>2.9942550062943014</v>
          </cell>
          <cell r="AH315">
            <v>1.8339441592557144</v>
          </cell>
          <cell r="AI315">
            <v>3.6468655193999804</v>
          </cell>
          <cell r="AJ315">
            <v>0.40056630297996981</v>
          </cell>
          <cell r="AK315">
            <v>4.7398168237892229</v>
          </cell>
          <cell r="AL315">
            <v>0.40056630297996981</v>
          </cell>
          <cell r="AM315">
            <v>4.7398168237892229</v>
          </cell>
          <cell r="AN315">
            <v>0.40554909582209131</v>
          </cell>
          <cell r="AO315">
            <v>8.1228301655399893</v>
          </cell>
          <cell r="AP315">
            <v>0</v>
          </cell>
          <cell r="AQ315">
            <v>4.428905318305743</v>
          </cell>
          <cell r="AR315">
            <v>0.18909575398713999</v>
          </cell>
          <cell r="AS315">
            <v>0.23658277036227718</v>
          </cell>
          <cell r="AT315">
            <v>0.22651541032399597</v>
          </cell>
          <cell r="AU315">
            <v>0.23658277036227718</v>
          </cell>
          <cell r="AV315">
            <v>8.5048430043686309</v>
          </cell>
          <cell r="AW315">
            <v>11.072493346801553</v>
          </cell>
          <cell r="AX315">
            <v>0.649538353743218</v>
          </cell>
          <cell r="AY315">
            <v>5.6550964785065903</v>
          </cell>
          <cell r="AZ315">
            <v>0.24973574189389477</v>
          </cell>
          <cell r="BA315">
            <v>0.24461774432861455</v>
          </cell>
          <cell r="BB315">
            <v>0.649538353743218</v>
          </cell>
          <cell r="BC315">
            <v>14.702736403150549</v>
          </cell>
          <cell r="BD315">
            <v>0</v>
          </cell>
          <cell r="BE315">
            <v>9.4417345157572381</v>
          </cell>
          <cell r="BF315">
            <v>1.1589388517332657</v>
          </cell>
          <cell r="BG315">
            <v>4.428905318305743</v>
          </cell>
          <cell r="BH315">
            <v>3.7941366965497831</v>
          </cell>
          <cell r="BI315">
            <v>4.4288881165110574</v>
          </cell>
          <cell r="BJ315">
            <v>0.41111952835317866</v>
          </cell>
          <cell r="BK315">
            <v>7.529729775559316</v>
          </cell>
          <cell r="BL315">
            <v>0</v>
          </cell>
          <cell r="BM315">
            <v>0</v>
          </cell>
          <cell r="BN315">
            <v>21.180406548294556</v>
          </cell>
          <cell r="BO315">
            <v>6.8097220513396817</v>
          </cell>
          <cell r="BP315">
            <v>1.6442557493952186</v>
          </cell>
          <cell r="BQ315">
            <v>7.0854939137774231</v>
          </cell>
          <cell r="BR315">
            <v>1.8339441592557144</v>
          </cell>
          <cell r="BS315">
            <v>7.7392897941117491</v>
          </cell>
          <cell r="BT315">
            <v>0.43274821242458411</v>
          </cell>
          <cell r="BU315">
            <v>8.1228301655399893</v>
          </cell>
          <cell r="BV315">
            <v>2.1519773742343538</v>
          </cell>
          <cell r="BW315">
            <v>0</v>
          </cell>
          <cell r="BX315">
            <v>2.1519773742343538</v>
          </cell>
          <cell r="BY315">
            <v>0</v>
          </cell>
          <cell r="BZ315">
            <v>2.1519773742343538</v>
          </cell>
          <cell r="CA315">
            <v>0</v>
          </cell>
          <cell r="CB315">
            <v>2.1519773742343538</v>
          </cell>
          <cell r="CC315">
            <v>0</v>
          </cell>
          <cell r="CD315">
            <v>0.40554909582209131</v>
          </cell>
          <cell r="CE315">
            <v>1.7620678756184311</v>
          </cell>
          <cell r="CF315">
            <v>-5.3741985224860684</v>
          </cell>
          <cell r="CG315">
            <v>1.9156815699060621</v>
          </cell>
          <cell r="CH315">
            <v>-5.3760426396622591</v>
          </cell>
          <cell r="CI315">
            <v>1.5716093297100793</v>
          </cell>
          <cell r="CJ315">
            <v>0.40554909582209131</v>
          </cell>
          <cell r="CK315">
            <v>2.5535686504045536</v>
          </cell>
          <cell r="CL315">
            <v>-5.3741985224860684</v>
          </cell>
          <cell r="CM315">
            <v>2.5535686504045536</v>
          </cell>
        </row>
        <row r="316">
          <cell r="B316">
            <v>0.38455892510146839</v>
          </cell>
          <cell r="C316">
            <v>3.8250598240917095</v>
          </cell>
          <cell r="D316">
            <v>0</v>
          </cell>
          <cell r="E316">
            <v>0.68478596107060286</v>
          </cell>
          <cell r="F316">
            <v>0.13144315848101767</v>
          </cell>
          <cell r="G316">
            <v>0.68478596107060286</v>
          </cell>
          <cell r="H316">
            <v>0.15745409587374773</v>
          </cell>
          <cell r="I316">
            <v>0.3160284204686612</v>
          </cell>
          <cell r="J316">
            <v>1.183266795305052</v>
          </cell>
          <cell r="K316">
            <v>1.6941470577342375</v>
          </cell>
          <cell r="L316">
            <v>0.54526061645111901</v>
          </cell>
          <cell r="M316">
            <v>1.6276173984292859</v>
          </cell>
          <cell r="N316">
            <v>0.17644403535514397</v>
          </cell>
          <cell r="O316">
            <v>0.317030624252023</v>
          </cell>
          <cell r="P316">
            <v>0.54526061645111901</v>
          </cell>
          <cell r="Q316">
            <v>6.5456763409055627</v>
          </cell>
          <cell r="R316">
            <v>0</v>
          </cell>
          <cell r="S316">
            <v>4.8656088898587031</v>
          </cell>
          <cell r="T316">
            <v>1.065309020300875</v>
          </cell>
          <cell r="U316">
            <v>1.3299259739736402</v>
          </cell>
          <cell r="V316">
            <v>0.68124062413441944</v>
          </cell>
          <cell r="W316">
            <v>0.68478596107060286</v>
          </cell>
          <cell r="X316">
            <v>3.6985476126347687</v>
          </cell>
          <cell r="Y316">
            <v>0.68478596107060286</v>
          </cell>
          <cell r="Z316">
            <v>0.38976657399906967</v>
          </cell>
          <cell r="AA316">
            <v>2.6048002144604085</v>
          </cell>
          <cell r="AB316">
            <v>0</v>
          </cell>
          <cell r="AC316">
            <v>0</v>
          </cell>
          <cell r="AD316">
            <v>7.6700483737997027</v>
          </cell>
          <cell r="AE316">
            <v>1.9874553911472757</v>
          </cell>
          <cell r="AF316">
            <v>1.140480468621238</v>
          </cell>
          <cell r="AG316">
            <v>1.6717408072296447</v>
          </cell>
          <cell r="AH316">
            <v>1.5210492909709201</v>
          </cell>
          <cell r="AI316">
            <v>2.6477758586828255</v>
          </cell>
          <cell r="AJ316">
            <v>0.37983402871010735</v>
          </cell>
          <cell r="AK316">
            <v>3.8250598240917095</v>
          </cell>
          <cell r="AL316">
            <v>0.37983402871010735</v>
          </cell>
          <cell r="AM316">
            <v>3.8250598240917095</v>
          </cell>
          <cell r="AN316">
            <v>0.38455892510146839</v>
          </cell>
          <cell r="AO316">
            <v>5.8991884246037616</v>
          </cell>
          <cell r="AP316">
            <v>0</v>
          </cell>
          <cell r="AQ316">
            <v>2.5066217243189879</v>
          </cell>
          <cell r="AR316">
            <v>0.13144315848101767</v>
          </cell>
          <cell r="AS316">
            <v>0.12534337405349757</v>
          </cell>
          <cell r="AT316">
            <v>0.15745409587374773</v>
          </cell>
          <cell r="AU316">
            <v>0.12534337405349757</v>
          </cell>
          <cell r="AV316">
            <v>1.183266795305052</v>
          </cell>
          <cell r="AW316">
            <v>3.597075931331871</v>
          </cell>
          <cell r="AX316">
            <v>0.54526061645111901</v>
          </cell>
          <cell r="AY316">
            <v>3.5252012106595392</v>
          </cell>
          <cell r="AZ316">
            <v>0.17644403535514397</v>
          </cell>
          <cell r="BA316">
            <v>0.13181517709236648</v>
          </cell>
          <cell r="BB316">
            <v>0.54526061645111901</v>
          </cell>
          <cell r="BC316">
            <v>8.8383820751562023</v>
          </cell>
          <cell r="BD316">
            <v>0</v>
          </cell>
          <cell r="BE316">
            <v>7.0232730499124161</v>
          </cell>
          <cell r="BF316">
            <v>0.68124062413441944</v>
          </cell>
          <cell r="BG316">
            <v>2.5066217243189879</v>
          </cell>
          <cell r="BH316">
            <v>3.6985476126347687</v>
          </cell>
          <cell r="BI316">
            <v>2.5066119177948338</v>
          </cell>
          <cell r="BJ316">
            <v>0.38976657399906967</v>
          </cell>
          <cell r="BK316">
            <v>4.9387941712149575</v>
          </cell>
          <cell r="BL316">
            <v>0</v>
          </cell>
          <cell r="BM316">
            <v>0</v>
          </cell>
          <cell r="BN316">
            <v>7.6700483737997036</v>
          </cell>
          <cell r="BO316">
            <v>4.3203280354074121</v>
          </cell>
          <cell r="BP316">
            <v>1.140480468621238</v>
          </cell>
          <cell r="BQ316">
            <v>4.0040400042132402</v>
          </cell>
          <cell r="BR316">
            <v>1.5210492909709201</v>
          </cell>
          <cell r="BS316">
            <v>4.9818478741251653</v>
          </cell>
          <cell r="BT316">
            <v>0.41035028588150241</v>
          </cell>
          <cell r="BU316">
            <v>5.8991884246037616</v>
          </cell>
          <cell r="BV316">
            <v>2.0317109583134347</v>
          </cell>
          <cell r="BW316">
            <v>0</v>
          </cell>
          <cell r="BX316">
            <v>2.0317109583134347</v>
          </cell>
          <cell r="BY316">
            <v>0</v>
          </cell>
          <cell r="BZ316">
            <v>2.0317109583134347</v>
          </cell>
          <cell r="CA316">
            <v>0</v>
          </cell>
          <cell r="CB316">
            <v>2.0317109583134347</v>
          </cell>
          <cell r="CC316">
            <v>0</v>
          </cell>
          <cell r="CD316">
            <v>0.38455892510146839</v>
          </cell>
          <cell r="CE316">
            <v>1.6619821653774256</v>
          </cell>
          <cell r="CF316">
            <v>-5.3775022990008265</v>
          </cell>
          <cell r="CG316">
            <v>1.0095666031638695</v>
          </cell>
          <cell r="CH316">
            <v>-5.3796865108182432</v>
          </cell>
          <cell r="CI316">
            <v>0.74443441093451024</v>
          </cell>
          <cell r="CJ316">
            <v>0.38455892510146839</v>
          </cell>
          <cell r="CK316">
            <v>1.3876881304173714</v>
          </cell>
          <cell r="CL316">
            <v>-5.3775022990008265</v>
          </cell>
          <cell r="CM316">
            <v>1.3876881304173714</v>
          </cell>
        </row>
        <row r="317">
          <cell r="B317">
            <v>11.197976748962525</v>
          </cell>
          <cell r="C317">
            <v>14.993771439049459</v>
          </cell>
          <cell r="D317">
            <v>0</v>
          </cell>
          <cell r="E317">
            <v>6.4362554691119662</v>
          </cell>
          <cell r="F317">
            <v>0.67675908082205116</v>
          </cell>
          <cell r="G317">
            <v>6.4362554691119662</v>
          </cell>
          <cell r="H317">
            <v>0.81068113720481882</v>
          </cell>
          <cell r="I317">
            <v>2.6722944576267591</v>
          </cell>
          <cell r="J317">
            <v>6.8002276753518149</v>
          </cell>
          <cell r="K317">
            <v>25.899878290262823</v>
          </cell>
          <cell r="L317">
            <v>1.4472399151035868</v>
          </cell>
          <cell r="M317">
            <v>26.051496938166334</v>
          </cell>
          <cell r="N317">
            <v>0.83208883075131668</v>
          </cell>
          <cell r="O317">
            <v>2.6737746498344874</v>
          </cell>
          <cell r="P317">
            <v>1.4472399151035868</v>
          </cell>
          <cell r="Q317">
            <v>78.217753222141596</v>
          </cell>
          <cell r="R317">
            <v>0</v>
          </cell>
          <cell r="S317">
            <v>23.829487873462426</v>
          </cell>
          <cell r="T317">
            <v>4.4962886661917167</v>
          </cell>
          <cell r="U317">
            <v>22.071921934358809</v>
          </cell>
          <cell r="V317">
            <v>6.3660904289365767</v>
          </cell>
          <cell r="W317">
            <v>6.4362554691119662</v>
          </cell>
          <cell r="X317">
            <v>12.519208416337461</v>
          </cell>
          <cell r="Y317">
            <v>6.4362554691119662</v>
          </cell>
          <cell r="Z317">
            <v>11.247515960177143</v>
          </cell>
          <cell r="AA317">
            <v>14.207741633053576</v>
          </cell>
          <cell r="AB317">
            <v>0</v>
          </cell>
          <cell r="AC317">
            <v>0</v>
          </cell>
          <cell r="AD317">
            <v>31.435149305290157</v>
          </cell>
          <cell r="AE317">
            <v>9.2618584208554147</v>
          </cell>
          <cell r="AF317">
            <v>0.68990689057256804</v>
          </cell>
          <cell r="AG317">
            <v>16.644308362361137</v>
          </cell>
          <cell r="AH317">
            <v>17.436634286434661</v>
          </cell>
          <cell r="AI317">
            <v>16.505468844332011</v>
          </cell>
          <cell r="AJ317">
            <v>11.060392424485444</v>
          </cell>
          <cell r="AK317">
            <v>14.993771439049459</v>
          </cell>
          <cell r="AL317">
            <v>11.060392424485444</v>
          </cell>
          <cell r="AM317">
            <v>14.993771439049459</v>
          </cell>
          <cell r="AN317">
            <v>11.197976748962525</v>
          </cell>
          <cell r="AO317">
            <v>34.447122500670091</v>
          </cell>
          <cell r="AP317">
            <v>0</v>
          </cell>
          <cell r="AQ317">
            <v>25.20208688175919</v>
          </cell>
          <cell r="AR317">
            <v>0.67675908082205116</v>
          </cell>
          <cell r="AS317">
            <v>0.89603783592192998</v>
          </cell>
          <cell r="AT317">
            <v>0.81068113720481882</v>
          </cell>
          <cell r="AU317">
            <v>0.89603783592192998</v>
          </cell>
          <cell r="AV317">
            <v>6.8002276753518149</v>
          </cell>
          <cell r="AW317">
            <v>46.229437211775718</v>
          </cell>
          <cell r="AX317">
            <v>1.4472399151035868</v>
          </cell>
          <cell r="AY317">
            <v>46.393237058049259</v>
          </cell>
          <cell r="AZ317">
            <v>0.83208883075131668</v>
          </cell>
          <cell r="BA317">
            <v>0.90559628360205491</v>
          </cell>
          <cell r="BB317">
            <v>1.4472399151035868</v>
          </cell>
          <cell r="BC317">
            <v>102.75058411353001</v>
          </cell>
          <cell r="BD317">
            <v>0</v>
          </cell>
          <cell r="BE317">
            <v>43.992688893521866</v>
          </cell>
          <cell r="BF317">
            <v>6.3660904289365767</v>
          </cell>
          <cell r="BG317">
            <v>25.20208688175919</v>
          </cell>
          <cell r="BH317">
            <v>12.519208416337461</v>
          </cell>
          <cell r="BI317">
            <v>25.201987773983266</v>
          </cell>
          <cell r="BJ317">
            <v>11.247515960177143</v>
          </cell>
          <cell r="BK317">
            <v>37.773799763533539</v>
          </cell>
          <cell r="BL317">
            <v>0</v>
          </cell>
          <cell r="BM317">
            <v>0</v>
          </cell>
          <cell r="BN317">
            <v>31.435149305290153</v>
          </cell>
          <cell r="BO317">
            <v>32.818933110586684</v>
          </cell>
          <cell r="BP317">
            <v>0.68990689057256804</v>
          </cell>
          <cell r="BQ317">
            <v>40.214792143812602</v>
          </cell>
          <cell r="BR317">
            <v>17.436634286434661</v>
          </cell>
          <cell r="BS317">
            <v>40.075700445024182</v>
          </cell>
          <cell r="BT317">
            <v>11.948995746279309</v>
          </cell>
          <cell r="BU317">
            <v>34.447122500670091</v>
          </cell>
          <cell r="BV317">
            <v>13.262789187376624</v>
          </cell>
          <cell r="BW317">
            <v>0</v>
          </cell>
          <cell r="BX317">
            <v>13.262789187376624</v>
          </cell>
          <cell r="BY317">
            <v>0</v>
          </cell>
          <cell r="BZ317">
            <v>13.262789187376624</v>
          </cell>
          <cell r="CA317">
            <v>0</v>
          </cell>
          <cell r="CB317">
            <v>13.262789187376624</v>
          </cell>
          <cell r="CC317">
            <v>0</v>
          </cell>
          <cell r="CD317">
            <v>11.197976748962525</v>
          </cell>
          <cell r="CE317">
            <v>2.4966512655302213</v>
          </cell>
          <cell r="CF317">
            <v>7.1166373810774453E-2</v>
          </cell>
          <cell r="CG317">
            <v>9.5569220264210824</v>
          </cell>
          <cell r="CH317">
            <v>0.10643155542093358</v>
          </cell>
          <cell r="CI317">
            <v>10.615288044108164</v>
          </cell>
          <cell r="CJ317">
            <v>11.197976748962525</v>
          </cell>
          <cell r="CK317">
            <v>13.540002892779199</v>
          </cell>
          <cell r="CL317">
            <v>7.1166373810774453E-2</v>
          </cell>
          <cell r="CM317">
            <v>13.540002892779199</v>
          </cell>
        </row>
        <row r="318">
          <cell r="B318">
            <v>7.896569397128804E-2</v>
          </cell>
          <cell r="C318">
            <v>0.37682542351372927</v>
          </cell>
          <cell r="D318">
            <v>0</v>
          </cell>
          <cell r="E318">
            <v>3.9361466762969088E-2</v>
          </cell>
          <cell r="F318">
            <v>2.0848703295403236E-2</v>
          </cell>
          <cell r="G318">
            <v>3.9361466762969088E-2</v>
          </cell>
          <cell r="H318">
            <v>2.4974397796381418E-2</v>
          </cell>
          <cell r="I318">
            <v>2.0185510836078495E-2</v>
          </cell>
          <cell r="J318">
            <v>3.4674684697917998E-2</v>
          </cell>
          <cell r="K318">
            <v>7.3989706336653388E-2</v>
          </cell>
          <cell r="L318">
            <v>0.27048168872382977</v>
          </cell>
          <cell r="M318">
            <v>0.40226518755183072</v>
          </cell>
          <cell r="N318">
            <v>2.9726481232379878E-2</v>
          </cell>
          <cell r="O318">
            <v>2.042832069946118E-2</v>
          </cell>
          <cell r="P318">
            <v>0.27048168872382977</v>
          </cell>
          <cell r="Q318">
            <v>0.75785801199940339</v>
          </cell>
          <cell r="R318">
            <v>0</v>
          </cell>
          <cell r="S318">
            <v>0.68027147296400448</v>
          </cell>
          <cell r="T318">
            <v>0.16395182142956022</v>
          </cell>
          <cell r="U318">
            <v>0.13633059960416724</v>
          </cell>
          <cell r="V318">
            <v>4.4271088151124266E-2</v>
          </cell>
          <cell r="W318">
            <v>3.9361466762969088E-2</v>
          </cell>
          <cell r="X318">
            <v>0.61480604134454109</v>
          </cell>
          <cell r="Y318">
            <v>3.9361466762969088E-2</v>
          </cell>
          <cell r="Z318">
            <v>7.9961658660016574E-2</v>
          </cell>
          <cell r="AA318">
            <v>0.14262266238172075</v>
          </cell>
          <cell r="AB318">
            <v>0</v>
          </cell>
          <cell r="AC318">
            <v>0</v>
          </cell>
          <cell r="AD318">
            <v>0.75323618148407534</v>
          </cell>
          <cell r="AE318">
            <v>4.9604028892438624E-2</v>
          </cell>
          <cell r="AF318">
            <v>0.72580052110467452</v>
          </cell>
          <cell r="AG318">
            <v>9.1674793461129472E-2</v>
          </cell>
          <cell r="AH318">
            <v>4.5989481364263167E-2</v>
          </cell>
          <cell r="AI318">
            <v>7.5307754356944215E-2</v>
          </cell>
          <cell r="AJ318">
            <v>7.7995479270412713E-2</v>
          </cell>
          <cell r="AK318">
            <v>0.37682542351372927</v>
          </cell>
          <cell r="AL318">
            <v>7.7995479270412713E-2</v>
          </cell>
          <cell r="AM318">
            <v>0.37682542351372927</v>
          </cell>
          <cell r="AN318">
            <v>7.896569397128804E-2</v>
          </cell>
          <cell r="AO318">
            <v>0.50087295158428347</v>
          </cell>
          <cell r="AP318">
            <v>0</v>
          </cell>
          <cell r="AQ318">
            <v>0.13629679289296903</v>
          </cell>
          <cell r="AR318">
            <v>2.0848703295403236E-2</v>
          </cell>
          <cell r="AS318">
            <v>1.2466677799427447E-2</v>
          </cell>
          <cell r="AT318">
            <v>2.4974397796381418E-2</v>
          </cell>
          <cell r="AU318">
            <v>1.2466677799427447E-2</v>
          </cell>
          <cell r="AV318">
            <v>3.4674684697917998E-2</v>
          </cell>
          <cell r="AW318">
            <v>0.17370710090799807</v>
          </cell>
          <cell r="AX318">
            <v>0.27048168872382977</v>
          </cell>
          <cell r="AY318">
            <v>0.52835657247323808</v>
          </cell>
          <cell r="AZ318">
            <v>2.9726481232379878E-2</v>
          </cell>
          <cell r="BA318">
            <v>1.4034639962208681E-2</v>
          </cell>
          <cell r="BB318">
            <v>0.27048168872382977</v>
          </cell>
          <cell r="BC318">
            <v>0.91251809076847723</v>
          </cell>
          <cell r="BD318">
            <v>0</v>
          </cell>
          <cell r="BE318">
            <v>0.82868929594729657</v>
          </cell>
          <cell r="BF318">
            <v>4.4271088151124266E-2</v>
          </cell>
          <cell r="BG318">
            <v>0.13629679289296903</v>
          </cell>
          <cell r="BH318">
            <v>0.61480604134454109</v>
          </cell>
          <cell r="BI318">
            <v>0.13629626209831022</v>
          </cell>
          <cell r="BJ318">
            <v>7.9961658660016574E-2</v>
          </cell>
          <cell r="BK318">
            <v>0.26895698855797306</v>
          </cell>
          <cell r="BL318">
            <v>0</v>
          </cell>
          <cell r="BM318">
            <v>0</v>
          </cell>
          <cell r="BN318">
            <v>0.75323618148407534</v>
          </cell>
          <cell r="BO318">
            <v>0.17576940094126345</v>
          </cell>
          <cell r="BP318">
            <v>0.72580052110467452</v>
          </cell>
          <cell r="BQ318">
            <v>0.21791658062218805</v>
          </cell>
          <cell r="BR318">
            <v>4.5989481364263167E-2</v>
          </cell>
          <cell r="BS318">
            <v>0.20151981329359558</v>
          </cell>
          <cell r="BT318">
            <v>8.426171642590112E-2</v>
          </cell>
          <cell r="BU318">
            <v>0.50087295158428347</v>
          </cell>
          <cell r="BV318">
            <v>0.18499940075515639</v>
          </cell>
          <cell r="BW318">
            <v>0</v>
          </cell>
          <cell r="BX318">
            <v>0.18499940075515639</v>
          </cell>
          <cell r="BY318">
            <v>0</v>
          </cell>
          <cell r="BZ318">
            <v>0.18499940075515639</v>
          </cell>
          <cell r="CA318">
            <v>0</v>
          </cell>
          <cell r="CB318">
            <v>0.18499940075515639</v>
          </cell>
          <cell r="CC318">
            <v>0</v>
          </cell>
          <cell r="CD318">
            <v>7.896569397128804E-2</v>
          </cell>
          <cell r="CE318">
            <v>0.10907894017124176</v>
          </cell>
          <cell r="CF318">
            <v>-5.7395234867252167</v>
          </cell>
          <cell r="CG318">
            <v>-2.466239967004614</v>
          </cell>
          <cell r="CH318">
            <v>-5.745991771360262</v>
          </cell>
          <cell r="CI318">
            <v>-1.7359617328473693</v>
          </cell>
          <cell r="CJ318">
            <v>7.896569397128804E-2</v>
          </cell>
          <cell r="CK318">
            <v>7.7407232141407128E-2</v>
          </cell>
          <cell r="CL318">
            <v>-5.7395234867252167</v>
          </cell>
          <cell r="CM318">
            <v>7.7407232141407128E-2</v>
          </cell>
        </row>
        <row r="319">
          <cell r="B319">
            <v>0.1618291608287932</v>
          </cell>
          <cell r="C319">
            <v>1.0845350196993255</v>
          </cell>
          <cell r="D319">
            <v>0</v>
          </cell>
          <cell r="E319">
            <v>0.18717582431844221</v>
          </cell>
          <cell r="F319">
            <v>4.0181949282612733E-2</v>
          </cell>
          <cell r="G319">
            <v>0.18717582431844221</v>
          </cell>
          <cell r="H319">
            <v>4.8133448464358519E-2</v>
          </cell>
          <cell r="I319">
            <v>8.2348092660784467E-2</v>
          </cell>
          <cell r="J319">
            <v>7.0420975242240183E-2</v>
          </cell>
          <cell r="K319">
            <v>0.29305727971268924</v>
          </cell>
          <cell r="L319">
            <v>9.8804404786870512E-2</v>
          </cell>
          <cell r="M319">
            <v>0.41677929978491729</v>
          </cell>
          <cell r="N319">
            <v>5.3879269601574728E-2</v>
          </cell>
          <cell r="O319">
            <v>8.265160372822386E-2</v>
          </cell>
          <cell r="P319">
            <v>9.8804404786870512E-2</v>
          </cell>
          <cell r="Q319">
            <v>1.7680647235859228</v>
          </cell>
          <cell r="R319">
            <v>0</v>
          </cell>
          <cell r="S319">
            <v>1.8905202958353966</v>
          </cell>
          <cell r="T319">
            <v>0.28455622571962147</v>
          </cell>
          <cell r="U319">
            <v>0.35990879135479381</v>
          </cell>
          <cell r="V319">
            <v>0.19576245216230972</v>
          </cell>
          <cell r="W319">
            <v>0.18717582431844221</v>
          </cell>
          <cell r="X319">
            <v>1.5660407531987381</v>
          </cell>
          <cell r="Y319">
            <v>0.18717582431844221</v>
          </cell>
          <cell r="Z319">
            <v>0.16399403414999342</v>
          </cell>
          <cell r="AA319">
            <v>0.50627159739930727</v>
          </cell>
          <cell r="AB319">
            <v>0</v>
          </cell>
          <cell r="AC319">
            <v>0</v>
          </cell>
          <cell r="AD319">
            <v>1.2898236862405188</v>
          </cell>
          <cell r="AE319">
            <v>0.26091123122247101</v>
          </cell>
          <cell r="AF319">
            <v>0.2351990432296828</v>
          </cell>
          <cell r="AG319">
            <v>0.47191455291364054</v>
          </cell>
          <cell r="AH319">
            <v>0.11957053240972176</v>
          </cell>
          <cell r="AI319">
            <v>0.36232203850812522</v>
          </cell>
          <cell r="AJ319">
            <v>0.15984084130710952</v>
          </cell>
          <cell r="AK319">
            <v>1.0845350196993255</v>
          </cell>
          <cell r="AL319">
            <v>0.15984084130710952</v>
          </cell>
          <cell r="AM319">
            <v>1.0845350196993255</v>
          </cell>
          <cell r="AN319">
            <v>0.1618291608287932</v>
          </cell>
          <cell r="AO319">
            <v>1.6810111886290766</v>
          </cell>
          <cell r="AP319">
            <v>0</v>
          </cell>
          <cell r="AQ319">
            <v>0.71155723103230251</v>
          </cell>
          <cell r="AR319">
            <v>4.0181949282612733E-2</v>
          </cell>
          <cell r="AS319">
            <v>3.4624611576313087E-2</v>
          </cell>
          <cell r="AT319">
            <v>4.8133448464358519E-2</v>
          </cell>
          <cell r="AU319">
            <v>3.4624611576313087E-2</v>
          </cell>
          <cell r="AV319">
            <v>7.0420975242240183E-2</v>
          </cell>
          <cell r="AW319">
            <v>0.82594531163194529</v>
          </cell>
          <cell r="AX319">
            <v>9.8804404786870512E-2</v>
          </cell>
          <cell r="AY319">
            <v>0.9596072862551388</v>
          </cell>
          <cell r="AZ319">
            <v>5.3879269601574728E-2</v>
          </cell>
          <cell r="BA319">
            <v>3.6584556131696692E-2</v>
          </cell>
          <cell r="BB319">
            <v>9.8804404786870512E-2</v>
          </cell>
          <cell r="BC319">
            <v>2.41945637309788</v>
          </cell>
          <cell r="BD319">
            <v>0</v>
          </cell>
          <cell r="BE319">
            <v>2.55172128884539</v>
          </cell>
          <cell r="BF319">
            <v>0.19576245216230972</v>
          </cell>
          <cell r="BG319">
            <v>0.71155723103230251</v>
          </cell>
          <cell r="BH319">
            <v>1.5660407531987381</v>
          </cell>
          <cell r="BI319">
            <v>0.71155443911618088</v>
          </cell>
          <cell r="BJ319">
            <v>0.16399403414999342</v>
          </cell>
          <cell r="BK319">
            <v>1.1703319530969767</v>
          </cell>
          <cell r="BL319">
            <v>0</v>
          </cell>
          <cell r="BM319">
            <v>0</v>
          </cell>
          <cell r="BN319">
            <v>1.2898236862405188</v>
          </cell>
          <cell r="BO319">
            <v>0.92452592732466299</v>
          </cell>
          <cell r="BP319">
            <v>0.2351990432296828</v>
          </cell>
          <cell r="BQ319">
            <v>1.1359125042923652</v>
          </cell>
          <cell r="BR319">
            <v>0.11957053240972176</v>
          </cell>
          <cell r="BS319">
            <v>1.026120931838485</v>
          </cell>
          <cell r="BT319">
            <v>0.17268261916567687</v>
          </cell>
          <cell r="BU319">
            <v>1.6810111886290766</v>
          </cell>
          <cell r="BV319">
            <v>0.44175285364415329</v>
          </cell>
          <cell r="BW319">
            <v>0</v>
          </cell>
          <cell r="BX319">
            <v>0.44175285364415329</v>
          </cell>
          <cell r="BY319">
            <v>0</v>
          </cell>
          <cell r="BZ319">
            <v>0.44175285364415329</v>
          </cell>
          <cell r="CA319">
            <v>0</v>
          </cell>
          <cell r="CB319">
            <v>0.44175285364415329</v>
          </cell>
          <cell r="CC319">
            <v>0</v>
          </cell>
          <cell r="CD319">
            <v>0.1618291608287932</v>
          </cell>
          <cell r="CE319">
            <v>0.28616447332171069</v>
          </cell>
          <cell r="CF319">
            <v>0.15550171128678877</v>
          </cell>
          <cell r="CG319">
            <v>1.0814432630174009</v>
          </cell>
          <cell r="CH319">
            <v>0.15765846743882383</v>
          </cell>
          <cell r="CI319">
            <v>0.50422868770195062</v>
          </cell>
          <cell r="CJ319">
            <v>0.1618291608287932</v>
          </cell>
          <cell r="CK319">
            <v>0.38729197837549068</v>
          </cell>
          <cell r="CL319">
            <v>0.15550171128678877</v>
          </cell>
          <cell r="CM319">
            <v>0.38729197837549068</v>
          </cell>
        </row>
        <row r="320">
          <cell r="B320">
            <v>223.13239626949712</v>
          </cell>
          <cell r="C320">
            <v>145.10318152082053</v>
          </cell>
          <cell r="D320">
            <v>0</v>
          </cell>
          <cell r="E320">
            <v>25.047003309163834</v>
          </cell>
          <cell r="F320">
            <v>4.1350835048023411</v>
          </cell>
          <cell r="G320">
            <v>25.047003309163834</v>
          </cell>
          <cell r="H320">
            <v>4.9533641928204801</v>
          </cell>
          <cell r="I320">
            <v>12.015970281428061</v>
          </cell>
          <cell r="J320">
            <v>147.64210240580911</v>
          </cell>
          <cell r="K320">
            <v>133.16976264881734</v>
          </cell>
          <cell r="L320">
            <v>6.4422688694198103</v>
          </cell>
          <cell r="M320">
            <v>47.488106401726405</v>
          </cell>
          <cell r="N320">
            <v>5.33354491797681</v>
          </cell>
          <cell r="O320">
            <v>12.037031217689929</v>
          </cell>
          <cell r="P320">
            <v>6.4422688694198103</v>
          </cell>
          <cell r="Q320">
            <v>226.19791263484234</v>
          </cell>
          <cell r="R320">
            <v>0</v>
          </cell>
          <cell r="S320">
            <v>269.73264034638078</v>
          </cell>
          <cell r="T320">
            <v>105.07091365423157</v>
          </cell>
          <cell r="U320">
            <v>87.594387367325425</v>
          </cell>
          <cell r="V320">
            <v>24.553002635443171</v>
          </cell>
          <cell r="W320">
            <v>25.047003309163834</v>
          </cell>
          <cell r="X320">
            <v>227.680436505866</v>
          </cell>
          <cell r="Y320">
            <v>25.047003309163834</v>
          </cell>
          <cell r="Z320">
            <v>251.87502899482831</v>
          </cell>
          <cell r="AA320">
            <v>118.05945302196125</v>
          </cell>
          <cell r="AB320">
            <v>0</v>
          </cell>
          <cell r="AC320">
            <v>0</v>
          </cell>
          <cell r="AD320">
            <v>162.41619421188651</v>
          </cell>
          <cell r="AE320">
            <v>32.314112554016432</v>
          </cell>
          <cell r="AF320">
            <v>14.242550349989115</v>
          </cell>
          <cell r="AG320">
            <v>59.412821396190964</v>
          </cell>
          <cell r="AH320">
            <v>207.81430265448489</v>
          </cell>
          <cell r="AI320">
            <v>98.182872444621211</v>
          </cell>
          <cell r="AJ320">
            <v>220.39087244801436</v>
          </cell>
          <cell r="AK320">
            <v>145.10318152082053</v>
          </cell>
          <cell r="AL320">
            <v>220.39087244801436</v>
          </cell>
          <cell r="AM320">
            <v>145.10318152082053</v>
          </cell>
          <cell r="AN320">
            <v>223.13239626949712</v>
          </cell>
          <cell r="AO320">
            <v>218.32603676259481</v>
          </cell>
          <cell r="AP320">
            <v>0</v>
          </cell>
          <cell r="AQ320">
            <v>88.624421511599309</v>
          </cell>
          <cell r="AR320">
            <v>4.1350835048023411</v>
          </cell>
          <cell r="AS320">
            <v>4.4755881619434197</v>
          </cell>
          <cell r="AT320">
            <v>4.9533641928204801</v>
          </cell>
          <cell r="AU320">
            <v>4.4755881619434197</v>
          </cell>
          <cell r="AV320">
            <v>147.64210240580911</v>
          </cell>
          <cell r="AW320">
            <v>205.43387472461268</v>
          </cell>
          <cell r="AX320">
            <v>6.4422688694198103</v>
          </cell>
          <cell r="AY320">
            <v>112.86846594543144</v>
          </cell>
          <cell r="AZ320">
            <v>5.33354491797681</v>
          </cell>
          <cell r="BA320">
            <v>4.6115906731729908</v>
          </cell>
          <cell r="BB320">
            <v>6.4422688694198103</v>
          </cell>
          <cell r="BC320">
            <v>305.93600211806819</v>
          </cell>
          <cell r="BD320">
            <v>0</v>
          </cell>
          <cell r="BE320">
            <v>352.96792624561095</v>
          </cell>
          <cell r="BF320">
            <v>24.553002635443171</v>
          </cell>
          <cell r="BG320">
            <v>88.624421511599309</v>
          </cell>
          <cell r="BH320">
            <v>227.680436505866</v>
          </cell>
          <cell r="BI320">
            <v>88.624075730042208</v>
          </cell>
          <cell r="BJ320">
            <v>251.87502899482831</v>
          </cell>
          <cell r="BK320">
            <v>200.40452900243233</v>
          </cell>
          <cell r="BL320">
            <v>0</v>
          </cell>
          <cell r="BM320">
            <v>0</v>
          </cell>
          <cell r="BN320">
            <v>162.41619421188648</v>
          </cell>
          <cell r="BO320">
            <v>114.50344523192211</v>
          </cell>
          <cell r="BP320">
            <v>14.242550349989115</v>
          </cell>
          <cell r="BQ320">
            <v>141.65137473596943</v>
          </cell>
          <cell r="BR320">
            <v>207.81430265448489</v>
          </cell>
          <cell r="BS320">
            <v>180.49184565512334</v>
          </cell>
          <cell r="BT320">
            <v>238.09730218705357</v>
          </cell>
          <cell r="BU320">
            <v>218.32603676259481</v>
          </cell>
          <cell r="BV320">
            <v>252.89116496987413</v>
          </cell>
          <cell r="BW320">
            <v>0</v>
          </cell>
          <cell r="BX320">
            <v>252.89116496987413</v>
          </cell>
          <cell r="BY320">
            <v>0</v>
          </cell>
          <cell r="BZ320">
            <v>252.89116496987413</v>
          </cell>
          <cell r="CA320">
            <v>0</v>
          </cell>
          <cell r="CB320">
            <v>252.89116496987413</v>
          </cell>
          <cell r="CC320">
            <v>0</v>
          </cell>
          <cell r="CD320">
            <v>223.13239626949712</v>
          </cell>
          <cell r="CE320">
            <v>38.363647461672599</v>
          </cell>
          <cell r="CF320">
            <v>472.78763923558654</v>
          </cell>
          <cell r="CG320">
            <v>267.09123697568543</v>
          </cell>
          <cell r="CH320">
            <v>501.85054220988002</v>
          </cell>
          <cell r="CI320">
            <v>198.66430233218736</v>
          </cell>
          <cell r="CJ320">
            <v>223.13239626949712</v>
          </cell>
          <cell r="CK320">
            <v>49.831585773390934</v>
          </cell>
          <cell r="CL320">
            <v>472.78763923558654</v>
          </cell>
          <cell r="CM320">
            <v>49.831585773390934</v>
          </cell>
        </row>
        <row r="321">
          <cell r="B321">
            <v>1.4170701764813036</v>
          </cell>
          <cell r="C321">
            <v>1.3628821542387586</v>
          </cell>
          <cell r="D321">
            <v>0</v>
          </cell>
          <cell r="E321">
            <v>0.20883523766963139</v>
          </cell>
          <cell r="F321">
            <v>2.8256183011875321E-2</v>
          </cell>
          <cell r="G321">
            <v>0.20883523766963139</v>
          </cell>
          <cell r="H321">
            <v>3.384772399257651E-2</v>
          </cell>
          <cell r="I321">
            <v>9.0324452425521257E-2</v>
          </cell>
          <cell r="J321">
            <v>2.9140232650243465E-2</v>
          </cell>
          <cell r="K321">
            <v>0.29363038678142311</v>
          </cell>
          <cell r="L321">
            <v>2.9562366939840325</v>
          </cell>
          <cell r="M321">
            <v>3.8908798779398848</v>
          </cell>
          <cell r="N321">
            <v>3.5827975149085221E-2</v>
          </cell>
          <cell r="O321">
            <v>9.0438605843091921E-2</v>
          </cell>
          <cell r="P321">
            <v>2.9562366939840325</v>
          </cell>
          <cell r="Q321">
            <v>8.5345031621801084</v>
          </cell>
          <cell r="R321">
            <v>0</v>
          </cell>
          <cell r="S321">
            <v>2.2126890748997092</v>
          </cell>
          <cell r="T321">
            <v>0.18732359923175865</v>
          </cell>
          <cell r="U321">
            <v>0.32560894866246437</v>
          </cell>
          <cell r="V321">
            <v>0.22323548249785505</v>
          </cell>
          <cell r="W321">
            <v>0.20883523766963139</v>
          </cell>
          <cell r="X321">
            <v>1.8498838312342691</v>
          </cell>
          <cell r="Y321">
            <v>0.20883523766963139</v>
          </cell>
          <cell r="Z321">
            <v>1.5600051275621034</v>
          </cell>
          <cell r="AA321">
            <v>0.87216732243694284</v>
          </cell>
          <cell r="AB321">
            <v>0</v>
          </cell>
          <cell r="AC321">
            <v>0</v>
          </cell>
          <cell r="AD321">
            <v>50.01393896761968</v>
          </cell>
          <cell r="AE321">
            <v>0.29258132501986289</v>
          </cell>
          <cell r="AF321">
            <v>0.13884405073498585</v>
          </cell>
          <cell r="AG321">
            <v>0.52864767214926933</v>
          </cell>
          <cell r="AH321">
            <v>0.31916066366779583</v>
          </cell>
          <cell r="AI321">
            <v>0.45742054247268149</v>
          </cell>
          <cell r="AJ321">
            <v>1.3996592952713689</v>
          </cell>
          <cell r="AK321">
            <v>1.3628821542387586</v>
          </cell>
          <cell r="AL321">
            <v>1.3996592952713689</v>
          </cell>
          <cell r="AM321">
            <v>1.3628821542387586</v>
          </cell>
          <cell r="AN321">
            <v>1.4170701764813036</v>
          </cell>
          <cell r="AO321">
            <v>2.0443837705097798</v>
          </cell>
          <cell r="AP321">
            <v>0</v>
          </cell>
          <cell r="AQ321">
            <v>0.79761953576493727</v>
          </cell>
          <cell r="AR321">
            <v>2.8256183011875321E-2</v>
          </cell>
          <cell r="AS321">
            <v>3.2327613288989289E-2</v>
          </cell>
          <cell r="AT321">
            <v>3.384772399257651E-2</v>
          </cell>
          <cell r="AU321">
            <v>3.2327613288989289E-2</v>
          </cell>
          <cell r="AV321">
            <v>2.9140232650243465E-2</v>
          </cell>
          <cell r="AW321">
            <v>0.88922721451229014</v>
          </cell>
          <cell r="AX321">
            <v>2.9562366939840325</v>
          </cell>
          <cell r="AY321">
            <v>4.7754834356750342</v>
          </cell>
          <cell r="AZ321">
            <v>3.5827975149085221E-2</v>
          </cell>
          <cell r="BA321">
            <v>3.3064767196204589E-2</v>
          </cell>
          <cell r="BB321">
            <v>2.9562366939840325</v>
          </cell>
          <cell r="BC321">
            <v>9.7921801984294863</v>
          </cell>
          <cell r="BD321">
            <v>0</v>
          </cell>
          <cell r="BE321">
            <v>2.9624564931057491</v>
          </cell>
          <cell r="BF321">
            <v>0.22323548249785505</v>
          </cell>
          <cell r="BG321">
            <v>0.79761953576493727</v>
          </cell>
          <cell r="BH321">
            <v>1.8498838312342691</v>
          </cell>
          <cell r="BI321">
            <v>0.79761640495866903</v>
          </cell>
          <cell r="BJ321">
            <v>1.5600051275621034</v>
          </cell>
          <cell r="BK321">
            <v>1.6173860510082601</v>
          </cell>
          <cell r="BL321">
            <v>0</v>
          </cell>
          <cell r="BM321">
            <v>0</v>
          </cell>
          <cell r="BN321">
            <v>50.01393896761968</v>
          </cell>
          <cell r="BO321">
            <v>1.0367473242315932</v>
          </cell>
          <cell r="BP321">
            <v>0.13884405073498585</v>
          </cell>
          <cell r="BQ321">
            <v>1.273242449791709</v>
          </cell>
          <cell r="BR321">
            <v>0.31916066366779583</v>
          </cell>
          <cell r="BS321">
            <v>1.2018859469229739</v>
          </cell>
          <cell r="BT321">
            <v>1.5121093649817716</v>
          </cell>
          <cell r="BU321">
            <v>2.0443837705097798</v>
          </cell>
          <cell r="BV321">
            <v>1.7317390295462896</v>
          </cell>
          <cell r="BW321">
            <v>0</v>
          </cell>
          <cell r="BX321">
            <v>1.7317390295462896</v>
          </cell>
          <cell r="BY321">
            <v>0</v>
          </cell>
          <cell r="BZ321">
            <v>1.7317390295462896</v>
          </cell>
          <cell r="CA321">
            <v>0</v>
          </cell>
          <cell r="CB321">
            <v>1.7317390295462896</v>
          </cell>
          <cell r="CC321">
            <v>0</v>
          </cell>
          <cell r="CD321">
            <v>1.4170701764813036</v>
          </cell>
          <cell r="CE321">
            <v>0.36931675390203822</v>
          </cell>
          <cell r="CF321">
            <v>8.1930935665757376E-2</v>
          </cell>
          <cell r="CG321">
            <v>0.71049833960885378</v>
          </cell>
          <cell r="CH321">
            <v>0.22315310326172022</v>
          </cell>
          <cell r="CI321">
            <v>0.44109807656204425</v>
          </cell>
          <cell r="CJ321">
            <v>1.4170701764813036</v>
          </cell>
          <cell r="CK321">
            <v>0.43324201861792355</v>
          </cell>
          <cell r="CL321">
            <v>8.1930935665757376E-2</v>
          </cell>
          <cell r="CM321">
            <v>0.43324201861792355</v>
          </cell>
        </row>
        <row r="322">
          <cell r="B322">
            <v>6580.4448853720332</v>
          </cell>
          <cell r="C322">
            <v>23862.570289445492</v>
          </cell>
          <cell r="D322">
            <v>0</v>
          </cell>
          <cell r="E322">
            <v>12512.726361015655</v>
          </cell>
          <cell r="F322">
            <v>1437.5518023442273</v>
          </cell>
          <cell r="G322">
            <v>12512.726361015655</v>
          </cell>
          <cell r="H322">
            <v>1722.0251089939752</v>
          </cell>
          <cell r="I322">
            <v>6549.7894146734998</v>
          </cell>
          <cell r="J322">
            <v>1463.5657940991114</v>
          </cell>
          <cell r="K322">
            <v>28110.796620768426</v>
          </cell>
          <cell r="L322">
            <v>3104.666936361959</v>
          </cell>
          <cell r="M322">
            <v>21062.58661629165</v>
          </cell>
          <cell r="N322">
            <v>1836.6410229933495</v>
          </cell>
          <cell r="O322">
            <v>6556.2653688950013</v>
          </cell>
          <cell r="P322">
            <v>3104.666936361959</v>
          </cell>
          <cell r="Q322">
            <v>98349.641059904112</v>
          </cell>
          <cell r="R322">
            <v>0</v>
          </cell>
          <cell r="S322">
            <v>87797.656664848793</v>
          </cell>
          <cell r="T322">
            <v>10412.089901442338</v>
          </cell>
          <cell r="U322">
            <v>188372.99370945175</v>
          </cell>
          <cell r="V322">
            <v>10756.572300253469</v>
          </cell>
          <cell r="W322">
            <v>12512.726361015655</v>
          </cell>
          <cell r="X322">
            <v>67536.685204051144</v>
          </cell>
          <cell r="Y322">
            <v>12512.726361015655</v>
          </cell>
          <cell r="Z322">
            <v>6767.8338624783246</v>
          </cell>
          <cell r="AA322">
            <v>97479.098584491541</v>
          </cell>
          <cell r="AB322">
            <v>0</v>
          </cell>
          <cell r="AC322">
            <v>0</v>
          </cell>
          <cell r="AD322">
            <v>-43742.171524453312</v>
          </cell>
          <cell r="AE322">
            <v>114352.71869640658</v>
          </cell>
          <cell r="AF322">
            <v>11466.335678805655</v>
          </cell>
          <cell r="AG322">
            <v>27640.582943164321</v>
          </cell>
          <cell r="AH322">
            <v>18747.770712204459</v>
          </cell>
          <cell r="AI322">
            <v>115893.77397880873</v>
          </cell>
          <cell r="AJ322">
            <v>6499.5940241308317</v>
          </cell>
          <cell r="AK322">
            <v>23862.570289445492</v>
          </cell>
          <cell r="AL322">
            <v>6499.5940241308317</v>
          </cell>
          <cell r="AM322">
            <v>23862.570289445492</v>
          </cell>
          <cell r="AN322">
            <v>6580.4448853720332</v>
          </cell>
          <cell r="AO322">
            <v>52937.928849246295</v>
          </cell>
          <cell r="AP322">
            <v>0</v>
          </cell>
          <cell r="AQ322">
            <v>40676.226767002918</v>
          </cell>
          <cell r="AR322">
            <v>1437.5518023442273</v>
          </cell>
          <cell r="AS322">
            <v>2170.1324071577792</v>
          </cell>
          <cell r="AT322">
            <v>1722.0251089939752</v>
          </cell>
          <cell r="AU322">
            <v>2170.1324071577792</v>
          </cell>
          <cell r="AV322">
            <v>1463.5657940991114</v>
          </cell>
          <cell r="AW322">
            <v>57527.462060548336</v>
          </cell>
          <cell r="AX322">
            <v>3104.666936361959</v>
          </cell>
          <cell r="AY322">
            <v>49912.991603249517</v>
          </cell>
          <cell r="AZ322">
            <v>1836.6410229933495</v>
          </cell>
          <cell r="BA322">
            <v>2211.9513474831692</v>
          </cell>
          <cell r="BB322">
            <v>3104.666936361959</v>
          </cell>
          <cell r="BC322">
            <v>133409.36762194632</v>
          </cell>
          <cell r="BD322">
            <v>0</v>
          </cell>
          <cell r="BE322">
            <v>122009.28621235532</v>
          </cell>
          <cell r="BF322">
            <v>10756.572300253469</v>
          </cell>
          <cell r="BG322">
            <v>40676.226767002918</v>
          </cell>
          <cell r="BH322">
            <v>67536.685204051144</v>
          </cell>
          <cell r="BI322">
            <v>40676.06921518514</v>
          </cell>
          <cell r="BJ322">
            <v>6767.8338624783246</v>
          </cell>
          <cell r="BK322">
            <v>135078.13724315385</v>
          </cell>
          <cell r="BL322">
            <v>0</v>
          </cell>
          <cell r="BM322">
            <v>0</v>
          </cell>
          <cell r="BN322">
            <v>-43742.171524453312</v>
          </cell>
          <cell r="BO322">
            <v>151982.40570643259</v>
          </cell>
          <cell r="BP322">
            <v>11466.335678805655</v>
          </cell>
          <cell r="BQ322">
            <v>65112.770614788897</v>
          </cell>
          <cell r="BR322">
            <v>18747.770712204459</v>
          </cell>
          <cell r="BS322">
            <v>153526.26008016506</v>
          </cell>
          <cell r="BT322">
            <v>7021.7781039079919</v>
          </cell>
          <cell r="BU322">
            <v>52937.928849246295</v>
          </cell>
          <cell r="BV322">
            <v>75140.666954402637</v>
          </cell>
          <cell r="BW322">
            <v>0</v>
          </cell>
          <cell r="BX322">
            <v>75140.666954402637</v>
          </cell>
          <cell r="BY322">
            <v>0</v>
          </cell>
          <cell r="BZ322">
            <v>75140.666954402637</v>
          </cell>
          <cell r="CA322">
            <v>0</v>
          </cell>
          <cell r="CB322">
            <v>75140.666954402637</v>
          </cell>
          <cell r="CC322">
            <v>0</v>
          </cell>
          <cell r="CD322">
            <v>6580.4448853720332</v>
          </cell>
          <cell r="CE322">
            <v>68813.990376012007</v>
          </cell>
          <cell r="CF322">
            <v>2019.3294464003443</v>
          </cell>
          <cell r="CG322">
            <v>-66079.400154913877</v>
          </cell>
          <cell r="CH322">
            <v>2200.867196190798</v>
          </cell>
          <cell r="CI322">
            <v>17436.115796220911</v>
          </cell>
          <cell r="CJ322">
            <v>6580.4448853720332</v>
          </cell>
          <cell r="CK322">
            <v>28411.498089770805</v>
          </cell>
          <cell r="CL322">
            <v>2019.3294464003443</v>
          </cell>
          <cell r="CM322">
            <v>-55275.572540254841</v>
          </cell>
        </row>
        <row r="323">
          <cell r="B323">
            <v>6670.0862872186599</v>
          </cell>
          <cell r="C323">
            <v>23942.246642034002</v>
          </cell>
          <cell r="D323">
            <v>0</v>
          </cell>
          <cell r="E323">
            <v>12533.418571224855</v>
          </cell>
          <cell r="F323">
            <v>1444.5133840946542</v>
          </cell>
          <cell r="G323">
            <v>12533.418571224855</v>
          </cell>
          <cell r="H323">
            <v>1730.3642996603569</v>
          </cell>
          <cell r="I323">
            <v>6564.388050990603</v>
          </cell>
          <cell r="J323">
            <v>1489.1206046490254</v>
          </cell>
          <cell r="K323">
            <v>28168.954149238856</v>
          </cell>
          <cell r="L323">
            <v>3119.134291309445</v>
          </cell>
          <cell r="M323">
            <v>21108.995590823299</v>
          </cell>
          <cell r="N323">
            <v>1846.2831504394269</v>
          </cell>
          <cell r="O323">
            <v>6570.9314048131728</v>
          </cell>
          <cell r="P323">
            <v>3119.134291309445</v>
          </cell>
          <cell r="Q323">
            <v>98503.111576821946</v>
          </cell>
          <cell r="R323">
            <v>0</v>
          </cell>
          <cell r="S323">
            <v>87960.834317681321</v>
          </cell>
          <cell r="T323">
            <v>10449.297969357212</v>
          </cell>
          <cell r="U323">
            <v>188432.35842736979</v>
          </cell>
          <cell r="V323">
            <v>10769.342652614685</v>
          </cell>
          <cell r="W323">
            <v>12533.418571224855</v>
          </cell>
          <cell r="X323">
            <v>67670.850940797071</v>
          </cell>
          <cell r="Y323">
            <v>12533.418571224855</v>
          </cell>
          <cell r="Z323">
            <v>6862.0241803920417</v>
          </cell>
          <cell r="AA323">
            <v>97536.960063651015</v>
          </cell>
          <cell r="AB323">
            <v>0</v>
          </cell>
          <cell r="AC323">
            <v>0</v>
          </cell>
          <cell r="AD323">
            <v>-43409.944035720095</v>
          </cell>
          <cell r="AE323">
            <v>114373.12085546942</v>
          </cell>
          <cell r="AF323">
            <v>11466.335678805655</v>
          </cell>
          <cell r="AG323">
            <v>27640.582943164321</v>
          </cell>
          <cell r="AH323">
            <v>18864.321042491007</v>
          </cell>
          <cell r="AI323">
            <v>115950.51152774862</v>
          </cell>
          <cell r="AJ323">
            <v>6588.1340438264915</v>
          </cell>
          <cell r="AK323">
            <v>23942.246642034002</v>
          </cell>
          <cell r="AL323">
            <v>6588.1340438264915</v>
          </cell>
          <cell r="AM323">
            <v>23942.246642034002</v>
          </cell>
          <cell r="AN323">
            <v>6670.0862872186599</v>
          </cell>
          <cell r="AO323">
            <v>53047.276259780927</v>
          </cell>
          <cell r="AP323">
            <v>0</v>
          </cell>
          <cell r="AQ323">
            <v>40721.851188394052</v>
          </cell>
          <cell r="AR323">
            <v>1444.5133840946542</v>
          </cell>
          <cell r="AS323">
            <v>2176.4071367126389</v>
          </cell>
          <cell r="AT323">
            <v>1730.3642996603569</v>
          </cell>
          <cell r="AU323">
            <v>2176.4071367126389</v>
          </cell>
          <cell r="AV323">
            <v>1489.1206046490254</v>
          </cell>
          <cell r="AW323">
            <v>57613.561802466567</v>
          </cell>
          <cell r="AX323">
            <v>3119.134291309445</v>
          </cell>
          <cell r="AY323">
            <v>49986.398900302163</v>
          </cell>
          <cell r="AZ323">
            <v>1846.2831504394269</v>
          </cell>
          <cell r="BA323">
            <v>2218.661314811281</v>
          </cell>
          <cell r="BB323">
            <v>3119.134291309445</v>
          </cell>
          <cell r="BC323">
            <v>133598.43789599522</v>
          </cell>
          <cell r="BD323">
            <v>0</v>
          </cell>
          <cell r="BE323">
            <v>122208.8423049127</v>
          </cell>
          <cell r="BF323">
            <v>10769.342652614685</v>
          </cell>
          <cell r="BG323">
            <v>40721.851188394052</v>
          </cell>
          <cell r="BH323">
            <v>67670.850940797071</v>
          </cell>
          <cell r="BI323">
            <v>40721.693467404446</v>
          </cell>
          <cell r="BJ323">
            <v>6862.0241803920417</v>
          </cell>
          <cell r="BK323">
            <v>135176.28580664386</v>
          </cell>
          <cell r="BL323">
            <v>0</v>
          </cell>
          <cell r="BM323">
            <v>0</v>
          </cell>
          <cell r="BN323">
            <v>-43409.944035720095</v>
          </cell>
          <cell r="BO323">
            <v>152043.02691069766</v>
          </cell>
          <cell r="BP323">
            <v>11466.335678805655</v>
          </cell>
          <cell r="BQ323">
            <v>65112.770614788897</v>
          </cell>
          <cell r="BR323">
            <v>18864.321042491007</v>
          </cell>
          <cell r="BS323">
            <v>153623.28267198807</v>
          </cell>
          <cell r="BT323">
            <v>7117.4315199998855</v>
          </cell>
          <cell r="BU323">
            <v>53047.276259780927</v>
          </cell>
          <cell r="BV323">
            <v>75240.394692509042</v>
          </cell>
          <cell r="BW323">
            <v>0</v>
          </cell>
          <cell r="BX323">
            <v>75240.394692509042</v>
          </cell>
          <cell r="BY323">
            <v>0</v>
          </cell>
          <cell r="BZ323">
            <v>75240.394692509042</v>
          </cell>
          <cell r="CA323">
            <v>0</v>
          </cell>
          <cell r="CB323">
            <v>75240.394692509042</v>
          </cell>
          <cell r="CC323">
            <v>0</v>
          </cell>
          <cell r="CD323">
            <v>6670.0862872186599</v>
          </cell>
          <cell r="CE323">
            <v>68827.533643707022</v>
          </cell>
          <cell r="CF323">
            <v>1907.9779006819465</v>
          </cell>
          <cell r="CG323">
            <v>-66097.934192551096</v>
          </cell>
          <cell r="CH323">
            <v>2093.8067227201836</v>
          </cell>
          <cell r="CI323">
            <v>17429.083760393805</v>
          </cell>
          <cell r="CJ323">
            <v>6670.0862872186599</v>
          </cell>
          <cell r="CK323">
            <v>28444.316027989909</v>
          </cell>
          <cell r="CL323">
            <v>1907.9779006819465</v>
          </cell>
          <cell r="CM323">
            <v>-55242.754602035733</v>
          </cell>
        </row>
        <row r="324">
          <cell r="B324">
            <v>13706.29185422907</v>
          </cell>
          <cell r="C324">
            <v>28638.388279461637</v>
          </cell>
          <cell r="D324">
            <v>0</v>
          </cell>
          <cell r="E324">
            <v>13336.831289721746</v>
          </cell>
          <cell r="F324">
            <v>1575.4528105000059</v>
          </cell>
          <cell r="G324">
            <v>13336.831289721746</v>
          </cell>
          <cell r="H324">
            <v>1887.2149812563805</v>
          </cell>
          <cell r="I324">
            <v>6947.122540889327</v>
          </cell>
          <cell r="J324">
            <v>5896.8105398556536</v>
          </cell>
          <cell r="K324">
            <v>32217.57417176494</v>
          </cell>
          <cell r="L324">
            <v>4118.1665210757965</v>
          </cell>
          <cell r="M324">
            <v>23586.351368272335</v>
          </cell>
          <cell r="N324">
            <v>2015.003826210836</v>
          </cell>
          <cell r="O324">
            <v>6954.3246744954968</v>
          </cell>
          <cell r="P324">
            <v>4118.1665210757965</v>
          </cell>
          <cell r="Q324">
            <v>107573.72873661542</v>
          </cell>
          <cell r="R324">
            <v>0</v>
          </cell>
          <cell r="S324">
            <v>96602.931117451095</v>
          </cell>
          <cell r="T324">
            <v>13631.550538843583</v>
          </cell>
          <cell r="U324">
            <v>191131.56241390095</v>
          </cell>
          <cell r="V324">
            <v>11561.965417872805</v>
          </cell>
          <cell r="W324">
            <v>13336.831289721746</v>
          </cell>
          <cell r="X324">
            <v>74960.746234598832</v>
          </cell>
          <cell r="Y324">
            <v>13336.831289721746</v>
          </cell>
          <cell r="Z324">
            <v>14793.781444262378</v>
          </cell>
          <cell r="AA324">
            <v>101293.23344273075</v>
          </cell>
          <cell r="AB324">
            <v>0</v>
          </cell>
          <cell r="AC324">
            <v>0</v>
          </cell>
          <cell r="AD324">
            <v>-24916.136110045703</v>
          </cell>
          <cell r="AE324">
            <v>115415.95611130953</v>
          </cell>
          <cell r="AF324">
            <v>11928.668105085982</v>
          </cell>
          <cell r="AG324">
            <v>29555.405835267564</v>
          </cell>
          <cell r="AH324">
            <v>25144.318122775963</v>
          </cell>
          <cell r="AI324">
            <v>119001.23693469337</v>
          </cell>
          <cell r="AJ324">
            <v>13537.889030386403</v>
          </cell>
          <cell r="AK324">
            <v>28638.388279461637</v>
          </cell>
          <cell r="AL324">
            <v>13537.889030386403</v>
          </cell>
          <cell r="AM324">
            <v>28638.388279461637</v>
          </cell>
          <cell r="AN324">
            <v>13706.29185422907</v>
          </cell>
          <cell r="AO324">
            <v>60111.50892465542</v>
          </cell>
          <cell r="AP324">
            <v>0</v>
          </cell>
          <cell r="AQ324">
            <v>43580.609082703537</v>
          </cell>
          <cell r="AR324">
            <v>1575.4528105000059</v>
          </cell>
          <cell r="AS324">
            <v>2318.6051023664468</v>
          </cell>
          <cell r="AT324">
            <v>1887.2149812563805</v>
          </cell>
          <cell r="AU324">
            <v>2318.6051023664468</v>
          </cell>
          <cell r="AV324">
            <v>5896.8105398556536</v>
          </cell>
          <cell r="AW324">
            <v>63978.250298821884</v>
          </cell>
          <cell r="AX324">
            <v>4118.1665210757965</v>
          </cell>
          <cell r="AY324">
            <v>54653.586163415304</v>
          </cell>
          <cell r="AZ324">
            <v>2015.003826210836</v>
          </cell>
          <cell r="BA324">
            <v>2365.1133983164</v>
          </cell>
          <cell r="BB324">
            <v>4118.1665210757965</v>
          </cell>
          <cell r="BC324">
            <v>145388.59595328491</v>
          </cell>
          <cell r="BD324">
            <v>0</v>
          </cell>
          <cell r="BE324">
            <v>133536.03712964978</v>
          </cell>
          <cell r="BF324">
            <v>11561.965417872805</v>
          </cell>
          <cell r="BG324">
            <v>43580.609082703537</v>
          </cell>
          <cell r="BH324">
            <v>74960.746234598832</v>
          </cell>
          <cell r="BI324">
            <v>43580.44020271342</v>
          </cell>
          <cell r="BJ324">
            <v>14793.781444262378</v>
          </cell>
          <cell r="BK324">
            <v>141589.88716284159</v>
          </cell>
          <cell r="BL324">
            <v>0</v>
          </cell>
          <cell r="BM324">
            <v>0</v>
          </cell>
          <cell r="BN324">
            <v>-24916.136110045703</v>
          </cell>
          <cell r="BO324">
            <v>155738.26159812417</v>
          </cell>
          <cell r="BP324">
            <v>11928.668105085982</v>
          </cell>
          <cell r="BQ324">
            <v>69681.576770713917</v>
          </cell>
          <cell r="BR324">
            <v>25144.318122775963</v>
          </cell>
          <cell r="BS324">
            <v>159330.0545360207</v>
          </cell>
          <cell r="BT324">
            <v>14625.536981814106</v>
          </cell>
          <cell r="BU324">
            <v>60111.50892465542</v>
          </cell>
          <cell r="BV324">
            <v>83249.316163677431</v>
          </cell>
          <cell r="BW324">
            <v>0</v>
          </cell>
          <cell r="BX324">
            <v>83249.316163677431</v>
          </cell>
          <cell r="BY324">
            <v>0</v>
          </cell>
          <cell r="BZ324">
            <v>83249.316163677431</v>
          </cell>
          <cell r="CA324">
            <v>0</v>
          </cell>
          <cell r="CB324">
            <v>83249.316163677431</v>
          </cell>
          <cell r="CC324">
            <v>0</v>
          </cell>
          <cell r="CD324">
            <v>13706.29185422907</v>
          </cell>
          <cell r="CE324">
            <v>70071.593811880128</v>
          </cell>
          <cell r="CF324">
            <v>14959.132615680137</v>
          </cell>
          <cell r="CG324">
            <v>-58462.731706629325</v>
          </cell>
          <cell r="CH324">
            <v>16048.229412587263</v>
          </cell>
          <cell r="CI324">
            <v>23127.371510660138</v>
          </cell>
          <cell r="CJ324">
            <v>13706.29185422907</v>
          </cell>
          <cell r="CK324">
            <v>30047.572355119653</v>
          </cell>
          <cell r="CL324">
            <v>14959.132615680137</v>
          </cell>
          <cell r="CM324">
            <v>-53639.498274905993</v>
          </cell>
        </row>
      </sheetData>
      <sheetData sheetId="11"/>
      <sheetData sheetId="12"/>
      <sheetData sheetId="13"/>
      <sheetData sheetId="14"/>
      <sheetData sheetId="15">
        <row r="289">
          <cell r="E289">
            <v>10143.580534413728</v>
          </cell>
          <cell r="F289">
            <v>24313.30491380391</v>
          </cell>
          <cell r="G289">
            <v>12961.613098027266</v>
          </cell>
          <cell r="H289">
            <v>10101.769066314922</v>
          </cell>
          <cell r="I289">
            <v>11428.690628457372</v>
          </cell>
          <cell r="J289">
            <v>-94922.642191505438</v>
          </cell>
          <cell r="K289">
            <v>-92488.194288613042</v>
          </cell>
          <cell r="L289">
            <v>-92127.942599756774</v>
          </cell>
          <cell r="M289">
            <v>-95304.523408863737</v>
          </cell>
          <cell r="N289">
            <v>-98520.740802355955</v>
          </cell>
          <cell r="O289">
            <v>-99698.476606850934</v>
          </cell>
          <cell r="P289">
            <v>-87167.461950499332</v>
          </cell>
          <cell r="Q289">
            <v>-96904.837626278284</v>
          </cell>
          <cell r="R289">
            <v>-104261.20720190293</v>
          </cell>
          <cell r="S289">
            <v>-111623.00074580502</v>
          </cell>
          <cell r="T289">
            <v>-109085.94748898386</v>
          </cell>
          <cell r="U289">
            <v>-111058.93460696336</v>
          </cell>
          <cell r="V289">
            <v>-106294.3932658936</v>
          </cell>
          <cell r="W289">
            <v>-114179.13698035711</v>
          </cell>
          <cell r="X289">
            <v>-122540.17883029809</v>
          </cell>
          <cell r="Y289">
            <v>10143.580534413728</v>
          </cell>
          <cell r="Z289">
            <v>24313.30491380391</v>
          </cell>
          <cell r="AA289">
            <v>10101.769066314922</v>
          </cell>
          <cell r="AB289">
            <v>11428.690628457372</v>
          </cell>
          <cell r="AC289">
            <v>-16901.584771787158</v>
          </cell>
        </row>
      </sheetData>
      <sheetData sheetId="16"/>
      <sheetData sheetId="17"/>
      <sheetData sheetId="18"/>
      <sheetData sheetId="19"/>
      <sheetData sheetId="20"/>
      <sheetData sheetId="21"/>
      <sheetData sheetId="22"/>
      <sheetData sheetId="23"/>
      <sheetData sheetId="24"/>
      <sheetData sheetId="25"/>
      <sheetData sheetId="26">
        <row r="16">
          <cell r="B16">
            <v>112193.52</v>
          </cell>
        </row>
        <row r="23">
          <cell r="B23">
            <v>129487.84757606639</v>
          </cell>
          <cell r="J23">
            <v>36.148690781651865</v>
          </cell>
        </row>
        <row r="82">
          <cell r="B82">
            <v>290</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row r="4">
          <cell r="C4">
            <v>8.0312110026375407</v>
          </cell>
        </row>
        <row r="21">
          <cell r="C21">
            <v>0.9</v>
          </cell>
        </row>
        <row r="37">
          <cell r="C37">
            <v>0.9</v>
          </cell>
        </row>
        <row r="53">
          <cell r="C53">
            <v>1</v>
          </cell>
        </row>
        <row r="69">
          <cell r="C69">
            <v>1</v>
          </cell>
        </row>
        <row r="2062">
          <cell r="H2062">
            <v>2.197247213331555</v>
          </cell>
          <cell r="O2062">
            <v>1.1583832120540409</v>
          </cell>
        </row>
      </sheetData>
      <sheetData sheetId="51">
        <row r="25">
          <cell r="B25">
            <v>131.55803583108349</v>
          </cell>
          <cell r="C25">
            <v>131.94875166708186</v>
          </cell>
          <cell r="D25">
            <v>1275.7720452539154</v>
          </cell>
        </row>
        <row r="55">
          <cell r="B55">
            <v>265.16037054016783</v>
          </cell>
          <cell r="C55">
            <v>50.362578386977248</v>
          </cell>
          <cell r="D55">
            <v>1089.4022631784057</v>
          </cell>
        </row>
        <row r="85">
          <cell r="B85">
            <v>168.06230541000167</v>
          </cell>
          <cell r="C85">
            <v>195.32929619535372</v>
          </cell>
          <cell r="D85">
            <v>1093.8220076943544</v>
          </cell>
        </row>
        <row r="115">
          <cell r="B115">
            <v>-92.33208090682507</v>
          </cell>
          <cell r="C115">
            <v>162.30537688815446</v>
          </cell>
          <cell r="D115">
            <v>1276.5560044749868</v>
          </cell>
        </row>
        <row r="145">
          <cell r="B145">
            <v>-1169.7875837628135</v>
          </cell>
          <cell r="C145">
            <v>354.77497968328356</v>
          </cell>
          <cell r="D145">
            <v>1236.1459929022644</v>
          </cell>
        </row>
        <row r="175">
          <cell r="B175">
            <v>154.82579125893312</v>
          </cell>
          <cell r="C175">
            <v>383.79243282587868</v>
          </cell>
          <cell r="D175">
            <v>1128.1783631137048</v>
          </cell>
        </row>
        <row r="235">
          <cell r="B235">
            <v>108.52029269022633</v>
          </cell>
          <cell r="C235">
            <v>871.79866986771651</v>
          </cell>
          <cell r="D235">
            <v>0</v>
          </cell>
        </row>
        <row r="357">
          <cell r="B357">
            <v>188.4285345999009</v>
          </cell>
          <cell r="C357">
            <v>398.60642413966593</v>
          </cell>
          <cell r="D357">
            <v>0</v>
          </cell>
        </row>
      </sheetData>
      <sheetData sheetId="52"/>
      <sheetData sheetId="53"/>
      <sheetData sheetId="54"/>
      <sheetData sheetId="55"/>
      <sheetData sheetId="56"/>
      <sheetData sheetId="57"/>
      <sheetData sheetId="58"/>
      <sheetData sheetId="59"/>
      <sheetData sheetId="60"/>
      <sheetData sheetId="61" refreshError="1"/>
    </sheetDataSet>
  </externalBook>
</externalLink>
</file>

<file path=xl/persons/person.xml><?xml version="1.0" encoding="utf-8"?>
<personList xmlns="http://schemas.microsoft.com/office/spreadsheetml/2018/threadedcomments" xmlns:x="http://schemas.openxmlformats.org/spreadsheetml/2006/main">
  <person displayName="Ziming Yan" id="{D6C34A5B-72F0-49D4-863A-573F8EDFFFAE}" userId="ae0cfd33521f8714"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65" dT="2024-12-11T18:43:39.36" personId="{D6C34A5B-72F0-49D4-863A-573F8EDFFFAE}" id="{646B726D-C95A-43ED-B061-5691AC7F81F2}">
    <text>TESLA Semi @1.75 kWh/mile</text>
  </threadedComment>
  <threadedComment ref="F125" dT="2024-10-01T16:19:01.19" personId="{D6C34A5B-72F0-49D4-863A-573F8EDFFFAE}" id="{0503A140-5B00-42D6-8CBB-37A33FFCA306}">
    <text xml:space="preserve">Look into ANL report
</text>
  </threadedComment>
</ThreadedComments>
</file>

<file path=xl/threadedComments/threadedComment2.xml><?xml version="1.0" encoding="utf-8"?>
<ThreadedComments xmlns="http://schemas.microsoft.com/office/spreadsheetml/2018/threadedcomments" xmlns:x="http://schemas.openxmlformats.org/spreadsheetml/2006/main">
  <threadedComment ref="B51" dT="2024-10-01T12:30:14.07" personId="{D6C34A5B-72F0-49D4-863A-573F8EDFFFAE}" id="{73C637AB-D066-4259-A759-D2C066B35EDA}">
    <text>Data source?</text>
  </threadedComment>
  <threadedComment ref="M51" dT="2024-10-01T12:30:14.07" personId="{D6C34A5B-72F0-49D4-863A-573F8EDFFFAE}" id="{01D7EE9A-EC78-4205-B924-9E198C45B9BA}">
    <text>Data source?</text>
  </threadedComment>
  <threadedComment ref="X51" dT="2024-10-01T12:30:14.07" personId="{D6C34A5B-72F0-49D4-863A-573F8EDFFFAE}" id="{1A4C56A3-A516-4BA7-9276-AFFB8C36ED4B}">
    <text>Data source?</text>
  </threadedComment>
  <threadedComment ref="B70" dT="2024-10-01T12:30:14.07" personId="{D6C34A5B-72F0-49D4-863A-573F8EDFFFAE}" id="{0BBAB772-BE0C-4E11-9EB7-E95BE0897E03}">
    <text>Data source?</text>
  </threadedComment>
  <threadedComment ref="M70" dT="2024-10-01T12:30:14.07" personId="{D6C34A5B-72F0-49D4-863A-573F8EDFFFAE}" id="{7BBFA548-5872-49C6-9B59-165817584978}">
    <text>Data source?</text>
  </threadedComment>
  <threadedComment ref="B93" dT="2024-10-01T12:30:14.07" personId="{D6C34A5B-72F0-49D4-863A-573F8EDFFFAE}" id="{E84B9884-AC03-4AC7-8D27-490C37913580}">
    <text>Data source?</text>
  </threadedComment>
  <threadedComment ref="M93" dT="2024-10-01T12:30:14.07" personId="{D6C34A5B-72F0-49D4-863A-573F8EDFFFAE}" id="{41EE8018-9FE4-46A7-9B10-6C8847F877A5}">
    <text>Data source?</text>
  </threadedComment>
  <threadedComment ref="X93" dT="2024-10-01T12:30:14.07" personId="{D6C34A5B-72F0-49D4-863A-573F8EDFFFAE}" id="{CF68F609-0E1D-4B92-9BD0-B87FCB91F385}">
    <text>Data source?</text>
  </threadedComment>
  <threadedComment ref="AI93" dT="2024-10-01T12:30:14.07" personId="{D6C34A5B-72F0-49D4-863A-573F8EDFFFAE}" id="{4F0614C3-8983-462A-908C-8007EC5987EC}">
    <text>Data source?</text>
  </threadedComment>
  <threadedComment ref="B112" dT="2024-10-01T12:30:14.07" personId="{D6C34A5B-72F0-49D4-863A-573F8EDFFFAE}" id="{8B22015A-558B-4C57-83E7-3E880E0DED32}">
    <text>Data source?</text>
  </threadedComment>
  <threadedComment ref="M112" dT="2024-10-01T12:30:14.07" personId="{D6C34A5B-72F0-49D4-863A-573F8EDFFFAE}" id="{BAEF39B1-B0A5-4D12-94BF-1913BD7E5FF2}">
    <text>Data source?</text>
  </threadedComment>
  <threadedComment ref="X112" dT="2024-10-01T12:30:14.07" personId="{D6C34A5B-72F0-49D4-863A-573F8EDFFFAE}" id="{939269E0-C77D-4242-BF78-BC0677092222}">
    <text>Data source?</text>
  </threadedComment>
  <threadedComment ref="AI112" dT="2024-10-01T12:30:14.07" personId="{D6C34A5B-72F0-49D4-863A-573F8EDFFFAE}" id="{B4588398-EF3E-4CD7-9ED6-A9853348223F}">
    <text>Data source?</text>
  </threadedComment>
  <threadedComment ref="B131" dT="2024-10-01T12:30:14.07" personId="{D6C34A5B-72F0-49D4-863A-573F8EDFFFAE}" id="{BA3024A7-DD33-401A-8518-A3D0E8AE22E5}">
    <text>Data source?</text>
  </threadedComment>
  <threadedComment ref="M131" dT="2024-10-01T12:30:14.07" personId="{D6C34A5B-72F0-49D4-863A-573F8EDFFFAE}" id="{68307A8F-3271-4376-96C4-95E8AF3ACB5D}">
    <text>Data source?</text>
  </threadedComment>
  <threadedComment ref="X131" dT="2024-10-01T12:30:14.07" personId="{D6C34A5B-72F0-49D4-863A-573F8EDFFFAE}" id="{4BE8EDA3-06DE-4684-A39F-FC31D3CB860A}">
    <text>Data source?</text>
  </threadedComment>
  <threadedComment ref="B150" dT="2024-10-01T12:30:14.07" personId="{D6C34A5B-72F0-49D4-863A-573F8EDFFFAE}" id="{79697AFF-0054-48B6-AB5F-37351C5A4EAC}">
    <text>Data source?</text>
  </threadedComment>
  <threadedComment ref="M150" dT="2024-10-01T12:30:14.07" personId="{D6C34A5B-72F0-49D4-863A-573F8EDFFFAE}" id="{423239E3-C413-40F4-8324-2E0E7B950812}">
    <text>Data source?</text>
  </threadedComment>
  <threadedComment ref="X150" dT="2024-10-01T12:30:14.07" personId="{D6C34A5B-72F0-49D4-863A-573F8EDFFFAE}" id="{3A4CFC6A-3C9D-498E-84F4-B35D964DE670}">
    <text>Data source?</text>
  </threadedComment>
  <threadedComment ref="B169" dT="2024-10-01T12:30:14.07" personId="{D6C34A5B-72F0-49D4-863A-573F8EDFFFAE}" id="{5F5DDB51-BDE3-465F-849F-5645DBDF1768}">
    <text>Data source?</text>
  </threadedComment>
  <threadedComment ref="M169" dT="2024-10-01T12:30:14.07" personId="{D6C34A5B-72F0-49D4-863A-573F8EDFFFAE}" id="{3D3D0F2A-2ACC-4123-9834-C20020F9E834}">
    <text>Data source?</text>
  </threadedComment>
  <threadedComment ref="X169" dT="2024-10-01T12:30:14.07" personId="{D6C34A5B-72F0-49D4-863A-573F8EDFFFAE}" id="{5CBCD603-784F-4931-A810-656F9E8A5D2E}">
    <text>Data source?</text>
  </threadedComment>
  <threadedComment ref="B188" dT="2024-10-01T12:30:14.07" personId="{D6C34A5B-72F0-49D4-863A-573F8EDFFFAE}" id="{29C32951-58BC-4FEF-9389-A638ADF691A4}">
    <text>Data source?</text>
  </threadedComment>
  <threadedComment ref="M188" dT="2024-10-01T12:30:14.07" personId="{D6C34A5B-72F0-49D4-863A-573F8EDFFFAE}" id="{0325A74E-F8C5-4633-A75E-3B30B4F82AE2}">
    <text>Data source?</text>
  </threadedComment>
  <threadedComment ref="X188" dT="2024-10-01T12:30:14.07" personId="{D6C34A5B-72F0-49D4-863A-573F8EDFFFAE}" id="{3E5491BB-5DCF-4F82-AA0C-2D948661AB74}">
    <text>Data source?</text>
  </threadedComment>
  <threadedComment ref="B207" dT="2024-10-01T12:30:14.07" personId="{D6C34A5B-72F0-49D4-863A-573F8EDFFFAE}" id="{C8521FDF-BF8A-4860-A38C-558A88BC4695}">
    <text>Data source?</text>
  </threadedComment>
  <threadedComment ref="M207" dT="2024-10-01T12:30:14.07" personId="{D6C34A5B-72F0-49D4-863A-573F8EDFFFAE}" id="{610D12F4-F170-4F8A-8F8F-AAD818F60095}">
    <text>Data source?</text>
  </threadedComment>
  <threadedComment ref="X207" dT="2024-10-01T12:30:14.07" personId="{D6C34A5B-72F0-49D4-863A-573F8EDFFFAE}" id="{E3468319-24D3-4159-BEB6-E4DC17A00BA0}">
    <text>Data source?</text>
  </threadedComment>
  <threadedComment ref="B226" dT="2024-10-01T12:30:14.07" personId="{D6C34A5B-72F0-49D4-863A-573F8EDFFFAE}" id="{EBD82CC6-4F97-433B-9557-11F97B6B943B}">
    <text>Data source?</text>
  </threadedComment>
  <threadedComment ref="M226" dT="2024-10-01T12:30:14.07" personId="{D6C34A5B-72F0-49D4-863A-573F8EDFFFAE}" id="{4C3BDA7D-CB72-4813-B976-43112874E38E}">
    <text>Data source?</text>
  </threadedComment>
  <threadedComment ref="X226" dT="2024-10-01T12:30:14.07" personId="{D6C34A5B-72F0-49D4-863A-573F8EDFFFAE}" id="{3671D825-BDC6-4714-9E18-76B410664AD8}">
    <text>Data source?</text>
  </threadedComment>
</ThreadedComments>
</file>

<file path=xl/threadedComments/threadedComment3.xml><?xml version="1.0" encoding="utf-8"?>
<ThreadedComments xmlns="http://schemas.microsoft.com/office/spreadsheetml/2018/threadedcomments" xmlns:x="http://schemas.openxmlformats.org/spreadsheetml/2006/main">
  <threadedComment ref="H5" dT="2024-12-11T22:06:08.47" personId="{D6C34A5B-72F0-49D4-863A-573F8EDFFFAE}" id="{A89CAEAA-691D-4DCC-9802-1A7D58143548}">
    <text>Based on 2024 BNEF battery survey:
https://about.bnef.com/blog/lithium-ion-battery-pack-prices-see-largest-drop-since-2017-falling-to-115-per-kilowatt-hour-bloombergnef/</text>
    <extLst>
      <x:ext xmlns:xltc2="http://schemas.microsoft.com/office/spreadsheetml/2020/threadedcomments2" uri="{F7C98A9C-CBB3-438F-8F68-D28B6AF4A901}">
        <xltc2:checksum>1604923934</xltc2:checksum>
        <xltc2:hyperlink startIndex="35" length="134" url="https://about.bnef.com/blog/lithium-ion-battery-pack-prices-see-largest-drop-since-2017-falling-to-115-per-kilowatt-hour-bloombergnef/"/>
      </x:ext>
    </extLst>
  </threadedComment>
  <threadedComment ref="I5" dT="2024-12-11T22:06:27.99" personId="{D6C34A5B-72F0-49D4-863A-573F8EDFFFAE}" id="{EDD5ABD4-8BF1-491E-ADE3-F855F70C8191}">
    <text xml:space="preserve">Based on 2024 BNEF battery survey:
https://about.bnef.com/blog/lithium-ion-battery-pack-prices-see-largest-drop-since-2017-falling-to-115-per-kilowatt-hour-bloombergnef/
</text>
    <extLst>
      <x:ext xmlns:xltc2="http://schemas.microsoft.com/office/spreadsheetml/2020/threadedcomments2" uri="{F7C98A9C-CBB3-438F-8F68-D28B6AF4A901}">
        <xltc2:checksum>842884279</xltc2:checksum>
        <xltc2:hyperlink startIndex="35" length="134" url="https://about.bnef.com/blog/lithium-ion-battery-pack-prices-see-largest-drop-since-2017-falling-to-115-per-kilowatt-hour-bloombergnef/"/>
      </x:ext>
    </extLst>
  </threadedComment>
</ThreadedComments>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xin.he@aramcoamericas.com" TargetMode="External"/></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B2:F19"/>
  <sheetViews>
    <sheetView zoomScale="115" zoomScaleNormal="115" workbookViewId="0">
      <selection activeCell="C33" sqref="C33"/>
    </sheetView>
  </sheetViews>
  <sheetFormatPr defaultColWidth="8.54296875" defaultRowHeight="14.5"/>
  <cols>
    <col min="1" max="1" width="8.54296875" style="358"/>
    <col min="2" max="2" width="13.453125" style="358" customWidth="1"/>
    <col min="3" max="3" width="90.453125" style="358" customWidth="1"/>
    <col min="4" max="16384" width="8.54296875" style="358"/>
  </cols>
  <sheetData>
    <row r="2" spans="2:6">
      <c r="B2" s="298"/>
      <c r="C2" s="298"/>
      <c r="D2" s="298"/>
      <c r="E2" s="298"/>
      <c r="F2" s="298"/>
    </row>
    <row r="3" spans="2:6" ht="15" thickBot="1">
      <c r="B3" s="298"/>
      <c r="C3" s="298"/>
      <c r="D3" s="298"/>
      <c r="E3" s="298"/>
      <c r="F3" s="298"/>
    </row>
    <row r="4" spans="2:6" ht="28.5">
      <c r="B4" s="1061" t="s">
        <v>192</v>
      </c>
      <c r="C4" s="1062"/>
      <c r="D4" s="1063"/>
      <c r="E4" s="298"/>
      <c r="F4" s="298"/>
    </row>
    <row r="5" spans="2:6">
      <c r="B5" s="359" t="s">
        <v>191</v>
      </c>
      <c r="C5" s="298"/>
      <c r="D5" s="360"/>
      <c r="E5" s="298"/>
      <c r="F5" s="298"/>
    </row>
    <row r="6" spans="2:6" ht="15.5">
      <c r="B6" s="349"/>
      <c r="C6" s="361" t="s">
        <v>228</v>
      </c>
      <c r="D6" s="360"/>
      <c r="E6" s="298"/>
      <c r="F6" s="298"/>
    </row>
    <row r="7" spans="2:6">
      <c r="B7" s="362" t="s">
        <v>448</v>
      </c>
      <c r="D7" s="360"/>
      <c r="E7" s="298"/>
      <c r="F7" s="298"/>
    </row>
    <row r="8" spans="2:6" ht="168.65" customHeight="1" thickBot="1">
      <c r="B8" s="363"/>
      <c r="C8" s="364" t="s">
        <v>227</v>
      </c>
      <c r="D8" s="365"/>
      <c r="E8" s="298"/>
      <c r="F8" s="298"/>
    </row>
    <row r="9" spans="2:6">
      <c r="B9" s="366"/>
      <c r="C9" s="367"/>
      <c r="D9" s="368"/>
      <c r="E9" s="298"/>
      <c r="F9" s="298"/>
    </row>
    <row r="10" spans="2:6" ht="15.5">
      <c r="B10" s="362" t="s">
        <v>226</v>
      </c>
      <c r="C10" s="899" t="s">
        <v>449</v>
      </c>
      <c r="D10" s="360"/>
      <c r="E10" s="298"/>
      <c r="F10" s="298"/>
    </row>
    <row r="11" spans="2:6">
      <c r="B11" s="349"/>
      <c r="C11" s="369"/>
      <c r="D11" s="360"/>
      <c r="E11" s="298"/>
      <c r="F11" s="298"/>
    </row>
    <row r="12" spans="2:6">
      <c r="B12" s="362" t="s">
        <v>189</v>
      </c>
      <c r="C12" s="370" t="s">
        <v>446</v>
      </c>
      <c r="D12" s="360"/>
      <c r="E12" s="298"/>
      <c r="F12" s="298"/>
    </row>
    <row r="13" spans="2:6">
      <c r="B13" s="349"/>
      <c r="C13" s="371"/>
      <c r="D13" s="360"/>
      <c r="E13" s="298"/>
      <c r="F13" s="298"/>
    </row>
    <row r="14" spans="2:6">
      <c r="B14" s="362" t="s">
        <v>190</v>
      </c>
      <c r="C14" s="372" t="s">
        <v>244</v>
      </c>
      <c r="D14" s="360"/>
      <c r="E14" s="298"/>
      <c r="F14" s="298"/>
    </row>
    <row r="15" spans="2:6">
      <c r="B15" s="349"/>
      <c r="C15" s="358" t="s">
        <v>193</v>
      </c>
      <c r="D15" s="360"/>
      <c r="E15" s="298"/>
      <c r="F15" s="298"/>
    </row>
    <row r="16" spans="2:6">
      <c r="B16" s="373"/>
      <c r="C16" s="374"/>
      <c r="D16" s="360"/>
      <c r="E16" s="298"/>
      <c r="F16" s="298"/>
    </row>
    <row r="17" spans="2:6" ht="15" thickBot="1">
      <c r="B17" s="375" t="s">
        <v>447</v>
      </c>
      <c r="C17" s="376">
        <v>45505</v>
      </c>
      <c r="D17" s="365"/>
      <c r="E17" s="298"/>
      <c r="F17" s="298"/>
    </row>
    <row r="18" spans="2:6">
      <c r="B18" s="298"/>
      <c r="C18" s="298"/>
      <c r="D18" s="298"/>
      <c r="E18" s="298"/>
      <c r="F18" s="298"/>
    </row>
    <row r="19" spans="2:6">
      <c r="B19" s="298"/>
      <c r="C19" s="298"/>
      <c r="D19" s="298"/>
      <c r="E19" s="298"/>
      <c r="F19" s="298"/>
    </row>
  </sheetData>
  <mergeCells count="1">
    <mergeCell ref="B4:D4"/>
  </mergeCells>
  <phoneticPr fontId="37" type="noConversion"/>
  <hyperlinks>
    <hyperlink ref="C14" r:id="rId1" xr:uid="{00000000-0004-0000-0000-000000000000}"/>
  </hyperlinks>
  <pageMargins left="0.7" right="0.7" top="0.75" bottom="0.75" header="0.3" footer="0.3"/>
  <pageSetup orientation="portrait" r:id="rId2"/>
  <headerFooter>
    <oddFooter>&amp;C&amp;1#&amp;"Calibri"&amp;14&amp;K008000Classification: General Use</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B2:R98"/>
  <sheetViews>
    <sheetView workbookViewId="0">
      <selection activeCell="I97" sqref="I97:L97"/>
    </sheetView>
  </sheetViews>
  <sheetFormatPr defaultRowHeight="14.5"/>
  <sheetData>
    <row r="2" spans="2:17">
      <c r="B2" s="3">
        <f>'TCO Calculation'!B2</f>
        <v>2050</v>
      </c>
      <c r="C2" s="96">
        <f>'TCO Calculation'!C2</f>
        <v>1000000</v>
      </c>
      <c r="D2">
        <f>'TCO Calculation'!K2</f>
        <v>0</v>
      </c>
      <c r="E2">
        <f>'TCO Calculation'!E2</f>
        <v>3</v>
      </c>
      <c r="I2" s="95" t="e">
        <f>'TCO Calculation'!#REF!</f>
        <v>#REF!</v>
      </c>
      <c r="J2" s="93" t="e">
        <f>'TCO Calculation'!#REF!</f>
        <v>#REF!</v>
      </c>
      <c r="K2" s="94">
        <f>'TCO Calculation'!D2</f>
        <v>7.13</v>
      </c>
    </row>
    <row r="4" spans="2:17">
      <c r="Q4" s="80">
        <f>'TCO Calculation'!$O$2</f>
        <v>0.5</v>
      </c>
    </row>
    <row r="6" spans="2:17">
      <c r="Q6" s="18">
        <f>'TCO Calculation'!$P$2</f>
        <v>0.7</v>
      </c>
    </row>
    <row r="67" spans="9:18">
      <c r="I67" s="71" t="e">
        <f>'TCO Calculation'!$H$81:$I$82</f>
        <v>#VALUE!</v>
      </c>
      <c r="J67" s="63" t="e">
        <f>'TCO Calculation'!$H$81:$I$82</f>
        <v>#VALUE!</v>
      </c>
      <c r="O67" s="19" t="e">
        <f>'TCO Calculation'!#REF!</f>
        <v>#REF!</v>
      </c>
      <c r="P67" s="19" t="e">
        <f>'TCO Calculation'!#REF!</f>
        <v>#REF!</v>
      </c>
      <c r="Q67" s="21" t="e">
        <f>'TCO Calculation'!#REF!</f>
        <v>#REF!</v>
      </c>
      <c r="R67" s="22" t="e">
        <f>'TCO Calculation'!#REF!</f>
        <v>#REF!</v>
      </c>
    </row>
    <row r="68" spans="9:18">
      <c r="I68" s="71" t="e">
        <f>'TCO Calculation'!$H$81:$I$82</f>
        <v>#VALUE!</v>
      </c>
      <c r="J68" s="63" t="e">
        <f>'TCO Calculation'!$H$81:$I$82</f>
        <v>#VALUE!</v>
      </c>
      <c r="O68" s="19" t="e">
        <f>'TCO Calculation'!#REF!</f>
        <v>#REF!</v>
      </c>
      <c r="P68" s="19" t="e">
        <f>'TCO Calculation'!#REF!</f>
        <v>#REF!</v>
      </c>
      <c r="Q68" s="21" t="e">
        <f>'TCO Calculation'!#REF!</f>
        <v>#REF!</v>
      </c>
      <c r="R68" s="22" t="e">
        <f>'TCO Calculation'!#REF!</f>
        <v>#REF!</v>
      </c>
    </row>
    <row r="69" spans="9:18">
      <c r="O69" s="19" t="e">
        <f>'TCO Calculation'!#REF!</f>
        <v>#REF!</v>
      </c>
      <c r="P69" s="19" t="e">
        <f>'TCO Calculation'!#REF!</f>
        <v>#REF!</v>
      </c>
      <c r="Q69" s="21" t="e">
        <f>'TCO Calculation'!#REF!</f>
        <v>#REF!</v>
      </c>
      <c r="R69" s="22" t="e">
        <f>'TCO Calculation'!#REF!</f>
        <v>#REF!</v>
      </c>
    </row>
    <row r="70" spans="9:18">
      <c r="O70" s="19" t="e">
        <f>'TCO Calculation'!#REF!</f>
        <v>#REF!</v>
      </c>
      <c r="P70" s="19" t="e">
        <f>'TCO Calculation'!#REF!</f>
        <v>#REF!</v>
      </c>
      <c r="Q70" s="21" t="e">
        <f>'TCO Calculation'!#REF!</f>
        <v>#REF!</v>
      </c>
      <c r="R70" s="22" t="e">
        <f>'TCO Calculation'!#REF!</f>
        <v>#REF!</v>
      </c>
    </row>
    <row r="71" spans="9:18">
      <c r="O71" s="19" t="e">
        <f>'TCO Calculation'!#REF!</f>
        <v>#REF!</v>
      </c>
      <c r="P71" s="19" t="e">
        <f>'TCO Calculation'!#REF!</f>
        <v>#REF!</v>
      </c>
      <c r="Q71" s="21" t="e">
        <f>'TCO Calculation'!#REF!</f>
        <v>#REF!</v>
      </c>
      <c r="R71" s="22" t="e">
        <f>'TCO Calculation'!#REF!</f>
        <v>#REF!</v>
      </c>
    </row>
    <row r="72" spans="9:18">
      <c r="I72" s="72">
        <f>'TCO Calculation'!$H$86:$J$86</f>
        <v>50397.678014715741</v>
      </c>
      <c r="J72" s="62">
        <f>'TCO Calculation'!$H$86:$J$86</f>
        <v>0</v>
      </c>
      <c r="K72" s="52" t="e">
        <f>'TCO Calculation'!$H$86:$J$86</f>
        <v>#VALUE!</v>
      </c>
      <c r="O72" s="19" t="e">
        <f>'TCO Calculation'!#REF!</f>
        <v>#REF!</v>
      </c>
      <c r="P72" s="19" t="e">
        <f>'TCO Calculation'!#REF!</f>
        <v>#REF!</v>
      </c>
      <c r="Q72" s="21" t="e">
        <f>'TCO Calculation'!#REF!</f>
        <v>#REF!</v>
      </c>
      <c r="R72" s="22" t="e">
        <f>'TCO Calculation'!#REF!</f>
        <v>#REF!</v>
      </c>
    </row>
    <row r="73" spans="9:18">
      <c r="O73" s="19" t="e">
        <f>'TCO Calculation'!#REF!</f>
        <v>#REF!</v>
      </c>
      <c r="P73" s="19" t="e">
        <f>'TCO Calculation'!#REF!</f>
        <v>#REF!</v>
      </c>
      <c r="Q73" s="21" t="e">
        <f>'TCO Calculation'!#REF!</f>
        <v>#REF!</v>
      </c>
      <c r="R73" s="22" t="e">
        <f>'TCO Calculation'!#REF!</f>
        <v>#REF!</v>
      </c>
    </row>
    <row r="74" spans="9:18">
      <c r="K74" s="20" t="e">
        <f>'TCO Calculation'!$J$89:$J$92</f>
        <v>#VALUE!</v>
      </c>
      <c r="O74" s="19" t="e">
        <f>'TCO Calculation'!#REF!</f>
        <v>#REF!</v>
      </c>
      <c r="P74" s="19" t="e">
        <f>'TCO Calculation'!#REF!</f>
        <v>#REF!</v>
      </c>
      <c r="Q74" s="21" t="e">
        <f>'TCO Calculation'!#REF!</f>
        <v>#REF!</v>
      </c>
      <c r="R74" s="22" t="e">
        <f>'TCO Calculation'!#REF!</f>
        <v>#REF!</v>
      </c>
    </row>
    <row r="75" spans="9:18">
      <c r="K75" s="20" t="e">
        <f>'TCO Calculation'!$J$89:$J$92</f>
        <v>#VALUE!</v>
      </c>
      <c r="O75" s="19" t="e">
        <f>'TCO Calculation'!#REF!</f>
        <v>#REF!</v>
      </c>
      <c r="P75" s="19" t="e">
        <f>'TCO Calculation'!#REF!</f>
        <v>#REF!</v>
      </c>
      <c r="Q75" s="21" t="e">
        <f>'TCO Calculation'!#REF!</f>
        <v>#REF!</v>
      </c>
      <c r="R75" s="22" t="e">
        <f>'TCO Calculation'!#REF!</f>
        <v>#REF!</v>
      </c>
    </row>
    <row r="76" spans="9:18">
      <c r="K76" s="54" t="e">
        <f>'TCO Calculation'!$J$89:$J$92</f>
        <v>#VALUE!</v>
      </c>
      <c r="O76" s="19" t="e">
        <f>'TCO Calculation'!#REF!</f>
        <v>#REF!</v>
      </c>
      <c r="P76" s="19" t="e">
        <f>'TCO Calculation'!#REF!</f>
        <v>#REF!</v>
      </c>
      <c r="Q76" s="21" t="e">
        <f>'TCO Calculation'!#REF!</f>
        <v>#REF!</v>
      </c>
      <c r="R76" s="22" t="e">
        <f>'TCO Calculation'!#REF!</f>
        <v>#REF!</v>
      </c>
    </row>
    <row r="77" spans="9:18">
      <c r="K77" s="20" t="e">
        <f>'TCO Calculation'!$J$89:$J$92</f>
        <v>#VALUE!</v>
      </c>
      <c r="O77" s="19" t="e">
        <f>'TCO Calculation'!#REF!</f>
        <v>#REF!</v>
      </c>
      <c r="P77" s="19" t="e">
        <f>'TCO Calculation'!#REF!</f>
        <v>#REF!</v>
      </c>
      <c r="Q77" s="21" t="e">
        <f>'TCO Calculation'!#REF!</f>
        <v>#REF!</v>
      </c>
      <c r="R77" s="22" t="e">
        <f>'TCO Calculation'!#REF!</f>
        <v>#REF!</v>
      </c>
    </row>
    <row r="78" spans="9:18">
      <c r="O78" s="19" t="e">
        <f>'TCO Calculation'!#REF!</f>
        <v>#REF!</v>
      </c>
      <c r="P78" s="19" t="e">
        <f>'TCO Calculation'!#REF!</f>
        <v>#REF!</v>
      </c>
      <c r="Q78" s="21" t="e">
        <f>'TCO Calculation'!#REF!</f>
        <v>#REF!</v>
      </c>
      <c r="R78" s="22" t="e">
        <f>'TCO Calculation'!#REF!</f>
        <v>#REF!</v>
      </c>
    </row>
    <row r="79" spans="9:18">
      <c r="O79" s="19" t="e">
        <f>'TCO Calculation'!#REF!</f>
        <v>#REF!</v>
      </c>
      <c r="P79" s="19" t="e">
        <f>'TCO Calculation'!#REF!</f>
        <v>#REF!</v>
      </c>
      <c r="Q79" s="21" t="e">
        <f>'TCO Calculation'!#REF!</f>
        <v>#REF!</v>
      </c>
      <c r="R79" s="22" t="e">
        <f>'TCO Calculation'!#REF!</f>
        <v>#REF!</v>
      </c>
    </row>
    <row r="80" spans="9:18">
      <c r="I80" s="73" t="e">
        <f>'TCO Calculation'!$H$93:$K$97</f>
        <v>#VALUE!</v>
      </c>
      <c r="J80" s="64" t="e">
        <f>'TCO Calculation'!$H$93:$K$97</f>
        <v>#VALUE!</v>
      </c>
      <c r="K80" s="54" t="e">
        <f>'TCO Calculation'!$H$93:$K$97</f>
        <v>#VALUE!</v>
      </c>
      <c r="L80" s="59" t="e">
        <f>'TCO Calculation'!$H$93:$K$97</f>
        <v>#VALUE!</v>
      </c>
      <c r="O80" s="19" t="e">
        <f>'TCO Calculation'!#REF!</f>
        <v>#REF!</v>
      </c>
      <c r="P80" s="19" t="e">
        <f>'TCO Calculation'!#REF!</f>
        <v>#REF!</v>
      </c>
      <c r="Q80" s="21" t="e">
        <f>'TCO Calculation'!#REF!</f>
        <v>#REF!</v>
      </c>
      <c r="R80" s="22" t="e">
        <f>'TCO Calculation'!#REF!</f>
        <v>#REF!</v>
      </c>
    </row>
    <row r="81" spans="9:18">
      <c r="I81" s="74" t="e">
        <f>'TCO Calculation'!$H$93:$K$97</f>
        <v>#VALUE!</v>
      </c>
      <c r="J81" s="65" t="e">
        <f>'TCO Calculation'!$H$93:$K$97</f>
        <v>#VALUE!</v>
      </c>
      <c r="K81" s="58" t="e">
        <f>'TCO Calculation'!$H$93:$K$97</f>
        <v>#VALUE!</v>
      </c>
      <c r="L81" s="60" t="e">
        <f>'TCO Calculation'!$H$93:$K$97</f>
        <v>#VALUE!</v>
      </c>
      <c r="O81" s="19" t="e">
        <f>'TCO Calculation'!#REF!</f>
        <v>#REF!</v>
      </c>
      <c r="P81" s="19" t="e">
        <f>'TCO Calculation'!#REF!</f>
        <v>#REF!</v>
      </c>
      <c r="Q81" s="21" t="e">
        <f>'TCO Calculation'!#REF!</f>
        <v>#REF!</v>
      </c>
      <c r="R81" s="22" t="e">
        <f>'TCO Calculation'!#REF!</f>
        <v>#REF!</v>
      </c>
    </row>
    <row r="82" spans="9:18">
      <c r="I82" s="74" t="e">
        <f>'TCO Calculation'!$H$93:$K$97</f>
        <v>#VALUE!</v>
      </c>
      <c r="J82" s="66" t="e">
        <f>'TCO Calculation'!$H$93:$K$97</f>
        <v>#VALUE!</v>
      </c>
      <c r="K82" s="20" t="e">
        <f>'TCO Calculation'!$H$93:$K$97</f>
        <v>#VALUE!</v>
      </c>
      <c r="L82" s="61" t="e">
        <f>'TCO Calculation'!$H$93:$K$97</f>
        <v>#VALUE!</v>
      </c>
      <c r="O82" s="19" t="e">
        <f>'TCO Calculation'!#REF!</f>
        <v>#REF!</v>
      </c>
      <c r="P82" s="19" t="e">
        <f>'TCO Calculation'!#REF!</f>
        <v>#REF!</v>
      </c>
      <c r="Q82" s="21" t="e">
        <f>'TCO Calculation'!#REF!</f>
        <v>#REF!</v>
      </c>
      <c r="R82" s="22" t="e">
        <f>'TCO Calculation'!#REF!</f>
        <v>#REF!</v>
      </c>
    </row>
    <row r="83" spans="9:18">
      <c r="I83" s="73" t="e">
        <f>'TCO Calculation'!$H$93:$K$97</f>
        <v>#VALUE!</v>
      </c>
      <c r="J83" s="67" t="e">
        <f>'TCO Calculation'!$H$93:$K$97</f>
        <v>#VALUE!</v>
      </c>
      <c r="K83" s="20" t="e">
        <f>'TCO Calculation'!$H$93:$K$97</f>
        <v>#VALUE!</v>
      </c>
      <c r="L83" s="61" t="e">
        <f>'TCO Calculation'!$H$93:$K$97</f>
        <v>#VALUE!</v>
      </c>
      <c r="O83" s="19" t="e">
        <f>'TCO Calculation'!#REF!</f>
        <v>#REF!</v>
      </c>
      <c r="P83" s="19" t="e">
        <f>'TCO Calculation'!#REF!</f>
        <v>#REF!</v>
      </c>
      <c r="Q83" s="21" t="e">
        <f>'TCO Calculation'!#REF!</f>
        <v>#REF!</v>
      </c>
      <c r="R83" s="22" t="e">
        <f>'TCO Calculation'!#REF!</f>
        <v>#REF!</v>
      </c>
    </row>
    <row r="84" spans="9:18">
      <c r="I84" s="75" t="e">
        <f>'TCO Calculation'!$H$93:$K$97</f>
        <v>#VALUE!</v>
      </c>
      <c r="J84" s="51" t="e">
        <f>'TCO Calculation'!$H$93:$K$97</f>
        <v>#VALUE!</v>
      </c>
      <c r="K84" s="53" t="e">
        <f>'TCO Calculation'!$H$93:$K$97</f>
        <v>#VALUE!</v>
      </c>
      <c r="L84" s="53" t="e">
        <f>'TCO Calculation'!$H$93:$K$97</f>
        <v>#VALUE!</v>
      </c>
      <c r="O84" s="19" t="e">
        <f>'TCO Calculation'!#REF!</f>
        <v>#REF!</v>
      </c>
      <c r="P84" s="19" t="e">
        <f>'TCO Calculation'!#REF!</f>
        <v>#REF!</v>
      </c>
      <c r="Q84" s="21" t="e">
        <f>'TCO Calculation'!#REF!</f>
        <v>#REF!</v>
      </c>
      <c r="R84" s="22" t="e">
        <f>'TCO Calculation'!#REF!</f>
        <v>#REF!</v>
      </c>
    </row>
    <row r="85" spans="9:18">
      <c r="I85" s="76" t="e">
        <f>'TCO Calculation'!$H$93:$K$97</f>
        <v>#VALUE!</v>
      </c>
      <c r="J85" s="76" t="e">
        <f>'TCO Calculation'!$H$93:$K$97</f>
        <v>#VALUE!</v>
      </c>
      <c r="K85" s="92" t="e">
        <f>'TCO Calculation'!$H$93:$K$97</f>
        <v>#VALUE!</v>
      </c>
      <c r="L85" s="92" t="e">
        <f>'TCO Calculation'!$H$93:$K$97</f>
        <v>#VALUE!</v>
      </c>
      <c r="O85" s="19" t="e">
        <f>'TCO Calculation'!#REF!</f>
        <v>#REF!</v>
      </c>
      <c r="P85" s="19" t="e">
        <f>'TCO Calculation'!#REF!</f>
        <v>#REF!</v>
      </c>
      <c r="Q85" s="21" t="e">
        <f>'TCO Calculation'!#REF!</f>
        <v>#REF!</v>
      </c>
      <c r="R85" s="22" t="e">
        <f>'TCO Calculation'!#REF!</f>
        <v>#REF!</v>
      </c>
    </row>
    <row r="86" spans="9:18">
      <c r="O86" s="19" t="e">
        <f>'TCO Calculation'!#REF!</f>
        <v>#REF!</v>
      </c>
      <c r="P86" s="19" t="e">
        <f>'TCO Calculation'!#REF!</f>
        <v>#REF!</v>
      </c>
      <c r="R86" s="22" t="e">
        <f>'TCO Calculation'!#REF!</f>
        <v>#REF!</v>
      </c>
    </row>
    <row r="87" spans="9:18">
      <c r="I87" s="82" t="e">
        <f>'TCO Calculation'!$H$113:$K$120</f>
        <v>#VALUE!</v>
      </c>
      <c r="J87" s="83" t="e">
        <f>'TCO Calculation'!$H$113:$K$120</f>
        <v>#VALUE!</v>
      </c>
      <c r="K87" s="81" t="e">
        <f>'TCO Calculation'!$H$113:$K$120</f>
        <v>#VALUE!</v>
      </c>
      <c r="L87" s="81" t="e">
        <f>'TCO Calculation'!$H$113:$K$120</f>
        <v>#VALUE!</v>
      </c>
      <c r="O87" s="19" t="e">
        <f>'TCO Calculation'!#REF!</f>
        <v>#REF!</v>
      </c>
      <c r="P87" s="19" t="e">
        <f>'TCO Calculation'!#REF!</f>
        <v>#REF!</v>
      </c>
      <c r="Q87" s="21" t="e">
        <f>'TCO Calculation'!#REF!</f>
        <v>#REF!</v>
      </c>
      <c r="R87" s="22" t="e">
        <f>'TCO Calculation'!#REF!</f>
        <v>#REF!</v>
      </c>
    </row>
    <row r="88" spans="9:18">
      <c r="I88" s="82" t="e">
        <f>'TCO Calculation'!$H$113:$K$120</f>
        <v>#VALUE!</v>
      </c>
      <c r="J88" s="82" t="e">
        <f>'TCO Calculation'!$H$113:$K$120</f>
        <v>#VALUE!</v>
      </c>
      <c r="K88" s="81" t="e">
        <f>'TCO Calculation'!$H$113:$K$120</f>
        <v>#VALUE!</v>
      </c>
      <c r="L88" s="81" t="e">
        <f>'TCO Calculation'!$H$113:$K$120</f>
        <v>#VALUE!</v>
      </c>
      <c r="O88" s="19" t="e">
        <f>'TCO Calculation'!#REF!</f>
        <v>#REF!</v>
      </c>
      <c r="P88" s="19" t="e">
        <f>'TCO Calculation'!#REF!</f>
        <v>#REF!</v>
      </c>
      <c r="Q88" s="21" t="e">
        <f>'TCO Calculation'!#REF!</f>
        <v>#REF!</v>
      </c>
      <c r="R88" s="22" t="e">
        <f>'TCO Calculation'!#REF!</f>
        <v>#REF!</v>
      </c>
    </row>
    <row r="89" spans="9:18" ht="15" thickBot="1">
      <c r="O89" s="19" t="e">
        <f>'TCO Calculation'!#REF!</f>
        <v>#REF!</v>
      </c>
      <c r="P89" s="19" t="e">
        <f>'TCO Calculation'!#REF!</f>
        <v>#REF!</v>
      </c>
      <c r="Q89" s="21" t="e">
        <f>'TCO Calculation'!#REF!</f>
        <v>#REF!</v>
      </c>
      <c r="R89" s="22" t="e">
        <f>'TCO Calculation'!#REF!</f>
        <v>#REF!</v>
      </c>
    </row>
    <row r="90" spans="9:18">
      <c r="I90" s="86" t="e">
        <f>'TCO Calculation'!$H$123:$K$125</f>
        <v>#VALUE!</v>
      </c>
      <c r="J90" s="87" t="e">
        <f>'TCO Calculation'!$H$123:$K$125</f>
        <v>#VALUE!</v>
      </c>
      <c r="K90" s="88" t="e">
        <f>'TCO Calculation'!$H$123:$K$125</f>
        <v>#VALUE!</v>
      </c>
      <c r="L90" s="88" t="e">
        <f>'TCO Calculation'!$H$123:$K$125</f>
        <v>#VALUE!</v>
      </c>
      <c r="O90" s="19" t="e">
        <f>'TCO Calculation'!#REF!</f>
        <v>#REF!</v>
      </c>
      <c r="P90" s="19" t="e">
        <f>'TCO Calculation'!#REF!</f>
        <v>#REF!</v>
      </c>
      <c r="Q90" s="21" t="e">
        <f>'TCO Calculation'!#REF!</f>
        <v>#REF!</v>
      </c>
      <c r="R90" s="22" t="e">
        <f>'TCO Calculation'!#REF!</f>
        <v>#REF!</v>
      </c>
    </row>
    <row r="91" spans="9:18">
      <c r="I91" s="77" t="e">
        <f>'TCO Calculation'!$H$123:$K$125</f>
        <v>#VALUE!</v>
      </c>
      <c r="J91" s="68" t="e">
        <f>'TCO Calculation'!$H$123:$K$125</f>
        <v>#VALUE!</v>
      </c>
      <c r="K91" s="55" t="e">
        <f>'TCO Calculation'!$H$123:$K$125</f>
        <v>#VALUE!</v>
      </c>
      <c r="L91" s="55" t="e">
        <f>'TCO Calculation'!$H$123:$K$125</f>
        <v>#VALUE!</v>
      </c>
      <c r="O91" s="19" t="e">
        <f>'TCO Calculation'!#REF!</f>
        <v>#REF!</v>
      </c>
      <c r="P91" s="19" t="e">
        <f>'TCO Calculation'!#REF!</f>
        <v>#REF!</v>
      </c>
      <c r="Q91" s="21" t="e">
        <f>'TCO Calculation'!#REF!</f>
        <v>#REF!</v>
      </c>
      <c r="R91" s="22" t="e">
        <f>'TCO Calculation'!#REF!</f>
        <v>#REF!</v>
      </c>
    </row>
    <row r="92" spans="9:18">
      <c r="I92" s="77" t="e">
        <f>'TCO Calculation'!$H$123:$K$125</f>
        <v>#VALUE!</v>
      </c>
      <c r="J92" s="97" t="e">
        <f>'TCO Calculation'!$H$123:$K$125</f>
        <v>#VALUE!</v>
      </c>
      <c r="K92" s="55" t="e">
        <f>'TCO Calculation'!$H$123:$K$125</f>
        <v>#VALUE!</v>
      </c>
      <c r="L92" s="55" t="e">
        <f>'TCO Calculation'!$H$123:$K$125</f>
        <v>#VALUE!</v>
      </c>
      <c r="O92" s="19" t="e">
        <f>'TCO Calculation'!#REF!</f>
        <v>#REF!</v>
      </c>
      <c r="P92" s="19" t="e">
        <f>'TCO Calculation'!#REF!</f>
        <v>#REF!</v>
      </c>
      <c r="Q92" s="21" t="e">
        <f>'TCO Calculation'!#REF!</f>
        <v>#REF!</v>
      </c>
    </row>
    <row r="93" spans="9:18">
      <c r="I93" s="78" t="e">
        <f>'TCO Calculation'!$H$126:$I$129</f>
        <v>#VALUE!</v>
      </c>
      <c r="J93" s="69" t="e">
        <f>'TCO Calculation'!$H$126:$I$129</f>
        <v>#VALUE!</v>
      </c>
      <c r="O93" s="19" t="e">
        <f>'TCO Calculation'!#REF!</f>
        <v>#REF!</v>
      </c>
      <c r="P93" s="19" t="e">
        <f>'TCO Calculation'!#REF!</f>
        <v>#REF!</v>
      </c>
      <c r="Q93" s="21" t="e">
        <f>'TCO Calculation'!#REF!</f>
        <v>#REF!</v>
      </c>
    </row>
    <row r="94" spans="9:18">
      <c r="I94" s="79" t="e">
        <f>'TCO Calculation'!$H$126:$I$129</f>
        <v>#VALUE!</v>
      </c>
      <c r="J94" s="70" t="e">
        <f>'TCO Calculation'!$H$126:$I$129</f>
        <v>#VALUE!</v>
      </c>
      <c r="O94" s="19" t="e">
        <f>'TCO Calculation'!#REF!</f>
        <v>#REF!</v>
      </c>
      <c r="P94" s="19" t="e">
        <f>'TCO Calculation'!#REF!</f>
        <v>#REF!</v>
      </c>
      <c r="Q94" s="21" t="e">
        <f>'TCO Calculation'!#REF!</f>
        <v>#REF!</v>
      </c>
    </row>
    <row r="95" spans="9:18">
      <c r="I95" s="84" t="e">
        <f>'TCO Calculation'!$H$126:$I$129</f>
        <v>#VALUE!</v>
      </c>
      <c r="J95" s="85" t="e">
        <f>'TCO Calculation'!$H$126:$I$129</f>
        <v>#VALUE!</v>
      </c>
      <c r="O95" s="19" t="e">
        <f>'TCO Calculation'!#REF!</f>
        <v>#REF!</v>
      </c>
      <c r="P95" s="19" t="e">
        <f>'TCO Calculation'!#REF!</f>
        <v>#REF!</v>
      </c>
      <c r="Q95" s="21" t="e">
        <f>'TCO Calculation'!#REF!</f>
        <v>#REF!</v>
      </c>
    </row>
    <row r="96" spans="9:18">
      <c r="I96" s="78" t="e">
        <f>'TCO Calculation'!$H$126:$I$129</f>
        <v>#VALUE!</v>
      </c>
      <c r="J96" s="78" t="e">
        <f>'TCO Calculation'!$H$126:$I$129</f>
        <v>#VALUE!</v>
      </c>
      <c r="O96" s="19" t="e">
        <f>'TCO Calculation'!#REF!</f>
        <v>#REF!</v>
      </c>
      <c r="P96" s="19" t="e">
        <f>'TCO Calculation'!#REF!</f>
        <v>#REF!</v>
      </c>
      <c r="Q96" s="21" t="e">
        <f>'TCO Calculation'!#REF!</f>
        <v>#REF!</v>
      </c>
    </row>
    <row r="97" spans="9:17" ht="15" thickBot="1">
      <c r="I97" s="89">
        <f>'TCO Calculation'!$H$130:$K$130</f>
        <v>98488.09235641142</v>
      </c>
      <c r="J97" s="90">
        <f>'TCO Calculation'!$H$130:$K$130</f>
        <v>3336.3122262146135</v>
      </c>
      <c r="K97" s="91">
        <f>'TCO Calculation'!$H$130:$K$130</f>
        <v>7929.1150601843437</v>
      </c>
      <c r="L97" s="91" t="e">
        <f>'TCO Calculation'!$H$130:$K$130</f>
        <v>#VALUE!</v>
      </c>
      <c r="O97" s="19" t="e">
        <f>'TCO Calculation'!#REF!</f>
        <v>#REF!</v>
      </c>
      <c r="P97" s="19" t="e">
        <f>'TCO Calculation'!#REF!</f>
        <v>#REF!</v>
      </c>
      <c r="Q97" s="21" t="e">
        <f>'TCO Calculation'!#REF!</f>
        <v>#REF!</v>
      </c>
    </row>
    <row r="98" spans="9:17">
      <c r="O98" s="19" t="e">
        <f>'TCO Calculation'!#REF!</f>
        <v>#REF!</v>
      </c>
      <c r="P98" s="19" t="e">
        <f>'TCO Calculation'!#REF!</f>
        <v>#REF!</v>
      </c>
      <c r="Q98" s="21" t="e">
        <f>'TCO Calculation'!#REF!</f>
        <v>#REF!</v>
      </c>
    </row>
  </sheetData>
  <phoneticPr fontId="37"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rgb="FF00A3E0"/>
  </sheetPr>
  <dimension ref="A1:AK159"/>
  <sheetViews>
    <sheetView zoomScale="55" zoomScaleNormal="55" workbookViewId="0">
      <pane xSplit="4" ySplit="12" topLeftCell="E13" activePane="bottomRight" state="frozen"/>
      <selection pane="topRight" activeCell="E1" sqref="E1"/>
      <selection pane="bottomLeft" activeCell="A10" sqref="A10"/>
      <selection pane="bottomRight" activeCell="B3" sqref="B3"/>
    </sheetView>
  </sheetViews>
  <sheetFormatPr defaultColWidth="9.1796875" defaultRowHeight="14.5"/>
  <cols>
    <col min="1" max="1" width="18.453125" style="109" customWidth="1"/>
    <col min="2" max="2" width="14.81640625" style="108" customWidth="1"/>
    <col min="3" max="3" width="17.54296875" style="108" customWidth="1"/>
    <col min="4" max="4" width="39.1796875" style="107" bestFit="1" customWidth="1"/>
    <col min="5" max="5" width="25.54296875" style="108" customWidth="1"/>
    <col min="6" max="6" width="29.81640625" style="109" customWidth="1"/>
    <col min="7" max="7" width="29.54296875" style="109" customWidth="1"/>
    <col min="8" max="8" width="19.54296875" style="109" customWidth="1"/>
    <col min="9" max="9" width="18.1796875" style="109" customWidth="1"/>
    <col min="10" max="10" width="16.7265625" style="109" customWidth="1"/>
    <col min="11" max="11" width="17.81640625" style="109" customWidth="1"/>
    <col min="12" max="12" width="23.1796875" style="109" customWidth="1"/>
    <col min="13" max="13" width="16.453125" style="109" customWidth="1"/>
    <col min="14" max="14" width="17.1796875" style="109" customWidth="1"/>
    <col min="15" max="16" width="14.453125" style="109" customWidth="1"/>
    <col min="17" max="17" width="24.453125" style="109" bestFit="1" customWidth="1"/>
    <col min="18" max="18" width="23.54296875" style="109" customWidth="1"/>
    <col min="19" max="19" width="23.453125" style="109" bestFit="1" customWidth="1"/>
    <col min="20" max="20" width="20" style="109" bestFit="1" customWidth="1"/>
    <col min="21" max="21" width="33.453125" style="109" customWidth="1"/>
    <col min="22" max="22" width="12.453125" style="109" customWidth="1"/>
    <col min="23" max="23" width="35.54296875" style="109" customWidth="1"/>
    <col min="24" max="24" width="27.81640625" style="109" customWidth="1"/>
    <col min="25" max="25" width="12.81640625" style="109" bestFit="1" customWidth="1"/>
    <col min="26" max="26" width="18.54296875" style="109" customWidth="1"/>
    <col min="27" max="27" width="17.26953125" style="109" customWidth="1"/>
    <col min="28" max="28" width="15.1796875" style="109" bestFit="1" customWidth="1"/>
    <col min="29" max="29" width="13.81640625" style="109" customWidth="1"/>
    <col min="30" max="30" width="15.81640625" style="109" bestFit="1" customWidth="1"/>
    <col min="31" max="31" width="11.54296875" style="109" bestFit="1" customWidth="1"/>
    <col min="32" max="32" width="17" style="109" customWidth="1"/>
    <col min="33" max="33" width="21.453125" style="109" bestFit="1" customWidth="1"/>
    <col min="34" max="34" width="19.1796875" style="109" bestFit="1" customWidth="1"/>
    <col min="35" max="35" width="18.1796875" style="109" bestFit="1" customWidth="1"/>
    <col min="36" max="36" width="14.1796875" style="109" bestFit="1" customWidth="1"/>
    <col min="37" max="37" width="14.81640625" style="109" customWidth="1"/>
    <col min="38" max="16384" width="9.1796875" style="109"/>
  </cols>
  <sheetData>
    <row r="1" spans="1:37" ht="44.15" customHeight="1" thickBot="1">
      <c r="A1" s="1064"/>
      <c r="B1" s="785" t="s">
        <v>245</v>
      </c>
      <c r="C1" s="421" t="s">
        <v>402</v>
      </c>
      <c r="D1" s="421" t="s">
        <v>478</v>
      </c>
      <c r="E1" s="421" t="s">
        <v>469</v>
      </c>
      <c r="F1" s="421" t="s">
        <v>608</v>
      </c>
      <c r="G1" s="421" t="s">
        <v>601</v>
      </c>
      <c r="H1" s="421" t="s">
        <v>602</v>
      </c>
      <c r="I1" s="421" t="s">
        <v>600</v>
      </c>
      <c r="J1" s="421" t="s">
        <v>400</v>
      </c>
      <c r="K1" s="421" t="s">
        <v>686</v>
      </c>
      <c r="L1" s="421" t="s">
        <v>566</v>
      </c>
      <c r="M1" s="421" t="s">
        <v>526</v>
      </c>
      <c r="N1" s="421" t="s">
        <v>230</v>
      </c>
      <c r="O1" s="421" t="s">
        <v>399</v>
      </c>
      <c r="P1" s="422" t="s">
        <v>397</v>
      </c>
      <c r="Q1" s="136"/>
      <c r="R1" s="136"/>
      <c r="S1" s="136"/>
      <c r="T1" s="136"/>
    </row>
    <row r="2" spans="1:37" ht="15.65" customHeight="1" thickBot="1">
      <c r="A2" s="1064"/>
      <c r="B2" s="821">
        <v>2050</v>
      </c>
      <c r="C2" s="822">
        <v>1000000</v>
      </c>
      <c r="D2" s="876">
        <v>7.13</v>
      </c>
      <c r="E2" s="823">
        <v>3</v>
      </c>
      <c r="F2" s="824">
        <v>8</v>
      </c>
      <c r="G2" s="824">
        <v>0.15</v>
      </c>
      <c r="H2" s="824">
        <v>0.45</v>
      </c>
      <c r="I2" s="825">
        <v>0.5</v>
      </c>
      <c r="J2" s="823">
        <v>500</v>
      </c>
      <c r="K2" s="823">
        <v>0</v>
      </c>
      <c r="L2" s="826">
        <v>25</v>
      </c>
      <c r="M2" s="823">
        <v>3</v>
      </c>
      <c r="N2" s="823">
        <f>17.5*0.6</f>
        <v>10.5</v>
      </c>
      <c r="O2" s="823">
        <v>0.5</v>
      </c>
      <c r="P2" s="827">
        <v>0.7</v>
      </c>
      <c r="Q2" s="136"/>
      <c r="R2" s="136"/>
      <c r="S2" s="136"/>
      <c r="T2" s="831"/>
    </row>
    <row r="3" spans="1:37" ht="31.5" customHeight="1" thickBot="1">
      <c r="A3" s="1064"/>
      <c r="B3" s="828" t="s">
        <v>516</v>
      </c>
      <c r="C3" s="829" t="s">
        <v>516</v>
      </c>
      <c r="D3" s="829" t="s">
        <v>316</v>
      </c>
      <c r="E3" s="829" t="s">
        <v>316</v>
      </c>
      <c r="F3" s="829" t="s">
        <v>316</v>
      </c>
      <c r="G3" s="829" t="s">
        <v>316</v>
      </c>
      <c r="H3" s="829" t="s">
        <v>316</v>
      </c>
      <c r="I3" s="829" t="s">
        <v>516</v>
      </c>
      <c r="J3" s="829" t="s">
        <v>316</v>
      </c>
      <c r="K3" s="829" t="s">
        <v>316</v>
      </c>
      <c r="L3" s="829" t="s">
        <v>316</v>
      </c>
      <c r="M3" s="829" t="s">
        <v>316</v>
      </c>
      <c r="N3" s="829" t="s">
        <v>516</v>
      </c>
      <c r="O3" s="829" t="s">
        <v>316</v>
      </c>
      <c r="P3" s="830" t="s">
        <v>316</v>
      </c>
      <c r="Q3" s="136"/>
      <c r="R3" s="136"/>
      <c r="S3" s="136"/>
      <c r="T3" s="831"/>
    </row>
    <row r="4" spans="1:37" ht="19" customHeight="1">
      <c r="A4" s="882"/>
      <c r="B4" s="901"/>
      <c r="C4" s="901"/>
      <c r="D4" s="695"/>
      <c r="E4" s="706"/>
      <c r="F4" s="901"/>
      <c r="G4" s="902"/>
      <c r="H4" s="902"/>
      <c r="I4" s="902"/>
      <c r="J4" s="136"/>
      <c r="K4" s="136"/>
      <c r="L4" s="136"/>
      <c r="M4" s="136"/>
      <c r="N4" s="136"/>
      <c r="O4" s="136"/>
      <c r="P4" s="902"/>
      <c r="Q4" s="136"/>
      <c r="R4" s="136"/>
      <c r="S4" s="136"/>
      <c r="T4" s="831"/>
    </row>
    <row r="5" spans="1:37" ht="15.65" customHeight="1">
      <c r="A5" s="136"/>
      <c r="B5" s="280"/>
      <c r="C5" s="696"/>
      <c r="D5" s="903"/>
      <c r="E5" s="706"/>
      <c r="F5" s="704"/>
      <c r="G5" s="704"/>
      <c r="H5" s="704"/>
      <c r="I5" s="704"/>
      <c r="J5" s="705"/>
      <c r="K5" s="136"/>
      <c r="L5" s="136"/>
      <c r="M5" s="136"/>
      <c r="N5" s="136"/>
      <c r="O5" s="136"/>
      <c r="P5" s="136"/>
      <c r="Q5" s="136"/>
      <c r="R5" s="136"/>
      <c r="S5" s="136"/>
      <c r="T5" s="136"/>
      <c r="U5" s="136"/>
      <c r="V5" s="136"/>
      <c r="Z5" s="832"/>
      <c r="AA5" s="832"/>
      <c r="AB5" s="833"/>
      <c r="AC5" s="834"/>
      <c r="AD5" s="833"/>
      <c r="AE5" s="835"/>
      <c r="AF5" s="784"/>
      <c r="AG5" s="784"/>
      <c r="AH5" s="836"/>
      <c r="AI5" s="836"/>
    </row>
    <row r="6" spans="1:37" ht="15.65" customHeight="1" thickBot="1">
      <c r="A6" s="136"/>
      <c r="B6" s="280"/>
      <c r="C6" s="696"/>
      <c r="D6" s="903"/>
      <c r="E6" s="706"/>
      <c r="F6" s="704"/>
      <c r="G6" s="704"/>
      <c r="H6" s="704"/>
      <c r="I6" s="704"/>
      <c r="J6" s="705"/>
      <c r="K6" s="136"/>
      <c r="L6" s="136"/>
      <c r="M6" s="136"/>
      <c r="N6" s="136"/>
      <c r="O6" s="136"/>
      <c r="P6" s="136"/>
      <c r="Q6" s="136"/>
      <c r="R6" s="136"/>
      <c r="S6" s="136"/>
      <c r="T6" s="136"/>
      <c r="U6" s="136"/>
      <c r="V6" s="136"/>
      <c r="Z6" s="832"/>
      <c r="AA6" s="832"/>
      <c r="AB6" s="833"/>
      <c r="AC6" s="834"/>
      <c r="AD6" s="833"/>
      <c r="AE6" s="835"/>
      <c r="AF6" s="784"/>
      <c r="AG6" s="784"/>
      <c r="AH6" s="836"/>
      <c r="AI6" s="836"/>
    </row>
    <row r="7" spans="1:37" ht="43.5" customHeight="1">
      <c r="A7" s="1065" t="s">
        <v>471</v>
      </c>
      <c r="B7" s="896" t="s">
        <v>245</v>
      </c>
      <c r="C7" s="897" t="s">
        <v>229</v>
      </c>
      <c r="D7" s="897" t="s">
        <v>477</v>
      </c>
      <c r="E7" s="897" t="s">
        <v>468</v>
      </c>
      <c r="F7" s="897" t="s">
        <v>607</v>
      </c>
      <c r="G7" s="897" t="s">
        <v>601</v>
      </c>
      <c r="H7" s="897" t="s">
        <v>602</v>
      </c>
      <c r="I7" s="897" t="s">
        <v>600</v>
      </c>
      <c r="J7" s="898" t="s">
        <v>231</v>
      </c>
      <c r="K7" s="897" t="s">
        <v>686</v>
      </c>
      <c r="L7" s="896" t="str">
        <f>L1</f>
        <v>CO2 transport cost ($/ton of CO2)</v>
      </c>
      <c r="M7" s="897" t="s">
        <v>526</v>
      </c>
      <c r="N7" s="896" t="s">
        <v>230</v>
      </c>
      <c r="O7" s="897" t="s">
        <v>470</v>
      </c>
      <c r="P7" s="898" t="s">
        <v>295</v>
      </c>
      <c r="Q7" s="136"/>
      <c r="R7" s="136"/>
      <c r="S7" s="136"/>
      <c r="T7" s="136"/>
      <c r="U7" s="136"/>
      <c r="V7" s="136"/>
      <c r="Z7" s="832"/>
      <c r="AA7" s="832"/>
      <c r="AB7" s="833"/>
      <c r="AC7" s="834"/>
      <c r="AD7" s="833"/>
      <c r="AE7" s="835"/>
      <c r="AF7" s="784"/>
      <c r="AG7" s="784"/>
      <c r="AH7" s="836"/>
      <c r="AI7" s="836"/>
    </row>
    <row r="8" spans="1:37" ht="21.5" thickBot="1">
      <c r="A8" s="1066"/>
      <c r="B8" s="886">
        <f>B2</f>
        <v>2050</v>
      </c>
      <c r="C8" s="887">
        <f>C2</f>
        <v>1000000</v>
      </c>
      <c r="D8" s="888">
        <f>IF(D3="Lookup Table",VLOOKUP($B$8,'Cost Projection'!BF6:BJ49,2,FALSE),D2)</f>
        <v>8.4877815582893401</v>
      </c>
      <c r="E8" s="889">
        <f>IF(E3="Lookup Table",VLOOKUP($B$8, 'Cost Projection'!$B$55:$K$83, 2, FALSE), E2)</f>
        <v>2</v>
      </c>
      <c r="F8" s="889">
        <f>IF(F3="Lookup Table",VLOOKUP($B$8, 'Cost Projection'!$B$55:$K$83, 5, FALSE), F2)</f>
        <v>4</v>
      </c>
      <c r="G8" s="890">
        <f>IF(G3="Lookup Table",VLOOKUP($B$8, 'Cost Projection'!$B$55:$K$83, 4, FALSE), G2)</f>
        <v>0.115</v>
      </c>
      <c r="H8" s="890">
        <f>IF(H3="Lookup Table",VLOOKUP($B$8, 'Cost Projection'!$B$55:$K$83, 7, FALSE), H2)</f>
        <v>0.14950000000000002</v>
      </c>
      <c r="I8" s="891">
        <f>IF(I3="Lookup Table",VLOOKUP($B$8, 'Cost Projection'!$B$55:$K$83, 5, FALSE), I2)</f>
        <v>0.5</v>
      </c>
      <c r="J8" s="892">
        <f>IF(J3="Manual Input",J2,VLOOKUP(H12, 'GHG Electricity'!B3:C14, 2, FALSE))</f>
        <v>547.39117519034187</v>
      </c>
      <c r="K8" s="893">
        <f>IF(K3="Lookup Table",0.5*(VLOOKUP($B$8,'Cost Projection'!B6:Y49,23,FALSE)+VLOOKUP($B$8+15,'Cost Projection'!B6:Y49,23,FALSE)),K2)</f>
        <v>150</v>
      </c>
      <c r="L8" s="893">
        <f>IF(L3="Lookup Table",0.5*(VLOOKUP($B$8,'Cost Projection'!$B$6:$Y$49,24,FALSE)+VLOOKUP($B$8+15,'Cost Projection'!$B$6:$Y$49,24,FALSE)),L2)</f>
        <v>25</v>
      </c>
      <c r="M8" s="889">
        <f ca="1">IF(M3="Lookup Table",VLOOKUP($B$8, 'Cost Projection'!$B$55:$K$83, 6, FALSE), M2)</f>
        <v>3.9277108433735033</v>
      </c>
      <c r="N8" s="894">
        <f>N2</f>
        <v>10.5</v>
      </c>
      <c r="O8" s="889">
        <f>IF(O3="Lookup Table",MAX(0,1-(VLOOKUP($B$8+'Cash flow Analysis'!AV151, 'Cost Projection'!$B$5:$U$49, 17, FALSE)+'Cash flow Analysis'!AV151-15)/15), O2)</f>
        <v>0</v>
      </c>
      <c r="P8" s="895">
        <f>IF(P3="Lookup Table",MAX(0,1-(VLOOKUP($B$8+'Cash flow Analysis'!AX151, 'Cost Projection'!$B$5:$U$49, 18, FALSE)+'Cash flow Analysis'!AX151-15)/15), P2)</f>
        <v>0</v>
      </c>
      <c r="Q8" s="136"/>
      <c r="R8" s="136"/>
      <c r="S8" s="136"/>
      <c r="T8" s="136"/>
      <c r="U8" s="136"/>
      <c r="V8" s="136"/>
      <c r="Z8" s="832"/>
      <c r="AA8" s="832"/>
      <c r="AB8" s="833"/>
      <c r="AC8" s="834"/>
      <c r="AD8" s="833"/>
      <c r="AE8" s="835"/>
      <c r="AF8" s="784"/>
      <c r="AG8" s="784"/>
      <c r="AH8" s="836"/>
      <c r="AI8" s="836"/>
    </row>
    <row r="9" spans="1:37" ht="15.65" customHeight="1" thickBot="1">
      <c r="A9" s="136"/>
      <c r="B9" s="280"/>
      <c r="C9" s="278"/>
      <c r="D9" s="279"/>
      <c r="E9" s="280"/>
      <c r="F9" s="136"/>
      <c r="G9" s="136"/>
      <c r="H9" s="136"/>
      <c r="I9" s="136"/>
      <c r="J9" s="281"/>
      <c r="K9" s="136"/>
      <c r="L9" s="136"/>
      <c r="O9" s="136"/>
      <c r="P9" s="136"/>
      <c r="Q9" s="136"/>
      <c r="R9" s="136"/>
      <c r="S9" s="136"/>
      <c r="T9" s="136"/>
      <c r="U9" s="136"/>
      <c r="V9" s="136"/>
      <c r="Z9" s="832"/>
      <c r="AA9" s="832"/>
      <c r="AC9" s="836"/>
      <c r="AD9" s="836"/>
      <c r="AE9" s="836"/>
      <c r="AF9" s="836"/>
      <c r="AG9" s="836"/>
      <c r="AH9" s="836"/>
    </row>
    <row r="10" spans="1:37" ht="21" customHeight="1">
      <c r="A10" s="136"/>
      <c r="B10" s="280"/>
      <c r="C10" s="280"/>
      <c r="D10" s="1097" t="s">
        <v>683</v>
      </c>
      <c r="E10" s="1126" t="s">
        <v>2</v>
      </c>
      <c r="F10" s="837" t="s">
        <v>541</v>
      </c>
      <c r="G10" s="837" t="s">
        <v>541</v>
      </c>
      <c r="H10" s="1085" t="s">
        <v>415</v>
      </c>
      <c r="I10" s="1085"/>
      <c r="J10" s="838" t="s">
        <v>414</v>
      </c>
      <c r="K10" s="839" t="s">
        <v>413</v>
      </c>
      <c r="L10" s="136"/>
      <c r="O10" s="136"/>
      <c r="P10" s="136"/>
      <c r="Q10" s="136"/>
      <c r="R10" s="136"/>
      <c r="S10" s="136"/>
      <c r="T10" s="136"/>
      <c r="U10" s="136"/>
      <c r="V10" s="136"/>
      <c r="Z10" s="832"/>
      <c r="AA10" s="832"/>
      <c r="AB10" s="836"/>
      <c r="AD10" s="836"/>
      <c r="AE10" s="836"/>
      <c r="AF10" s="836"/>
      <c r="AG10" s="836"/>
      <c r="AH10" s="836"/>
      <c r="AI10" s="836"/>
    </row>
    <row r="11" spans="1:37" ht="21.5" thickBot="1">
      <c r="A11" s="136"/>
      <c r="B11" s="280"/>
      <c r="C11" s="280"/>
      <c r="D11" s="1098"/>
      <c r="E11" s="1127"/>
      <c r="F11" s="840">
        <v>0.5</v>
      </c>
      <c r="G11" s="840">
        <v>0.9</v>
      </c>
      <c r="H11" s="841" t="s">
        <v>522</v>
      </c>
      <c r="I11" s="841" t="s">
        <v>416</v>
      </c>
      <c r="J11" s="842" t="s">
        <v>417</v>
      </c>
      <c r="K11" s="843" t="s">
        <v>418</v>
      </c>
      <c r="L11" s="136"/>
      <c r="N11" s="450"/>
      <c r="O11" s="136"/>
      <c r="P11" s="136"/>
      <c r="Q11" s="136"/>
      <c r="R11" s="136"/>
      <c r="S11" s="136"/>
      <c r="T11" s="136"/>
      <c r="U11" s="136"/>
      <c r="V11" s="136"/>
      <c r="Z11" s="832"/>
      <c r="AA11" s="832"/>
      <c r="AB11" s="836"/>
      <c r="AC11" s="111"/>
      <c r="AD11" s="111"/>
      <c r="AE11" s="111"/>
      <c r="AF11" s="111"/>
      <c r="AG11" s="111"/>
      <c r="AH11" s="111"/>
      <c r="AI11" s="111"/>
      <c r="AJ11" s="111"/>
      <c r="AK11" s="111"/>
    </row>
    <row r="12" spans="1:37" s="111" customFormat="1" ht="44" thickBot="1">
      <c r="A12" s="137"/>
      <c r="B12" s="138"/>
      <c r="D12" s="844" t="s">
        <v>185</v>
      </c>
      <c r="E12" s="845" t="s">
        <v>692</v>
      </c>
      <c r="F12" s="884" t="s">
        <v>692</v>
      </c>
      <c r="G12" s="884" t="s">
        <v>692</v>
      </c>
      <c r="H12" s="900" t="s">
        <v>717</v>
      </c>
      <c r="I12" s="900" t="str">
        <f>H12</f>
        <v>K.S.A. Transportation Use: K.S.A. Mix</v>
      </c>
      <c r="J12" s="846" t="s">
        <v>723</v>
      </c>
      <c r="K12" s="847" t="str">
        <f>J12</f>
        <v>K.S.A. SMR w 95% CC</v>
      </c>
      <c r="L12" s="137"/>
      <c r="M12" s="137"/>
      <c r="N12" s="112">
        <f ca="1">E147-F147</f>
        <v>8469.0156386259478</v>
      </c>
      <c r="O12" s="1067" t="s">
        <v>17</v>
      </c>
      <c r="P12" s="1068"/>
      <c r="Q12" s="1068"/>
      <c r="R12" s="1068"/>
      <c r="S12" s="137"/>
      <c r="T12" s="137"/>
      <c r="U12" s="137"/>
      <c r="V12" s="137"/>
      <c r="AC12" s="109"/>
      <c r="AD12" s="109"/>
      <c r="AE12" s="109"/>
      <c r="AF12" s="109"/>
      <c r="AG12" s="109"/>
      <c r="AH12" s="109"/>
      <c r="AI12" s="109"/>
      <c r="AJ12" s="109"/>
      <c r="AK12" s="109"/>
    </row>
    <row r="13" spans="1:37" ht="30" customHeight="1">
      <c r="A13" s="136"/>
      <c r="B13" s="1138" t="s">
        <v>0</v>
      </c>
      <c r="C13" s="1128" t="s">
        <v>5</v>
      </c>
      <c r="D13" s="176" t="s">
        <v>37</v>
      </c>
      <c r="E13" s="177">
        <v>60000</v>
      </c>
      <c r="F13" s="178">
        <f>$E13</f>
        <v>60000</v>
      </c>
      <c r="G13" s="178">
        <f>$E13</f>
        <v>60000</v>
      </c>
      <c r="H13" s="178">
        <f t="shared" ref="H13:K13" si="0">$E13</f>
        <v>60000</v>
      </c>
      <c r="I13" s="178">
        <f t="shared" si="0"/>
        <v>60000</v>
      </c>
      <c r="J13" s="178">
        <f t="shared" si="0"/>
        <v>60000</v>
      </c>
      <c r="K13" s="848">
        <f t="shared" si="0"/>
        <v>60000</v>
      </c>
      <c r="L13" s="136"/>
      <c r="M13" s="136"/>
      <c r="N13" s="113" t="s">
        <v>18</v>
      </c>
      <c r="O13" s="113" t="s">
        <v>187</v>
      </c>
      <c r="P13" s="113"/>
      <c r="Q13" s="113" t="s">
        <v>378</v>
      </c>
      <c r="R13" s="113" t="s">
        <v>368</v>
      </c>
      <c r="S13" s="114" t="s">
        <v>456</v>
      </c>
      <c r="T13" s="115" t="s">
        <v>245</v>
      </c>
      <c r="U13" s="116">
        <v>2025</v>
      </c>
      <c r="V13" s="136"/>
    </row>
    <row r="14" spans="1:37" ht="29">
      <c r="A14" s="136"/>
      <c r="B14" s="1139"/>
      <c r="C14" s="1129"/>
      <c r="D14" s="171" t="s">
        <v>312</v>
      </c>
      <c r="E14" s="172">
        <f>VLOOKUP($B$8, 'Cost Projection'!$AC$6:$AJ$34, 3, FALSE)</f>
        <v>1.2</v>
      </c>
      <c r="F14" s="173">
        <f t="shared" ref="F14:G17" si="1">E14</f>
        <v>1.2</v>
      </c>
      <c r="G14" s="173">
        <f t="shared" si="1"/>
        <v>1.2</v>
      </c>
      <c r="H14" s="174">
        <f>E14</f>
        <v>1.2</v>
      </c>
      <c r="I14" s="174">
        <f>E14</f>
        <v>1.2</v>
      </c>
      <c r="J14" s="175">
        <f>E14</f>
        <v>1.2</v>
      </c>
      <c r="K14" s="179">
        <f>E14</f>
        <v>1.2</v>
      </c>
      <c r="L14" s="136"/>
      <c r="M14" s="136"/>
      <c r="N14" s="117">
        <v>3</v>
      </c>
      <c r="O14" s="118">
        <v>39000</v>
      </c>
      <c r="P14" s="118"/>
      <c r="Q14" s="119">
        <v>0.5</v>
      </c>
      <c r="R14" s="120">
        <v>3.44E-2</v>
      </c>
      <c r="S14" s="121">
        <v>116.35174195957704</v>
      </c>
      <c r="T14" s="110" t="s">
        <v>229</v>
      </c>
      <c r="U14" s="122">
        <v>1500000</v>
      </c>
      <c r="V14" s="136"/>
    </row>
    <row r="15" spans="1:37">
      <c r="A15" s="136"/>
      <c r="B15" s="1139"/>
      <c r="C15" s="1094" t="s">
        <v>11</v>
      </c>
      <c r="D15" s="159" t="s">
        <v>37</v>
      </c>
      <c r="E15" s="849">
        <v>28500</v>
      </c>
      <c r="F15" s="212">
        <f t="shared" si="1"/>
        <v>28500</v>
      </c>
      <c r="G15" s="212">
        <f t="shared" si="1"/>
        <v>28500</v>
      </c>
      <c r="H15" s="141"/>
      <c r="I15" s="141"/>
      <c r="J15" s="142"/>
      <c r="K15" s="180">
        <f>E15*0.9</f>
        <v>25650</v>
      </c>
      <c r="L15" s="136"/>
      <c r="M15" s="136"/>
      <c r="N15" s="117">
        <v>4</v>
      </c>
      <c r="O15" s="118">
        <v>39000</v>
      </c>
      <c r="P15" s="118"/>
      <c r="Q15" s="119">
        <v>0.5</v>
      </c>
      <c r="R15" s="120">
        <v>3.44E-2</v>
      </c>
      <c r="S15" s="121">
        <v>138.66884420664528</v>
      </c>
      <c r="T15" s="110" t="s">
        <v>12</v>
      </c>
      <c r="U15" s="123" t="s">
        <v>354</v>
      </c>
      <c r="V15" s="136"/>
    </row>
    <row r="16" spans="1:37">
      <c r="A16" s="136"/>
      <c r="B16" s="1139"/>
      <c r="C16" s="1095"/>
      <c r="D16" s="159" t="s">
        <v>38</v>
      </c>
      <c r="E16" s="163">
        <v>1350</v>
      </c>
      <c r="F16" s="213">
        <f t="shared" si="1"/>
        <v>1350</v>
      </c>
      <c r="G16" s="213">
        <f t="shared" si="1"/>
        <v>1350</v>
      </c>
      <c r="H16" s="141"/>
      <c r="I16" s="141"/>
      <c r="J16" s="142"/>
      <c r="K16" s="181">
        <f>E16*0.9</f>
        <v>1215</v>
      </c>
      <c r="L16" s="136"/>
      <c r="M16" s="136"/>
      <c r="N16" s="117">
        <v>5</v>
      </c>
      <c r="O16" s="118">
        <v>39000</v>
      </c>
      <c r="P16" s="118"/>
      <c r="Q16" s="119">
        <v>0.5</v>
      </c>
      <c r="R16" s="120">
        <v>3.44E-2</v>
      </c>
      <c r="S16" s="121">
        <v>161.04741803672221</v>
      </c>
      <c r="T16" s="110" t="s">
        <v>114</v>
      </c>
      <c r="U16" s="123">
        <v>4</v>
      </c>
      <c r="V16" s="136"/>
    </row>
    <row r="17" spans="1:22" ht="29">
      <c r="A17" s="136"/>
      <c r="B17" s="1139"/>
      <c r="C17" s="1096"/>
      <c r="D17" s="159" t="s">
        <v>312</v>
      </c>
      <c r="E17" s="850">
        <f>VLOOKUP($B$8, 'Cost Projection'!$AC$6:$AJ$34, 2, FALSE)</f>
        <v>1.2</v>
      </c>
      <c r="F17" s="214">
        <f t="shared" si="1"/>
        <v>1.2</v>
      </c>
      <c r="G17" s="214">
        <f t="shared" si="1"/>
        <v>1.2</v>
      </c>
      <c r="H17" s="141"/>
      <c r="I17" s="141"/>
      <c r="J17" s="143"/>
      <c r="K17" s="182">
        <f>E17</f>
        <v>1.2</v>
      </c>
      <c r="L17" s="136"/>
      <c r="M17" s="136"/>
      <c r="N17" s="117">
        <v>6</v>
      </c>
      <c r="O17" s="118">
        <v>39000</v>
      </c>
      <c r="P17" s="118"/>
      <c r="Q17" s="119">
        <v>0.5</v>
      </c>
      <c r="R17" s="120">
        <v>3.44E-2</v>
      </c>
      <c r="S17" s="121">
        <v>183.4899618120906</v>
      </c>
      <c r="T17" s="124" t="s">
        <v>230</v>
      </c>
      <c r="U17" s="123">
        <v>17.5</v>
      </c>
      <c r="V17" s="136"/>
    </row>
    <row r="18" spans="1:22" ht="29">
      <c r="A18" s="136"/>
      <c r="B18" s="1139"/>
      <c r="C18" s="1082" t="s">
        <v>379</v>
      </c>
      <c r="D18" s="154" t="s">
        <v>285</v>
      </c>
      <c r="E18" s="142"/>
      <c r="F18" s="142"/>
      <c r="G18" s="142"/>
      <c r="H18" s="141"/>
      <c r="I18" s="141"/>
      <c r="J18" s="851">
        <f>'[1]Class 8 Sleeper-cab Trucks'!$B$25</f>
        <v>426</v>
      </c>
      <c r="K18" s="183"/>
      <c r="L18" s="136"/>
      <c r="M18" s="136"/>
      <c r="N18" s="125">
        <v>7</v>
      </c>
      <c r="O18" s="126">
        <v>39000</v>
      </c>
      <c r="P18" s="126"/>
      <c r="Q18" s="127">
        <v>0.5</v>
      </c>
      <c r="R18" s="128">
        <v>3.44E-2</v>
      </c>
      <c r="S18" s="129">
        <v>205.98999917941867</v>
      </c>
      <c r="T18" s="124" t="s">
        <v>231</v>
      </c>
      <c r="U18" s="130" t="e">
        <f>VLOOKUP(V18, 'GHG Electricity'!B3:C9, 2, FALSE)</f>
        <v>#N/A</v>
      </c>
      <c r="V18" s="267" t="s">
        <v>225</v>
      </c>
    </row>
    <row r="19" spans="1:22">
      <c r="A19" s="136"/>
      <c r="B19" s="1139"/>
      <c r="C19" s="1083"/>
      <c r="D19" s="154" t="s">
        <v>286</v>
      </c>
      <c r="E19" s="142"/>
      <c r="F19" s="142"/>
      <c r="G19" s="142"/>
      <c r="H19" s="141"/>
      <c r="I19" s="141"/>
      <c r="J19" s="851">
        <f>VLOOKUP(B8, 'Cost Projection'!B6:N44, 10, FALSE)</f>
        <v>150</v>
      </c>
      <c r="K19" s="183"/>
      <c r="L19" s="136"/>
      <c r="M19" s="136"/>
      <c r="N19" s="117">
        <v>8</v>
      </c>
      <c r="O19" s="118">
        <v>39000</v>
      </c>
      <c r="P19" s="118"/>
      <c r="Q19" s="119">
        <v>0.5</v>
      </c>
      <c r="R19" s="120">
        <v>3.44E-2</v>
      </c>
      <c r="S19" s="121">
        <v>228.55677583209061</v>
      </c>
      <c r="T19" s="124" t="s">
        <v>116</v>
      </c>
      <c r="U19" s="131">
        <f>VLOOKUP(U13,'Cost Projection'!$B$55:$F$83,4,FALSE)</f>
        <v>0.11316666666666668</v>
      </c>
      <c r="V19" s="136"/>
    </row>
    <row r="20" spans="1:22">
      <c r="A20" s="136"/>
      <c r="B20" s="1139"/>
      <c r="C20" s="1083"/>
      <c r="D20" s="154" t="s">
        <v>38</v>
      </c>
      <c r="E20" s="142"/>
      <c r="F20" s="142"/>
      <c r="G20" s="142"/>
      <c r="H20" s="141"/>
      <c r="I20" s="141"/>
      <c r="J20" s="852">
        <f>'[1]Class 8 Sleeper-cab Trucks'!$B$28/2.2</f>
        <v>693.19106243022361</v>
      </c>
      <c r="K20" s="183"/>
      <c r="L20" s="136"/>
      <c r="M20" s="136"/>
      <c r="N20" s="117">
        <v>9</v>
      </c>
      <c r="O20" s="118">
        <v>39000</v>
      </c>
      <c r="P20" s="118"/>
      <c r="Q20" s="119">
        <v>0.5</v>
      </c>
      <c r="R20" s="120">
        <v>3.44E-2</v>
      </c>
      <c r="S20" s="121">
        <v>251.18153696012033</v>
      </c>
      <c r="T20" s="124" t="s">
        <v>232</v>
      </c>
      <c r="U20" s="132" t="s">
        <v>354</v>
      </c>
      <c r="V20" s="136"/>
    </row>
    <row r="21" spans="1:22">
      <c r="A21" s="136"/>
      <c r="B21" s="1139"/>
      <c r="C21" s="1083"/>
      <c r="D21" s="154" t="s">
        <v>311</v>
      </c>
      <c r="E21" s="142"/>
      <c r="F21" s="142"/>
      <c r="G21" s="142"/>
      <c r="H21" s="141"/>
      <c r="I21" s="141"/>
      <c r="J21" s="853">
        <f>J19*J18</f>
        <v>63900</v>
      </c>
      <c r="K21" s="183"/>
      <c r="L21" s="136"/>
      <c r="M21" s="136"/>
      <c r="T21" s="124" t="s">
        <v>187</v>
      </c>
      <c r="U21" s="133">
        <v>10000</v>
      </c>
      <c r="V21" s="136"/>
    </row>
    <row r="22" spans="1:22" ht="29">
      <c r="A22" s="136"/>
      <c r="B22" s="1139"/>
      <c r="C22" s="1084"/>
      <c r="D22" s="154" t="s">
        <v>312</v>
      </c>
      <c r="E22" s="142"/>
      <c r="F22" s="142"/>
      <c r="G22" s="142"/>
      <c r="H22" s="141"/>
      <c r="I22" s="141"/>
      <c r="J22" s="851">
        <f>VLOOKUP($B$8, 'Cost Projection'!$AC$6:$AJ$34, 6, FALSE)</f>
        <v>1.2</v>
      </c>
      <c r="K22" s="183"/>
      <c r="L22" s="136"/>
      <c r="M22" s="136"/>
      <c r="N22" s="117">
        <v>3</v>
      </c>
      <c r="O22" s="118">
        <v>20000</v>
      </c>
      <c r="P22" s="118"/>
      <c r="Q22" s="119">
        <v>0.5</v>
      </c>
      <c r="R22" s="120">
        <v>3.44E-2</v>
      </c>
      <c r="S22" s="121">
        <v>96.3730282799267</v>
      </c>
      <c r="T22" s="124" t="s">
        <v>233</v>
      </c>
      <c r="U22" s="134" t="s">
        <v>354</v>
      </c>
      <c r="V22" s="136"/>
    </row>
    <row r="23" spans="1:22">
      <c r="A23" s="136"/>
      <c r="B23" s="1139"/>
      <c r="C23" s="1094" t="s">
        <v>9</v>
      </c>
      <c r="D23" s="159" t="s">
        <v>37</v>
      </c>
      <c r="E23" s="849">
        <v>5500</v>
      </c>
      <c r="F23" s="212">
        <f t="shared" ref="F23:G25" si="2">E23</f>
        <v>5500</v>
      </c>
      <c r="G23" s="212">
        <f t="shared" si="2"/>
        <v>5500</v>
      </c>
      <c r="H23" s="141"/>
      <c r="I23" s="141"/>
      <c r="J23" s="854">
        <f>E23/4</f>
        <v>1375</v>
      </c>
      <c r="K23" s="192">
        <f>E23*0.5</f>
        <v>2750</v>
      </c>
      <c r="L23" s="136"/>
      <c r="M23" s="136"/>
      <c r="N23" s="117">
        <v>4</v>
      </c>
      <c r="O23" s="118">
        <v>20000</v>
      </c>
      <c r="P23" s="118"/>
      <c r="Q23" s="119">
        <v>0.5</v>
      </c>
      <c r="R23" s="120">
        <v>3.44E-2</v>
      </c>
      <c r="S23" s="121">
        <v>111.99392270192983</v>
      </c>
      <c r="T23" s="136"/>
      <c r="U23" s="136"/>
      <c r="V23" s="136"/>
    </row>
    <row r="24" spans="1:22">
      <c r="A24" s="136"/>
      <c r="B24" s="1139"/>
      <c r="C24" s="1095"/>
      <c r="D24" s="159" t="s">
        <v>38</v>
      </c>
      <c r="E24" s="163">
        <v>360</v>
      </c>
      <c r="F24" s="213">
        <f t="shared" si="2"/>
        <v>360</v>
      </c>
      <c r="G24" s="213">
        <f t="shared" si="2"/>
        <v>360</v>
      </c>
      <c r="H24" s="141"/>
      <c r="I24" s="141"/>
      <c r="J24" s="163">
        <f>E24/3</f>
        <v>120</v>
      </c>
      <c r="K24" s="191">
        <f>E24*0.5</f>
        <v>180</v>
      </c>
      <c r="L24" s="136"/>
      <c r="M24" s="136"/>
      <c r="N24" s="117">
        <v>5</v>
      </c>
      <c r="O24" s="118">
        <v>20000</v>
      </c>
      <c r="P24" s="118"/>
      <c r="Q24" s="119">
        <v>0.5</v>
      </c>
      <c r="R24" s="120">
        <v>3.44E-2</v>
      </c>
      <c r="S24" s="121">
        <v>127.65784426501135</v>
      </c>
      <c r="T24" s="136"/>
      <c r="U24" s="136"/>
      <c r="V24" s="136"/>
    </row>
    <row r="25" spans="1:22">
      <c r="A25" s="136"/>
      <c r="B25" s="1139"/>
      <c r="C25" s="1096"/>
      <c r="D25" s="159" t="s">
        <v>312</v>
      </c>
      <c r="E25" s="164">
        <f>VLOOKUP($B$8, 'Cost Projection'!$AC$6:$AJ$34, 8, FALSE)</f>
        <v>1.2</v>
      </c>
      <c r="F25" s="215">
        <f t="shared" si="2"/>
        <v>1.2</v>
      </c>
      <c r="G25" s="215">
        <f t="shared" si="2"/>
        <v>1.2</v>
      </c>
      <c r="H25" s="141"/>
      <c r="I25" s="141"/>
      <c r="J25" s="163">
        <f>E25</f>
        <v>1.2</v>
      </c>
      <c r="K25" s="191">
        <f>E25</f>
        <v>1.2</v>
      </c>
      <c r="L25" s="136"/>
      <c r="M25" s="136"/>
      <c r="N25" s="117">
        <v>6</v>
      </c>
      <c r="O25" s="118">
        <v>20000</v>
      </c>
      <c r="P25" s="118"/>
      <c r="Q25" s="119">
        <v>0.5</v>
      </c>
      <c r="R25" s="120">
        <v>3.44E-2</v>
      </c>
      <c r="S25" s="121">
        <v>143.36497098930442</v>
      </c>
      <c r="T25" s="136"/>
      <c r="U25" s="136"/>
      <c r="V25" s="136"/>
    </row>
    <row r="26" spans="1:22">
      <c r="A26" s="136"/>
      <c r="B26" s="1139"/>
      <c r="C26" s="1135" t="s">
        <v>7</v>
      </c>
      <c r="D26" s="201" t="s">
        <v>301</v>
      </c>
      <c r="E26" s="145"/>
      <c r="F26" s="141"/>
      <c r="G26" s="141"/>
      <c r="H26" s="855">
        <v>360</v>
      </c>
      <c r="I26" s="855">
        <v>360</v>
      </c>
      <c r="J26" s="202">
        <v>360</v>
      </c>
      <c r="K26" s="203">
        <v>150</v>
      </c>
      <c r="L26" s="136"/>
      <c r="M26" s="136"/>
      <c r="N26" s="125">
        <v>7</v>
      </c>
      <c r="O26" s="126">
        <v>20000</v>
      </c>
      <c r="P26" s="126"/>
      <c r="Q26" s="127">
        <v>0.5</v>
      </c>
      <c r="R26" s="128">
        <v>3.44E-2</v>
      </c>
      <c r="S26" s="129">
        <v>159.1170569296429</v>
      </c>
      <c r="T26" s="136"/>
      <c r="U26" s="136"/>
      <c r="V26" s="136"/>
    </row>
    <row r="27" spans="1:22">
      <c r="A27" s="136"/>
      <c r="B27" s="1139"/>
      <c r="C27" s="1136"/>
      <c r="D27" s="201" t="s">
        <v>303</v>
      </c>
      <c r="E27" s="145"/>
      <c r="F27" s="141"/>
      <c r="G27" s="141"/>
      <c r="H27" s="855">
        <f>VLOOKUP($B$8, 'Cost Projection'!$B$6:$Q$44, 16, FALSE)</f>
        <v>8.5</v>
      </c>
      <c r="I27" s="855">
        <f>VLOOKUP($B$8, 'Cost Projection'!$B$6:$Q$44, 16, FALSE)</f>
        <v>8.5</v>
      </c>
      <c r="J27" s="202">
        <f>VLOOKUP($B$8, 'Cost Projection'!$B$6:$Q$44, 16, FALSE)</f>
        <v>8.5</v>
      </c>
      <c r="K27" s="203">
        <f>VLOOKUP($B$8, 'Cost Projection'!$B$6:$Q$44, 16, FALSE)</f>
        <v>8.5</v>
      </c>
      <c r="L27" s="136"/>
      <c r="M27" s="136"/>
      <c r="N27" s="117">
        <v>8</v>
      </c>
      <c r="O27" s="118">
        <v>20000</v>
      </c>
      <c r="P27" s="118"/>
      <c r="Q27" s="119">
        <v>0.5</v>
      </c>
      <c r="R27" s="120">
        <v>3.44E-2</v>
      </c>
      <c r="S27" s="121">
        <v>174.90955692612906</v>
      </c>
      <c r="T27" s="136"/>
      <c r="U27" s="136"/>
      <c r="V27" s="136"/>
    </row>
    <row r="28" spans="1:22">
      <c r="A28" s="136"/>
      <c r="B28" s="1139"/>
      <c r="C28" s="1136"/>
      <c r="D28" s="201" t="s">
        <v>37</v>
      </c>
      <c r="E28" s="142"/>
      <c r="F28" s="142"/>
      <c r="G28" s="142"/>
      <c r="H28" s="856">
        <f>H26*H27</f>
        <v>3060</v>
      </c>
      <c r="I28" s="856">
        <f>I26*I27</f>
        <v>3060</v>
      </c>
      <c r="J28" s="204">
        <f>J26*J27</f>
        <v>3060</v>
      </c>
      <c r="K28" s="205">
        <f>K26*K27</f>
        <v>1275</v>
      </c>
      <c r="L28" s="346"/>
      <c r="M28" s="136"/>
      <c r="N28" s="117">
        <v>9</v>
      </c>
      <c r="O28" s="118">
        <v>20000</v>
      </c>
      <c r="P28" s="118"/>
      <c r="Q28" s="119">
        <v>0.5</v>
      </c>
      <c r="R28" s="120">
        <v>3.44E-2</v>
      </c>
      <c r="S28" s="121">
        <v>190.74737712287546</v>
      </c>
      <c r="T28" s="136"/>
      <c r="U28" s="136"/>
      <c r="V28" s="136"/>
    </row>
    <row r="29" spans="1:22">
      <c r="A29" s="136"/>
      <c r="B29" s="1139"/>
      <c r="C29" s="1136"/>
      <c r="D29" s="201" t="s">
        <v>38</v>
      </c>
      <c r="E29" s="142"/>
      <c r="F29" s="142"/>
      <c r="G29" s="142"/>
      <c r="H29" s="855">
        <v>300</v>
      </c>
      <c r="I29" s="855">
        <v>300</v>
      </c>
      <c r="J29" s="202">
        <f>H29</f>
        <v>300</v>
      </c>
      <c r="K29" s="203">
        <v>150</v>
      </c>
      <c r="L29" s="136"/>
      <c r="M29" s="136"/>
      <c r="N29" s="435"/>
      <c r="O29" s="436"/>
      <c r="P29" s="436"/>
      <c r="Q29" s="437"/>
      <c r="R29" s="438"/>
      <c r="S29" s="439"/>
      <c r="T29" s="136"/>
      <c r="U29" s="136"/>
      <c r="V29" s="136"/>
    </row>
    <row r="30" spans="1:22">
      <c r="A30" s="136"/>
      <c r="B30" s="1139"/>
      <c r="C30" s="1137"/>
      <c r="D30" s="201" t="s">
        <v>312</v>
      </c>
      <c r="E30" s="142"/>
      <c r="F30" s="142"/>
      <c r="G30" s="142"/>
      <c r="H30" s="855">
        <f>VLOOKUP($B$8, 'Cost Projection'!$AC$6:$AJ$34, 4, FALSE)</f>
        <v>1.2</v>
      </c>
      <c r="I30" s="855">
        <f>H30</f>
        <v>1.2</v>
      </c>
      <c r="J30" s="202">
        <f>H30</f>
        <v>1.2</v>
      </c>
      <c r="K30" s="203">
        <f>H30</f>
        <v>1.2</v>
      </c>
      <c r="L30" s="136"/>
      <c r="M30" s="136"/>
      <c r="N30" s="440">
        <v>3</v>
      </c>
      <c r="O30" s="441">
        <v>10000</v>
      </c>
      <c r="P30" s="441"/>
      <c r="Q30" s="442">
        <v>0.5</v>
      </c>
      <c r="R30" s="443">
        <v>3.44E-2</v>
      </c>
      <c r="S30" s="444">
        <v>85.847426871040412</v>
      </c>
      <c r="T30" s="136"/>
      <c r="U30" s="136"/>
      <c r="V30" s="136"/>
    </row>
    <row r="31" spans="1:22">
      <c r="A31" s="136"/>
      <c r="B31" s="1139"/>
      <c r="C31" s="1082" t="s">
        <v>297</v>
      </c>
      <c r="D31" s="154" t="s">
        <v>463</v>
      </c>
      <c r="E31" s="142"/>
      <c r="F31" s="142"/>
      <c r="G31" s="142"/>
      <c r="H31" s="141"/>
      <c r="I31" s="141"/>
      <c r="J31" s="166">
        <v>500</v>
      </c>
      <c r="K31" s="186">
        <v>500</v>
      </c>
      <c r="L31" s="136"/>
      <c r="M31" s="136"/>
      <c r="N31" s="440">
        <v>4</v>
      </c>
      <c r="O31" s="441">
        <v>10000</v>
      </c>
      <c r="P31" s="441"/>
      <c r="Q31" s="442">
        <v>0.5</v>
      </c>
      <c r="R31" s="443">
        <v>3.44E-2</v>
      </c>
      <c r="S31" s="444">
        <v>97.954490331017752</v>
      </c>
      <c r="T31" s="136"/>
      <c r="U31" s="136"/>
      <c r="V31" s="136"/>
    </row>
    <row r="32" spans="1:22">
      <c r="A32" s="136"/>
      <c r="B32" s="1139"/>
      <c r="C32" s="1083"/>
      <c r="D32" s="154" t="s">
        <v>284</v>
      </c>
      <c r="E32" s="142"/>
      <c r="F32" s="142"/>
      <c r="G32" s="142"/>
      <c r="H32" s="141"/>
      <c r="I32" s="141"/>
      <c r="J32" s="167">
        <f>J31/J65*1.1</f>
        <v>56.762212444151054</v>
      </c>
      <c r="K32" s="187">
        <f>K31/K65*1.1</f>
        <v>64.165979284692511</v>
      </c>
      <c r="L32" s="136"/>
      <c r="M32" s="136"/>
      <c r="N32" s="440">
        <v>5</v>
      </c>
      <c r="O32" s="441">
        <v>10000</v>
      </c>
      <c r="P32" s="441"/>
      <c r="Q32" s="442">
        <v>0.5</v>
      </c>
      <c r="R32" s="443">
        <v>3.44E-2</v>
      </c>
      <c r="S32" s="444">
        <v>110.08559737445768</v>
      </c>
      <c r="T32" s="136"/>
      <c r="U32" s="136"/>
      <c r="V32" s="136"/>
    </row>
    <row r="33" spans="1:22">
      <c r="A33" s="136"/>
      <c r="B33" s="1139"/>
      <c r="C33" s="1083"/>
      <c r="D33" s="154" t="s">
        <v>291</v>
      </c>
      <c r="E33" s="142"/>
      <c r="F33" s="142"/>
      <c r="G33" s="142"/>
      <c r="H33" s="141"/>
      <c r="I33" s="141"/>
      <c r="J33" s="168">
        <f>VLOOKUP(B8, 'Cost Projection'!B6:O44, 14, FALSE)</f>
        <v>6.5000000000000002E-2</v>
      </c>
      <c r="K33" s="188">
        <f>J33</f>
        <v>6.5000000000000002E-2</v>
      </c>
      <c r="L33" s="136"/>
      <c r="M33" s="136"/>
      <c r="N33" s="440">
        <v>6</v>
      </c>
      <c r="O33" s="441">
        <v>10000</v>
      </c>
      <c r="P33" s="441"/>
      <c r="Q33" s="442">
        <v>0.5</v>
      </c>
      <c r="R33" s="443">
        <v>3.44E-2</v>
      </c>
      <c r="S33" s="444">
        <v>122.24895204914985</v>
      </c>
      <c r="T33" s="136"/>
      <c r="U33" s="136"/>
      <c r="V33" s="136"/>
    </row>
    <row r="34" spans="1:22">
      <c r="A34" s="136"/>
      <c r="B34" s="1139"/>
      <c r="C34" s="1083"/>
      <c r="D34" s="154" t="s">
        <v>292</v>
      </c>
      <c r="E34" s="142"/>
      <c r="F34" s="142"/>
      <c r="G34" s="142"/>
      <c r="H34" s="141"/>
      <c r="I34" s="141"/>
      <c r="J34" s="168">
        <f>J32/J33</f>
        <v>873.26480683309308</v>
      </c>
      <c r="K34" s="188">
        <f>K32/K33</f>
        <v>987.16891207219248</v>
      </c>
      <c r="L34" s="136"/>
      <c r="M34" s="136"/>
      <c r="N34" s="445">
        <v>7</v>
      </c>
      <c r="O34" s="446">
        <v>10000</v>
      </c>
      <c r="P34" s="446"/>
      <c r="Q34" s="447">
        <v>0.5</v>
      </c>
      <c r="R34" s="448">
        <v>3.44E-2</v>
      </c>
      <c r="S34" s="449">
        <v>134.44468329919445</v>
      </c>
      <c r="T34" s="136"/>
      <c r="U34" s="136"/>
      <c r="V34" s="136"/>
    </row>
    <row r="35" spans="1:22">
      <c r="A35" s="136"/>
      <c r="B35" s="1139"/>
      <c r="C35" s="1083"/>
      <c r="D35" s="154" t="s">
        <v>298</v>
      </c>
      <c r="E35" s="142"/>
      <c r="F35" s="142"/>
      <c r="G35" s="142"/>
      <c r="H35" s="141"/>
      <c r="I35" s="141"/>
      <c r="J35" s="167">
        <f>VLOOKUP(B8, 'Cost Projection'!B6:N44, 13, FALSE)</f>
        <v>219</v>
      </c>
      <c r="K35" s="187">
        <f>J35</f>
        <v>219</v>
      </c>
      <c r="L35" s="136"/>
      <c r="M35" s="136"/>
      <c r="N35" s="440">
        <v>8</v>
      </c>
      <c r="O35" s="441">
        <v>10000</v>
      </c>
      <c r="P35" s="441"/>
      <c r="Q35" s="442">
        <v>0.5</v>
      </c>
      <c r="R35" s="443">
        <v>3.44E-2</v>
      </c>
      <c r="S35" s="444">
        <v>146.6753661609707</v>
      </c>
      <c r="T35" s="136"/>
      <c r="U35" s="136"/>
      <c r="V35" s="136"/>
    </row>
    <row r="36" spans="1:22">
      <c r="A36" s="136"/>
      <c r="B36" s="1139"/>
      <c r="C36" s="1083"/>
      <c r="D36" s="154" t="s">
        <v>328</v>
      </c>
      <c r="E36" s="142"/>
      <c r="F36" s="142"/>
      <c r="G36" s="142"/>
      <c r="H36" s="141"/>
      <c r="I36" s="141"/>
      <c r="J36" s="169">
        <f ca="1">VLOOKUP(B8, 'Cost Projection'!B6:Q49, 12, FALSE)</f>
        <v>2747.5500000000011</v>
      </c>
      <c r="K36" s="189">
        <f ca="1">J36</f>
        <v>2747.5500000000011</v>
      </c>
      <c r="L36" s="136"/>
      <c r="M36" s="136"/>
      <c r="N36" s="440">
        <v>9</v>
      </c>
      <c r="O36" s="441">
        <v>10000</v>
      </c>
      <c r="P36" s="441"/>
      <c r="Q36" s="442">
        <v>0.5</v>
      </c>
      <c r="R36" s="443">
        <v>3.44E-2</v>
      </c>
      <c r="S36" s="444">
        <v>158.94115103273234</v>
      </c>
      <c r="T36" s="136"/>
      <c r="U36" s="136"/>
      <c r="V36" s="136"/>
    </row>
    <row r="37" spans="1:22">
      <c r="A37" s="136"/>
      <c r="B37" s="1139"/>
      <c r="C37" s="1083"/>
      <c r="D37" s="154" t="s">
        <v>314</v>
      </c>
      <c r="E37" s="142"/>
      <c r="F37" s="142"/>
      <c r="G37" s="142"/>
      <c r="H37" s="141"/>
      <c r="I37" s="141"/>
      <c r="J37" s="169">
        <f ca="1">J35*J32+J36</f>
        <v>15178.474525269083</v>
      </c>
      <c r="K37" s="189">
        <f ca="1">K35*K32+K36</f>
        <v>16799.899463347661</v>
      </c>
      <c r="L37" s="413"/>
      <c r="M37" s="136"/>
      <c r="N37" s="433"/>
      <c r="O37" s="433"/>
      <c r="P37" s="433"/>
      <c r="Q37" s="432"/>
      <c r="R37" s="432"/>
      <c r="S37" s="434"/>
      <c r="T37" s="136"/>
      <c r="U37" s="136"/>
      <c r="V37" s="136"/>
    </row>
    <row r="38" spans="1:22">
      <c r="A38" s="136"/>
      <c r="B38" s="1139"/>
      <c r="C38" s="1084"/>
      <c r="D38" s="154" t="s">
        <v>312</v>
      </c>
      <c r="E38" s="142"/>
      <c r="F38" s="142"/>
      <c r="G38" s="142"/>
      <c r="H38" s="141"/>
      <c r="I38" s="141"/>
      <c r="J38" s="170">
        <f>VLOOKUP($B$8, 'Cost Projection'!$AC$6:$AJ$34, 7, FALSE)</f>
        <v>1.2</v>
      </c>
      <c r="K38" s="190">
        <f>J38</f>
        <v>1.2</v>
      </c>
      <c r="L38" s="136"/>
      <c r="M38" s="136"/>
      <c r="T38" s="136"/>
      <c r="U38" s="136"/>
      <c r="V38" s="136"/>
    </row>
    <row r="39" spans="1:22" ht="14.65" customHeight="1">
      <c r="A39" s="136"/>
      <c r="B39" s="1139"/>
      <c r="C39" s="1135" t="s">
        <v>43</v>
      </c>
      <c r="D39" s="201" t="s">
        <v>36</v>
      </c>
      <c r="E39" s="142"/>
      <c r="F39" s="142"/>
      <c r="G39" s="142"/>
      <c r="H39" s="206" t="s">
        <v>22</v>
      </c>
      <c r="I39" s="206" t="s">
        <v>22</v>
      </c>
      <c r="J39" s="855" t="s">
        <v>22</v>
      </c>
      <c r="K39" s="185" t="s">
        <v>22</v>
      </c>
      <c r="L39" s="136"/>
      <c r="M39" s="136"/>
      <c r="S39" s="109">
        <v>208.86435713790937</v>
      </c>
      <c r="T39" s="136"/>
      <c r="U39" s="136"/>
      <c r="V39" s="136"/>
    </row>
    <row r="40" spans="1:22" ht="14.65" customHeight="1">
      <c r="A40" s="136"/>
      <c r="B40" s="1139"/>
      <c r="C40" s="1136"/>
      <c r="D40" s="201" t="s">
        <v>332</v>
      </c>
      <c r="E40" s="142"/>
      <c r="F40" s="142"/>
      <c r="G40" s="142"/>
      <c r="H40" s="206">
        <f>VLOOKUP(H39, 'GHG Battery '!$D$17:$L$22, 9, FALSE)</f>
        <v>6</v>
      </c>
      <c r="I40" s="206">
        <f>VLOOKUP(I39, 'GHG Battery '!$D$17:$L$22, 9, FALSE)</f>
        <v>6</v>
      </c>
      <c r="J40" s="855">
        <f>VLOOKUP(J39, 'GHG Battery '!$D$31:$L$36, 9, FALSE)</f>
        <v>6</v>
      </c>
      <c r="K40" s="185">
        <f>VLOOKUP(K39, 'GHG Battery '!$D$31:$L$36, 9, FALSE)</f>
        <v>6</v>
      </c>
      <c r="L40" s="136"/>
      <c r="M40" s="136"/>
      <c r="S40" s="109">
        <v>208.86435713790937</v>
      </c>
      <c r="T40" s="136"/>
      <c r="U40" s="136"/>
      <c r="V40" s="136"/>
    </row>
    <row r="41" spans="1:22" ht="14.65" customHeight="1">
      <c r="A41" s="136"/>
      <c r="B41" s="1139"/>
      <c r="C41" s="1136"/>
      <c r="D41" s="201" t="s">
        <v>279</v>
      </c>
      <c r="E41" s="142"/>
      <c r="F41" s="142"/>
      <c r="G41" s="142"/>
      <c r="H41" s="206">
        <v>250</v>
      </c>
      <c r="I41" s="206">
        <v>500</v>
      </c>
      <c r="J41" s="855"/>
      <c r="K41" s="185"/>
      <c r="L41" s="136"/>
      <c r="M41" s="136"/>
      <c r="S41" s="109">
        <v>208.86435713790937</v>
      </c>
      <c r="T41" s="136"/>
      <c r="U41" s="136"/>
      <c r="V41" s="136"/>
    </row>
    <row r="42" spans="1:22" ht="14.65" customHeight="1">
      <c r="A42" s="136"/>
      <c r="B42" s="1139"/>
      <c r="C42" s="1136"/>
      <c r="D42" s="201" t="s">
        <v>42</v>
      </c>
      <c r="E42" s="142"/>
      <c r="F42" s="142"/>
      <c r="G42" s="142"/>
      <c r="H42" s="207">
        <f>VLOOKUP($B$8, 'Cost Projection'!$B$6:$N$44, 9, FALSE)</f>
        <v>554</v>
      </c>
      <c r="I42" s="207">
        <f>VLOOKUP($B$8, 'Cost Projection'!$B$6:$N$44, 9, FALSE)</f>
        <v>554</v>
      </c>
      <c r="J42" s="207">
        <f>VLOOKUP($B$8, 'Cost Projection'!$B$6:$N$44, 9, FALSE)*2/3</f>
        <v>369.33333333333331</v>
      </c>
      <c r="K42" s="208">
        <f>VLOOKUP($B$8, 'Cost Projection'!$B$6:$N$44, 9, FALSE)*2/3</f>
        <v>369.33333333333331</v>
      </c>
      <c r="L42" s="136"/>
      <c r="M42" s="136"/>
      <c r="S42" s="109">
        <v>208.86435713790937</v>
      </c>
      <c r="T42" s="136"/>
      <c r="U42" s="136"/>
      <c r="V42" s="136"/>
    </row>
    <row r="43" spans="1:22" ht="14.65" customHeight="1">
      <c r="A43" s="136"/>
      <c r="B43" s="1139"/>
      <c r="C43" s="1136"/>
      <c r="D43" s="201" t="s">
        <v>111</v>
      </c>
      <c r="E43" s="142"/>
      <c r="F43" s="142"/>
      <c r="G43" s="142"/>
      <c r="H43" s="207">
        <f>VLOOKUP(H39, 'GHG Battery '!D17:J22, 6, FALSE)</f>
        <v>50000</v>
      </c>
      <c r="I43" s="207">
        <f>VLOOKUP(I39, 'GHG Battery '!$D$17:$J$22, 6, FALSE)</f>
        <v>50000</v>
      </c>
      <c r="J43" s="857">
        <f>VLOOKUP(J39, 'GHG Battery '!$D$17:$J$22, 6, FALSE)</f>
        <v>50000</v>
      </c>
      <c r="K43" s="208">
        <f>J43</f>
        <v>50000</v>
      </c>
      <c r="L43" s="136"/>
      <c r="M43" s="136"/>
      <c r="S43" s="109">
        <v>208.86435713790937</v>
      </c>
      <c r="T43" s="136"/>
      <c r="U43" s="136"/>
      <c r="V43" s="136"/>
    </row>
    <row r="44" spans="1:22" ht="14.65" customHeight="1">
      <c r="A44" s="136"/>
      <c r="B44" s="1139"/>
      <c r="C44" s="1136"/>
      <c r="D44" s="201" t="s">
        <v>241</v>
      </c>
      <c r="E44" s="142"/>
      <c r="F44" s="142"/>
      <c r="G44" s="142"/>
      <c r="H44" s="210">
        <f>VLOOKUP($B$8,'Cost Projection'!$B$6:$I$34,IF(H39="LFP",8,7),FALSE)</f>
        <v>75</v>
      </c>
      <c r="I44" s="210">
        <f>VLOOKUP($B$8,'Cost Projection'!$B$6:$I$34,IF(I39="LFP",8,7),FALSE)</f>
        <v>75</v>
      </c>
      <c r="J44" s="856">
        <f>VLOOKUP($B$8,'Cost Projection'!$B$6:$I$34,IF(J39="LFP",8,7),FALSE)*1.5</f>
        <v>112.5</v>
      </c>
      <c r="K44" s="184">
        <f>VLOOKUP($B$8,'Cost Projection'!$B$6:$I$34,IF(K39="LFP",8,7),FALSE)*1.5</f>
        <v>112.5</v>
      </c>
      <c r="L44" s="136"/>
      <c r="M44" s="136"/>
      <c r="T44" s="136"/>
      <c r="U44" s="136"/>
      <c r="V44" s="136"/>
    </row>
    <row r="45" spans="1:22" ht="14.65" customHeight="1">
      <c r="A45" s="136"/>
      <c r="B45" s="1139"/>
      <c r="C45" s="1136"/>
      <c r="D45" s="201" t="s">
        <v>31</v>
      </c>
      <c r="E45" s="142"/>
      <c r="F45" s="142"/>
      <c r="G45" s="142"/>
      <c r="H45" s="209">
        <f>H41*H65/0.9</f>
        <v>560.61417067798095</v>
      </c>
      <c r="I45" s="209">
        <f>I41*I65/0.9</f>
        <v>1138.0467664763009</v>
      </c>
      <c r="J45" s="857">
        <v>50</v>
      </c>
      <c r="K45" s="208">
        <v>10</v>
      </c>
      <c r="L45" s="136"/>
      <c r="M45" s="136"/>
      <c r="T45" s="136"/>
      <c r="U45" s="136"/>
      <c r="V45" s="136"/>
    </row>
    <row r="46" spans="1:22" ht="14.65" customHeight="1">
      <c r="A46" s="136"/>
      <c r="B46" s="1139"/>
      <c r="C46" s="1136"/>
      <c r="D46" s="201" t="s">
        <v>41</v>
      </c>
      <c r="E46" s="142"/>
      <c r="F46" s="142"/>
      <c r="G46" s="142"/>
      <c r="H46" s="209">
        <f>H45/H42*1000</f>
        <v>1011.938936241843</v>
      </c>
      <c r="I46" s="209">
        <f>I45/I42*1000</f>
        <v>2054.2360405709405</v>
      </c>
      <c r="J46" s="858">
        <f>J45/J42*1000</f>
        <v>135.37906137184117</v>
      </c>
      <c r="K46" s="350">
        <f>K45/K42*1000</f>
        <v>27.075812274368232</v>
      </c>
      <c r="L46" s="136"/>
      <c r="M46" s="136"/>
      <c r="T46" s="136"/>
      <c r="U46" s="136"/>
      <c r="V46" s="136"/>
    </row>
    <row r="47" spans="1:22" ht="14.65" customHeight="1">
      <c r="A47" s="136"/>
      <c r="B47" s="1139"/>
      <c r="C47" s="1136"/>
      <c r="D47" s="201" t="s">
        <v>313</v>
      </c>
      <c r="E47" s="142"/>
      <c r="F47" s="142"/>
      <c r="G47" s="142"/>
      <c r="H47" s="210">
        <f>H45*H44</f>
        <v>42046.062800848573</v>
      </c>
      <c r="I47" s="210">
        <f>I45*I44</f>
        <v>85353.50748572257</v>
      </c>
      <c r="J47" s="856">
        <f>J45*J44</f>
        <v>5625</v>
      </c>
      <c r="K47" s="184">
        <f>K45*K44</f>
        <v>1125</v>
      </c>
      <c r="L47" s="136"/>
      <c r="M47" s="136"/>
      <c r="T47" s="136"/>
      <c r="U47" s="136"/>
      <c r="V47" s="136"/>
    </row>
    <row r="48" spans="1:22" ht="14.65" customHeight="1">
      <c r="A48" s="136"/>
      <c r="B48" s="1139"/>
      <c r="C48" s="1137"/>
      <c r="D48" s="201" t="s">
        <v>312</v>
      </c>
      <c r="E48" s="142"/>
      <c r="F48" s="142"/>
      <c r="G48" s="142"/>
      <c r="H48" s="211">
        <f>VLOOKUP($B$8, 'Cost Projection'!$AC$6:$AJ$34, 5, FALSE)</f>
        <v>1.2</v>
      </c>
      <c r="I48" s="211">
        <f>H48</f>
        <v>1.2</v>
      </c>
      <c r="J48" s="855">
        <f>H48</f>
        <v>1.2</v>
      </c>
      <c r="K48" s="185">
        <f>H48</f>
        <v>1.2</v>
      </c>
      <c r="L48" s="136"/>
      <c r="M48" s="136"/>
      <c r="T48" s="136"/>
      <c r="U48" s="136"/>
      <c r="V48" s="136"/>
    </row>
    <row r="49" spans="1:22" ht="14.65" customHeight="1">
      <c r="A49" s="136"/>
      <c r="B49" s="1139"/>
      <c r="C49" s="1094" t="s">
        <v>44</v>
      </c>
      <c r="D49" s="159" t="s">
        <v>36</v>
      </c>
      <c r="E49" s="165" t="s">
        <v>46</v>
      </c>
      <c r="F49" s="213" t="s">
        <v>46</v>
      </c>
      <c r="G49" s="213" t="s">
        <v>46</v>
      </c>
      <c r="H49" s="216" t="s">
        <v>46</v>
      </c>
      <c r="I49" s="160" t="s">
        <v>46</v>
      </c>
      <c r="J49" s="163" t="s">
        <v>46</v>
      </c>
      <c r="K49" s="191" t="str">
        <f>J49</f>
        <v>Lead acid</v>
      </c>
      <c r="L49" s="136"/>
      <c r="M49" s="136"/>
      <c r="T49" s="136"/>
      <c r="U49" s="136"/>
      <c r="V49" s="136"/>
    </row>
    <row r="50" spans="1:22">
      <c r="A50" s="136"/>
      <c r="B50" s="1139"/>
      <c r="C50" s="1095"/>
      <c r="D50" s="159" t="s">
        <v>38</v>
      </c>
      <c r="E50" s="165">
        <f>'[1]Class 8 Sleeper-cab Trucks'!$C$9/2.2</f>
        <v>125.45454545454544</v>
      </c>
      <c r="F50" s="213">
        <f>E50</f>
        <v>125.45454545454544</v>
      </c>
      <c r="G50" s="213">
        <f>F50</f>
        <v>125.45454545454544</v>
      </c>
      <c r="H50" s="161">
        <f>'[1]Class 8 Sleeper-cab Trucks'!$E$9/2.2</f>
        <v>31.36363636363636</v>
      </c>
      <c r="I50" s="161">
        <f>H50</f>
        <v>31.36363636363636</v>
      </c>
      <c r="J50" s="165">
        <f>H50</f>
        <v>31.36363636363636</v>
      </c>
      <c r="K50" s="193">
        <f>J50</f>
        <v>31.36363636363636</v>
      </c>
      <c r="L50" s="136"/>
      <c r="M50" s="136"/>
      <c r="T50" s="136"/>
      <c r="U50" s="136"/>
      <c r="V50" s="136"/>
    </row>
    <row r="51" spans="1:22">
      <c r="A51" s="136"/>
      <c r="B51" s="1139"/>
      <c r="C51" s="1095"/>
      <c r="D51" s="159" t="s">
        <v>45</v>
      </c>
      <c r="E51" s="165">
        <f>VLOOKUP(E49, 'GHG Battery '!D17:K24, 8, FALSE)</f>
        <v>2532</v>
      </c>
      <c r="F51" s="213">
        <f>VLOOKUP(F49, 'GHG Battery '!$D$17:$K$24, 8, FALSE)</f>
        <v>2532</v>
      </c>
      <c r="G51" s="213">
        <f>VLOOKUP(G49, 'GHG Battery '!$D$17:$K$24, 8, FALSE)</f>
        <v>2532</v>
      </c>
      <c r="H51" s="161">
        <f>VLOOKUP(H49, 'GHG Battery '!$D$17:$K$24, 8, FALSE)</f>
        <v>2532</v>
      </c>
      <c r="I51" s="160">
        <f>VLOOKUP(I49, 'GHG Battery '!$D$17:$K$24, 8, FALSE)</f>
        <v>2532</v>
      </c>
      <c r="J51" s="163">
        <f>VLOOKUP(J49, 'GHG Battery '!$D$17:$K$24, 8, FALSE)</f>
        <v>2532</v>
      </c>
      <c r="K51" s="191">
        <f>J51</f>
        <v>2532</v>
      </c>
      <c r="L51" s="136"/>
      <c r="M51" s="136"/>
      <c r="T51" s="136"/>
      <c r="U51" s="136"/>
      <c r="V51" s="136"/>
    </row>
    <row r="52" spans="1:22">
      <c r="A52" s="136"/>
      <c r="B52" s="1139"/>
      <c r="C52" s="1095"/>
      <c r="D52" s="159" t="s">
        <v>240</v>
      </c>
      <c r="E52" s="165">
        <f>'[1]Class 8 Day-cab Trucks'!$C$79</f>
        <v>3</v>
      </c>
      <c r="F52" s="213">
        <f>E52</f>
        <v>3</v>
      </c>
      <c r="G52" s="213">
        <f>F52</f>
        <v>3</v>
      </c>
      <c r="H52" s="161">
        <f>'[1]Class 8 Day-cab Trucks'!$C$81</f>
        <v>3</v>
      </c>
      <c r="I52" s="217">
        <f>'[1]Class 8 Day-cab Trucks'!$C$81</f>
        <v>3</v>
      </c>
      <c r="J52" s="859">
        <f>'[1]Class 8 Day-cab Trucks'!$C$82</f>
        <v>3</v>
      </c>
      <c r="K52" s="218">
        <f>J52</f>
        <v>3</v>
      </c>
      <c r="L52" s="136"/>
      <c r="M52" s="136"/>
      <c r="T52" s="136"/>
      <c r="U52" s="136"/>
      <c r="V52" s="136"/>
    </row>
    <row r="53" spans="1:22">
      <c r="A53" s="136"/>
      <c r="B53" s="1139"/>
      <c r="C53" s="1096"/>
      <c r="D53" s="159" t="s">
        <v>300</v>
      </c>
      <c r="E53" s="849">
        <v>190</v>
      </c>
      <c r="F53" s="212">
        <f>E53</f>
        <v>190</v>
      </c>
      <c r="G53" s="212">
        <f>F53</f>
        <v>190</v>
      </c>
      <c r="H53" s="162">
        <v>80</v>
      </c>
      <c r="I53" s="162">
        <f>H53</f>
        <v>80</v>
      </c>
      <c r="J53" s="854">
        <f>H53</f>
        <v>80</v>
      </c>
      <c r="K53" s="192">
        <f>J53</f>
        <v>80</v>
      </c>
      <c r="L53" s="136"/>
      <c r="M53" s="136"/>
      <c r="T53" s="136"/>
      <c r="U53" s="136"/>
      <c r="V53" s="136"/>
    </row>
    <row r="54" spans="1:22">
      <c r="A54" s="136"/>
      <c r="B54" s="1139"/>
      <c r="C54" s="1079" t="s">
        <v>6</v>
      </c>
      <c r="D54" s="158" t="s">
        <v>547</v>
      </c>
      <c r="E54" s="142"/>
      <c r="F54" s="731">
        <f>VLOOKUP(F$11, 'MCC Efficiency'!$B$10:$G$13, 4, FALSE)</f>
        <v>900</v>
      </c>
      <c r="G54" s="731">
        <v>1100</v>
      </c>
      <c r="H54" s="142"/>
      <c r="I54" s="142"/>
      <c r="J54" s="142"/>
      <c r="K54" s="194"/>
      <c r="L54" s="136"/>
      <c r="M54" s="136"/>
      <c r="T54" s="136"/>
      <c r="U54" s="136"/>
      <c r="V54" s="136"/>
    </row>
    <row r="55" spans="1:22">
      <c r="A55" s="136"/>
      <c r="B55" s="1139"/>
      <c r="C55" s="1080"/>
      <c r="D55" s="158" t="s">
        <v>548</v>
      </c>
      <c r="E55" s="142"/>
      <c r="F55" s="731">
        <f>VLOOKUP(F$11, 'MCC Efficiency'!$B$10:$G$13, 5, FALSE)</f>
        <v>682.59053892857139</v>
      </c>
      <c r="G55" s="731">
        <f>VLOOKUP(G$11, 'MCC Efficiency'!$B$10:$G$13, 5, FALSE)</f>
        <v>1228.6629700714286</v>
      </c>
      <c r="H55" s="142"/>
      <c r="I55" s="142"/>
      <c r="J55" s="142"/>
      <c r="K55" s="194"/>
      <c r="L55" s="136"/>
      <c r="M55" s="136"/>
      <c r="T55" s="136"/>
      <c r="U55" s="136"/>
      <c r="V55" s="136"/>
    </row>
    <row r="56" spans="1:22">
      <c r="A56" s="136"/>
      <c r="B56" s="1139"/>
      <c r="C56" s="1080"/>
      <c r="D56" s="158" t="s">
        <v>549</v>
      </c>
      <c r="E56" s="142"/>
      <c r="F56" s="731">
        <f>F55+F54</f>
        <v>1582.5905389285713</v>
      </c>
      <c r="G56" s="731">
        <f>G55+G54</f>
        <v>2328.6629700714284</v>
      </c>
      <c r="H56" s="142"/>
      <c r="I56" s="142"/>
      <c r="J56" s="142"/>
      <c r="K56" s="194"/>
      <c r="L56" s="136"/>
      <c r="M56" s="136"/>
      <c r="T56" s="136"/>
      <c r="U56" s="136"/>
      <c r="V56" s="136"/>
    </row>
    <row r="57" spans="1:22">
      <c r="A57" s="136"/>
      <c r="B57" s="1139"/>
      <c r="C57" s="1080"/>
      <c r="D57" s="158" t="s">
        <v>299</v>
      </c>
      <c r="E57" s="142"/>
      <c r="F57" s="730">
        <f>VLOOKUP(F$11, 'MCC Efficiency'!$B$10:$G$13, 3, FALSE)</f>
        <v>15000</v>
      </c>
      <c r="G57" s="730">
        <f>VLOOKUP(G$11, 'MCC Efficiency'!$B$10:$G$13, 3, FALSE)</f>
        <v>20000</v>
      </c>
      <c r="H57" s="142"/>
      <c r="I57" s="142"/>
      <c r="J57" s="142"/>
      <c r="K57" s="194"/>
      <c r="L57" s="136"/>
      <c r="M57" s="136"/>
      <c r="T57" s="136"/>
      <c r="U57" s="136"/>
      <c r="V57" s="136"/>
    </row>
    <row r="58" spans="1:22" ht="15" thickBot="1">
      <c r="A58" s="136"/>
      <c r="B58" s="1139"/>
      <c r="C58" s="1081"/>
      <c r="D58" s="860" t="s">
        <v>312</v>
      </c>
      <c r="E58" s="861"/>
      <c r="F58" s="862">
        <f>VLOOKUP($B$8, 'Cost Projection'!$AC$6:$AK$34, 9, FALSE)</f>
        <v>1.2</v>
      </c>
      <c r="G58" s="862">
        <f>VLOOKUP($B$8, 'Cost Projection'!$AC$6:$AK$34, 9, FALSE)</f>
        <v>1.2</v>
      </c>
      <c r="H58" s="861"/>
      <c r="I58" s="861"/>
      <c r="J58" s="861"/>
      <c r="K58" s="863"/>
      <c r="L58" s="347"/>
      <c r="M58" s="136"/>
      <c r="T58" s="136"/>
      <c r="U58" s="136"/>
      <c r="V58" s="136"/>
    </row>
    <row r="59" spans="1:22" ht="16" thickBot="1">
      <c r="A59" s="136"/>
      <c r="B59" s="1140"/>
      <c r="C59" s="1143" t="s">
        <v>589</v>
      </c>
      <c r="D59" s="1144"/>
      <c r="E59" s="290">
        <f t="shared" ref="E59:K59" si="3">E13*E14+E15*E17+E21*E22+E23*E25+E28*E30+E37*E38+E47*E48+E53+E57*E58</f>
        <v>112990</v>
      </c>
      <c r="F59" s="290">
        <f t="shared" si="3"/>
        <v>130990</v>
      </c>
      <c r="G59" s="290">
        <f t="shared" si="3"/>
        <v>136990</v>
      </c>
      <c r="H59" s="290">
        <f t="shared" si="3"/>
        <v>126207.27536101828</v>
      </c>
      <c r="I59" s="290">
        <f t="shared" si="3"/>
        <v>178176.20898286707</v>
      </c>
      <c r="J59" s="290">
        <f t="shared" ca="1" si="3"/>
        <v>179046.16943032289</v>
      </c>
      <c r="K59" s="291">
        <f t="shared" ca="1" si="3"/>
        <v>129199.87935601719</v>
      </c>
      <c r="L59" s="347"/>
      <c r="M59" s="136"/>
      <c r="T59" s="136"/>
      <c r="U59" s="136"/>
      <c r="V59" s="136"/>
    </row>
    <row r="60" spans="1:22">
      <c r="A60" s="136"/>
      <c r="B60" s="138"/>
      <c r="C60" s="138"/>
      <c r="D60" s="138"/>
      <c r="E60" s="138"/>
      <c r="F60" s="147"/>
      <c r="G60" s="147"/>
      <c r="H60" s="138"/>
      <c r="I60" s="138"/>
      <c r="J60" s="138"/>
      <c r="K60" s="138"/>
      <c r="L60" s="136"/>
      <c r="M60" s="136"/>
      <c r="T60" s="136"/>
      <c r="U60" s="136"/>
      <c r="V60" s="136"/>
    </row>
    <row r="61" spans="1:22" ht="15" thickBot="1">
      <c r="A61" s="136"/>
      <c r="B61" s="138"/>
      <c r="C61" s="138"/>
      <c r="D61" s="138"/>
      <c r="E61" s="138"/>
      <c r="F61" s="138"/>
      <c r="G61" s="138"/>
      <c r="H61" s="138"/>
      <c r="I61" s="138"/>
      <c r="J61" s="138"/>
      <c r="K61" s="138"/>
      <c r="L61" s="136"/>
      <c r="M61" s="136"/>
      <c r="T61" s="136"/>
      <c r="U61" s="136"/>
      <c r="V61" s="136"/>
    </row>
    <row r="62" spans="1:22">
      <c r="A62" s="136"/>
      <c r="B62" s="1086" t="s">
        <v>1</v>
      </c>
      <c r="C62" s="1131" t="s">
        <v>10</v>
      </c>
      <c r="D62" s="1132"/>
      <c r="E62" s="232">
        <f>E8</f>
        <v>2</v>
      </c>
      <c r="F62" s="229">
        <f>E62</f>
        <v>2</v>
      </c>
      <c r="G62" s="229">
        <f>F62</f>
        <v>2</v>
      </c>
      <c r="H62" s="222">
        <f>$G8*(1-H63)+$H8*H63</f>
        <v>0.14260000000000003</v>
      </c>
      <c r="I62" s="222">
        <f>$G8*(1-I63)+$H8*I63</f>
        <v>0.13225000000000001</v>
      </c>
      <c r="J62" s="223">
        <f>F8</f>
        <v>4</v>
      </c>
      <c r="K62" s="758">
        <f>J62</f>
        <v>4</v>
      </c>
      <c r="L62" s="136"/>
      <c r="M62" s="136"/>
      <c r="T62" s="136"/>
      <c r="U62" s="136"/>
      <c r="V62" s="136"/>
    </row>
    <row r="63" spans="1:22">
      <c r="A63" s="136"/>
      <c r="B63" s="1087"/>
      <c r="C63" s="1099" t="s">
        <v>599</v>
      </c>
      <c r="D63" s="1100"/>
      <c r="E63" s="164"/>
      <c r="F63" s="697"/>
      <c r="G63" s="697"/>
      <c r="H63" s="239">
        <f>MIN(1,I63+0.3)</f>
        <v>0.8</v>
      </c>
      <c r="I63" s="239">
        <f>I8</f>
        <v>0.5</v>
      </c>
      <c r="J63" s="224"/>
      <c r="K63" s="786"/>
      <c r="L63" s="136"/>
      <c r="M63" s="136"/>
      <c r="T63" s="136"/>
      <c r="U63" s="136"/>
      <c r="V63" s="136"/>
    </row>
    <row r="64" spans="1:22">
      <c r="A64" s="136"/>
      <c r="B64" s="1088"/>
      <c r="C64" s="1141" t="s">
        <v>371</v>
      </c>
      <c r="D64" s="1142"/>
      <c r="E64" s="164">
        <f ca="1">M8</f>
        <v>3.9277108433735033</v>
      </c>
      <c r="F64" s="697">
        <f>IF(B1=B4,VLOOKUP($B$8, 'Cost Projection'!$B$55:$G$83, 6, FALSE), $M2)</f>
        <v>3</v>
      </c>
      <c r="G64" s="697">
        <f>IF(C1=C4,VLOOKUP($B$8, 'Cost Projection'!$B$55:$G$83, 6, FALSE), $M2)</f>
        <v>3</v>
      </c>
      <c r="H64" s="148"/>
      <c r="I64" s="148"/>
      <c r="J64" s="274"/>
      <c r="K64" s="275"/>
      <c r="L64" s="348"/>
      <c r="M64" s="136"/>
      <c r="T64" s="136"/>
      <c r="U64" s="136"/>
      <c r="V64" s="136"/>
    </row>
    <row r="65" spans="1:22">
      <c r="A65" s="136"/>
      <c r="B65" s="1088"/>
      <c r="C65" s="1102" t="s">
        <v>453</v>
      </c>
      <c r="D65" s="1103"/>
      <c r="E65" s="164">
        <f>D8</f>
        <v>8.4877815582893401</v>
      </c>
      <c r="F65" s="230">
        <f>E65*(F66)</f>
        <v>8.2055119473021456</v>
      </c>
      <c r="G65" s="230">
        <f>F65*(G66)</f>
        <v>6.8533466527204085</v>
      </c>
      <c r="H65" s="221">
        <f>1/('GHG FE &amp; Fuel '!E4*H66/[2]Fuel_Specs!$J$23)</f>
        <v>2.0182110144407313</v>
      </c>
      <c r="I65" s="221">
        <f>1/('GHG FE &amp; Fuel '!E4*I66/[2]Fuel_Specs!$J$23)</f>
        <v>2.0484841796573421</v>
      </c>
      <c r="J65" s="225">
        <f>$E$65*'GHG FE &amp; Fuel '!$H$28/'GHG FE &amp; Fuel '!$H$27*J66</f>
        <v>9.6895447925175731</v>
      </c>
      <c r="K65" s="225">
        <f>$E$65*'GHG FE &amp; Fuel '!$H$28/'GHG FE &amp; Fuel '!$H$27*K66</f>
        <v>8.5715203933809292</v>
      </c>
      <c r="L65" s="348"/>
      <c r="M65" s="136"/>
      <c r="T65" s="136"/>
      <c r="U65" s="136"/>
      <c r="V65" s="136"/>
    </row>
    <row r="66" spans="1:22">
      <c r="A66" s="136"/>
      <c r="B66" s="1088"/>
      <c r="C66" s="1102" t="s">
        <v>380</v>
      </c>
      <c r="D66" s="1103"/>
      <c r="E66" s="233"/>
      <c r="F66" s="219">
        <f>1/(1+F68)</f>
        <v>0.96674400618716161</v>
      </c>
      <c r="G66" s="219">
        <f>1/(1+G68)</f>
        <v>0.83521256159692636</v>
      </c>
      <c r="H66" s="220">
        <f>'GHG FE &amp; Fuel '!D15</f>
        <v>2.2302059215315282</v>
      </c>
      <c r="I66" s="220">
        <f>'GHG FE &amp; Fuel '!D14</f>
        <v>2.197247213331555</v>
      </c>
      <c r="J66" s="226">
        <f>VLOOKUP($B$8, 'Cost Projection'!$BF$6:$BJ$49, 4, FALSE)</f>
        <v>1.3</v>
      </c>
      <c r="K66" s="226">
        <f>VLOOKUP($B$8, 'Cost Projection'!$BF$6:$BJ$49, 5, FALSE)</f>
        <v>1.1499999999999999</v>
      </c>
      <c r="L66" s="348"/>
      <c r="M66" s="136"/>
      <c r="T66" s="136"/>
      <c r="U66" s="136"/>
      <c r="V66" s="136"/>
    </row>
    <row r="67" spans="1:22">
      <c r="A67" s="136"/>
      <c r="B67" s="1088"/>
      <c r="C67" s="1121" t="s">
        <v>381</v>
      </c>
      <c r="D67" s="1122"/>
      <c r="E67" s="233"/>
      <c r="F67" s="273"/>
      <c r="G67" s="273"/>
      <c r="H67" s="220">
        <v>0.92800000000000005</v>
      </c>
      <c r="I67" s="220">
        <v>0.92800000000000005</v>
      </c>
      <c r="J67" s="233"/>
      <c r="K67" s="276"/>
      <c r="L67" s="136"/>
      <c r="M67" s="136"/>
      <c r="T67" s="136"/>
      <c r="U67" s="136"/>
      <c r="V67" s="136"/>
    </row>
    <row r="68" spans="1:22">
      <c r="A68" s="136"/>
      <c r="B68" s="1088"/>
      <c r="C68" s="1117" t="s">
        <v>543</v>
      </c>
      <c r="D68" s="1118"/>
      <c r="E68" s="233"/>
      <c r="F68" s="219">
        <f>VLOOKUP(F$11, 'MCC Efficiency'!$B$10:$G$13, 2, FALSE)</f>
        <v>3.44E-2</v>
      </c>
      <c r="G68" s="219">
        <f>VLOOKUP(G$11, 'MCC Efficiency'!$B$10:$G$13, 2, FALSE)</f>
        <v>0.19729999999999998</v>
      </c>
      <c r="H68" s="149"/>
      <c r="I68" s="149"/>
      <c r="J68" s="233"/>
      <c r="K68" s="276"/>
      <c r="L68" s="136"/>
      <c r="T68" s="136"/>
      <c r="U68" s="136"/>
      <c r="V68" s="136"/>
    </row>
    <row r="69" spans="1:22">
      <c r="A69" s="136"/>
      <c r="B69" s="1088"/>
      <c r="C69" s="1102" t="s">
        <v>15</v>
      </c>
      <c r="D69" s="1103"/>
      <c r="E69" s="165">
        <f>$C$8/E65</f>
        <v>117816.41564790033</v>
      </c>
      <c r="F69" s="231">
        <f>$C$8/F65</f>
        <v>121869.3003461881</v>
      </c>
      <c r="G69" s="231">
        <f>$C$8/G65</f>
        <v>145914.11330449104</v>
      </c>
      <c r="H69" s="156">
        <f>$C$8*H65/H67</f>
        <v>2174796.3517680289</v>
      </c>
      <c r="I69" s="156">
        <f>$C$8*I65/I67</f>
        <v>2207418.2970445496</v>
      </c>
      <c r="J69" s="227">
        <f>$C$8/J65</f>
        <v>103204.02262572918</v>
      </c>
      <c r="K69" s="228">
        <f>$C$8/K65</f>
        <v>116665.41688125909</v>
      </c>
      <c r="L69" s="136"/>
      <c r="M69" s="136"/>
      <c r="N69" s="136"/>
      <c r="O69" s="136"/>
      <c r="P69" s="136"/>
      <c r="Q69" s="136"/>
      <c r="R69" s="136"/>
      <c r="S69" s="136"/>
      <c r="T69" s="136"/>
      <c r="U69" s="136"/>
      <c r="V69" s="136"/>
    </row>
    <row r="70" spans="1:22">
      <c r="A70" s="136"/>
      <c r="B70" s="1088"/>
      <c r="C70" s="1119" t="s">
        <v>374</v>
      </c>
      <c r="D70" s="1120"/>
      <c r="E70" s="165">
        <f>E69*0.04</f>
        <v>4712.6566259160136</v>
      </c>
      <c r="F70" s="231">
        <f>F69*0.04</f>
        <v>4874.7720138475242</v>
      </c>
      <c r="G70" s="231">
        <f>G69*0.04</f>
        <v>5836.5645321796419</v>
      </c>
      <c r="H70" s="156"/>
      <c r="I70" s="156"/>
      <c r="J70" s="227"/>
      <c r="K70" s="228"/>
      <c r="L70" s="136"/>
      <c r="M70" s="136"/>
      <c r="N70" s="136"/>
      <c r="O70" s="136"/>
      <c r="P70" s="136"/>
      <c r="Q70" s="136"/>
      <c r="R70" s="136"/>
      <c r="S70" s="136"/>
      <c r="T70" s="136"/>
      <c r="U70" s="136"/>
      <c r="V70" s="136"/>
    </row>
    <row r="71" spans="1:22">
      <c r="A71" s="136"/>
      <c r="B71" s="1089"/>
      <c r="C71" s="1102" t="s">
        <v>527</v>
      </c>
      <c r="D71" s="1103"/>
      <c r="E71" s="165">
        <f t="shared" ref="E71:K71" si="4">E69*E62</f>
        <v>235632.83129580066</v>
      </c>
      <c r="F71" s="231">
        <f t="shared" si="4"/>
        <v>243738.6006923762</v>
      </c>
      <c r="G71" s="231">
        <f t="shared" si="4"/>
        <v>291828.22660898208</v>
      </c>
      <c r="H71" s="156">
        <f t="shared" si="4"/>
        <v>310125.95976212097</v>
      </c>
      <c r="I71" s="156">
        <f t="shared" si="4"/>
        <v>291931.06978414173</v>
      </c>
      <c r="J71" s="227">
        <f t="shared" si="4"/>
        <v>412816.09050291672</v>
      </c>
      <c r="K71" s="228">
        <f t="shared" si="4"/>
        <v>466661.66752503638</v>
      </c>
      <c r="L71" s="136"/>
      <c r="M71" s="136"/>
      <c r="N71" s="136"/>
      <c r="O71" s="136"/>
      <c r="P71" s="136"/>
      <c r="Q71" s="136"/>
      <c r="R71" s="136"/>
      <c r="S71" s="136"/>
      <c r="T71" s="136"/>
      <c r="U71" s="136"/>
      <c r="V71" s="136"/>
    </row>
    <row r="72" spans="1:22" ht="15" thickBot="1">
      <c r="A72" s="136"/>
      <c r="B72" s="1089"/>
      <c r="C72" s="163" t="s">
        <v>528</v>
      </c>
      <c r="D72" s="710"/>
      <c r="E72" s="165">
        <f ca="1">E70*E64</f>
        <v>18509.952530706316</v>
      </c>
      <c r="F72" s="231">
        <f>F70*F64</f>
        <v>14624.316041542574</v>
      </c>
      <c r="G72" s="231">
        <f>G70*G64</f>
        <v>17509.693596538928</v>
      </c>
      <c r="H72" s="156"/>
      <c r="I72" s="156"/>
      <c r="J72" s="227">
        <f>J70*J64</f>
        <v>0</v>
      </c>
      <c r="K72" s="228">
        <f>K70*K64</f>
        <v>0</v>
      </c>
      <c r="L72" s="136"/>
      <c r="M72" s="136"/>
      <c r="N72" s="136"/>
      <c r="O72" s="136"/>
      <c r="P72" s="136"/>
      <c r="Q72" s="136"/>
      <c r="R72" s="136"/>
      <c r="S72" s="136"/>
      <c r="T72" s="136"/>
      <c r="U72" s="136"/>
      <c r="V72" s="136"/>
    </row>
    <row r="73" spans="1:22" ht="16" thickBot="1">
      <c r="A73" s="136"/>
      <c r="B73" s="1090"/>
      <c r="C73" s="1116" t="s">
        <v>590</v>
      </c>
      <c r="D73" s="1078"/>
      <c r="E73" s="292">
        <f ca="1">E71+E72</f>
        <v>254142.78382650699</v>
      </c>
      <c r="F73" s="292">
        <f t="shared" ref="F73:K73" si="5">F71+F72</f>
        <v>258362.91673391877</v>
      </c>
      <c r="G73" s="292">
        <f t="shared" si="5"/>
        <v>309337.92020552099</v>
      </c>
      <c r="H73" s="340">
        <f t="shared" si="5"/>
        <v>310125.95976212097</v>
      </c>
      <c r="I73" s="340">
        <f t="shared" si="5"/>
        <v>291931.06978414173</v>
      </c>
      <c r="J73" s="341">
        <f t="shared" si="5"/>
        <v>412816.09050291672</v>
      </c>
      <c r="K73" s="342">
        <f t="shared" si="5"/>
        <v>466661.66752503638</v>
      </c>
      <c r="L73" s="136"/>
      <c r="M73" s="136"/>
      <c r="N73" s="136"/>
      <c r="O73" s="136"/>
      <c r="P73" s="136"/>
      <c r="Q73" s="136"/>
      <c r="R73" s="136"/>
      <c r="S73" s="136"/>
      <c r="T73" s="136"/>
      <c r="U73" s="136"/>
      <c r="V73" s="136"/>
    </row>
    <row r="74" spans="1:22">
      <c r="A74" s="136"/>
      <c r="B74" s="138"/>
      <c r="C74" s="138"/>
      <c r="D74" s="138"/>
      <c r="E74" s="138"/>
      <c r="F74" s="138"/>
      <c r="G74" s="138"/>
      <c r="H74" s="138"/>
      <c r="I74" s="138"/>
      <c r="J74" s="138"/>
      <c r="K74" s="138"/>
      <c r="L74" s="136"/>
      <c r="S74" s="691"/>
    </row>
    <row r="75" spans="1:22" ht="15" thickBot="1">
      <c r="A75" s="136"/>
      <c r="B75" s="138"/>
      <c r="C75" s="138"/>
      <c r="D75" s="138"/>
      <c r="E75" s="138"/>
      <c r="F75" s="138"/>
      <c r="G75" s="138"/>
      <c r="H75" s="138"/>
      <c r="I75" s="138"/>
      <c r="J75" s="138"/>
      <c r="K75" s="138"/>
      <c r="L75" s="136"/>
      <c r="S75" s="691"/>
    </row>
    <row r="76" spans="1:22">
      <c r="A76" s="136"/>
      <c r="B76" s="1091" t="s">
        <v>117</v>
      </c>
      <c r="C76" s="1111" t="s">
        <v>365</v>
      </c>
      <c r="D76" s="234" t="s">
        <v>36</v>
      </c>
      <c r="E76" s="195"/>
      <c r="F76" s="196"/>
      <c r="G76" s="196"/>
      <c r="H76" s="195"/>
      <c r="I76" s="195"/>
      <c r="J76" s="195"/>
      <c r="K76" s="197"/>
      <c r="L76" s="136"/>
      <c r="M76" s="787"/>
      <c r="S76" s="691"/>
    </row>
    <row r="77" spans="1:22">
      <c r="A77" s="136"/>
      <c r="B77" s="1092"/>
      <c r="C77" s="1112"/>
      <c r="D77" s="158" t="s">
        <v>124</v>
      </c>
      <c r="E77" s="142"/>
      <c r="F77" s="235">
        <f>L2</f>
        <v>25</v>
      </c>
      <c r="G77" s="235">
        <f>L2</f>
        <v>25</v>
      </c>
      <c r="H77" s="142"/>
      <c r="I77" s="142"/>
      <c r="J77" s="142"/>
      <c r="K77" s="183"/>
      <c r="L77" s="136"/>
      <c r="S77" s="691"/>
    </row>
    <row r="78" spans="1:22">
      <c r="A78" s="136"/>
      <c r="B78" s="1092"/>
      <c r="C78" s="1069" t="s">
        <v>125</v>
      </c>
      <c r="D78" s="240" t="s">
        <v>609</v>
      </c>
      <c r="E78" s="142"/>
      <c r="F78" s="142"/>
      <c r="G78" s="142"/>
      <c r="H78" s="238">
        <v>250000</v>
      </c>
      <c r="I78" s="238">
        <f>H78</f>
        <v>250000</v>
      </c>
      <c r="J78" s="142"/>
      <c r="K78" s="183"/>
      <c r="L78" s="136"/>
      <c r="S78" s="691"/>
    </row>
    <row r="79" spans="1:22">
      <c r="A79" s="136"/>
      <c r="B79" s="1092"/>
      <c r="C79" s="1070"/>
      <c r="D79" s="139" t="s">
        <v>235</v>
      </c>
      <c r="E79" s="142"/>
      <c r="F79" s="142"/>
      <c r="G79" s="142"/>
      <c r="H79" s="156">
        <v>10</v>
      </c>
      <c r="I79" s="156">
        <f>H79</f>
        <v>10</v>
      </c>
      <c r="J79" s="142"/>
      <c r="K79" s="183"/>
      <c r="L79" s="136"/>
      <c r="S79" s="691"/>
    </row>
    <row r="80" spans="1:22">
      <c r="A80" s="136"/>
      <c r="B80" s="1092"/>
      <c r="C80" s="1070"/>
      <c r="D80" s="139" t="s">
        <v>236</v>
      </c>
      <c r="E80" s="142"/>
      <c r="F80" s="142"/>
      <c r="G80" s="142"/>
      <c r="H80" s="239">
        <v>0.5</v>
      </c>
      <c r="I80" s="220">
        <f>H80</f>
        <v>0.5</v>
      </c>
      <c r="J80" s="142"/>
      <c r="K80" s="183"/>
      <c r="L80" s="136"/>
      <c r="S80" s="691"/>
    </row>
    <row r="81" spans="1:19">
      <c r="A81" s="136"/>
      <c r="B81" s="1092"/>
      <c r="C81" s="1070"/>
      <c r="D81" s="139" t="s">
        <v>234</v>
      </c>
      <c r="E81" s="142"/>
      <c r="F81" s="142"/>
      <c r="G81" s="142"/>
      <c r="H81" s="156">
        <v>250</v>
      </c>
      <c r="I81" s="156">
        <f>H81</f>
        <v>250</v>
      </c>
      <c r="J81" s="142"/>
      <c r="K81" s="183"/>
      <c r="L81" s="136"/>
      <c r="S81" s="691"/>
    </row>
    <row r="82" spans="1:19">
      <c r="A82" s="136"/>
      <c r="B82" s="1092"/>
      <c r="C82" s="1113"/>
      <c r="D82" s="139" t="s">
        <v>237</v>
      </c>
      <c r="E82" s="142"/>
      <c r="F82" s="142"/>
      <c r="G82" s="142"/>
      <c r="H82" s="156">
        <f>H69/H81</f>
        <v>8699.1854070721165</v>
      </c>
      <c r="I82" s="156">
        <f>I69/I81</f>
        <v>8829.673188178198</v>
      </c>
      <c r="J82" s="142"/>
      <c r="K82" s="183"/>
      <c r="L82" s="136"/>
      <c r="S82" s="691"/>
    </row>
    <row r="83" spans="1:19">
      <c r="A83" s="136"/>
      <c r="B83" s="1092"/>
      <c r="C83" s="1114" t="s">
        <v>239</v>
      </c>
      <c r="D83" s="154" t="s">
        <v>180</v>
      </c>
      <c r="E83" s="142"/>
      <c r="F83" s="142"/>
      <c r="G83" s="142"/>
      <c r="H83" s="142"/>
      <c r="I83" s="142"/>
      <c r="J83" s="142"/>
      <c r="K83" s="183"/>
      <c r="L83" s="136"/>
      <c r="S83" s="691"/>
    </row>
    <row r="84" spans="1:19">
      <c r="A84" s="136"/>
      <c r="B84" s="1092"/>
      <c r="C84" s="1115"/>
      <c r="D84" s="154" t="s">
        <v>238</v>
      </c>
      <c r="E84" s="142"/>
      <c r="F84" s="142"/>
      <c r="G84" s="142"/>
      <c r="H84" s="142"/>
      <c r="I84" s="142"/>
      <c r="J84" s="142"/>
      <c r="K84" s="183"/>
      <c r="L84" s="136"/>
      <c r="S84" s="691"/>
    </row>
    <row r="85" spans="1:19" ht="15" thickBot="1">
      <c r="A85" s="136"/>
      <c r="B85" s="1092"/>
      <c r="C85" s="1115"/>
      <c r="D85" s="272" t="s">
        <v>382</v>
      </c>
      <c r="E85" s="236"/>
      <c r="F85" s="236"/>
      <c r="G85" s="236"/>
      <c r="H85" s="236"/>
      <c r="I85" s="236"/>
      <c r="J85" s="236"/>
      <c r="K85" s="237"/>
      <c r="L85" s="136"/>
      <c r="S85" s="691"/>
    </row>
    <row r="86" spans="1:19" ht="16" thickBot="1">
      <c r="A86" s="136"/>
      <c r="B86" s="1093"/>
      <c r="C86" s="1116" t="s">
        <v>591</v>
      </c>
      <c r="D86" s="1078"/>
      <c r="E86" s="293">
        <v>0</v>
      </c>
      <c r="F86" s="294">
        <f>F139*(F140)*F77</f>
        <v>15608.402243063852</v>
      </c>
      <c r="G86" s="294">
        <f>G139*(G140)*G77</f>
        <v>33638.292010116638</v>
      </c>
      <c r="H86" s="295">
        <f>H78*H82/(H79*365*24*H80)</f>
        <v>49652.88474356231</v>
      </c>
      <c r="I86" s="295">
        <f>I78*I82/(I79*365*24*I80)</f>
        <v>50397.678014715741</v>
      </c>
      <c r="J86" s="296">
        <f>(J85+J84)*J69</f>
        <v>0</v>
      </c>
      <c r="K86" s="297"/>
      <c r="L86" s="136"/>
      <c r="S86" s="691"/>
    </row>
    <row r="87" spans="1:19">
      <c r="A87" s="136"/>
      <c r="B87" s="138"/>
      <c r="C87" s="138"/>
      <c r="D87" s="138"/>
      <c r="E87" s="138"/>
      <c r="F87" s="138"/>
      <c r="G87" s="138"/>
      <c r="H87" s="138"/>
      <c r="I87" s="138"/>
      <c r="J87" s="138"/>
      <c r="K87" s="138"/>
      <c r="L87" s="136"/>
      <c r="S87" s="691"/>
    </row>
    <row r="88" spans="1:19" ht="15" thickBot="1">
      <c r="A88" s="136"/>
      <c r="B88" s="138"/>
      <c r="C88" s="138"/>
      <c r="D88" s="277"/>
      <c r="E88" s="138"/>
      <c r="F88" s="138"/>
      <c r="G88" s="138"/>
      <c r="H88" s="138"/>
      <c r="I88" s="138"/>
      <c r="J88" s="138"/>
      <c r="K88" s="138"/>
      <c r="L88" s="136"/>
      <c r="S88" s="691"/>
    </row>
    <row r="89" spans="1:19" ht="14.5" customHeight="1">
      <c r="A89" s="136"/>
      <c r="B89" s="1138" t="s">
        <v>531</v>
      </c>
      <c r="C89" s="1074" t="s">
        <v>384</v>
      </c>
      <c r="D89" s="262" t="s">
        <v>383</v>
      </c>
      <c r="E89" s="198"/>
      <c r="F89" s="198"/>
      <c r="G89" s="198"/>
      <c r="H89" s="198"/>
      <c r="I89" s="198"/>
      <c r="J89" s="619">
        <f>$P$8</f>
        <v>0</v>
      </c>
      <c r="K89" s="197"/>
      <c r="L89" s="136"/>
      <c r="S89" s="691"/>
    </row>
    <row r="90" spans="1:19">
      <c r="A90" s="136"/>
      <c r="B90" s="1139"/>
      <c r="C90" s="1075"/>
      <c r="D90" s="263" t="s">
        <v>385</v>
      </c>
      <c r="E90" s="144"/>
      <c r="F90" s="144"/>
      <c r="G90" s="144"/>
      <c r="H90" s="142"/>
      <c r="I90" s="144"/>
      <c r="J90" s="241">
        <f>FLOOR(VLOOKUP($B$8, 'Cost Projection'!$B$5:$U$49, 18, FALSE),1)</f>
        <v>15</v>
      </c>
      <c r="K90" s="183"/>
      <c r="L90" s="136"/>
      <c r="S90" s="691"/>
    </row>
    <row r="91" spans="1:19">
      <c r="A91" s="136"/>
      <c r="B91" s="1139"/>
      <c r="C91" s="1075"/>
      <c r="D91" s="263" t="s">
        <v>386</v>
      </c>
      <c r="E91" s="144"/>
      <c r="F91" s="144"/>
      <c r="G91" s="144"/>
      <c r="H91" s="142"/>
      <c r="I91" s="144"/>
      <c r="J91" s="224">
        <f>VLOOKUP($B$8+J90, 'Cost Projection'!B6:N50, 10, FALSE)*J18</f>
        <v>63900</v>
      </c>
      <c r="K91" s="183"/>
      <c r="L91" s="136"/>
      <c r="S91" s="691"/>
    </row>
    <row r="92" spans="1:19">
      <c r="A92" s="136"/>
      <c r="B92" s="1139"/>
      <c r="C92" s="1075"/>
      <c r="D92" s="263" t="s">
        <v>312</v>
      </c>
      <c r="E92" s="144"/>
      <c r="F92" s="144"/>
      <c r="G92" s="144"/>
      <c r="H92" s="142"/>
      <c r="I92" s="142"/>
      <c r="J92" s="241">
        <f>VLOOKUP($B$8+J90, 'Cost Projection'!$AC$6:$AJ$50, 6, FALSE)</f>
        <v>1.2</v>
      </c>
      <c r="K92" s="194"/>
      <c r="L92" s="136"/>
      <c r="S92" s="691"/>
    </row>
    <row r="93" spans="1:19">
      <c r="A93" s="136"/>
      <c r="B93" s="1139"/>
      <c r="C93" s="1075"/>
      <c r="D93" s="140" t="s">
        <v>387</v>
      </c>
      <c r="E93" s="142"/>
      <c r="F93" s="142"/>
      <c r="G93" s="142"/>
      <c r="H93" s="617">
        <f>$O$8</f>
        <v>0</v>
      </c>
      <c r="I93" s="617">
        <f>$O$8</f>
        <v>0</v>
      </c>
      <c r="J93" s="617">
        <f>$O$8</f>
        <v>0</v>
      </c>
      <c r="K93" s="618">
        <f>J93/2</f>
        <v>0</v>
      </c>
      <c r="L93" s="136"/>
      <c r="S93" s="691"/>
    </row>
    <row r="94" spans="1:19">
      <c r="A94" s="136"/>
      <c r="B94" s="1139"/>
      <c r="C94" s="1075"/>
      <c r="D94" s="140" t="s">
        <v>320</v>
      </c>
      <c r="E94" s="142"/>
      <c r="F94" s="142"/>
      <c r="G94" s="142"/>
      <c r="H94" s="242">
        <f>FLOOR(VLOOKUP($B$8, 'Cost Projection'!$B$5:$U$49, 17, FALSE),1)</f>
        <v>15</v>
      </c>
      <c r="I94" s="242">
        <f>FLOOR(VLOOKUP($B$8, 'Cost Projection'!$B$5:$U$49, 17, FALSE),1)</f>
        <v>15</v>
      </c>
      <c r="J94" s="247">
        <f>FLOOR(VLOOKUP($B$8, 'Cost Projection'!$B$5:$U$49, 17, FALSE),1)</f>
        <v>15</v>
      </c>
      <c r="K94" s="248">
        <f>FLOOR(VLOOKUP($B$8, 'Cost Projection'!$B$5:$U$49, 17, FALSE),1)</f>
        <v>15</v>
      </c>
      <c r="L94" s="136"/>
      <c r="S94" s="691"/>
    </row>
    <row r="95" spans="1:19">
      <c r="A95" s="136"/>
      <c r="B95" s="1139"/>
      <c r="C95" s="1075"/>
      <c r="D95" s="140" t="s">
        <v>321</v>
      </c>
      <c r="E95" s="142"/>
      <c r="F95" s="142"/>
      <c r="G95" s="142"/>
      <c r="H95" s="243">
        <f>VLOOKUP($B$8+H94,'Cost Projection'!$B$6:$I$50,IF(H39="LFP",8,7),FALSE)</f>
        <v>75</v>
      </c>
      <c r="I95" s="243">
        <f>VLOOKUP($B$8+I94,'Cost Projection'!$B$6:$I$50,IF(I39="LFP",8,7),FALSE)</f>
        <v>75</v>
      </c>
      <c r="J95" s="247">
        <f>VLOOKUP($B$8+J94,'Cost Projection'!$B$6:$I$50,IF(J39="LFP",8,7),FALSE)</f>
        <v>75</v>
      </c>
      <c r="K95" s="248">
        <f>VLOOKUP($B$8+K94,'Cost Projection'!$B$6:$I$50,IF(K39="LFP",8,7),FALSE)</f>
        <v>75</v>
      </c>
      <c r="L95" s="136"/>
      <c r="S95" s="691"/>
    </row>
    <row r="96" spans="1:19">
      <c r="A96" s="136"/>
      <c r="B96" s="1139"/>
      <c r="C96" s="1075"/>
      <c r="D96" s="140" t="s">
        <v>322</v>
      </c>
      <c r="E96" s="142"/>
      <c r="F96" s="142"/>
      <c r="G96" s="142"/>
      <c r="H96" s="244">
        <f>H95*H45</f>
        <v>42046.062800848573</v>
      </c>
      <c r="I96" s="244">
        <f>I95*I45</f>
        <v>85353.50748572257</v>
      </c>
      <c r="J96" s="249">
        <f>J95*J45</f>
        <v>3750</v>
      </c>
      <c r="K96" s="250">
        <f>K95*K45</f>
        <v>750</v>
      </c>
      <c r="L96" s="136"/>
      <c r="S96" s="691"/>
    </row>
    <row r="97" spans="1:19">
      <c r="A97" s="136"/>
      <c r="B97" s="1139"/>
      <c r="C97" s="1075"/>
      <c r="D97" s="140" t="s">
        <v>312</v>
      </c>
      <c r="E97" s="142"/>
      <c r="F97" s="142"/>
      <c r="G97" s="142"/>
      <c r="H97" s="242">
        <f>VLOOKUP($B$8+H94, 'Cost Projection'!$AC$6:$AJ$50, 5, FALSE)</f>
        <v>1.2</v>
      </c>
      <c r="I97" s="242">
        <f>VLOOKUP($B$8+I94, 'Cost Projection'!$AC$6:$AJ$50, 5, FALSE)</f>
        <v>1.2</v>
      </c>
      <c r="J97" s="245">
        <f>VLOOKUP($B$8+J94, 'Cost Projection'!$AC$6:$AJ$50, 5, FALSE)</f>
        <v>1.2</v>
      </c>
      <c r="K97" s="246">
        <f>VLOOKUP($B$8+K94, 'Cost Projection'!$AC$6:$AJ$50, 5, FALSE)</f>
        <v>1.2</v>
      </c>
      <c r="L97" s="136"/>
      <c r="S97" s="691"/>
    </row>
    <row r="98" spans="1:19" ht="15" thickBot="1">
      <c r="A98" s="136"/>
      <c r="B98" s="1139"/>
      <c r="C98" s="1076"/>
      <c r="D98" s="285" t="s">
        <v>396</v>
      </c>
      <c r="E98" s="286">
        <f t="shared" ref="E98:K98" si="6">E89*E91*E92+E93*E96*E97</f>
        <v>0</v>
      </c>
      <c r="F98" s="286">
        <f t="shared" si="6"/>
        <v>0</v>
      </c>
      <c r="G98" s="286"/>
      <c r="H98" s="286">
        <f t="shared" si="6"/>
        <v>0</v>
      </c>
      <c r="I98" s="286">
        <f t="shared" si="6"/>
        <v>0</v>
      </c>
      <c r="J98" s="286">
        <f t="shared" si="6"/>
        <v>0</v>
      </c>
      <c r="K98" s="287">
        <f t="shared" si="6"/>
        <v>0</v>
      </c>
      <c r="L98" s="136"/>
      <c r="M98" s="616"/>
      <c r="S98" s="691"/>
    </row>
    <row r="99" spans="1:19">
      <c r="A99" s="136"/>
      <c r="B99" s="1139"/>
      <c r="C99" s="1104" t="s">
        <v>392</v>
      </c>
      <c r="D99" s="283" t="s">
        <v>596</v>
      </c>
      <c r="E99" s="284">
        <f>VLOOKUP($B$8, 'Cost Projection'!$AP$55:$AZ$83, 2, FALSE)</f>
        <v>4.4000000000000004E-2</v>
      </c>
      <c r="F99" s="284">
        <f t="shared" ref="F99:K99" si="7">$E99</f>
        <v>4.4000000000000004E-2</v>
      </c>
      <c r="G99" s="284">
        <f t="shared" si="7"/>
        <v>4.4000000000000004E-2</v>
      </c>
      <c r="H99" s="284">
        <f t="shared" si="7"/>
        <v>4.4000000000000004E-2</v>
      </c>
      <c r="I99" s="284">
        <f t="shared" si="7"/>
        <v>4.4000000000000004E-2</v>
      </c>
      <c r="J99" s="284">
        <f t="shared" si="7"/>
        <v>4.4000000000000004E-2</v>
      </c>
      <c r="K99" s="717">
        <f t="shared" si="7"/>
        <v>4.4000000000000004E-2</v>
      </c>
      <c r="L99" s="136"/>
      <c r="S99" s="691"/>
    </row>
    <row r="100" spans="1:19">
      <c r="A100" s="136"/>
      <c r="B100" s="1139"/>
      <c r="C100" s="1105"/>
      <c r="D100" s="265" t="s">
        <v>597</v>
      </c>
      <c r="E100" s="718">
        <f>VLOOKUP($B$8, 'Cost Projection'!$AP$5:$AZ$49, 3, FALSE)</f>
        <v>9.7000000000000003E-2</v>
      </c>
      <c r="F100" s="718">
        <f>$E100</f>
        <v>9.7000000000000003E-2</v>
      </c>
      <c r="G100" s="718">
        <f>$E100</f>
        <v>9.7000000000000003E-2</v>
      </c>
      <c r="H100" s="152"/>
      <c r="I100" s="152"/>
      <c r="J100" s="152"/>
      <c r="K100" s="719">
        <f>$E100</f>
        <v>9.7000000000000003E-2</v>
      </c>
      <c r="L100" s="136"/>
      <c r="S100" s="691"/>
    </row>
    <row r="101" spans="1:19">
      <c r="A101" s="136"/>
      <c r="B101" s="1139"/>
      <c r="C101" s="1105"/>
      <c r="D101" s="265" t="s">
        <v>412</v>
      </c>
      <c r="E101" s="718">
        <f>VLOOKUP($B$8, 'Cost Projection'!$AP$5:$AZ$49, 4, FALSE)</f>
        <v>2.1999999999999999E-2</v>
      </c>
      <c r="F101" s="733">
        <f>$E101*(1+0.2*(F54+F55/2)/$H46)</f>
        <v>2.7397261623242415E-2</v>
      </c>
      <c r="G101" s="733">
        <f>$E101*(1+0.2*(G54+G55/2)/$H46)</f>
        <v>2.9454064928236372E-2</v>
      </c>
      <c r="H101" s="256">
        <f>E101*1.2</f>
        <v>2.6399999999999996E-2</v>
      </c>
      <c r="I101" s="256">
        <f>E101*1.25</f>
        <v>2.7499999999999997E-2</v>
      </c>
      <c r="J101" s="253">
        <f>E101</f>
        <v>2.1999999999999999E-2</v>
      </c>
      <c r="K101" s="254">
        <f>$E101</f>
        <v>2.1999999999999999E-2</v>
      </c>
      <c r="L101" s="136"/>
      <c r="S101" s="691"/>
    </row>
    <row r="102" spans="1:19">
      <c r="A102" s="136"/>
      <c r="B102" s="1139"/>
      <c r="C102" s="1105"/>
      <c r="D102" s="265" t="s">
        <v>375</v>
      </c>
      <c r="E102" s="718">
        <f>VLOOKUP($B$8, 'Cost Projection'!$AP$5:$AZ$49, 5, FALSE)</f>
        <v>7.0000000000000001E-3</v>
      </c>
      <c r="F102" s="718">
        <f t="shared" ref="F102:G103" si="8">$E102</f>
        <v>7.0000000000000001E-3</v>
      </c>
      <c r="G102" s="718">
        <f t="shared" si="8"/>
        <v>7.0000000000000001E-3</v>
      </c>
      <c r="H102" s="152"/>
      <c r="I102" s="152"/>
      <c r="J102" s="152"/>
      <c r="K102" s="254">
        <f>E102/2</f>
        <v>3.5000000000000001E-3</v>
      </c>
      <c r="L102" s="136"/>
      <c r="S102" s="691"/>
    </row>
    <row r="103" spans="1:19">
      <c r="A103" s="136"/>
      <c r="B103" s="1139"/>
      <c r="C103" s="1105"/>
      <c r="D103" s="265" t="s">
        <v>598</v>
      </c>
      <c r="E103" s="718">
        <f>VLOOKUP($B$8, 'Cost Projection'!$AP$5:$AZ$49, 6, FALSE)</f>
        <v>2.3E-2</v>
      </c>
      <c r="F103" s="718">
        <f t="shared" si="8"/>
        <v>2.3E-2</v>
      </c>
      <c r="G103" s="718">
        <f t="shared" si="8"/>
        <v>2.3E-2</v>
      </c>
      <c r="H103" s="152"/>
      <c r="I103" s="152"/>
      <c r="J103" s="152"/>
      <c r="K103" s="254">
        <f>$E103</f>
        <v>2.3E-2</v>
      </c>
      <c r="L103" s="347"/>
      <c r="S103" s="691"/>
    </row>
    <row r="104" spans="1:19">
      <c r="A104" s="136"/>
      <c r="B104" s="1139"/>
      <c r="C104" s="1105"/>
      <c r="D104" s="261" t="s">
        <v>376</v>
      </c>
      <c r="E104" s="720"/>
      <c r="F104" s="153"/>
      <c r="G104" s="153"/>
      <c r="H104" s="255">
        <f>VLOOKUP($B$8, 'Cost Projection'!$AP$5:$AZ$49, 8, FALSE)</f>
        <v>2.3E-2</v>
      </c>
      <c r="I104" s="255">
        <f>VLOOKUP($B$8, 'Cost Projection'!$AP$5:$AZ$49, 8, FALSE)</f>
        <v>2.3E-2</v>
      </c>
      <c r="J104" s="255">
        <f>VLOOKUP($B$8, 'Cost Projection'!$AP$5:$AZ$49, 8, FALSE)</f>
        <v>2.3E-2</v>
      </c>
      <c r="K104" s="199"/>
      <c r="L104" s="347"/>
      <c r="S104" s="691"/>
    </row>
    <row r="105" spans="1:19">
      <c r="A105" s="136"/>
      <c r="B105" s="1139"/>
      <c r="C105" s="1105"/>
      <c r="D105" s="261" t="s">
        <v>377</v>
      </c>
      <c r="E105" s="720"/>
      <c r="F105" s="153"/>
      <c r="G105" s="153"/>
      <c r="H105" s="255">
        <f>VLOOKUP($B$8, 'Cost Projection'!$AP$5:$AZ$49, 9, FALSE)</f>
        <v>5.1999999999999998E-2</v>
      </c>
      <c r="I105" s="255">
        <f>0.7*$H105+0.3*$H105*I45/$H45</f>
        <v>6.806799999999999E-2</v>
      </c>
      <c r="J105" s="255">
        <f>0.5*$H105+0.5*$H105*J45/$H45</f>
        <v>2.8318885372497521E-2</v>
      </c>
      <c r="K105" s="199"/>
      <c r="L105" s="347"/>
      <c r="S105" s="691"/>
    </row>
    <row r="106" spans="1:19">
      <c r="A106" s="136"/>
      <c r="B106" s="1139"/>
      <c r="C106" s="1105"/>
      <c r="D106" s="263" t="s">
        <v>389</v>
      </c>
      <c r="E106" s="720"/>
      <c r="F106" s="153"/>
      <c r="G106" s="153"/>
      <c r="H106" s="152"/>
      <c r="I106" s="152"/>
      <c r="J106" s="257">
        <f>VLOOKUP($B$8, 'Cost Projection'!$AP$5:$AZ$49, 10, FALSE)</f>
        <v>5.2999999999999999E-2</v>
      </c>
      <c r="K106" s="199"/>
      <c r="L106" s="347"/>
      <c r="S106" s="691"/>
    </row>
    <row r="107" spans="1:19">
      <c r="A107" s="136"/>
      <c r="B107" s="1139"/>
      <c r="C107" s="1105"/>
      <c r="D107" s="263" t="s">
        <v>398</v>
      </c>
      <c r="E107" s="720"/>
      <c r="F107" s="153"/>
      <c r="G107" s="153"/>
      <c r="H107" s="152"/>
      <c r="I107" s="152"/>
      <c r="J107" s="257">
        <f>VLOOKUP($B$8, 'Cost Projection'!$AP$5:$AZ$49, 11, FALSE)</f>
        <v>7.0000000000000001E-3</v>
      </c>
      <c r="K107" s="258">
        <f>J107</f>
        <v>7.0000000000000001E-3</v>
      </c>
      <c r="L107" s="347"/>
      <c r="S107" s="691"/>
    </row>
    <row r="108" spans="1:19">
      <c r="A108" s="136"/>
      <c r="B108" s="1139"/>
      <c r="C108" s="1105"/>
      <c r="D108" s="266" t="s">
        <v>546</v>
      </c>
      <c r="E108" s="720"/>
      <c r="F108" s="251">
        <f>0.1*F57*F58*15/$C$2</f>
        <v>2.7E-2</v>
      </c>
      <c r="G108" s="251">
        <f>0.1*G57*G58*15/$C$2</f>
        <v>3.5999999999999997E-2</v>
      </c>
      <c r="H108" s="152"/>
      <c r="I108" s="152"/>
      <c r="J108" s="257"/>
      <c r="K108" s="258"/>
      <c r="L108" s="347"/>
      <c r="S108" s="691"/>
    </row>
    <row r="109" spans="1:19">
      <c r="A109" s="136"/>
      <c r="B109" s="1139"/>
      <c r="C109" s="1105"/>
      <c r="D109" s="264" t="s">
        <v>391</v>
      </c>
      <c r="E109" s="721">
        <v>1.21</v>
      </c>
      <c r="F109" s="721">
        <v>1.21</v>
      </c>
      <c r="G109" s="721">
        <v>1.21</v>
      </c>
      <c r="H109" s="259">
        <v>1.21</v>
      </c>
      <c r="I109" s="259">
        <v>1.21</v>
      </c>
      <c r="J109" s="259">
        <v>1.21</v>
      </c>
      <c r="K109" s="260">
        <v>1.21</v>
      </c>
      <c r="L109" s="347"/>
      <c r="S109" s="691"/>
    </row>
    <row r="110" spans="1:19">
      <c r="A110" s="136"/>
      <c r="B110" s="1139"/>
      <c r="C110" s="1105"/>
      <c r="D110" s="711" t="s">
        <v>544</v>
      </c>
      <c r="E110" s="722">
        <f>E109*SUM(E99:E107)+E108</f>
        <v>0.23352999999999999</v>
      </c>
      <c r="F110" s="722">
        <f>F109*SUM(F99:F107)+F108</f>
        <v>0.26706068656412335</v>
      </c>
      <c r="G110" s="722">
        <f t="shared" ref="G110:K110" si="9">G109*SUM(G99:G107)+G108</f>
        <v>0.27854941856316601</v>
      </c>
      <c r="H110" s="722">
        <f t="shared" si="9"/>
        <v>0.17593400000000001</v>
      </c>
      <c r="I110" s="722">
        <f t="shared" si="9"/>
        <v>0.19670727999999998</v>
      </c>
      <c r="J110" s="722">
        <f t="shared" si="9"/>
        <v>0.21455585130072199</v>
      </c>
      <c r="K110" s="722">
        <f t="shared" si="9"/>
        <v>0.237765</v>
      </c>
      <c r="L110" s="347"/>
    </row>
    <row r="111" spans="1:19">
      <c r="A111" s="136"/>
      <c r="B111" s="1139"/>
      <c r="C111" s="1106"/>
      <c r="D111" s="714" t="s">
        <v>545</v>
      </c>
      <c r="E111" s="716">
        <f>E110*$C$2/15</f>
        <v>15568.666666666666</v>
      </c>
      <c r="F111" s="716">
        <f t="shared" ref="F111:K111" si="10">F110*$C$2/15</f>
        <v>17804.045770941557</v>
      </c>
      <c r="G111" s="716">
        <f t="shared" si="10"/>
        <v>18569.961237544401</v>
      </c>
      <c r="H111" s="716">
        <f t="shared" si="10"/>
        <v>11728.933333333332</v>
      </c>
      <c r="I111" s="716">
        <f t="shared" si="10"/>
        <v>13113.818666666666</v>
      </c>
      <c r="J111" s="716">
        <f t="shared" si="10"/>
        <v>14303.723420048133</v>
      </c>
      <c r="K111" s="716">
        <f t="shared" si="10"/>
        <v>15851</v>
      </c>
      <c r="L111" s="347"/>
    </row>
    <row r="112" spans="1:19">
      <c r="A112" s="136"/>
      <c r="B112" s="1139"/>
      <c r="C112" s="1106"/>
      <c r="D112" s="714" t="s">
        <v>532</v>
      </c>
      <c r="E112" s="715">
        <v>0.6</v>
      </c>
      <c r="F112" s="715">
        <f>E112</f>
        <v>0.6</v>
      </c>
      <c r="G112" s="715">
        <f>E112</f>
        <v>0.6</v>
      </c>
      <c r="H112" s="715">
        <f t="shared" ref="H112" si="11">G112</f>
        <v>0.6</v>
      </c>
      <c r="I112" s="715">
        <f t="shared" ref="I112" si="12">G112</f>
        <v>0.6</v>
      </c>
      <c r="J112" s="715">
        <f t="shared" ref="J112" si="13">I112</f>
        <v>0.6</v>
      </c>
      <c r="K112" s="715">
        <f t="shared" ref="K112" si="14">I112</f>
        <v>0.6</v>
      </c>
      <c r="L112" s="347"/>
    </row>
    <row r="113" spans="1:13" ht="15" thickBot="1">
      <c r="A113" s="413"/>
      <c r="B113" s="1139"/>
      <c r="C113" s="1107"/>
      <c r="D113" s="714" t="s">
        <v>535</v>
      </c>
      <c r="E113" s="716">
        <f t="shared" ref="E113:K113" si="15">$C$2*E110*E112</f>
        <v>140118</v>
      </c>
      <c r="F113" s="716">
        <f t="shared" si="15"/>
        <v>160236.41193847402</v>
      </c>
      <c r="G113" s="716">
        <f t="shared" si="15"/>
        <v>167129.65113789958</v>
      </c>
      <c r="H113" s="716">
        <f t="shared" si="15"/>
        <v>105560.4</v>
      </c>
      <c r="I113" s="716">
        <f t="shared" si="15"/>
        <v>118024.36799999999</v>
      </c>
      <c r="J113" s="716">
        <f t="shared" si="15"/>
        <v>128733.51078043319</v>
      </c>
      <c r="K113" s="716">
        <f t="shared" si="15"/>
        <v>142659</v>
      </c>
      <c r="L113" s="783" t="s">
        <v>525</v>
      </c>
      <c r="M113" s="707">
        <f>E110*C2/15</f>
        <v>15568.666666666666</v>
      </c>
    </row>
    <row r="114" spans="1:13" ht="15.65" customHeight="1">
      <c r="A114" s="413"/>
      <c r="B114" s="1139"/>
      <c r="C114" s="1128" t="s">
        <v>393</v>
      </c>
      <c r="D114" s="264" t="s">
        <v>395</v>
      </c>
      <c r="E114" s="721">
        <v>1.2290000000000001</v>
      </c>
      <c r="F114" s="721">
        <f>E114</f>
        <v>1.2290000000000001</v>
      </c>
      <c r="G114" s="721">
        <f>F114</f>
        <v>1.2290000000000001</v>
      </c>
      <c r="H114" s="721">
        <f>E114</f>
        <v>1.2290000000000001</v>
      </c>
      <c r="I114" s="259">
        <f>E114</f>
        <v>1.2290000000000001</v>
      </c>
      <c r="J114" s="721">
        <f>E114</f>
        <v>1.2290000000000001</v>
      </c>
      <c r="K114" s="252">
        <f>E114</f>
        <v>1.2290000000000001</v>
      </c>
      <c r="L114" s="783" t="s">
        <v>533</v>
      </c>
      <c r="M114" s="707">
        <v>9574</v>
      </c>
    </row>
    <row r="115" spans="1:13" ht="14.5" customHeight="1">
      <c r="A115" s="136"/>
      <c r="B115" s="1139"/>
      <c r="C115" s="1133"/>
      <c r="D115" s="712" t="s">
        <v>394</v>
      </c>
      <c r="E115" s="713">
        <f t="shared" ref="E115:K115" si="16">0.065*E114*$C$2</f>
        <v>79885.000000000015</v>
      </c>
      <c r="F115" s="713">
        <f t="shared" si="16"/>
        <v>79885.000000000015</v>
      </c>
      <c r="G115" s="713">
        <f t="shared" si="16"/>
        <v>79885.000000000015</v>
      </c>
      <c r="H115" s="713">
        <f t="shared" si="16"/>
        <v>79885.000000000015</v>
      </c>
      <c r="I115" s="713">
        <f t="shared" si="16"/>
        <v>79885.000000000015</v>
      </c>
      <c r="J115" s="713">
        <f t="shared" si="16"/>
        <v>79885.000000000015</v>
      </c>
      <c r="K115" s="724">
        <f t="shared" si="16"/>
        <v>79885.000000000015</v>
      </c>
      <c r="L115" s="298"/>
    </row>
    <row r="116" spans="1:13" ht="14.5" customHeight="1">
      <c r="A116" s="136"/>
      <c r="B116" s="1139"/>
      <c r="C116" s="1133"/>
      <c r="D116" s="265" t="s">
        <v>595</v>
      </c>
      <c r="E116" s="725">
        <f t="shared" ref="E116:K116" si="17">2.5*12*15*E59/1000*0.6</f>
        <v>30507.3</v>
      </c>
      <c r="F116" s="269">
        <f t="shared" si="17"/>
        <v>35367.299999999996</v>
      </c>
      <c r="G116" s="269">
        <f t="shared" si="17"/>
        <v>36987.299999999996</v>
      </c>
      <c r="H116" s="268">
        <f t="shared" si="17"/>
        <v>34075.964347474939</v>
      </c>
      <c r="I116" s="268">
        <f t="shared" si="17"/>
        <v>48107.5764253741</v>
      </c>
      <c r="J116" s="270">
        <f t="shared" ca="1" si="17"/>
        <v>48342.465746187176</v>
      </c>
      <c r="K116" s="271">
        <f t="shared" ca="1" si="17"/>
        <v>34883.96742612464</v>
      </c>
      <c r="L116" s="783"/>
    </row>
    <row r="117" spans="1:13" ht="15" customHeight="1">
      <c r="A117" s="136"/>
      <c r="B117" s="1139"/>
      <c r="C117" s="1133"/>
      <c r="D117" s="714" t="s">
        <v>550</v>
      </c>
      <c r="E117" s="715">
        <f>(E115+E116)/15/E59</f>
        <v>6.5133964657639321E-2</v>
      </c>
      <c r="F117" s="715">
        <f>$E117</f>
        <v>6.5133964657639321E-2</v>
      </c>
      <c r="G117" s="715">
        <f>$E117</f>
        <v>6.5133964657639321E-2</v>
      </c>
      <c r="H117" s="715">
        <f t="shared" ref="H117:K118" si="18">$E117</f>
        <v>6.5133964657639321E-2</v>
      </c>
      <c r="I117" s="715">
        <f t="shared" si="18"/>
        <v>6.5133964657639321E-2</v>
      </c>
      <c r="J117" s="715">
        <f t="shared" si="18"/>
        <v>6.5133964657639321E-2</v>
      </c>
      <c r="K117" s="723">
        <f t="shared" si="18"/>
        <v>6.5133964657639321E-2</v>
      </c>
      <c r="L117" s="783" t="s">
        <v>524</v>
      </c>
      <c r="M117" s="698">
        <f>(E115+E116)/15/E59</f>
        <v>6.5133964657639321E-2</v>
      </c>
    </row>
    <row r="118" spans="1:13" ht="14.5" customHeight="1">
      <c r="A118" s="136"/>
      <c r="B118" s="1139"/>
      <c r="C118" s="1133"/>
      <c r="D118" s="714" t="s">
        <v>532</v>
      </c>
      <c r="E118" s="715">
        <v>0.64100000000000001</v>
      </c>
      <c r="F118" s="715">
        <f>$E118</f>
        <v>0.64100000000000001</v>
      </c>
      <c r="G118" s="715">
        <f>$E118</f>
        <v>0.64100000000000001</v>
      </c>
      <c r="H118" s="715">
        <f t="shared" si="18"/>
        <v>0.64100000000000001</v>
      </c>
      <c r="I118" s="715">
        <f t="shared" si="18"/>
        <v>0.64100000000000001</v>
      </c>
      <c r="J118" s="715">
        <f t="shared" si="18"/>
        <v>0.64100000000000001</v>
      </c>
      <c r="K118" s="723">
        <f t="shared" si="18"/>
        <v>0.64100000000000001</v>
      </c>
      <c r="L118" s="783" t="s">
        <v>534</v>
      </c>
      <c r="M118" s="698">
        <v>0.04</v>
      </c>
    </row>
    <row r="119" spans="1:13" ht="14.5" customHeight="1" thickBot="1">
      <c r="A119" s="136"/>
      <c r="B119" s="1139"/>
      <c r="C119" s="1134"/>
      <c r="D119" s="285" t="s">
        <v>401</v>
      </c>
      <c r="E119" s="288">
        <f t="shared" ref="E119:K119" si="19">(E116+E115)*E118</f>
        <v>70761.464300000007</v>
      </c>
      <c r="F119" s="288">
        <f t="shared" si="19"/>
        <v>73876.724300000016</v>
      </c>
      <c r="G119" s="288">
        <f t="shared" si="19"/>
        <v>74915.144300000014</v>
      </c>
      <c r="H119" s="288">
        <f t="shared" si="19"/>
        <v>73048.978146731446</v>
      </c>
      <c r="I119" s="288">
        <f t="shared" si="19"/>
        <v>82043.241488664804</v>
      </c>
      <c r="J119" s="288">
        <f t="shared" ca="1" si="19"/>
        <v>82193.805543305993</v>
      </c>
      <c r="K119" s="289">
        <f t="shared" ca="1" si="19"/>
        <v>73566.908120145905</v>
      </c>
      <c r="M119" s="698"/>
    </row>
    <row r="120" spans="1:13" ht="15" customHeight="1" thickBot="1">
      <c r="A120" s="136"/>
      <c r="B120" s="1140"/>
      <c r="C120" s="1077" t="s">
        <v>592</v>
      </c>
      <c r="D120" s="1116"/>
      <c r="E120" s="290">
        <f t="shared" ref="E120:K120" si="20">E98+E113+E119</f>
        <v>210879.46429999999</v>
      </c>
      <c r="F120" s="290">
        <f t="shared" si="20"/>
        <v>234113.13623847405</v>
      </c>
      <c r="G120" s="290">
        <f t="shared" si="20"/>
        <v>242044.79543789959</v>
      </c>
      <c r="H120" s="290">
        <f t="shared" si="20"/>
        <v>178609.37814673144</v>
      </c>
      <c r="I120" s="290">
        <f t="shared" si="20"/>
        <v>200067.60948866478</v>
      </c>
      <c r="J120" s="290">
        <f t="shared" ca="1" si="20"/>
        <v>210927.31632373919</v>
      </c>
      <c r="K120" s="290">
        <f t="shared" ca="1" si="20"/>
        <v>216225.9081201459</v>
      </c>
    </row>
    <row r="121" spans="1:13">
      <c r="A121" s="136"/>
      <c r="B121" s="138"/>
      <c r="C121" s="138"/>
      <c r="D121" s="138"/>
      <c r="E121" s="146"/>
      <c r="F121" s="138"/>
      <c r="G121" s="138"/>
      <c r="H121" s="138"/>
      <c r="I121" s="138"/>
      <c r="J121" s="138"/>
      <c r="K121" s="138"/>
      <c r="L121" s="347"/>
    </row>
    <row r="122" spans="1:13" ht="15" thickBot="1">
      <c r="A122" s="136"/>
      <c r="B122" s="138"/>
      <c r="C122" s="138"/>
      <c r="D122" s="138"/>
      <c r="E122" s="138"/>
      <c r="F122" s="138"/>
      <c r="G122" s="138"/>
      <c r="H122" s="138"/>
      <c r="I122" s="138"/>
      <c r="J122" s="138"/>
      <c r="K122" s="138"/>
      <c r="L122" s="347"/>
    </row>
    <row r="123" spans="1:13">
      <c r="A123" s="136"/>
      <c r="B123" s="1071" t="s">
        <v>551</v>
      </c>
      <c r="C123" s="1130" t="s">
        <v>317</v>
      </c>
      <c r="D123" s="176" t="s">
        <v>296</v>
      </c>
      <c r="E123" s="331">
        <f>E16+E20+E24+E29+E34+E46+E50+E54</f>
        <v>1835.4545454545455</v>
      </c>
      <c r="F123" s="325">
        <f>F16+F20+F24+F29+F34+F46+F50+F54+F55</f>
        <v>3418.0450843831168</v>
      </c>
      <c r="G123" s="325">
        <f>G16+G20+G24+G29+G34+G46+G50+G54+G55</f>
        <v>4164.1175155259743</v>
      </c>
      <c r="H123" s="327">
        <f>H16+H20+H24+H29+H34+H46+H50+H54</f>
        <v>1343.3025726054791</v>
      </c>
      <c r="I123" s="327">
        <f>I16+I20+I24+I29+I34+I46+I50+I54</f>
        <v>2385.599676934577</v>
      </c>
      <c r="J123" s="328">
        <f>J16+J20+J24+J29+J34+J46+J50+J54</f>
        <v>2153.1985669987944</v>
      </c>
      <c r="K123" s="329">
        <f>K16+K20+K24+K29+K34+K46+K50+K54</f>
        <v>2590.6083607101973</v>
      </c>
    </row>
    <row r="124" spans="1:13">
      <c r="A124" s="136"/>
      <c r="B124" s="1072"/>
      <c r="C124" s="1109"/>
      <c r="D124" s="343" t="s">
        <v>16</v>
      </c>
      <c r="E124" s="163">
        <v>0</v>
      </c>
      <c r="F124" s="614">
        <f t="shared" ref="F124:K124" si="21">F123-$E$123</f>
        <v>1582.5905389285713</v>
      </c>
      <c r="G124" s="614">
        <f t="shared" si="21"/>
        <v>2328.6629700714288</v>
      </c>
      <c r="H124" s="156">
        <f t="shared" si="21"/>
        <v>-492.1519728490664</v>
      </c>
      <c r="I124" s="156">
        <f t="shared" si="21"/>
        <v>550.14513148003152</v>
      </c>
      <c r="J124" s="227">
        <f t="shared" si="21"/>
        <v>317.74402154424888</v>
      </c>
      <c r="K124" s="228">
        <f t="shared" si="21"/>
        <v>755.15381525565181</v>
      </c>
      <c r="L124" s="347"/>
    </row>
    <row r="125" spans="1:13">
      <c r="A125" s="136"/>
      <c r="B125" s="1072"/>
      <c r="C125" s="1110"/>
      <c r="D125" s="171" t="s">
        <v>115</v>
      </c>
      <c r="E125" s="163">
        <f>$N$8</f>
        <v>10.5</v>
      </c>
      <c r="F125" s="326">
        <f>N8</f>
        <v>10.5</v>
      </c>
      <c r="G125" s="326">
        <f>$N$8</f>
        <v>10.5</v>
      </c>
      <c r="H125" s="155">
        <f>N8</f>
        <v>10.5</v>
      </c>
      <c r="I125" s="155">
        <f>N8</f>
        <v>10.5</v>
      </c>
      <c r="J125" s="241">
        <f>$N$8</f>
        <v>10.5</v>
      </c>
      <c r="K125" s="330">
        <f>$N$8</f>
        <v>10.5</v>
      </c>
      <c r="L125" s="347"/>
    </row>
    <row r="126" spans="1:13">
      <c r="A126" s="136"/>
      <c r="B126" s="1072"/>
      <c r="C126" s="1069" t="s">
        <v>318</v>
      </c>
      <c r="D126" s="139" t="s">
        <v>293</v>
      </c>
      <c r="E126" s="142"/>
      <c r="F126" s="142"/>
      <c r="G126" s="142"/>
      <c r="H126" s="157">
        <v>30</v>
      </c>
      <c r="I126" s="157">
        <v>30</v>
      </c>
      <c r="J126" s="142"/>
      <c r="K126" s="194"/>
      <c r="L126" s="347"/>
    </row>
    <row r="127" spans="1:13">
      <c r="A127" s="136"/>
      <c r="B127" s="1072"/>
      <c r="C127" s="1070"/>
      <c r="D127" s="139" t="s">
        <v>315</v>
      </c>
      <c r="E127" s="142"/>
      <c r="F127" s="142"/>
      <c r="G127" s="142"/>
      <c r="H127" s="156">
        <f>H69/H81</f>
        <v>8699.1854070721165</v>
      </c>
      <c r="I127" s="156">
        <f>I69/I81</f>
        <v>8829.673188178198</v>
      </c>
      <c r="J127" s="142"/>
      <c r="K127" s="194"/>
      <c r="L127" s="136"/>
    </row>
    <row r="128" spans="1:13">
      <c r="A128" s="136"/>
      <c r="B128" s="1072"/>
      <c r="C128" s="1070"/>
      <c r="D128" s="139" t="s">
        <v>319</v>
      </c>
      <c r="E128" s="142"/>
      <c r="F128" s="142"/>
      <c r="G128" s="142"/>
      <c r="H128" s="221">
        <v>0.7</v>
      </c>
      <c r="I128" s="221">
        <v>0.35</v>
      </c>
      <c r="J128" s="142"/>
      <c r="K128" s="194"/>
      <c r="L128" s="136"/>
    </row>
    <row r="129" spans="1:12" ht="15" thickBot="1">
      <c r="A129" s="136"/>
      <c r="B129" s="1072"/>
      <c r="C129" s="1070"/>
      <c r="D129" s="324" t="s">
        <v>294</v>
      </c>
      <c r="E129" s="142"/>
      <c r="F129" s="142"/>
      <c r="G129" s="142"/>
      <c r="H129" s="157">
        <f>H127*H126*H128</f>
        <v>182682.89354851443</v>
      </c>
      <c r="I129" s="157">
        <f>I127*I126*I128</f>
        <v>92711.568475871085</v>
      </c>
      <c r="J129" s="142"/>
      <c r="K129" s="194"/>
      <c r="L129" s="136"/>
    </row>
    <row r="130" spans="1:12" ht="16" thickBot="1">
      <c r="A130" s="136"/>
      <c r="B130" s="1073"/>
      <c r="C130" s="1077" t="s">
        <v>593</v>
      </c>
      <c r="D130" s="1078"/>
      <c r="E130" s="290">
        <f t="shared" ref="E130:K130" si="22">E124*E125+E129</f>
        <v>0</v>
      </c>
      <c r="F130" s="290">
        <f t="shared" si="22"/>
        <v>16617.20065875</v>
      </c>
      <c r="G130" s="290">
        <f t="shared" si="22"/>
        <v>24450.961185750002</v>
      </c>
      <c r="H130" s="290">
        <f t="shared" si="22"/>
        <v>177515.29783359924</v>
      </c>
      <c r="I130" s="290">
        <f t="shared" si="22"/>
        <v>98488.09235641142</v>
      </c>
      <c r="J130" s="290">
        <f t="shared" si="22"/>
        <v>3336.3122262146135</v>
      </c>
      <c r="K130" s="291">
        <f t="shared" si="22"/>
        <v>7929.1150601843437</v>
      </c>
      <c r="L130" s="136"/>
    </row>
    <row r="131" spans="1:12" ht="16" customHeight="1">
      <c r="A131" s="136"/>
      <c r="B131" s="138"/>
      <c r="C131" s="138"/>
      <c r="D131" s="138"/>
      <c r="E131" s="138"/>
      <c r="F131" s="138"/>
      <c r="G131" s="138"/>
      <c r="H131" s="138"/>
      <c r="I131" s="138"/>
      <c r="J131" s="138"/>
      <c r="K131" s="138"/>
      <c r="L131" s="347"/>
    </row>
    <row r="132" spans="1:12" ht="15" thickBot="1">
      <c r="A132" s="136"/>
      <c r="B132" s="138"/>
      <c r="C132" s="138"/>
      <c r="D132" s="138"/>
      <c r="E132" s="138"/>
      <c r="F132" s="138"/>
      <c r="G132" s="138"/>
      <c r="H132" s="138"/>
      <c r="I132" s="138"/>
      <c r="J132" s="138"/>
      <c r="K132" s="138"/>
      <c r="L132" s="136"/>
    </row>
    <row r="133" spans="1:12" ht="14.5" customHeight="1">
      <c r="A133" s="136"/>
      <c r="B133" s="1123" t="s">
        <v>13</v>
      </c>
      <c r="C133" s="1101" t="s">
        <v>369</v>
      </c>
      <c r="D133" s="335" t="s">
        <v>123</v>
      </c>
      <c r="E133" s="767"/>
      <c r="F133" s="768">
        <f>3.9*F54/1000</f>
        <v>3.51</v>
      </c>
      <c r="G133" s="768">
        <f>3.9*G54/1000</f>
        <v>4.29</v>
      </c>
      <c r="H133" s="767"/>
      <c r="I133" s="767"/>
      <c r="J133" s="767"/>
      <c r="K133" s="769"/>
      <c r="L133" s="136"/>
    </row>
    <row r="134" spans="1:12" ht="14.5" customHeight="1">
      <c r="A134" s="136"/>
      <c r="B134" s="1124"/>
      <c r="C134" s="1095"/>
      <c r="D134" s="139" t="s">
        <v>280</v>
      </c>
      <c r="E134" s="770"/>
      <c r="F134" s="770"/>
      <c r="G134" s="770"/>
      <c r="H134" s="336">
        <f>I134*H45/I45</f>
        <v>87.271784109153288</v>
      </c>
      <c r="I134" s="336">
        <f>[1]MHDV_Battery_Sum!$D$152/1000000</f>
        <v>177.16172174158112</v>
      </c>
      <c r="J134" s="770"/>
      <c r="K134" s="771"/>
      <c r="L134" s="136"/>
    </row>
    <row r="135" spans="1:12" ht="14.5" customHeight="1">
      <c r="A135" s="136"/>
      <c r="B135" s="1124"/>
      <c r="C135" s="1095"/>
      <c r="D135" s="159" t="s">
        <v>578</v>
      </c>
      <c r="E135" s="333">
        <f>[1]MHDV_Sum!$G$17/1000000</f>
        <v>69.979778037254874</v>
      </c>
      <c r="F135" s="334">
        <f>E135+F133</f>
        <v>73.489778037254879</v>
      </c>
      <c r="G135" s="334">
        <f>F135+G133</f>
        <v>77.779778037254886</v>
      </c>
      <c r="H135" s="336">
        <f>I135+H134-I134</f>
        <v>151.18206831784346</v>
      </c>
      <c r="I135" s="336">
        <f>[1]MHDV_Sum!$G$79/1000000</f>
        <v>241.07200595027126</v>
      </c>
      <c r="J135" s="337">
        <f>[1]MHDV_Sum!$G$110/1000000</f>
        <v>89.621314055722024</v>
      </c>
      <c r="K135" s="338">
        <f>[1]MHDV_Sum!$G$48/1000000+3</f>
        <v>74.640280418942126</v>
      </c>
      <c r="L135" s="136"/>
    </row>
    <row r="136" spans="1:12">
      <c r="A136" s="136"/>
      <c r="B136" s="1124"/>
      <c r="C136" s="1108" t="s">
        <v>370</v>
      </c>
      <c r="D136" s="171" t="s">
        <v>698</v>
      </c>
      <c r="E136" s="333">
        <f>VLOOKUP(E$12, 'GHG FE &amp; Fuel '!$L$27:$N$32, 2, FALSE)</f>
        <v>1228.121015942819</v>
      </c>
      <c r="F136" s="334">
        <f>E136</f>
        <v>1228.121015942819</v>
      </c>
      <c r="G136" s="334">
        <f>E136</f>
        <v>1228.121015942819</v>
      </c>
      <c r="H136" s="336">
        <f>IF(J3="Manual Input",J2,VLOOKUP(H12, 'GHG Electricity'!B3:C32, 2, FALSE))</f>
        <v>547.39117519034187</v>
      </c>
      <c r="I136" s="336">
        <f>IF(J3="Manual Input",J2,VLOOKUP(I12, 'GHG Electricity'!B3:C32, 2, FALSE))</f>
        <v>547.39117519034187</v>
      </c>
      <c r="J136" s="337">
        <f ca="1">VLOOKUP(J12, 'H2 FCV'!$C$33:$D$80, 2, FALSE)*1000</f>
        <v>4100</v>
      </c>
      <c r="K136" s="338">
        <f ca="1">VLOOKUP(K12, 'H2 FCV'!$C$33:$D$80, 2, FALSE)*1000</f>
        <v>4100</v>
      </c>
      <c r="L136" s="136"/>
    </row>
    <row r="137" spans="1:12">
      <c r="A137" s="136"/>
      <c r="B137" s="1124"/>
      <c r="C137" s="1109"/>
      <c r="D137" s="171" t="s">
        <v>699</v>
      </c>
      <c r="E137" s="333">
        <f>VLOOKUP(E$12, 'GHG FE &amp; Fuel '!$L$27:$N$32, 3, FALSE)</f>
        <v>10245.994486700643</v>
      </c>
      <c r="F137" s="334">
        <f>E137</f>
        <v>10245.994486700643</v>
      </c>
      <c r="G137" s="334">
        <f>E137</f>
        <v>10245.994486700643</v>
      </c>
      <c r="H137" s="336"/>
      <c r="I137" s="336"/>
      <c r="J137" s="337"/>
      <c r="K137" s="338"/>
      <c r="L137" s="136"/>
    </row>
    <row r="138" spans="1:12">
      <c r="A138" s="136"/>
      <c r="B138" s="1124"/>
      <c r="C138" s="1109"/>
      <c r="D138" s="171" t="s">
        <v>112</v>
      </c>
      <c r="E138" s="333">
        <f>E$69*E136/1000000</f>
        <v>144.69281608024079</v>
      </c>
      <c r="F138" s="334">
        <f t="shared" ref="F138:G138" si="23">F$69*F136/1000000</f>
        <v>149.67024895340106</v>
      </c>
      <c r="G138" s="334">
        <f t="shared" si="23"/>
        <v>179.20018907190715</v>
      </c>
      <c r="H138" s="336">
        <f>H69*H136/1000000</f>
        <v>1190.4643307939693</v>
      </c>
      <c r="I138" s="336">
        <f>I69*I136/1000000</f>
        <v>1208.3212957558792</v>
      </c>
      <c r="J138" s="337">
        <f t="shared" ref="J138:K138" ca="1" si="24">J69*J136/1000000</f>
        <v>423.13649276548966</v>
      </c>
      <c r="K138" s="338">
        <f t="shared" ca="1" si="24"/>
        <v>478.32820921316232</v>
      </c>
      <c r="L138" s="136"/>
    </row>
    <row r="139" spans="1:12">
      <c r="A139" s="136"/>
      <c r="B139" s="1124"/>
      <c r="C139" s="1110"/>
      <c r="D139" s="171" t="s">
        <v>113</v>
      </c>
      <c r="E139" s="333">
        <f>E$69*E137/1000000</f>
        <v>1207.1463451712182</v>
      </c>
      <c r="F139" s="334">
        <f t="shared" ref="F139:G139" si="25">F$69*F137/1000000</f>
        <v>1248.6721794451082</v>
      </c>
      <c r="G139" s="334">
        <f t="shared" si="25"/>
        <v>1495.0352004496281</v>
      </c>
      <c r="H139" s="772"/>
      <c r="I139" s="772"/>
      <c r="J139" s="773"/>
      <c r="K139" s="774"/>
      <c r="L139" s="136"/>
    </row>
    <row r="140" spans="1:12">
      <c r="A140" s="136"/>
      <c r="B140" s="1124"/>
      <c r="C140" s="761" t="s">
        <v>14</v>
      </c>
      <c r="D140" s="699"/>
      <c r="E140" s="149"/>
      <c r="F140" s="332">
        <f>F11</f>
        <v>0.5</v>
      </c>
      <c r="G140" s="332">
        <f>G11</f>
        <v>0.9</v>
      </c>
      <c r="H140" s="149"/>
      <c r="I140" s="151"/>
      <c r="J140" s="150"/>
      <c r="K140" s="200"/>
      <c r="L140" s="136"/>
    </row>
    <row r="141" spans="1:12" ht="14.5" customHeight="1">
      <c r="A141" s="136"/>
      <c r="B141" s="1124"/>
      <c r="C141" s="760" t="s">
        <v>576</v>
      </c>
      <c r="D141" s="759"/>
      <c r="E141" s="172">
        <f>E135</f>
        <v>69.979778037254874</v>
      </c>
      <c r="F141" s="172">
        <f t="shared" ref="F141:K141" si="26">F135</f>
        <v>73.489778037254879</v>
      </c>
      <c r="G141" s="172">
        <f t="shared" si="26"/>
        <v>77.779778037254886</v>
      </c>
      <c r="H141" s="172">
        <f t="shared" si="26"/>
        <v>151.18206831784346</v>
      </c>
      <c r="I141" s="172">
        <f t="shared" si="26"/>
        <v>241.07200595027126</v>
      </c>
      <c r="J141" s="172">
        <f t="shared" si="26"/>
        <v>89.621314055722024</v>
      </c>
      <c r="K141" s="172">
        <f t="shared" si="26"/>
        <v>74.640280418942126</v>
      </c>
      <c r="L141" s="136"/>
    </row>
    <row r="142" spans="1:12" ht="14.5" customHeight="1">
      <c r="A142" s="136"/>
      <c r="B142" s="1124"/>
      <c r="C142" s="760" t="s">
        <v>570</v>
      </c>
      <c r="D142" s="759"/>
      <c r="E142" s="172">
        <f t="shared" ref="E142:K142" si="27">E138+E139*(1-E140)</f>
        <v>1351.839161251459</v>
      </c>
      <c r="F142" s="172">
        <f t="shared" si="27"/>
        <v>774.00633867595513</v>
      </c>
      <c r="G142" s="172">
        <f t="shared" si="27"/>
        <v>328.70370911686996</v>
      </c>
      <c r="H142" s="172">
        <f t="shared" si="27"/>
        <v>1190.4643307939693</v>
      </c>
      <c r="I142" s="172">
        <f t="shared" si="27"/>
        <v>1208.3212957558792</v>
      </c>
      <c r="J142" s="172">
        <f t="shared" ca="1" si="27"/>
        <v>423.13649276548966</v>
      </c>
      <c r="K142" s="172">
        <f t="shared" ca="1" si="27"/>
        <v>478.32820921316232</v>
      </c>
      <c r="L142" s="136"/>
    </row>
    <row r="143" spans="1:12" ht="14.5" customHeight="1" thickBot="1">
      <c r="A143" s="136"/>
      <c r="B143" s="1124"/>
      <c r="C143" s="760" t="s">
        <v>571</v>
      </c>
      <c r="D143" s="700"/>
      <c r="E143" s="172">
        <f>1*E135+E138+E139*(1-E140)</f>
        <v>1421.8189392887139</v>
      </c>
      <c r="F143" s="172">
        <f>1*F135+F138+F139*(1-F11)</f>
        <v>847.49611671321009</v>
      </c>
      <c r="G143" s="172">
        <f>1*G135+G138+G139*(1-G11)</f>
        <v>406.48348715412482</v>
      </c>
      <c r="H143" s="172">
        <f>1*H135+H138+H139*(1-H140)</f>
        <v>1341.6463991118128</v>
      </c>
      <c r="I143" s="172">
        <f>1*I135+I138+I139*(1-I140)</f>
        <v>1449.3933017061504</v>
      </c>
      <c r="J143" s="172">
        <f ca="1">1*J135+J138+J139*(1-J140)</f>
        <v>512.75780682121172</v>
      </c>
      <c r="K143" s="172">
        <f ca="1">1*K135+K138+K139*(1-K140)</f>
        <v>552.96848963210448</v>
      </c>
      <c r="L143" s="136"/>
    </row>
    <row r="144" spans="1:12" ht="15" customHeight="1" thickBot="1">
      <c r="A144" s="136"/>
      <c r="B144" s="1125"/>
      <c r="C144" s="1077" t="s">
        <v>594</v>
      </c>
      <c r="D144" s="1078"/>
      <c r="E144" s="292">
        <f t="shared" ref="E144:K144" si="28">E143*$K$8</f>
        <v>213272.84089330709</v>
      </c>
      <c r="F144" s="339">
        <f t="shared" si="28"/>
        <v>127124.41750698151</v>
      </c>
      <c r="G144" s="339">
        <f t="shared" si="28"/>
        <v>60972.523073118726</v>
      </c>
      <c r="H144" s="340">
        <f t="shared" si="28"/>
        <v>201246.95986677191</v>
      </c>
      <c r="I144" s="340">
        <f t="shared" si="28"/>
        <v>217408.99525592255</v>
      </c>
      <c r="J144" s="341">
        <f t="shared" ca="1" si="28"/>
        <v>76913.671023181756</v>
      </c>
      <c r="K144" s="342">
        <f t="shared" ca="1" si="28"/>
        <v>82945.27344481567</v>
      </c>
      <c r="L144" s="136"/>
    </row>
    <row r="145" spans="1:13" ht="16" customHeight="1">
      <c r="A145" s="136"/>
      <c r="B145" s="138"/>
      <c r="C145" s="138"/>
      <c r="D145" s="138"/>
      <c r="E145" s="147">
        <f t="shared" ref="E145:K145" si="29">$K$8*E142</f>
        <v>202775.87418771884</v>
      </c>
      <c r="F145" s="147">
        <f t="shared" si="29"/>
        <v>116100.95080139326</v>
      </c>
      <c r="G145" s="147">
        <f t="shared" si="29"/>
        <v>49305.556367530495</v>
      </c>
      <c r="H145" s="147">
        <f t="shared" si="29"/>
        <v>178569.64961909541</v>
      </c>
      <c r="I145" s="147">
        <f t="shared" si="29"/>
        <v>181248.19436338189</v>
      </c>
      <c r="J145" s="147">
        <f t="shared" ca="1" si="29"/>
        <v>63470.473914823451</v>
      </c>
      <c r="K145" s="147">
        <f t="shared" ca="1" si="29"/>
        <v>71749.231381974343</v>
      </c>
      <c r="L145" s="136"/>
    </row>
    <row r="146" spans="1:13" ht="15" thickBot="1">
      <c r="A146" s="136"/>
      <c r="B146" s="138"/>
      <c r="C146" s="138"/>
      <c r="D146" s="138"/>
      <c r="E146" s="147"/>
      <c r="F146" s="147"/>
      <c r="G146" s="147"/>
      <c r="H146" s="147"/>
      <c r="I146" s="147"/>
      <c r="J146" s="147"/>
      <c r="K146" s="147"/>
      <c r="L146" s="136"/>
    </row>
    <row r="147" spans="1:13" ht="21.5" thickBot="1">
      <c r="A147" s="136"/>
      <c r="B147" s="951" t="s">
        <v>432</v>
      </c>
      <c r="C147" s="692"/>
      <c r="D147" s="692"/>
      <c r="E147" s="282">
        <f ca="1">E59+E73+E86+E120+E130+E144</f>
        <v>791285.08901981416</v>
      </c>
      <c r="F147" s="282">
        <f t="shared" ref="F147:K147" si="30">F59+F73+F86+F120+F130+F144</f>
        <v>782816.07338118821</v>
      </c>
      <c r="G147" s="282">
        <f t="shared" si="30"/>
        <v>807434.49191240594</v>
      </c>
      <c r="H147" s="282">
        <f t="shared" si="30"/>
        <v>1043357.7557138042</v>
      </c>
      <c r="I147" s="282">
        <f t="shared" si="30"/>
        <v>1036469.6538827233</v>
      </c>
      <c r="J147" s="282">
        <f t="shared" ca="1" si="30"/>
        <v>883039.55950637511</v>
      </c>
      <c r="K147" s="282">
        <f t="shared" ca="1" si="30"/>
        <v>902961.84350619954</v>
      </c>
      <c r="L147" s="136"/>
    </row>
    <row r="148" spans="1:13" ht="21.65" customHeight="1" thickBot="1">
      <c r="A148" s="136"/>
      <c r="L148" s="136"/>
    </row>
    <row r="149" spans="1:13" ht="21.5" thickBot="1">
      <c r="A149" s="136"/>
      <c r="B149" s="951" t="s">
        <v>433</v>
      </c>
      <c r="C149" s="692"/>
      <c r="D149" s="692"/>
      <c r="E149" s="323">
        <f t="shared" ref="E149:K149" ca="1" si="31">E147/$E147-1</f>
        <v>0</v>
      </c>
      <c r="F149" s="323">
        <f t="shared" ca="1" si="31"/>
        <v>-1.0702862667508084E-2</v>
      </c>
      <c r="G149" s="323">
        <f t="shared" ref="G149" ca="1" si="32">G147/$E147-1</f>
        <v>2.0409082790371347E-2</v>
      </c>
      <c r="H149" s="323">
        <f t="shared" ca="1" si="31"/>
        <v>0.3185611231550427</v>
      </c>
      <c r="I149" s="323">
        <f t="shared" ca="1" si="31"/>
        <v>0.30985616722112863</v>
      </c>
      <c r="J149" s="323">
        <f t="shared" ca="1" si="31"/>
        <v>0.1159562738635953</v>
      </c>
      <c r="K149" s="323">
        <f t="shared" ca="1" si="31"/>
        <v>0.141133399372813</v>
      </c>
      <c r="L149" s="136"/>
    </row>
    <row r="150" spans="1:13" ht="21.65" customHeight="1">
      <c r="A150" s="136"/>
      <c r="B150" s="344"/>
      <c r="C150" s="344"/>
      <c r="D150" s="345"/>
      <c r="E150" s="344"/>
      <c r="F150" s="273"/>
      <c r="G150" s="273"/>
      <c r="H150" s="273"/>
      <c r="I150" s="273"/>
      <c r="J150" s="273"/>
      <c r="K150" s="273"/>
      <c r="L150" s="136"/>
    </row>
    <row r="151" spans="1:13" ht="21.65" customHeight="1">
      <c r="A151" s="136"/>
      <c r="B151" s="344"/>
      <c r="C151" s="344"/>
      <c r="D151" s="345"/>
      <c r="E151" s="344"/>
      <c r="F151" s="273"/>
      <c r="G151" s="273"/>
      <c r="H151" s="273"/>
      <c r="I151" s="615"/>
      <c r="J151" s="615"/>
      <c r="K151" s="615"/>
      <c r="L151" s="136"/>
    </row>
    <row r="152" spans="1:13">
      <c r="A152" s="136"/>
      <c r="B152" s="344"/>
      <c r="C152" s="344"/>
      <c r="D152" s="345"/>
      <c r="E152" s="615"/>
      <c r="F152" s="615"/>
      <c r="G152" s="615"/>
      <c r="H152" s="615"/>
      <c r="I152" s="273"/>
      <c r="J152" s="273"/>
      <c r="K152" s="273"/>
      <c r="L152" s="615"/>
      <c r="M152" s="136"/>
    </row>
    <row r="153" spans="1:13">
      <c r="A153" s="136"/>
      <c r="I153" s="135"/>
      <c r="L153" s="273"/>
      <c r="M153" s="136"/>
    </row>
    <row r="159" spans="1:13">
      <c r="E159" s="108" t="s">
        <v>727</v>
      </c>
    </row>
  </sheetData>
  <dataConsolidate/>
  <mergeCells count="47">
    <mergeCell ref="B133:B144"/>
    <mergeCell ref="E10:E11"/>
    <mergeCell ref="C13:C14"/>
    <mergeCell ref="C123:C125"/>
    <mergeCell ref="C62:D62"/>
    <mergeCell ref="C114:C119"/>
    <mergeCell ref="C26:C30"/>
    <mergeCell ref="C49:C53"/>
    <mergeCell ref="B89:B120"/>
    <mergeCell ref="C64:D64"/>
    <mergeCell ref="C65:D65"/>
    <mergeCell ref="C71:D71"/>
    <mergeCell ref="C120:D120"/>
    <mergeCell ref="B13:B59"/>
    <mergeCell ref="C39:C48"/>
    <mergeCell ref="C59:D59"/>
    <mergeCell ref="C144:D144"/>
    <mergeCell ref="C63:D63"/>
    <mergeCell ref="C133:C135"/>
    <mergeCell ref="C66:D66"/>
    <mergeCell ref="C99:C113"/>
    <mergeCell ref="C136:C139"/>
    <mergeCell ref="C76:C77"/>
    <mergeCell ref="C78:C82"/>
    <mergeCell ref="C83:C85"/>
    <mergeCell ref="C86:D86"/>
    <mergeCell ref="C68:D68"/>
    <mergeCell ref="C69:D69"/>
    <mergeCell ref="C70:D70"/>
    <mergeCell ref="C73:D73"/>
    <mergeCell ref="C67:D67"/>
    <mergeCell ref="A1:A3"/>
    <mergeCell ref="A7:A8"/>
    <mergeCell ref="O12:R12"/>
    <mergeCell ref="C126:C129"/>
    <mergeCell ref="B123:B130"/>
    <mergeCell ref="C89:C98"/>
    <mergeCell ref="C130:D130"/>
    <mergeCell ref="C54:C58"/>
    <mergeCell ref="C31:C38"/>
    <mergeCell ref="H10:I10"/>
    <mergeCell ref="B62:B73"/>
    <mergeCell ref="B76:B86"/>
    <mergeCell ref="C23:C25"/>
    <mergeCell ref="D10:D11"/>
    <mergeCell ref="C15:C17"/>
    <mergeCell ref="C18:C22"/>
  </mergeCells>
  <phoneticPr fontId="22" type="noConversion"/>
  <conditionalFormatting sqref="B3:P3">
    <cfRule type="cellIs" dxfId="4" priority="3" operator="equal">
      <formula>"Manual Input"</formula>
    </cfRule>
    <cfRule type="cellIs" dxfId="3" priority="4" operator="equal">
      <formula>"Lookup Table"</formula>
    </cfRule>
  </conditionalFormatting>
  <conditionalFormatting sqref="B8:P8">
    <cfRule type="expression" dxfId="2" priority="2">
      <formula>B3&lt;&gt;"Manual Input"</formula>
    </cfRule>
  </conditionalFormatting>
  <dataValidations count="1">
    <dataValidation type="list" allowBlank="1" showInputMessage="1" showErrorMessage="1" sqref="A1 J3:P3 D3:H3" xr:uid="{00000000-0002-0000-0300-000001000000}">
      <formula1>"Manual Input, Lookup Table"</formula1>
    </dataValidation>
  </dataValidations>
  <pageMargins left="0.7" right="0.7" top="0.75" bottom="0.75" header="0.3" footer="0.3"/>
  <pageSetup paperSize="9" orientation="portrait" horizontalDpi="4294967293" r:id="rId1"/>
  <headerFooter>
    <oddHeader>&amp;C&amp;G</oddHeader>
    <oddFooter>&amp;C&amp;1#&amp;"Calibri"&amp;14&amp;K008000Classification: General Use</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11" r:id="rId5" name="Button 87">
              <controlPr defaultSize="0" print="0" autoFill="0" autoPict="0" macro="[0]!Module3.Reference">
                <anchor moveWithCells="1" sizeWithCells="1">
                  <from>
                    <xdr:col>16</xdr:col>
                    <xdr:colOff>584200</xdr:colOff>
                    <xdr:row>0</xdr:row>
                    <xdr:rowOff>69850</xdr:rowOff>
                  </from>
                  <to>
                    <xdr:col>17</xdr:col>
                    <xdr:colOff>679450</xdr:colOff>
                    <xdr:row>1</xdr:row>
                    <xdr:rowOff>57150</xdr:rowOff>
                  </to>
                </anchor>
              </controlPr>
            </control>
          </mc:Choice>
        </mc:AlternateContent>
        <mc:AlternateContent xmlns:mc="http://schemas.openxmlformats.org/markup-compatibility/2006">
          <mc:Choice Requires="x14">
            <control shapeId="1232" r:id="rId6" name="Button 208">
              <controlPr defaultSize="0" print="0" autoFill="0" autoPict="0" macro="[0]!Breakeven_Carbon_Price_V1">
                <anchor moveWithCells="1" sizeWithCells="1">
                  <from>
                    <xdr:col>11</xdr:col>
                    <xdr:colOff>1104900</xdr:colOff>
                    <xdr:row>12</xdr:row>
                    <xdr:rowOff>57150</xdr:rowOff>
                  </from>
                  <to>
                    <xdr:col>12</xdr:col>
                    <xdr:colOff>889000</xdr:colOff>
                    <xdr:row>15</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300-000002000000}">
          <x14:formula1>
            <xm:f>'H2 FCV'!$C$70:$C$74</xm:f>
          </x14:formula1>
          <xm:sqref>K12</xm:sqref>
        </x14:dataValidation>
        <x14:dataValidation type="list" allowBlank="1" showInputMessage="1" showErrorMessage="1" xr:uid="{00000000-0002-0000-0300-000003000000}">
          <x14:formula1>
            <xm:f>'GHG Electricity'!$B$3:$B$9</xm:f>
          </x14:formula1>
          <xm:sqref>V18</xm:sqref>
        </x14:dataValidation>
        <x14:dataValidation type="list" allowBlank="1" showInputMessage="1" showErrorMessage="1" xr:uid="{00000000-0002-0000-0300-000006000000}">
          <x14:formula1>
            <xm:f>'GHG Battery '!$D$17:$D$22</xm:f>
          </x14:formula1>
          <xm:sqref>H39:K39</xm:sqref>
        </x14:dataValidation>
        <x14:dataValidation type="list" allowBlank="1" showInputMessage="1" showErrorMessage="1" xr:uid="{00000000-0002-0000-0300-000007000000}">
          <x14:formula1>
            <xm:f>'GHG Battery '!$D$17:$D$24</xm:f>
          </x14:formula1>
          <xm:sqref>E49:J49</xm:sqref>
        </x14:dataValidation>
        <x14:dataValidation type="list" allowBlank="1" showInputMessage="1" showErrorMessage="1" xr:uid="{AAE82E0F-0594-4A89-A37C-88D68E72C70C}">
          <x14:formula1>
            <xm:f>'GHG FE &amp; Fuel '!$L$27:$L$36</xm:f>
          </x14:formula1>
          <xm:sqref>E12:G12</xm:sqref>
        </x14:dataValidation>
        <x14:dataValidation type="list" allowBlank="1" showInputMessage="1" showErrorMessage="1" xr:uid="{27E16676-1609-400A-B6CC-E78981CC665D}">
          <x14:formula1>
            <xm:f>'H2 FCV'!$C$33:$C$74</xm:f>
          </x14:formula1>
          <xm:sqref>J12</xm:sqref>
        </x14:dataValidation>
        <x14:dataValidation type="list" allowBlank="1" showInputMessage="1" showErrorMessage="1" xr:uid="{82BDBBFD-DDB0-48CA-B6A2-84D3E550E78F}">
          <x14:formula1>
            <xm:f>'GHG Electricity'!$B$3:$B$20</xm:f>
          </x14:formula1>
          <xm:sqref>H12:I12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85799-652C-4B21-B307-9979E3E2EF62}">
  <sheetPr codeName="Sheet18">
    <tabColor rgb="FF5F6369"/>
  </sheetPr>
  <dimension ref="A1:I50"/>
  <sheetViews>
    <sheetView topLeftCell="A22" zoomScale="70" zoomScaleNormal="70" workbookViewId="0">
      <selection activeCell="K26" sqref="K26"/>
    </sheetView>
  </sheetViews>
  <sheetFormatPr defaultRowHeight="14.5"/>
  <cols>
    <col min="1" max="1" width="15.453125" customWidth="1"/>
    <col min="2" max="2" width="37.1796875" style="909" bestFit="1" customWidth="1"/>
    <col min="3" max="3" width="26.453125" style="905" bestFit="1" customWidth="1"/>
    <col min="4" max="4" width="26.81640625" style="909" bestFit="1" customWidth="1"/>
    <col min="5" max="5" width="25" style="909" customWidth="1"/>
    <col min="6" max="6" width="22.453125" style="909" customWidth="1"/>
    <col min="7" max="7" width="21.453125" style="905" customWidth="1"/>
    <col min="8" max="8" width="15" style="909" bestFit="1" customWidth="1"/>
    <col min="9" max="9" width="15" style="905" bestFit="1" customWidth="1"/>
  </cols>
  <sheetData>
    <row r="1" spans="1:9" ht="39" customHeight="1" thickBot="1">
      <c r="B1" s="1097" t="s">
        <v>683</v>
      </c>
      <c r="C1" s="939" t="s">
        <v>267</v>
      </c>
      <c r="D1" s="918" t="s">
        <v>702</v>
      </c>
      <c r="E1" s="918" t="s">
        <v>703</v>
      </c>
      <c r="F1" s="927" t="s">
        <v>523</v>
      </c>
      <c r="G1" s="927" t="s">
        <v>704</v>
      </c>
      <c r="H1" s="976" t="s">
        <v>414</v>
      </c>
      <c r="I1" s="916" t="s">
        <v>413</v>
      </c>
    </row>
    <row r="2" spans="1:9" ht="42.65" customHeight="1" thickBot="1">
      <c r="B2" s="1098"/>
      <c r="C2" s="930" t="s">
        <v>700</v>
      </c>
      <c r="D2" s="908">
        <v>0.5</v>
      </c>
      <c r="E2" s="908">
        <v>0.9</v>
      </c>
      <c r="F2" s="912" t="s">
        <v>522</v>
      </c>
      <c r="G2" s="904" t="s">
        <v>416</v>
      </c>
      <c r="H2" s="914" t="s">
        <v>417</v>
      </c>
      <c r="I2" s="843" t="s">
        <v>417</v>
      </c>
    </row>
    <row r="3" spans="1:9">
      <c r="A3" s="1145" t="s">
        <v>582</v>
      </c>
      <c r="B3" s="933" t="s">
        <v>577</v>
      </c>
      <c r="C3" s="931">
        <f>'TCO Calculation'!E135</f>
        <v>69.979778037254874</v>
      </c>
      <c r="D3" s="910">
        <f>$C3+1.9*('TCO Calculation'!F16-'TCO Calculation'!$E16)/1000</f>
        <v>69.979778037254874</v>
      </c>
      <c r="E3" s="910">
        <f>$C3+1.9*('TCO Calculation'!G16-'TCO Calculation'!$E16)/1000</f>
        <v>69.979778037254874</v>
      </c>
      <c r="F3" s="913">
        <f>$C3+1.9*('TCO Calculation'!H16-'TCO Calculation'!$E16)/1000</f>
        <v>67.414778037254877</v>
      </c>
      <c r="G3" s="906">
        <f>$C3+1.9*('TCO Calculation'!I16-'TCO Calculation'!$E16)/1000</f>
        <v>67.414778037254877</v>
      </c>
      <c r="H3" s="915">
        <f>$C3+1.9*('TCO Calculation'!J16-'TCO Calculation'!$E16)/1000</f>
        <v>67.414778037254877</v>
      </c>
      <c r="I3" s="338">
        <f>$C3+1.9*('TCO Calculation'!K16-'TCO Calculation'!$E16)/1000</f>
        <v>69.723278037254872</v>
      </c>
    </row>
    <row r="4" spans="1:9">
      <c r="A4" s="1145"/>
      <c r="B4" s="933" t="s">
        <v>731</v>
      </c>
      <c r="C4" s="931">
        <f>'TCO Calculation'!E135-'GHG Emissions'!C3</f>
        <v>0</v>
      </c>
      <c r="D4" s="910">
        <f>'TCO Calculation'!F135-'GHG Emissions'!D3</f>
        <v>3.5100000000000051</v>
      </c>
      <c r="E4" s="910">
        <f>'TCO Calculation'!G135-'GHG Emissions'!E3</f>
        <v>7.8000000000000114</v>
      </c>
      <c r="F4" s="913">
        <f>'TCO Calculation'!H135-'GHG Emissions'!F3</f>
        <v>83.767290280588583</v>
      </c>
      <c r="G4" s="906">
        <f>'TCO Calculation'!I135-'GHG Emissions'!G3</f>
        <v>173.65722791301638</v>
      </c>
      <c r="H4" s="915">
        <f>'TCO Calculation'!J135-'GHG Emissions'!H3</f>
        <v>22.206536018467148</v>
      </c>
      <c r="I4" s="338">
        <f>'TCO Calculation'!K135-'GHG Emissions'!I3</f>
        <v>4.9170023816872543</v>
      </c>
    </row>
    <row r="5" spans="1:9" ht="14.5" customHeight="1">
      <c r="A5" s="1145" t="s">
        <v>581</v>
      </c>
      <c r="B5" s="934" t="s">
        <v>577</v>
      </c>
      <c r="C5" s="931">
        <f>C3/'TCO Calculation'!$C$2*1000000</f>
        <v>69.979778037254874</v>
      </c>
      <c r="D5" s="910">
        <f>D3/'TCO Calculation'!$C$2*1000000</f>
        <v>69.979778037254874</v>
      </c>
      <c r="E5" s="910">
        <f>E3/'TCO Calculation'!$C$2*1000000</f>
        <v>69.979778037254874</v>
      </c>
      <c r="F5" s="913">
        <f>F3/'TCO Calculation'!$C$2*1000000</f>
        <v>67.414778037254877</v>
      </c>
      <c r="G5" s="906">
        <f>G3/'TCO Calculation'!$C$2*1000000</f>
        <v>67.414778037254877</v>
      </c>
      <c r="H5" s="915">
        <f>H3/'TCO Calculation'!$C$2*1000000</f>
        <v>67.414778037254877</v>
      </c>
      <c r="I5" s="338">
        <f>I3/'TCO Calculation'!$C$2*1000000</f>
        <v>69.723278037254872</v>
      </c>
    </row>
    <row r="6" spans="1:9">
      <c r="A6" s="1145"/>
      <c r="B6" s="933" t="s">
        <v>580</v>
      </c>
      <c r="C6" s="931">
        <f>C4/'TCO Calculation'!$C$2*1000000</f>
        <v>0</v>
      </c>
      <c r="D6" s="910">
        <f>D4/'TCO Calculation'!$C$2*1000000</f>
        <v>3.5100000000000051</v>
      </c>
      <c r="E6" s="910">
        <f>E4/'TCO Calculation'!$C$2*1000000</f>
        <v>7.8000000000000114</v>
      </c>
      <c r="F6" s="913">
        <f>F4/'TCO Calculation'!$C$2*1000000</f>
        <v>83.767290280588583</v>
      </c>
      <c r="G6" s="906">
        <f>G4/'TCO Calculation'!$C$2*1000000</f>
        <v>173.65722791301638</v>
      </c>
      <c r="H6" s="915">
        <f>H4/'TCO Calculation'!$C$2*1000000</f>
        <v>22.206536018467148</v>
      </c>
      <c r="I6" s="338">
        <f>I4/'TCO Calculation'!$C$2*1000000</f>
        <v>4.9170023816872543</v>
      </c>
    </row>
    <row r="7" spans="1:9" ht="15" thickBot="1"/>
    <row r="8" spans="1:9" ht="29.5" thickBot="1">
      <c r="A8" s="958" t="s">
        <v>707</v>
      </c>
      <c r="B8" s="959" t="s">
        <v>185</v>
      </c>
      <c r="C8" s="960" t="s">
        <v>692</v>
      </c>
      <c r="D8" s="961" t="str">
        <f>C8</f>
        <v>K.S.A. ULSDiesel</v>
      </c>
      <c r="E8" s="961" t="str">
        <f>D8</f>
        <v>K.S.A. ULSDiesel</v>
      </c>
      <c r="F8" s="962" t="s">
        <v>709</v>
      </c>
      <c r="G8" s="963" t="str">
        <f>F8</f>
        <v>K.S.A. Petroleum</v>
      </c>
      <c r="H8" s="964" t="s">
        <v>722</v>
      </c>
      <c r="I8" s="965" t="str">
        <f>H8</f>
        <v>K.S.A. SMR w/o CC</v>
      </c>
    </row>
    <row r="9" spans="1:9">
      <c r="A9" s="1146" t="s">
        <v>701</v>
      </c>
      <c r="B9" s="952" t="s">
        <v>698</v>
      </c>
      <c r="C9" s="953">
        <f>VLOOKUP(C8, 'GHG FE &amp; Fuel '!$L$27:$N$36, 2, FALSE)</f>
        <v>1228.121015942819</v>
      </c>
      <c r="D9" s="954">
        <f>VLOOKUP(D8, 'GHG FE &amp; Fuel '!$L$27:$N$36, 2, FALSE)</f>
        <v>1228.121015942819</v>
      </c>
      <c r="E9" s="954">
        <f>VLOOKUP(E8, 'GHG FE &amp; Fuel '!$L$27:$N$36, 2, FALSE)</f>
        <v>1228.121015942819</v>
      </c>
      <c r="F9" s="955">
        <f>VLOOKUP(F8,'GHG Electricity'!$B$3:$C$14,2,FALSE)</f>
        <v>910</v>
      </c>
      <c r="G9" s="955">
        <f>VLOOKUP(G8,'GHG Electricity'!$B$3:$C$14,2,FALSE)</f>
        <v>910</v>
      </c>
      <c r="H9" s="956">
        <f>VLOOKUP(H8, 'H2 FCV'!$C$70:$D$74, 2, FALSE)*1000</f>
        <v>9140</v>
      </c>
      <c r="I9" s="957">
        <f>VLOOKUP(I8, 'H2 FCV'!$C$70:$D$74, 2, FALSE)*1000</f>
        <v>9140</v>
      </c>
    </row>
    <row r="10" spans="1:9" ht="15" thickBot="1">
      <c r="A10" s="1147"/>
      <c r="B10" s="920" t="s">
        <v>699</v>
      </c>
      <c r="C10" s="932">
        <f>VLOOKUP(C8, 'GHG FE &amp; Fuel '!$L$27:$N$36, 3, FALSE)</f>
        <v>10245.994486700643</v>
      </c>
      <c r="D10" s="921">
        <f>VLOOKUP(D8, 'GHG FE &amp; Fuel '!$L$27:$N$36, 3, FALSE)</f>
        <v>10245.994486700643</v>
      </c>
      <c r="E10" s="921">
        <f>VLOOKUP(E8, 'GHG FE &amp; Fuel '!$L$27:$N$36, 3, FALSE)</f>
        <v>10245.994486700643</v>
      </c>
      <c r="F10" s="922"/>
      <c r="G10" s="923"/>
      <c r="H10" s="924"/>
      <c r="I10" s="925"/>
    </row>
    <row r="11" spans="1:9">
      <c r="A11" s="1145" t="s">
        <v>581</v>
      </c>
      <c r="B11" s="935" t="str">
        <f t="shared" ref="B11:I12" si="0">B3</f>
        <v>Vehicle Base</v>
      </c>
      <c r="C11" s="931">
        <f t="shared" si="0"/>
        <v>69.979778037254874</v>
      </c>
      <c r="D11" s="910">
        <f t="shared" si="0"/>
        <v>69.979778037254874</v>
      </c>
      <c r="E11" s="910">
        <f t="shared" si="0"/>
        <v>69.979778037254874</v>
      </c>
      <c r="F11" s="913">
        <f t="shared" si="0"/>
        <v>67.414778037254877</v>
      </c>
      <c r="G11" s="906">
        <f t="shared" si="0"/>
        <v>67.414778037254877</v>
      </c>
      <c r="H11" s="915">
        <f t="shared" si="0"/>
        <v>67.414778037254877</v>
      </c>
      <c r="I11" s="338">
        <f t="shared" si="0"/>
        <v>69.723278037254872</v>
      </c>
    </row>
    <row r="12" spans="1:9">
      <c r="A12" s="1145"/>
      <c r="B12" s="936" t="str">
        <f t="shared" si="0"/>
        <v>Addition Technology</v>
      </c>
      <c r="C12" s="931">
        <f t="shared" si="0"/>
        <v>0</v>
      </c>
      <c r="D12" s="910">
        <f t="shared" si="0"/>
        <v>3.5100000000000051</v>
      </c>
      <c r="E12" s="910">
        <f t="shared" si="0"/>
        <v>7.8000000000000114</v>
      </c>
      <c r="F12" s="913">
        <f t="shared" si="0"/>
        <v>83.767290280588583</v>
      </c>
      <c r="G12" s="906">
        <f t="shared" si="0"/>
        <v>173.65722791301638</v>
      </c>
      <c r="H12" s="915">
        <f t="shared" si="0"/>
        <v>22.206536018467148</v>
      </c>
      <c r="I12" s="338">
        <f t="shared" si="0"/>
        <v>4.9170023816872543</v>
      </c>
    </row>
    <row r="13" spans="1:9" ht="14.5" customHeight="1">
      <c r="A13" s="1145"/>
      <c r="B13" s="917" t="s">
        <v>579</v>
      </c>
      <c r="C13" s="931">
        <f>C9*'TCO Calculation'!E$69/'TCO Calculation'!$C$2</f>
        <v>144.69281608024079</v>
      </c>
      <c r="D13" s="910">
        <f>D9*'TCO Calculation'!F$69/'TCO Calculation'!$C$2</f>
        <v>149.67024895340106</v>
      </c>
      <c r="E13" s="910">
        <f>E9*'TCO Calculation'!G$69/'TCO Calculation'!$C$2</f>
        <v>179.20018907190715</v>
      </c>
      <c r="F13" s="913">
        <f>F9*'TCO Calculation'!H$69/'TCO Calculation'!$C$2</f>
        <v>1979.0646801089063</v>
      </c>
      <c r="G13" s="906">
        <f>G9*'TCO Calculation'!I$69/'TCO Calculation'!$C$2</f>
        <v>2008.7506503105401</v>
      </c>
      <c r="H13" s="915">
        <f>H9*'TCO Calculation'!J$69/'TCO Calculation'!$C$2</f>
        <v>943.28476679916469</v>
      </c>
      <c r="I13" s="338">
        <f>I9*'TCO Calculation'!K$69/'TCO Calculation'!$C$2</f>
        <v>1066.3219102947082</v>
      </c>
    </row>
    <row r="14" spans="1:9">
      <c r="A14" s="1145"/>
      <c r="B14" s="917" t="s">
        <v>730</v>
      </c>
      <c r="C14" s="931">
        <f>C10*'TCO Calculation'!E$69/'TCO Calculation'!$C$2</f>
        <v>1207.1463451712182</v>
      </c>
      <c r="D14" s="910">
        <f>(1-D$2)*D10*'TCO Calculation'!F$69/'TCO Calculation'!$C$2</f>
        <v>624.33608972255411</v>
      </c>
      <c r="E14" s="910">
        <f>(1-E$2)*E10*'TCO Calculation'!G$69/'TCO Calculation'!$C$2</f>
        <v>149.50352004496276</v>
      </c>
      <c r="F14" s="913"/>
      <c r="G14" s="906"/>
      <c r="H14" s="915"/>
      <c r="I14" s="338"/>
    </row>
    <row r="15" spans="1:9">
      <c r="A15" s="452"/>
      <c r="B15" s="940" t="s">
        <v>110</v>
      </c>
      <c r="C15" s="941">
        <f t="shared" ref="C15:I15" si="1">SUM(C11:C14)</f>
        <v>1421.8189392887139</v>
      </c>
      <c r="D15" s="942">
        <f t="shared" si="1"/>
        <v>847.49611671321009</v>
      </c>
      <c r="E15" s="942">
        <f t="shared" si="1"/>
        <v>406.48348715412476</v>
      </c>
      <c r="F15" s="942">
        <f t="shared" si="1"/>
        <v>2130.2467484267499</v>
      </c>
      <c r="G15" s="941">
        <f t="shared" si="1"/>
        <v>2249.8226562608115</v>
      </c>
      <c r="H15" s="942">
        <f t="shared" si="1"/>
        <v>1032.9060808548868</v>
      </c>
      <c r="I15" s="941">
        <f t="shared" si="1"/>
        <v>1140.9621907136504</v>
      </c>
    </row>
    <row r="16" spans="1:9" ht="15" thickBot="1">
      <c r="B16" s="909" t="s">
        <v>705</v>
      </c>
      <c r="D16" s="911">
        <f>(D15/$C15-1)</f>
        <v>-0.40393527382805672</v>
      </c>
      <c r="E16" s="911">
        <f t="shared" ref="E16:I16" si="2">(E15/$C15-1)</f>
        <v>-0.71411023167445342</v>
      </c>
      <c r="F16" s="911">
        <f t="shared" si="2"/>
        <v>0.4982545875302784</v>
      </c>
      <c r="G16" s="907">
        <f t="shared" si="2"/>
        <v>0.58235524516667292</v>
      </c>
      <c r="H16" s="911">
        <f t="shared" si="2"/>
        <v>-0.27353191583478731</v>
      </c>
      <c r="I16" s="907">
        <f t="shared" si="2"/>
        <v>-0.1975334135832838</v>
      </c>
    </row>
    <row r="17" spans="1:9" ht="29.5" thickBot="1">
      <c r="A17" s="958" t="s">
        <v>708</v>
      </c>
      <c r="B17" s="959" t="s">
        <v>185</v>
      </c>
      <c r="C17" s="960" t="s">
        <v>692</v>
      </c>
      <c r="D17" s="961" t="s">
        <v>692</v>
      </c>
      <c r="E17" s="961" t="str">
        <f>D17</f>
        <v>K.S.A. ULSDiesel</v>
      </c>
      <c r="F17" s="962" t="s">
        <v>717</v>
      </c>
      <c r="G17" s="963" t="str">
        <f>F17</f>
        <v>K.S.A. Transportation Use: K.S.A. Mix</v>
      </c>
      <c r="H17" s="964" t="s">
        <v>723</v>
      </c>
      <c r="I17" s="965" t="str">
        <f>H17</f>
        <v>K.S.A. SMR w 95% CC</v>
      </c>
    </row>
    <row r="18" spans="1:9">
      <c r="A18" s="1146" t="s">
        <v>701</v>
      </c>
      <c r="B18" s="952" t="s">
        <v>698</v>
      </c>
      <c r="C18" s="953">
        <f>VLOOKUP(C17, 'GHG FE &amp; Fuel '!$L$27:$N$36, 2, FALSE)</f>
        <v>1228.121015942819</v>
      </c>
      <c r="D18" s="954">
        <f>VLOOKUP(D17, 'GHG FE &amp; Fuel '!$L$27:$N$36, 2, FALSE)</f>
        <v>1228.121015942819</v>
      </c>
      <c r="E18" s="954">
        <f>VLOOKUP(E17, 'GHG FE &amp; Fuel '!$L$27:$N$36, 2, FALSE)</f>
        <v>1228.121015942819</v>
      </c>
      <c r="F18" s="955">
        <f>VLOOKUP(F17,'GHG Electricity'!$B$3:$C$14,2,FALSE)</f>
        <v>547.39117519034187</v>
      </c>
      <c r="G18" s="955">
        <f>VLOOKUP(G17,'GHG Electricity'!$B$3:$C$14,2,FALSE)</f>
        <v>547.39117519034187</v>
      </c>
      <c r="H18" s="955">
        <f>0.8*H9+0.2*H27</f>
        <v>7512</v>
      </c>
      <c r="I18" s="955">
        <f>H18</f>
        <v>7512</v>
      </c>
    </row>
    <row r="19" spans="1:9" ht="15" customHeight="1" thickBot="1">
      <c r="A19" s="1147"/>
      <c r="B19" s="920" t="s">
        <v>699</v>
      </c>
      <c r="C19" s="932">
        <f>VLOOKUP(C17, 'GHG FE &amp; Fuel '!$L$27:$N$36, 3, FALSE)</f>
        <v>10245.994486700643</v>
      </c>
      <c r="D19" s="921">
        <f>VLOOKUP(D17, 'GHG FE &amp; Fuel '!$L$27:$N$36, 3, FALSE)</f>
        <v>10245.994486700643</v>
      </c>
      <c r="E19" s="921">
        <f>VLOOKUP(E17, 'GHG FE &amp; Fuel '!$L$27:$N$36, 3, FALSE)</f>
        <v>10245.994486700643</v>
      </c>
      <c r="F19" s="922"/>
      <c r="G19" s="923"/>
      <c r="H19" s="924"/>
      <c r="I19" s="925"/>
    </row>
    <row r="20" spans="1:9" ht="15" customHeight="1">
      <c r="A20" s="1145" t="s">
        <v>581</v>
      </c>
      <c r="B20" s="935" t="str">
        <f t="shared" ref="B20:I20" si="3">B11</f>
        <v>Vehicle Base</v>
      </c>
      <c r="C20" s="931">
        <f t="shared" si="3"/>
        <v>69.979778037254874</v>
      </c>
      <c r="D20" s="910">
        <f t="shared" si="3"/>
        <v>69.979778037254874</v>
      </c>
      <c r="E20" s="910">
        <f t="shared" si="3"/>
        <v>69.979778037254874</v>
      </c>
      <c r="F20" s="913">
        <f t="shared" si="3"/>
        <v>67.414778037254877</v>
      </c>
      <c r="G20" s="906">
        <f t="shared" si="3"/>
        <v>67.414778037254877</v>
      </c>
      <c r="H20" s="915">
        <f t="shared" si="3"/>
        <v>67.414778037254877</v>
      </c>
      <c r="I20" s="338">
        <f t="shared" si="3"/>
        <v>69.723278037254872</v>
      </c>
    </row>
    <row r="21" spans="1:9" ht="15" customHeight="1">
      <c r="A21" s="1145"/>
      <c r="B21" s="936" t="str">
        <f t="shared" ref="B21:I21" si="4">B12</f>
        <v>Addition Technology</v>
      </c>
      <c r="C21" s="931">
        <f t="shared" si="4"/>
        <v>0</v>
      </c>
      <c r="D21" s="910">
        <f t="shared" si="4"/>
        <v>3.5100000000000051</v>
      </c>
      <c r="E21" s="910">
        <f t="shared" si="4"/>
        <v>7.8000000000000114</v>
      </c>
      <c r="F21" s="913">
        <f t="shared" si="4"/>
        <v>83.767290280588583</v>
      </c>
      <c r="G21" s="906">
        <f t="shared" si="4"/>
        <v>173.65722791301638</v>
      </c>
      <c r="H21" s="915">
        <f t="shared" si="4"/>
        <v>22.206536018467148</v>
      </c>
      <c r="I21" s="338">
        <f t="shared" si="4"/>
        <v>4.9170023816872543</v>
      </c>
    </row>
    <row r="22" spans="1:9" ht="14.5" customHeight="1">
      <c r="A22" s="1145"/>
      <c r="B22" s="917" t="s">
        <v>579</v>
      </c>
      <c r="C22" s="931">
        <f>C18*'TCO Calculation'!E$69/'TCO Calculation'!$C$2</f>
        <v>144.69281608024079</v>
      </c>
      <c r="D22" s="910">
        <f>D18*'TCO Calculation'!F$69/'TCO Calculation'!$C$2</f>
        <v>149.67024895340106</v>
      </c>
      <c r="E22" s="910">
        <f>E18*'TCO Calculation'!G$69/'TCO Calculation'!$C$2</f>
        <v>179.20018907190715</v>
      </c>
      <c r="F22" s="913">
        <f>F18*'TCO Calculation'!H$69/'TCO Calculation'!$C$2</f>
        <v>1190.4643307939693</v>
      </c>
      <c r="G22" s="906">
        <f>G18*'TCO Calculation'!I$69/'TCO Calculation'!$C$2</f>
        <v>1208.3212957558792</v>
      </c>
      <c r="H22" s="915">
        <f>H18*'TCO Calculation'!J$69/'TCO Calculation'!$C$2</f>
        <v>775.26861796447758</v>
      </c>
      <c r="I22" s="338">
        <f>I18*'TCO Calculation'!K$69/'TCO Calculation'!$C$2</f>
        <v>876.39061161201835</v>
      </c>
    </row>
    <row r="23" spans="1:9">
      <c r="A23" s="1145"/>
      <c r="B23" s="917" t="s">
        <v>730</v>
      </c>
      <c r="C23" s="931">
        <f>C19*'TCO Calculation'!E$69/'TCO Calculation'!$C$2</f>
        <v>1207.1463451712182</v>
      </c>
      <c r="D23" s="910">
        <f>(1-D$2)*D19*'TCO Calculation'!F$69/'TCO Calculation'!$C$2</f>
        <v>624.33608972255411</v>
      </c>
      <c r="E23" s="910">
        <f>(1-E$2)*E19*'TCO Calculation'!G$69/'TCO Calculation'!$C$2</f>
        <v>149.50352004496276</v>
      </c>
      <c r="F23" s="913"/>
      <c r="G23" s="906"/>
      <c r="H23" s="915"/>
      <c r="I23" s="338"/>
    </row>
    <row r="24" spans="1:9" ht="14.5" customHeight="1">
      <c r="A24" s="452"/>
      <c r="B24" s="940" t="s">
        <v>110</v>
      </c>
      <c r="C24" s="941">
        <f t="shared" ref="C24:I24" si="5">SUM(C20:C23)</f>
        <v>1421.8189392887139</v>
      </c>
      <c r="D24" s="942">
        <f t="shared" si="5"/>
        <v>847.49611671321009</v>
      </c>
      <c r="E24" s="942">
        <f t="shared" si="5"/>
        <v>406.48348715412476</v>
      </c>
      <c r="F24" s="942">
        <f t="shared" si="5"/>
        <v>1341.6463991118128</v>
      </c>
      <c r="G24" s="941">
        <f t="shared" si="5"/>
        <v>1449.3933017061504</v>
      </c>
      <c r="H24" s="942">
        <f t="shared" si="5"/>
        <v>864.88993202019958</v>
      </c>
      <c r="I24" s="941">
        <f t="shared" si="5"/>
        <v>951.03089203096044</v>
      </c>
    </row>
    <row r="25" spans="1:9" ht="14.5" customHeight="1" thickBot="1">
      <c r="A25" s="452"/>
      <c r="B25" s="909" t="s">
        <v>705</v>
      </c>
      <c r="C25" s="949"/>
      <c r="D25" s="950">
        <f>(D24/$C24-1)</f>
        <v>-0.40393527382805672</v>
      </c>
      <c r="E25" s="950">
        <f t="shared" ref="E25" si="6">(E24/$C24-1)</f>
        <v>-0.71411023167445342</v>
      </c>
      <c r="F25" s="950">
        <f t="shared" ref="F25" si="7">(F24/$C24-1)</f>
        <v>-5.6387306401340043E-2</v>
      </c>
      <c r="G25" s="949">
        <f t="shared" ref="G25" si="8">(G24/$C24-1)</f>
        <v>1.9393722826080095E-2</v>
      </c>
      <c r="H25" s="950">
        <f t="shared" ref="H25" si="9">(H24/$C24-1)</f>
        <v>-0.39170177853104582</v>
      </c>
      <c r="I25" s="949">
        <f t="shared" ref="I25" si="10">(I24/$C24-1)</f>
        <v>-0.33111673663122831</v>
      </c>
    </row>
    <row r="26" spans="1:9" ht="29.5" thickBot="1">
      <c r="A26" s="958" t="s">
        <v>706</v>
      </c>
      <c r="B26" s="959" t="s">
        <v>185</v>
      </c>
      <c r="C26" s="960" t="s">
        <v>690</v>
      </c>
      <c r="D26" s="961" t="s">
        <v>692</v>
      </c>
      <c r="E26" s="961" t="str">
        <f>D26</f>
        <v>K.S.A. ULSDiesel</v>
      </c>
      <c r="F26" s="962" t="s">
        <v>614</v>
      </c>
      <c r="G26" s="963" t="str">
        <f>F26</f>
        <v>K.S.A. Wind Power Plant</v>
      </c>
      <c r="H26" s="964" t="s">
        <v>725</v>
      </c>
      <c r="I26" s="965" t="str">
        <f>H26</f>
        <v>K.S.A. Wind-based (average)</v>
      </c>
    </row>
    <row r="27" spans="1:9">
      <c r="A27" s="1146" t="s">
        <v>701</v>
      </c>
      <c r="B27" s="952" t="s">
        <v>698</v>
      </c>
      <c r="C27" s="953">
        <f>VLOOKUP(C26, 'GHG FE &amp; Fuel '!$L$27:$N$36, 2, FALSE)</f>
        <v>-6545.5381931717948</v>
      </c>
      <c r="D27" s="954">
        <f>VLOOKUP(D26, 'GHG FE &amp; Fuel '!$L$27:$N$36, 2, FALSE)</f>
        <v>1228.121015942819</v>
      </c>
      <c r="E27" s="954">
        <f>VLOOKUP(E26, 'GHG FE &amp; Fuel '!$L$27:$N$36, 2, FALSE)</f>
        <v>1228.121015942819</v>
      </c>
      <c r="F27" s="955">
        <f>VLOOKUP(F26,'GHG Electricity'!$B$3:$C$14,2,FALSE)</f>
        <v>9.9600000000000009</v>
      </c>
      <c r="G27" s="955">
        <f>VLOOKUP(G26,'GHG Electricity'!$B$3:$C$14,2,FALSE)</f>
        <v>9.9600000000000009</v>
      </c>
      <c r="H27" s="956">
        <f>VLOOKUP(H26, 'H2 FCV'!$C$70:$D$74, 2, FALSE)*1000</f>
        <v>1000</v>
      </c>
      <c r="I27" s="957">
        <f>VLOOKUP(I26, 'H2 FCV'!$C$70:$D$74, 2, FALSE)*1000</f>
        <v>1000</v>
      </c>
    </row>
    <row r="28" spans="1:9" ht="15" thickBot="1">
      <c r="A28" s="1147"/>
      <c r="B28" s="920" t="s">
        <v>699</v>
      </c>
      <c r="C28" s="932">
        <f>VLOOKUP(C26, 'GHG FE &amp; Fuel '!$L$27:$N$36, 3, FALSE)</f>
        <v>9927.7492990629726</v>
      </c>
      <c r="D28" s="921">
        <f>VLOOKUP(D26, 'GHG FE &amp; Fuel '!$L$27:$N$36, 3, FALSE)</f>
        <v>10245.994486700643</v>
      </c>
      <c r="E28" s="921">
        <f>VLOOKUP(E26, 'GHG FE &amp; Fuel '!$L$27:$N$36, 3, FALSE)</f>
        <v>10245.994486700643</v>
      </c>
      <c r="F28" s="922"/>
      <c r="G28" s="923"/>
      <c r="H28" s="924"/>
      <c r="I28" s="925"/>
    </row>
    <row r="29" spans="1:9">
      <c r="A29" s="1145" t="s">
        <v>581</v>
      </c>
      <c r="B29" s="935" t="str">
        <f t="shared" ref="B29:I29" si="11">B20</f>
        <v>Vehicle Base</v>
      </c>
      <c r="C29" s="931">
        <f t="shared" si="11"/>
        <v>69.979778037254874</v>
      </c>
      <c r="D29" s="910">
        <f t="shared" si="11"/>
        <v>69.979778037254874</v>
      </c>
      <c r="E29" s="910">
        <f t="shared" si="11"/>
        <v>69.979778037254874</v>
      </c>
      <c r="F29" s="913">
        <f t="shared" si="11"/>
        <v>67.414778037254877</v>
      </c>
      <c r="G29" s="906">
        <f t="shared" si="11"/>
        <v>67.414778037254877</v>
      </c>
      <c r="H29" s="915">
        <f t="shared" si="11"/>
        <v>67.414778037254877</v>
      </c>
      <c r="I29" s="338">
        <f t="shared" si="11"/>
        <v>69.723278037254872</v>
      </c>
    </row>
    <row r="30" spans="1:9">
      <c r="A30" s="1145"/>
      <c r="B30" s="936" t="str">
        <f t="shared" ref="B30:I30" si="12">B21</f>
        <v>Addition Technology</v>
      </c>
      <c r="C30" s="931">
        <f t="shared" si="12"/>
        <v>0</v>
      </c>
      <c r="D30" s="910">
        <f t="shared" si="12"/>
        <v>3.5100000000000051</v>
      </c>
      <c r="E30" s="910">
        <f t="shared" si="12"/>
        <v>7.8000000000000114</v>
      </c>
      <c r="F30" s="913">
        <f t="shared" si="12"/>
        <v>83.767290280588583</v>
      </c>
      <c r="G30" s="906">
        <f t="shared" si="12"/>
        <v>173.65722791301638</v>
      </c>
      <c r="H30" s="915">
        <f t="shared" si="12"/>
        <v>22.206536018467148</v>
      </c>
      <c r="I30" s="338">
        <f t="shared" si="12"/>
        <v>4.9170023816872543</v>
      </c>
    </row>
    <row r="31" spans="1:9" ht="14.5" customHeight="1">
      <c r="A31" s="1145"/>
      <c r="B31" s="917" t="s">
        <v>579</v>
      </c>
      <c r="C31" s="931">
        <f>C27*'TCO Calculation'!E$69/'TCO Calculation'!$C$2</f>
        <v>-771.17184840593472</v>
      </c>
      <c r="D31" s="910">
        <f>D27*'TCO Calculation'!F$69/'TCO Calculation'!$C$2</f>
        <v>149.67024895340106</v>
      </c>
      <c r="E31" s="910">
        <f>E27*'TCO Calculation'!G$69/'TCO Calculation'!$C$2</f>
        <v>179.20018907190715</v>
      </c>
      <c r="F31" s="913">
        <f>F27*'TCO Calculation'!H$69/'TCO Calculation'!$C$2</f>
        <v>21.660971663609573</v>
      </c>
      <c r="G31" s="906">
        <f>G27*'TCO Calculation'!I$69/'TCO Calculation'!$C$2</f>
        <v>21.985886238563715</v>
      </c>
      <c r="H31" s="915">
        <f>H27*'TCO Calculation'!J$69/'TCO Calculation'!$C$2</f>
        <v>103.20402262572917</v>
      </c>
      <c r="I31" s="338">
        <f>I27*'TCO Calculation'!K$69/'TCO Calculation'!$C$2</f>
        <v>116.66541688125911</v>
      </c>
    </row>
    <row r="32" spans="1:9">
      <c r="A32" s="1145"/>
      <c r="B32" s="917" t="s">
        <v>730</v>
      </c>
      <c r="C32" s="931">
        <f>C28*'TCO Calculation'!E$69/'TCO Calculation'!$C$2</f>
        <v>1169.6518378665542</v>
      </c>
      <c r="D32" s="910">
        <f>(1-D$2)*D28*'TCO Calculation'!F$69/'TCO Calculation'!$C$2</f>
        <v>624.33608972255411</v>
      </c>
      <c r="E32" s="910">
        <f>(1-E$2)*E28*'TCO Calculation'!G$69/'TCO Calculation'!$C$2</f>
        <v>149.50352004496276</v>
      </c>
      <c r="F32" s="913"/>
      <c r="G32" s="906"/>
      <c r="H32" s="915"/>
      <c r="I32" s="338"/>
    </row>
    <row r="33" spans="1:9">
      <c r="B33" s="940" t="s">
        <v>110</v>
      </c>
      <c r="C33" s="941">
        <f>SUM(C29:C32)</f>
        <v>468.45976749787428</v>
      </c>
      <c r="D33" s="942">
        <f t="shared" ref="D33" si="13">SUM(D29:D32)</f>
        <v>847.49611671321009</v>
      </c>
      <c r="E33" s="942">
        <f t="shared" ref="E33" si="14">SUM(E29:E32)</f>
        <v>406.48348715412476</v>
      </c>
      <c r="F33" s="942">
        <f t="shared" ref="F33" si="15">SUM(F29:F32)</f>
        <v>172.84303998145305</v>
      </c>
      <c r="G33" s="941">
        <f t="shared" ref="G33" si="16">SUM(G29:G32)</f>
        <v>263.05789218883496</v>
      </c>
      <c r="H33" s="942">
        <f t="shared" ref="H33" si="17">SUM(H29:H32)</f>
        <v>192.82533668145118</v>
      </c>
      <c r="I33" s="941">
        <f t="shared" ref="I33" si="18">SUM(I29:I32)</f>
        <v>191.30569730020125</v>
      </c>
    </row>
    <row r="34" spans="1:9">
      <c r="A34" s="929"/>
      <c r="B34" s="909" t="s">
        <v>705</v>
      </c>
      <c r="D34" s="911">
        <f>(D33/$C33-1)</f>
        <v>0.80911185018050835</v>
      </c>
      <c r="E34" s="911">
        <f t="shared" ref="E34" si="19">(E33/$C33-1)</f>
        <v>-0.1322979787032208</v>
      </c>
      <c r="F34" s="911">
        <f t="shared" ref="F34" si="20">(F33/$C33-1)</f>
        <v>-0.6310397349496244</v>
      </c>
      <c r="G34" s="907">
        <f t="shared" ref="G34" si="21">(G33/$C33-1)</f>
        <v>-0.43846214671993444</v>
      </c>
      <c r="H34" s="911">
        <f t="shared" ref="H34" si="22">(H33/$C33-1)</f>
        <v>-0.5883844247471558</v>
      </c>
      <c r="I34" s="907">
        <f t="shared" ref="I34" si="23">(I33/$C33-1)</f>
        <v>-0.59162833059923481</v>
      </c>
    </row>
    <row r="35" spans="1:9" ht="14.15" customHeight="1">
      <c r="A35" s="929"/>
      <c r="B35" s="937"/>
      <c r="C35" s="928"/>
      <c r="D35" s="919"/>
      <c r="E35" s="919"/>
      <c r="F35" s="919"/>
      <c r="G35" s="928"/>
      <c r="H35" s="919"/>
      <c r="I35" s="928"/>
    </row>
    <row r="36" spans="1:9">
      <c r="A36" s="929"/>
      <c r="B36" s="937"/>
      <c r="C36" s="928"/>
      <c r="D36" s="919"/>
      <c r="E36" s="919"/>
      <c r="F36" s="919"/>
      <c r="G36" s="928"/>
      <c r="H36" s="919"/>
      <c r="I36" s="928"/>
    </row>
    <row r="37" spans="1:9">
      <c r="A37" t="s">
        <v>584</v>
      </c>
      <c r="B37" s="909" t="s">
        <v>583</v>
      </c>
      <c r="C37" s="905">
        <v>50.37757918674231</v>
      </c>
      <c r="D37" s="905">
        <v>50.37757918674231</v>
      </c>
      <c r="E37" s="905">
        <v>50.37757918674231</v>
      </c>
      <c r="F37" s="981">
        <f>F15-F24</f>
        <v>788.60034931493715</v>
      </c>
      <c r="G37" s="905">
        <f t="shared" ref="G37:I37" si="24">G15-G24</f>
        <v>800.42935455466113</v>
      </c>
      <c r="H37" s="981">
        <f t="shared" si="24"/>
        <v>168.01614883468721</v>
      </c>
      <c r="I37" s="905">
        <f t="shared" si="24"/>
        <v>189.93129868269</v>
      </c>
    </row>
    <row r="38" spans="1:9">
      <c r="B38" s="909" t="s">
        <v>586</v>
      </c>
      <c r="C38" s="905">
        <v>50.37757918674231</v>
      </c>
      <c r="D38" s="905">
        <v>50.37757918674231</v>
      </c>
      <c r="E38" s="905">
        <v>50.37757918674231</v>
      </c>
      <c r="F38" s="926">
        <f>F24-F33</f>
        <v>1168.8033591303597</v>
      </c>
      <c r="G38" s="905">
        <f t="shared" ref="G38:I38" si="25">G24-G33</f>
        <v>1186.3354095173154</v>
      </c>
      <c r="H38" s="909">
        <f t="shared" si="25"/>
        <v>672.0645953387484</v>
      </c>
      <c r="I38" s="905">
        <f t="shared" si="25"/>
        <v>759.7251947307592</v>
      </c>
    </row>
    <row r="41" spans="1:9" ht="29">
      <c r="A41" s="943" t="s">
        <v>585</v>
      </c>
      <c r="B41" s="946"/>
      <c r="C41" s="947"/>
      <c r="D41" s="948">
        <f ca="1">('Cost Summary DCF'!D14-'Cost Summary DCF'!$C14)/ABS(D33-$C24)</f>
        <v>12.683548160888549</v>
      </c>
      <c r="E41" s="948">
        <f ca="1">('Cost Summary DCF'!E14-'Cost Summary DCF'!$C14)/ABS(E33-$C24)</f>
        <v>32.852402698610142</v>
      </c>
      <c r="F41" s="948">
        <f ca="1">('Cost Summary DCF'!F14-'Cost Summary DCF'!$C14)/ABS(F33-$C24)</f>
        <v>182.82593033610001</v>
      </c>
      <c r="G41" s="947">
        <f ca="1">('Cost Summary DCF'!G14-'Cost Summary DCF'!$C14)/ABS(G33-$C24)</f>
        <v>196.96785868035516</v>
      </c>
      <c r="H41" s="948">
        <f ca="1">('Cost Summary DCF'!H14-'Cost Summary DCF'!$C14)/ABS(H33-$C24)</f>
        <v>90.695502302886098</v>
      </c>
      <c r="I41" s="947">
        <f ca="1">('Cost Summary DCF'!I14-'Cost Summary DCF'!$C14)/ABS(I33-$C24)</f>
        <v>92.002920573355951</v>
      </c>
    </row>
    <row r="42" spans="1:9">
      <c r="A42" s="938"/>
      <c r="B42" s="944"/>
      <c r="C42" s="945"/>
      <c r="D42" s="944"/>
      <c r="E42" s="944"/>
      <c r="F42" s="944"/>
      <c r="G42" s="945"/>
      <c r="H42" s="944"/>
      <c r="I42" s="945"/>
    </row>
    <row r="49" spans="3:9" ht="15" thickBot="1"/>
    <row r="50" spans="3:9" ht="27" customHeight="1" thickBot="1">
      <c r="C50" s="939" t="s">
        <v>267</v>
      </c>
      <c r="D50" s="918" t="s">
        <v>702</v>
      </c>
      <c r="E50" s="918" t="s">
        <v>703</v>
      </c>
      <c r="F50" s="927" t="s">
        <v>523</v>
      </c>
      <c r="G50" s="927" t="s">
        <v>258</v>
      </c>
      <c r="H50" s="976" t="s">
        <v>414</v>
      </c>
      <c r="I50" s="916" t="s">
        <v>413</v>
      </c>
    </row>
  </sheetData>
  <mergeCells count="9">
    <mergeCell ref="A29:A32"/>
    <mergeCell ref="B1:B2"/>
    <mergeCell ref="A5:A6"/>
    <mergeCell ref="A3:A4"/>
    <mergeCell ref="A9:A10"/>
    <mergeCell ref="A18:A19"/>
    <mergeCell ref="A27:A28"/>
    <mergeCell ref="A11:A14"/>
    <mergeCell ref="A20:A23"/>
  </mergeCells>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9A33903-C624-45D2-9707-97ACC30228E9}">
          <x14:formula1>
            <xm:f>'GHG FE &amp; Fuel '!$L$27:$L$36</xm:f>
          </x14:formula1>
          <xm:sqref>C17:E17 C26:E26 C8:E8</xm:sqref>
        </x14:dataValidation>
        <x14:dataValidation type="list" allowBlank="1" showInputMessage="1" showErrorMessage="1" xr:uid="{509ED592-BDBB-4663-A64E-53BC7B647C29}">
          <x14:formula1>
            <xm:f>'H2 FCV'!$C$70:$C$74</xm:f>
          </x14:formula1>
          <xm:sqref>H8:I8 H17:I17 H26:I26</xm:sqref>
        </x14:dataValidation>
        <x14:dataValidation type="list" allowBlank="1" showInputMessage="1" showErrorMessage="1" xr:uid="{011795C0-65DA-47D1-9BCB-4351B4E24197}">
          <x14:formula1>
            <xm:f>'GHG Electricity'!$B$3:$B$20</xm:f>
          </x14:formula1>
          <xm:sqref>F8:G8 F26:G26 F17:G17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6DDC4-F14C-4A1E-BB43-00033E653C95}">
  <sheetPr codeName="Sheet17">
    <tabColor rgb="FF00B050"/>
  </sheetPr>
  <dimension ref="A1:BY266"/>
  <sheetViews>
    <sheetView zoomScale="85" zoomScaleNormal="85" workbookViewId="0">
      <pane xSplit="2" ySplit="5" topLeftCell="C29" activePane="bottomRight" state="frozen"/>
      <selection pane="topRight" activeCell="C1" sqref="C1"/>
      <selection pane="bottomLeft" activeCell="A6" sqref="A6"/>
      <selection pane="bottomRight" activeCell="H3" sqref="H3"/>
    </sheetView>
  </sheetViews>
  <sheetFormatPr defaultRowHeight="14.5"/>
  <cols>
    <col min="1" max="1" width="10.7265625" customWidth="1"/>
    <col min="2" max="2" width="11.81640625" bestFit="1" customWidth="1"/>
    <col min="3" max="3" width="14.1796875" customWidth="1"/>
    <col min="4" max="4" width="17.453125" bestFit="1" customWidth="1"/>
    <col min="5" max="5" width="20.81640625" bestFit="1" customWidth="1"/>
    <col min="6" max="6" width="20.81640625" customWidth="1"/>
    <col min="7" max="7" width="15.81640625" bestFit="1" customWidth="1"/>
    <col min="8" max="8" width="15.26953125" customWidth="1"/>
    <col min="9" max="9" width="13.1796875" bestFit="1" customWidth="1"/>
    <col min="10" max="10" width="15.1796875" customWidth="1"/>
    <col min="11" max="11" width="14.54296875" customWidth="1"/>
    <col min="12" max="12" width="9.1796875" customWidth="1"/>
    <col min="13" max="13" width="11.81640625" bestFit="1" customWidth="1"/>
    <col min="14" max="14" width="14.1796875" customWidth="1"/>
    <col min="15" max="15" width="17.453125" bestFit="1" customWidth="1"/>
    <col min="16" max="16" width="20.81640625" bestFit="1" customWidth="1"/>
    <col min="17" max="17" width="20.81640625" customWidth="1"/>
    <col min="18" max="18" width="15.81640625" bestFit="1" customWidth="1"/>
    <col min="19" max="20" width="13.1796875" bestFit="1" customWidth="1"/>
    <col min="21" max="21" width="15.1796875" customWidth="1"/>
    <col min="22" max="26" width="16.1796875" customWidth="1"/>
    <col min="27" max="27" width="20.7265625" customWidth="1"/>
    <col min="28" max="28" width="21.1796875" customWidth="1"/>
    <col min="29" max="33" width="16.1796875" customWidth="1"/>
    <col min="34" max="34" width="18.81640625" customWidth="1"/>
    <col min="35" max="36" width="16.1796875" customWidth="1"/>
    <col min="37" max="44" width="18.54296875" customWidth="1"/>
    <col min="45" max="46" width="16.1796875" customWidth="1"/>
    <col min="47" max="47" width="16.54296875" customWidth="1"/>
    <col min="48" max="48" width="13.26953125" customWidth="1"/>
    <col min="49" max="49" width="13.1796875" customWidth="1"/>
    <col min="50" max="50" width="17.453125" bestFit="1" customWidth="1"/>
    <col min="51" max="51" width="21.26953125" customWidth="1"/>
    <col min="52" max="52" width="20.81640625" bestFit="1" customWidth="1"/>
    <col min="53" max="53" width="15.81640625" bestFit="1" customWidth="1"/>
    <col min="54" max="55" width="13.1796875" bestFit="1" customWidth="1"/>
    <col min="56" max="56" width="15.1796875" customWidth="1"/>
    <col min="57" max="60" width="14.26953125" customWidth="1"/>
    <col min="61" max="61" width="12.1796875" bestFit="1" customWidth="1"/>
    <col min="62" max="62" width="11.81640625" customWidth="1"/>
    <col min="64" max="64" width="12.1796875" bestFit="1" customWidth="1"/>
    <col min="65" max="65" width="10.1796875" customWidth="1"/>
    <col min="71" max="71" width="10" customWidth="1"/>
  </cols>
  <sheetData>
    <row r="1" spans="1:76" ht="41.15" customHeight="1" thickBot="1">
      <c r="A1" s="673" t="s">
        <v>490</v>
      </c>
      <c r="B1" s="673" t="s">
        <v>488</v>
      </c>
      <c r="C1" s="673" t="s">
        <v>489</v>
      </c>
      <c r="D1" s="463" t="s">
        <v>484</v>
      </c>
      <c r="E1" s="673" t="s">
        <v>491</v>
      </c>
      <c r="F1" s="466" t="s">
        <v>327</v>
      </c>
      <c r="G1" s="452"/>
      <c r="H1" s="864" t="str">
        <f>'TCO Calculation'!B7</f>
        <v>Model Year</v>
      </c>
      <c r="I1" s="865" t="str">
        <f>'TCO Calculation'!C7</f>
        <v>Total Vehicle Mileage (mile)</v>
      </c>
      <c r="J1" s="865" t="str">
        <f>'TCO Calculation'!D7</f>
        <v>Fuel Economy (mpg)</v>
      </c>
      <c r="K1" s="865" t="str">
        <f>'TCO Calculation'!E7</f>
        <v>Diesel Price 
($/gal)</v>
      </c>
      <c r="L1" s="865" t="str">
        <f>'TCO Calculation'!F7</f>
        <v>Hydrogen Price</v>
      </c>
      <c r="M1" s="865" t="str">
        <f>'TCO Calculation'!G7</f>
        <v>Private Electricity Cost (USD)</v>
      </c>
      <c r="N1" s="865" t="str">
        <f>'TCO Calculation'!H7</f>
        <v>Public Electricity Cost (USD)</v>
      </c>
      <c r="O1" s="865" t="str">
        <f>'TCO Calculation'!I7</f>
        <v>Public charging share (%)</v>
      </c>
      <c r="P1" s="866" t="str">
        <f>'TCO Calculation'!J7</f>
        <v>Electricity Carbon Intensity (g/kWh)</v>
      </c>
      <c r="Q1" s="865" t="str">
        <f>'TCO Calculation'!K7</f>
        <v>Carbon Tax 
(USD/ton)</v>
      </c>
      <c r="R1" s="864" t="str">
        <f>'TCO Calculation'!L7</f>
        <v>CO2 transport cost ($/ton of CO2)</v>
      </c>
      <c r="S1" s="865" t="str">
        <f>'TCO Calculation'!M7</f>
        <v>DEF Price 
($/gal)</v>
      </c>
      <c r="T1" s="864" t="str">
        <f>'TCO Calculation'!N7</f>
        <v xml:space="preserve">Revenue Loss per kg ($/kg) </v>
      </c>
      <c r="U1" s="865" t="str">
        <f>'TCO Calculation'!O7</f>
        <v>Lifetime battery replacement</v>
      </c>
      <c r="V1" s="865" t="str">
        <f>'TCO Calculation'!P7</f>
        <v>Lifetime Fuel Cell Replacement</v>
      </c>
      <c r="W1" s="452"/>
      <c r="X1" s="452"/>
      <c r="Y1" s="452"/>
      <c r="Z1" s="452"/>
      <c r="AA1" s="452"/>
      <c r="AB1" s="452"/>
      <c r="AC1" s="452"/>
      <c r="AD1" s="452"/>
      <c r="AE1" s="452"/>
      <c r="AF1" s="452"/>
      <c r="AG1" s="452"/>
      <c r="AH1" s="452"/>
      <c r="AI1" s="452"/>
      <c r="AJ1" s="452"/>
      <c r="AK1" s="452"/>
      <c r="AL1" s="452"/>
      <c r="AM1" s="452"/>
      <c r="AN1" s="452"/>
      <c r="AO1" s="452"/>
      <c r="AP1" s="452"/>
      <c r="AQ1" s="452"/>
      <c r="AR1" s="452"/>
      <c r="AS1" s="452"/>
      <c r="AT1" s="452"/>
      <c r="AU1" s="651" t="s">
        <v>253</v>
      </c>
      <c r="AV1" s="652" t="s">
        <v>487</v>
      </c>
      <c r="AW1" s="653" t="s">
        <v>493</v>
      </c>
      <c r="AX1" s="654" t="s">
        <v>492</v>
      </c>
      <c r="AY1" s="452"/>
      <c r="AZ1" s="452"/>
      <c r="BA1" s="452"/>
      <c r="BB1" s="452"/>
      <c r="BC1" s="452"/>
      <c r="BD1" s="452"/>
      <c r="BE1" s="452"/>
      <c r="BF1" s="452"/>
      <c r="BG1" s="452"/>
      <c r="BH1" s="452"/>
      <c r="BI1" s="452"/>
      <c r="BJ1" s="452"/>
      <c r="BK1" s="452"/>
      <c r="BL1" s="452"/>
      <c r="BM1" s="452"/>
      <c r="BN1" s="452"/>
      <c r="BO1" s="452"/>
      <c r="BP1" s="452"/>
      <c r="BQ1" s="452"/>
      <c r="BR1" s="452"/>
      <c r="BS1" s="452"/>
      <c r="BT1" s="452"/>
      <c r="BU1" s="452"/>
      <c r="BV1" s="452"/>
      <c r="BW1" s="452"/>
      <c r="BX1" s="452"/>
    </row>
    <row r="2" spans="1:76" ht="15" thickBot="1">
      <c r="A2" s="687">
        <v>0.02</v>
      </c>
      <c r="B2" s="687">
        <f>(1+C2)*(1+A2)-1</f>
        <v>5.0599999999999978E-2</v>
      </c>
      <c r="C2" s="687">
        <v>0.03</v>
      </c>
      <c r="D2" s="687">
        <v>0.06</v>
      </c>
      <c r="E2" s="658">
        <v>5</v>
      </c>
      <c r="F2" s="687">
        <v>0.12</v>
      </c>
      <c r="G2" s="452"/>
      <c r="H2" s="870">
        <f>'TCO Calculation'!B2</f>
        <v>2050</v>
      </c>
      <c r="I2" s="871">
        <f>'TCO Calculation'!C8</f>
        <v>1000000</v>
      </c>
      <c r="J2" s="873">
        <f>'TCO Calculation'!D8</f>
        <v>8.4877815582893401</v>
      </c>
      <c r="K2" s="867">
        <f>'TCO Calculation'!E8</f>
        <v>2</v>
      </c>
      <c r="L2" s="867">
        <f>'TCO Calculation'!F8</f>
        <v>4</v>
      </c>
      <c r="M2" s="868">
        <f>'TCO Calculation'!G8</f>
        <v>0.115</v>
      </c>
      <c r="N2" s="868">
        <f>'TCO Calculation'!H8</f>
        <v>0.14950000000000002</v>
      </c>
      <c r="O2" s="869">
        <f>'TCO Calculation'!I8</f>
        <v>0.5</v>
      </c>
      <c r="P2" s="874">
        <f>'TCO Calculation'!J8</f>
        <v>547.39117519034187</v>
      </c>
      <c r="Q2" s="872">
        <f>'TCO Calculation'!K8</f>
        <v>150</v>
      </c>
      <c r="R2" s="872">
        <f>'TCO Calculation'!L8</f>
        <v>25</v>
      </c>
      <c r="S2" s="867">
        <f ca="1">'TCO Calculation'!M8</f>
        <v>3.9277108433735033</v>
      </c>
      <c r="T2" s="875">
        <f>'TCO Calculation'!N8</f>
        <v>10.5</v>
      </c>
      <c r="U2" s="867">
        <f>'TCO Calculation'!O8</f>
        <v>0</v>
      </c>
      <c r="V2" s="867">
        <f>'TCO Calculation'!P8</f>
        <v>0</v>
      </c>
      <c r="W2" s="452"/>
      <c r="X2" s="452"/>
      <c r="Y2" s="452"/>
      <c r="Z2" s="452"/>
      <c r="AA2" s="452"/>
      <c r="AB2" s="452"/>
      <c r="AC2" s="452"/>
      <c r="AD2" s="452"/>
      <c r="AE2" s="452"/>
      <c r="AF2" s="452"/>
      <c r="AG2" s="452"/>
      <c r="AH2" s="452"/>
      <c r="AI2" s="452"/>
      <c r="AJ2" s="452"/>
      <c r="AK2" s="452"/>
      <c r="AL2" s="452"/>
      <c r="AM2" s="452"/>
      <c r="AN2" s="452"/>
      <c r="AO2" s="452"/>
      <c r="AP2" s="452"/>
      <c r="AQ2" s="452"/>
      <c r="AR2" s="452"/>
      <c r="AS2" s="452"/>
      <c r="AT2" s="452"/>
      <c r="AU2" s="655">
        <v>0</v>
      </c>
      <c r="AV2" s="656"/>
      <c r="AW2" s="656"/>
      <c r="AX2" s="657">
        <v>0</v>
      </c>
      <c r="AY2" s="452"/>
      <c r="AZ2" s="452"/>
      <c r="BA2" s="452"/>
      <c r="BB2" s="452"/>
      <c r="BC2" s="452"/>
      <c r="BD2" s="452"/>
      <c r="BE2" s="452"/>
      <c r="BF2" s="452"/>
      <c r="BG2" s="452"/>
      <c r="BH2" s="452"/>
      <c r="BI2" s="452"/>
      <c r="BJ2" s="452"/>
      <c r="BK2" s="452"/>
      <c r="BL2" s="452"/>
      <c r="BM2" s="452"/>
      <c r="BN2" s="452"/>
      <c r="BO2" s="452"/>
      <c r="BP2" s="452"/>
      <c r="BQ2" s="452"/>
      <c r="BR2" s="452"/>
      <c r="BS2" s="452"/>
      <c r="BT2" s="452"/>
      <c r="BU2" s="452"/>
      <c r="BV2" s="452"/>
      <c r="BW2" s="452"/>
      <c r="BX2" s="452"/>
    </row>
    <row r="3" spans="1:76" ht="15" thickBot="1">
      <c r="A3" s="649"/>
      <c r="B3" s="649"/>
      <c r="C3" s="649"/>
      <c r="D3" s="649"/>
      <c r="E3" s="459"/>
      <c r="F3" s="649"/>
      <c r="G3" s="452"/>
      <c r="R3" s="452"/>
      <c r="S3" s="452"/>
      <c r="T3" s="452"/>
      <c r="U3" s="452"/>
      <c r="V3" s="452"/>
      <c r="W3" s="452"/>
      <c r="X3" s="452"/>
      <c r="Y3" s="452"/>
      <c r="Z3" s="452"/>
      <c r="AA3" s="452"/>
      <c r="AB3" s="452"/>
      <c r="AC3" s="452"/>
      <c r="AD3" s="452"/>
      <c r="AE3" s="452"/>
      <c r="AF3" s="452"/>
      <c r="AG3" s="452"/>
      <c r="AH3" s="452"/>
      <c r="AI3" s="452"/>
      <c r="AJ3" s="452"/>
      <c r="AK3" s="452"/>
      <c r="AL3" s="452"/>
      <c r="AM3" s="452"/>
      <c r="AN3" s="452"/>
      <c r="AO3" s="452"/>
      <c r="AP3" s="452"/>
      <c r="AQ3" s="452"/>
      <c r="AR3" s="452"/>
      <c r="AS3" s="452"/>
      <c r="AT3" s="452"/>
      <c r="AU3" s="531">
        <v>1</v>
      </c>
      <c r="AV3" s="658">
        <v>108105.51558752899</v>
      </c>
      <c r="AW3" s="658">
        <f t="shared" ref="AW3:AW17" si="0">AV3*$I$2/SUM(AV$3:AV$17)</f>
        <v>101417.32283464503</v>
      </c>
      <c r="AX3" s="645">
        <f>AW3</f>
        <v>101417.32283464503</v>
      </c>
      <c r="AY3" s="452"/>
      <c r="AZ3" s="452"/>
      <c r="BA3" s="452"/>
      <c r="BB3" s="452"/>
      <c r="BC3" s="452"/>
      <c r="BD3" s="452"/>
      <c r="BE3" s="452"/>
      <c r="BF3" s="452"/>
      <c r="BG3" s="452"/>
      <c r="BH3" s="452"/>
      <c r="BI3" s="452"/>
      <c r="BJ3" s="452"/>
      <c r="BK3" s="452"/>
      <c r="BL3" s="452"/>
      <c r="BM3" s="452"/>
      <c r="BN3" s="452"/>
      <c r="BO3" s="452"/>
      <c r="BP3" s="452"/>
      <c r="BQ3" s="452"/>
      <c r="BR3" s="452"/>
      <c r="BS3" s="452"/>
      <c r="BT3" s="452"/>
      <c r="BU3" s="452"/>
      <c r="BV3" s="452"/>
      <c r="BW3" s="452"/>
      <c r="BX3" s="452"/>
    </row>
    <row r="4" spans="1:76" ht="44" thickBot="1">
      <c r="A4" s="1148" t="s">
        <v>610</v>
      </c>
      <c r="B4" s="788" t="s">
        <v>613</v>
      </c>
      <c r="C4" s="788" t="s">
        <v>612</v>
      </c>
      <c r="D4" s="788" t="s">
        <v>611</v>
      </c>
      <c r="E4" s="789"/>
      <c r="F4" s="649"/>
      <c r="G4" s="452"/>
      <c r="R4" s="452"/>
      <c r="S4" s="452"/>
      <c r="T4" s="452"/>
      <c r="U4" s="452"/>
      <c r="V4" s="452"/>
      <c r="W4" s="452"/>
      <c r="X4" s="452"/>
      <c r="Y4" s="452"/>
      <c r="Z4" s="452"/>
      <c r="AA4" s="452"/>
      <c r="AB4" s="452"/>
      <c r="AC4" s="452"/>
      <c r="AD4" s="452"/>
      <c r="AE4" s="452"/>
      <c r="AF4" s="452"/>
      <c r="AG4" s="452"/>
      <c r="AH4" s="452"/>
      <c r="AI4" s="452"/>
      <c r="AJ4" s="452"/>
      <c r="AK4" s="452"/>
      <c r="AL4" s="452"/>
      <c r="AM4" s="452"/>
      <c r="AN4" s="452"/>
      <c r="AO4" s="452"/>
      <c r="AP4" s="452"/>
      <c r="AQ4" s="452"/>
      <c r="AR4" s="452"/>
      <c r="AS4" s="452"/>
      <c r="AT4" s="452"/>
      <c r="AU4" s="659">
        <v>2</v>
      </c>
      <c r="AV4" s="658">
        <v>120191.84652278099</v>
      </c>
      <c r="AW4" s="658">
        <f t="shared" si="0"/>
        <v>112755.90551181062</v>
      </c>
      <c r="AX4" s="645">
        <f>AX3+AW4</f>
        <v>214173.22834645567</v>
      </c>
      <c r="AY4" s="452"/>
      <c r="AZ4" s="452"/>
      <c r="BA4" s="452"/>
      <c r="BB4" s="452"/>
      <c r="BC4" s="452"/>
      <c r="BD4" s="452"/>
      <c r="BE4" s="452"/>
      <c r="BF4" s="452"/>
      <c r="BG4" s="452"/>
      <c r="BH4" s="452"/>
      <c r="BI4" s="452"/>
      <c r="BJ4" s="452"/>
      <c r="BK4" s="452"/>
      <c r="BL4" s="452"/>
      <c r="BM4" s="452"/>
      <c r="BN4" s="452"/>
      <c r="BO4" s="452"/>
      <c r="BP4" s="452"/>
      <c r="BQ4" s="452"/>
      <c r="BR4" s="452"/>
      <c r="BS4" s="452"/>
      <c r="BT4" s="452"/>
      <c r="BU4" s="452"/>
      <c r="BV4" s="452"/>
      <c r="BW4" s="452"/>
      <c r="BX4" s="452"/>
    </row>
    <row r="5" spans="1:76" ht="24" thickBot="1">
      <c r="A5" s="1149"/>
      <c r="B5" s="790">
        <v>0</v>
      </c>
      <c r="C5" s="791">
        <v>0</v>
      </c>
      <c r="D5" s="790">
        <v>0</v>
      </c>
      <c r="E5" s="792"/>
      <c r="F5" s="649"/>
      <c r="G5" s="452"/>
      <c r="H5" s="452"/>
      <c r="I5" s="452"/>
      <c r="J5" s="452"/>
      <c r="K5" s="452"/>
      <c r="L5" s="452"/>
      <c r="M5" s="452"/>
      <c r="N5" s="452"/>
      <c r="O5" s="452"/>
      <c r="P5" s="452"/>
      <c r="Q5" s="452"/>
      <c r="R5" s="452"/>
      <c r="S5" s="452"/>
      <c r="T5" s="452"/>
      <c r="U5" s="452"/>
      <c r="V5" s="452"/>
      <c r="W5" s="452"/>
      <c r="X5" s="452"/>
      <c r="Y5" s="452"/>
      <c r="Z5" s="452"/>
      <c r="AA5" s="452"/>
      <c r="AB5" s="452"/>
      <c r="AC5" s="452"/>
      <c r="AD5" s="452"/>
      <c r="AE5" s="452"/>
      <c r="AF5" s="452"/>
      <c r="AG5" s="452"/>
      <c r="AH5" s="1164" t="s">
        <v>552</v>
      </c>
      <c r="AI5" s="1165"/>
      <c r="AJ5" s="1166"/>
      <c r="AK5" s="452"/>
      <c r="AL5" s="452"/>
      <c r="AM5" s="452"/>
      <c r="AN5" s="452"/>
      <c r="AO5" s="452"/>
      <c r="AP5" s="452"/>
      <c r="AQ5" s="452"/>
      <c r="AR5" s="452"/>
      <c r="AS5" s="452"/>
      <c r="AT5" s="452"/>
      <c r="AU5" s="659">
        <v>3</v>
      </c>
      <c r="AV5" s="658">
        <v>114148.681055155</v>
      </c>
      <c r="AW5" s="658">
        <f t="shared" si="0"/>
        <v>107086.61417322783</v>
      </c>
      <c r="AX5" s="645">
        <f t="shared" ref="AX5:AX16" si="1">AX4+AW5</f>
        <v>321259.84251968353</v>
      </c>
      <c r="AY5" s="452"/>
      <c r="AZ5" s="452"/>
      <c r="BA5" s="452"/>
      <c r="BB5" s="452"/>
      <c r="BC5" s="452"/>
      <c r="BD5" s="452"/>
      <c r="BE5" s="452"/>
      <c r="BF5" s="452"/>
      <c r="BG5" s="452"/>
      <c r="BH5" s="452"/>
      <c r="BI5" s="452"/>
      <c r="BJ5" s="452"/>
      <c r="BK5" s="452"/>
      <c r="BL5" s="452"/>
      <c r="BM5" s="452"/>
      <c r="BN5" s="452"/>
      <c r="BO5" s="452"/>
      <c r="BP5" s="452"/>
      <c r="BQ5" s="452"/>
      <c r="BR5" s="452"/>
      <c r="BS5" s="452"/>
      <c r="BT5" s="452"/>
      <c r="BU5" s="452"/>
      <c r="BV5" s="452"/>
      <c r="BW5" s="452"/>
      <c r="BX5" s="452"/>
    </row>
    <row r="6" spans="1:76">
      <c r="A6" s="649"/>
      <c r="B6" s="649"/>
      <c r="C6" s="649"/>
      <c r="D6" s="649"/>
      <c r="E6" s="459"/>
      <c r="F6" s="649"/>
      <c r="H6" s="452"/>
      <c r="I6" s="452"/>
      <c r="J6" s="452"/>
      <c r="K6" s="452"/>
      <c r="L6" s="649"/>
      <c r="M6" s="649"/>
      <c r="N6" s="649"/>
      <c r="O6" s="649"/>
      <c r="P6" s="459"/>
      <c r="Q6" s="649"/>
      <c r="R6" s="452"/>
      <c r="S6" s="452"/>
      <c r="T6" s="452"/>
      <c r="U6" s="452"/>
      <c r="V6" s="452"/>
      <c r="W6" s="452"/>
      <c r="X6" s="452"/>
      <c r="Y6" s="452"/>
      <c r="Z6" s="452"/>
      <c r="AA6" s="452"/>
      <c r="AB6" s="452"/>
      <c r="AC6" s="452"/>
      <c r="AD6" s="452"/>
      <c r="AE6" s="452"/>
      <c r="AF6" s="452"/>
      <c r="AG6" s="452"/>
      <c r="AH6" s="452"/>
      <c r="AI6" s="452"/>
      <c r="AJ6" s="452"/>
      <c r="AK6" s="452"/>
      <c r="AL6" s="452"/>
      <c r="AM6" s="452"/>
      <c r="AN6" s="452"/>
      <c r="AO6" s="452"/>
      <c r="AP6" s="452"/>
      <c r="AQ6" s="452"/>
      <c r="AR6" s="452"/>
      <c r="AS6" s="452"/>
      <c r="AT6" s="452"/>
      <c r="AU6" s="659">
        <v>4</v>
      </c>
      <c r="AV6" s="658">
        <v>105419.66426858499</v>
      </c>
      <c r="AW6" s="658">
        <f t="shared" si="0"/>
        <v>98897.637795275747</v>
      </c>
      <c r="AX6" s="645">
        <f t="shared" si="1"/>
        <v>420157.48031495931</v>
      </c>
      <c r="AY6" s="452"/>
      <c r="AZ6" s="452"/>
      <c r="BA6" s="452"/>
      <c r="BB6" s="452"/>
      <c r="BC6" s="452"/>
      <c r="BD6" s="452"/>
      <c r="BE6" s="452"/>
      <c r="BF6" s="452"/>
      <c r="BG6" s="452"/>
      <c r="BH6" s="452"/>
      <c r="BI6" s="452"/>
      <c r="BJ6" s="452"/>
      <c r="BK6" s="452"/>
      <c r="BL6" s="452"/>
      <c r="BM6" s="452"/>
      <c r="BN6" s="452"/>
      <c r="BO6" s="452"/>
      <c r="BP6" s="452"/>
      <c r="BQ6" s="452"/>
      <c r="BR6" s="452"/>
      <c r="BS6" s="452"/>
      <c r="BT6" s="452"/>
      <c r="BU6" s="452"/>
      <c r="BV6" s="452"/>
      <c r="BW6" s="452"/>
      <c r="BX6" s="452"/>
    </row>
    <row r="7" spans="1:76">
      <c r="A7" s="649"/>
      <c r="C7" s="649"/>
      <c r="D7" s="649"/>
      <c r="E7" s="649"/>
      <c r="F7" s="649"/>
      <c r="G7" s="650"/>
      <c r="H7" s="452"/>
      <c r="I7" s="452"/>
      <c r="J7" s="452"/>
      <c r="K7" s="452"/>
      <c r="L7" s="649"/>
      <c r="M7" s="452"/>
      <c r="N7" s="649"/>
      <c r="O7" s="649"/>
      <c r="P7" s="649"/>
      <c r="Q7" s="649"/>
      <c r="R7" s="650"/>
      <c r="S7" s="452"/>
      <c r="T7" s="452"/>
      <c r="U7" s="452"/>
      <c r="V7" s="452"/>
      <c r="W7" s="452"/>
      <c r="X7" s="452"/>
      <c r="Y7" s="452"/>
      <c r="Z7" s="452"/>
      <c r="AA7" s="452"/>
      <c r="AB7" s="452"/>
      <c r="AC7" s="452"/>
      <c r="AD7" s="452"/>
      <c r="AE7" s="452"/>
      <c r="AF7" s="452"/>
      <c r="AG7" s="452"/>
      <c r="AH7" s="452"/>
      <c r="AI7" s="452"/>
      <c r="AJ7" s="452"/>
      <c r="AK7" s="452"/>
      <c r="AL7" s="452"/>
      <c r="AM7" s="452"/>
      <c r="AN7" s="452"/>
      <c r="AO7" s="452"/>
      <c r="AP7" s="452"/>
      <c r="AQ7" s="452"/>
      <c r="AR7" s="452"/>
      <c r="AS7" s="452"/>
      <c r="AT7" s="452"/>
      <c r="AU7" s="659">
        <v>5</v>
      </c>
      <c r="AV7" s="658">
        <v>91990.4076738609</v>
      </c>
      <c r="AW7" s="658">
        <f t="shared" si="0"/>
        <v>86299.212598425438</v>
      </c>
      <c r="AX7" s="645">
        <f t="shared" si="1"/>
        <v>506456.69291338476</v>
      </c>
      <c r="AY7" s="454"/>
      <c r="AZ7" s="454"/>
      <c r="BA7" s="452"/>
      <c r="BB7" s="452"/>
      <c r="BC7" s="452"/>
      <c r="BD7" s="452"/>
      <c r="BE7" s="452"/>
      <c r="BF7" s="452"/>
      <c r="BG7" s="452"/>
      <c r="BH7" s="452"/>
      <c r="BI7" s="452"/>
      <c r="BJ7" s="452"/>
      <c r="BK7" s="452"/>
      <c r="BL7" s="452"/>
      <c r="BM7" s="452"/>
      <c r="BN7" s="452"/>
      <c r="BO7" s="452"/>
      <c r="BP7" s="452"/>
      <c r="BQ7" s="452"/>
      <c r="BR7" s="452"/>
      <c r="BS7" s="452"/>
      <c r="BT7" s="452"/>
      <c r="BU7" s="452"/>
      <c r="BV7" s="452"/>
      <c r="BW7" s="452"/>
      <c r="BX7" s="452"/>
    </row>
    <row r="8" spans="1:76">
      <c r="A8" s="649"/>
      <c r="B8" s="649"/>
      <c r="C8" s="649"/>
      <c r="D8" s="649"/>
      <c r="E8" s="649"/>
      <c r="F8" s="649"/>
      <c r="G8" s="650"/>
      <c r="H8" s="452"/>
      <c r="I8" s="452"/>
      <c r="J8" s="452"/>
      <c r="K8" s="649"/>
      <c r="L8" s="649"/>
      <c r="M8" s="649"/>
      <c r="N8" s="649"/>
      <c r="O8" s="649"/>
      <c r="P8" s="649"/>
      <c r="Q8" s="649"/>
      <c r="R8" s="650"/>
      <c r="S8" s="452"/>
      <c r="T8" s="452"/>
      <c r="U8" s="452"/>
      <c r="V8" s="649"/>
      <c r="W8" s="649"/>
      <c r="X8" s="649"/>
      <c r="Y8" s="649"/>
      <c r="Z8" s="649"/>
      <c r="AA8" s="649"/>
      <c r="AB8" s="649"/>
      <c r="AC8" s="649"/>
      <c r="AD8" s="649"/>
      <c r="AE8" s="649"/>
      <c r="AF8" s="649"/>
      <c r="AG8" s="649"/>
      <c r="AH8" s="649"/>
      <c r="AI8" s="649"/>
      <c r="AJ8" s="649"/>
      <c r="AK8" s="649"/>
      <c r="AL8" s="649"/>
      <c r="AM8" s="649"/>
      <c r="AN8" s="649"/>
      <c r="AO8" s="649"/>
      <c r="AP8" s="649"/>
      <c r="AQ8" s="649"/>
      <c r="AR8" s="649"/>
      <c r="AS8" s="649"/>
      <c r="AT8" s="649"/>
      <c r="AU8" s="659">
        <v>6</v>
      </c>
      <c r="AV8" s="658">
        <v>81918.465227817695</v>
      </c>
      <c r="AW8" s="658">
        <f t="shared" si="0"/>
        <v>76850.393700787565</v>
      </c>
      <c r="AX8" s="645">
        <f t="shared" si="1"/>
        <v>583307.08661417232</v>
      </c>
      <c r="AY8" s="452"/>
      <c r="AZ8" s="452"/>
      <c r="BA8" s="452"/>
      <c r="BB8" s="452"/>
      <c r="BC8" s="452"/>
      <c r="BD8" s="452"/>
      <c r="BE8" s="452"/>
      <c r="BF8" s="452"/>
      <c r="BG8" s="452"/>
      <c r="BH8" s="452"/>
      <c r="BI8" s="452"/>
      <c r="BJ8" s="452"/>
      <c r="BK8" s="452"/>
      <c r="BL8" s="452"/>
      <c r="BM8" s="452"/>
      <c r="BN8" s="452"/>
      <c r="BO8" s="452"/>
      <c r="BP8" s="452"/>
      <c r="BQ8" s="452"/>
      <c r="BR8" s="452"/>
      <c r="BS8" s="452"/>
      <c r="BT8" s="452"/>
      <c r="BU8" s="452"/>
      <c r="BV8" s="452"/>
      <c r="BW8" s="452"/>
      <c r="BX8" s="452"/>
    </row>
    <row r="9" spans="1:76">
      <c r="A9" s="649"/>
      <c r="B9" s="649"/>
      <c r="C9" s="649"/>
      <c r="D9" s="649"/>
      <c r="E9" s="649"/>
      <c r="F9" s="649"/>
      <c r="G9" s="650"/>
      <c r="H9" s="452"/>
      <c r="I9" s="452"/>
      <c r="J9" s="452"/>
      <c r="K9" s="452"/>
      <c r="L9" s="649"/>
      <c r="M9" s="649"/>
      <c r="N9" s="649"/>
      <c r="O9" s="649"/>
      <c r="P9" s="649"/>
      <c r="Q9" s="649"/>
      <c r="R9" s="650"/>
      <c r="S9" s="452"/>
      <c r="T9" s="452"/>
      <c r="U9" s="452"/>
      <c r="V9" s="452"/>
      <c r="W9" s="452"/>
      <c r="X9" s="452"/>
      <c r="Y9" s="452"/>
      <c r="Z9" s="452"/>
      <c r="AA9" s="452"/>
      <c r="AB9" s="452"/>
      <c r="AC9" s="452"/>
      <c r="AD9" s="452"/>
      <c r="AE9" s="452"/>
      <c r="AF9" s="452"/>
      <c r="AG9" s="452"/>
      <c r="AH9" s="452"/>
      <c r="AI9" s="452"/>
      <c r="AJ9" s="452"/>
      <c r="AK9" s="452"/>
      <c r="AL9" s="452"/>
      <c r="AM9" s="452"/>
      <c r="AN9" s="452"/>
      <c r="AO9" s="452"/>
      <c r="AP9" s="452"/>
      <c r="AQ9" s="452"/>
      <c r="AR9" s="452"/>
      <c r="AS9" s="452"/>
      <c r="AT9" s="452"/>
      <c r="AU9" s="659">
        <v>7</v>
      </c>
      <c r="AV9" s="658">
        <v>73860.911270983197</v>
      </c>
      <c r="AW9" s="658">
        <f t="shared" si="0"/>
        <v>69291.338582677359</v>
      </c>
      <c r="AX9" s="645">
        <f t="shared" si="1"/>
        <v>652598.42519684974</v>
      </c>
      <c r="AY9" s="452"/>
      <c r="AZ9" s="452"/>
      <c r="BA9" s="452"/>
      <c r="BB9" s="452"/>
      <c r="BC9" s="452"/>
      <c r="BD9" s="452"/>
      <c r="BE9" s="452"/>
      <c r="BF9" s="452"/>
      <c r="BG9" s="452"/>
      <c r="BH9" s="452"/>
      <c r="BI9" s="452"/>
      <c r="BJ9" s="452"/>
      <c r="BK9" s="452"/>
      <c r="BL9" s="452"/>
      <c r="BM9" s="452"/>
      <c r="BN9" s="452"/>
      <c r="BO9" s="452"/>
      <c r="BP9" s="452"/>
      <c r="BQ9" s="452"/>
      <c r="BR9" s="452"/>
      <c r="BS9" s="452"/>
      <c r="BT9" s="452"/>
      <c r="BU9" s="452"/>
      <c r="BV9" s="452"/>
      <c r="BW9" s="452"/>
      <c r="BX9" s="452"/>
    </row>
    <row r="10" spans="1:76">
      <c r="A10" s="649"/>
      <c r="B10" s="649"/>
      <c r="C10" s="649"/>
      <c r="D10" s="649"/>
      <c r="E10" s="649"/>
      <c r="F10" s="649"/>
      <c r="G10" s="650"/>
      <c r="H10" s="452"/>
      <c r="I10" s="452"/>
      <c r="J10" s="452"/>
      <c r="K10" s="452"/>
      <c r="L10" s="649"/>
      <c r="M10" s="649"/>
      <c r="N10" s="649"/>
      <c r="O10" s="649"/>
      <c r="P10" s="649"/>
      <c r="Q10" s="649"/>
      <c r="R10" s="650"/>
      <c r="S10" s="452"/>
      <c r="T10" s="452"/>
      <c r="U10" s="452"/>
      <c r="V10" s="452"/>
      <c r="W10" s="452"/>
      <c r="X10" s="452"/>
      <c r="Y10" s="452"/>
      <c r="Z10" s="452"/>
      <c r="AA10" s="452"/>
      <c r="AB10" s="452"/>
      <c r="AC10" s="452"/>
      <c r="AD10" s="452"/>
      <c r="AE10" s="452"/>
      <c r="AF10" s="452"/>
      <c r="AG10" s="452"/>
      <c r="AH10" s="452"/>
      <c r="AI10" s="452"/>
      <c r="AJ10" s="452"/>
      <c r="AK10" s="452"/>
      <c r="AL10" s="452"/>
      <c r="AM10" s="452"/>
      <c r="AN10" s="452"/>
      <c r="AO10" s="452"/>
      <c r="AP10" s="452"/>
      <c r="AQ10" s="452"/>
      <c r="AR10" s="452"/>
      <c r="AS10" s="452"/>
      <c r="AT10" s="452"/>
      <c r="AU10" s="659">
        <v>8</v>
      </c>
      <c r="AV10" s="658">
        <v>67146.282973621099</v>
      </c>
      <c r="AW10" s="658">
        <f t="shared" si="0"/>
        <v>62992.125984252147</v>
      </c>
      <c r="AX10" s="645">
        <f t="shared" si="1"/>
        <v>715590.55118110194</v>
      </c>
      <c r="AY10" s="452"/>
      <c r="AZ10" s="452"/>
      <c r="BA10" s="452"/>
      <c r="BB10" s="452"/>
      <c r="BC10" s="452"/>
      <c r="BD10" s="452"/>
      <c r="BE10" s="452"/>
      <c r="BF10" s="452"/>
      <c r="BG10" s="452"/>
      <c r="BH10" s="452"/>
      <c r="BI10" s="452"/>
      <c r="BJ10" s="452"/>
      <c r="BK10" s="452"/>
      <c r="BL10" s="452"/>
      <c r="BM10" s="452"/>
      <c r="BN10" s="452"/>
      <c r="BO10" s="452"/>
      <c r="BP10" s="452"/>
      <c r="BQ10" s="452"/>
      <c r="BR10" s="452"/>
      <c r="BS10" s="452"/>
      <c r="BT10" s="452"/>
      <c r="BU10" s="452"/>
      <c r="BV10" s="452"/>
      <c r="BW10" s="452"/>
      <c r="BX10" s="452"/>
    </row>
    <row r="11" spans="1:76">
      <c r="A11" s="649"/>
      <c r="B11" s="649"/>
      <c r="C11" s="649"/>
      <c r="D11" s="649"/>
      <c r="E11" s="649"/>
      <c r="F11" s="649"/>
      <c r="G11" s="650"/>
      <c r="H11" s="452"/>
      <c r="I11" s="452"/>
      <c r="J11" s="452"/>
      <c r="K11" s="452"/>
      <c r="L11" s="649"/>
      <c r="M11" s="649"/>
      <c r="N11" s="649"/>
      <c r="O11" s="649"/>
      <c r="P11" s="649"/>
      <c r="Q11" s="649"/>
      <c r="R11" s="650"/>
      <c r="S11" s="452"/>
      <c r="T11" s="452"/>
      <c r="U11" s="452"/>
      <c r="V11" s="452"/>
      <c r="W11" s="452"/>
      <c r="X11" s="452"/>
      <c r="Y11" s="452"/>
      <c r="Z11" s="452"/>
      <c r="AA11" s="452"/>
      <c r="AB11" s="452"/>
      <c r="AC11" s="452"/>
      <c r="AD11" s="452"/>
      <c r="AE11" s="452"/>
      <c r="AF11" s="452"/>
      <c r="AG11" s="452"/>
      <c r="AH11" s="452"/>
      <c r="AI11" s="452"/>
      <c r="AJ11" s="452"/>
      <c r="AK11" s="452"/>
      <c r="AL11" s="452"/>
      <c r="AM11" s="452"/>
      <c r="AN11" s="452"/>
      <c r="AO11" s="452"/>
      <c r="AP11" s="452"/>
      <c r="AQ11" s="452"/>
      <c r="AR11" s="452"/>
      <c r="AS11" s="452"/>
      <c r="AT11" s="452"/>
      <c r="AU11" s="659">
        <v>9</v>
      </c>
      <c r="AV11" s="658">
        <v>59760.191846522699</v>
      </c>
      <c r="AW11" s="658">
        <f t="shared" si="0"/>
        <v>56062.992125984332</v>
      </c>
      <c r="AX11" s="645">
        <f>AX10+AW11</f>
        <v>771653.54330708622</v>
      </c>
      <c r="AY11" s="452"/>
      <c r="AZ11" s="452"/>
      <c r="BA11" s="452"/>
      <c r="BB11" s="452"/>
      <c r="BC11" s="452"/>
      <c r="BD11" s="452"/>
      <c r="BE11" s="452"/>
      <c r="BF11" s="452"/>
      <c r="BG11" s="452"/>
      <c r="BH11" s="452"/>
      <c r="BI11" s="452"/>
      <c r="BJ11" s="452"/>
      <c r="BK11" s="452"/>
      <c r="BL11" s="452"/>
      <c r="BM11" s="452"/>
      <c r="BN11" s="452"/>
      <c r="BO11" s="452"/>
      <c r="BP11" s="452"/>
      <c r="BQ11" s="452"/>
      <c r="BR11" s="452"/>
      <c r="BS11" s="452"/>
      <c r="BT11" s="452"/>
      <c r="BU11" s="452"/>
      <c r="BV11" s="452"/>
      <c r="BW11" s="452"/>
      <c r="BX11" s="452"/>
    </row>
    <row r="12" spans="1:76">
      <c r="A12" s="649"/>
      <c r="B12" s="649"/>
      <c r="C12" s="649"/>
      <c r="D12" s="649"/>
      <c r="E12" s="649"/>
      <c r="F12" s="649"/>
      <c r="G12" s="650"/>
      <c r="H12" s="452"/>
      <c r="I12" s="452"/>
      <c r="J12" s="452"/>
      <c r="K12" s="452"/>
      <c r="L12" s="649"/>
      <c r="M12" s="649"/>
      <c r="N12" s="649"/>
      <c r="O12" s="649"/>
      <c r="P12" s="649"/>
      <c r="Q12" s="649"/>
      <c r="R12" s="650"/>
      <c r="S12" s="452"/>
      <c r="T12" s="452"/>
      <c r="U12" s="452"/>
      <c r="V12" s="452"/>
      <c r="W12" s="452"/>
      <c r="X12" s="452"/>
      <c r="Y12" s="452"/>
      <c r="Z12" s="452"/>
      <c r="AA12" s="452"/>
      <c r="AB12" s="452"/>
      <c r="AC12" s="452"/>
      <c r="AD12" s="452"/>
      <c r="AE12" s="452"/>
      <c r="AF12" s="452"/>
      <c r="AG12" s="452"/>
      <c r="AH12" s="452"/>
      <c r="AI12" s="452"/>
      <c r="AJ12" s="452"/>
      <c r="AK12" s="452"/>
      <c r="AL12" s="452"/>
      <c r="AM12" s="452"/>
      <c r="AN12" s="452"/>
      <c r="AO12" s="452"/>
      <c r="AP12" s="452"/>
      <c r="AQ12" s="452"/>
      <c r="AR12" s="452"/>
      <c r="AS12" s="452"/>
      <c r="AT12" s="452"/>
      <c r="AU12" s="659">
        <v>10</v>
      </c>
      <c r="AV12" s="658">
        <v>53045.563549160601</v>
      </c>
      <c r="AW12" s="658">
        <f t="shared" si="0"/>
        <v>49763.779527559134</v>
      </c>
      <c r="AX12" s="645">
        <f t="shared" si="1"/>
        <v>821417.3228346454</v>
      </c>
      <c r="AY12" s="452"/>
      <c r="AZ12" s="452"/>
      <c r="BA12" s="452"/>
      <c r="BB12" s="452"/>
      <c r="BC12" s="452"/>
      <c r="BD12" s="452"/>
      <c r="BE12" s="452"/>
      <c r="BF12" s="452"/>
      <c r="BG12" s="452"/>
      <c r="BH12" s="452"/>
      <c r="BI12" s="452"/>
      <c r="BJ12" s="452"/>
      <c r="BK12" s="452"/>
      <c r="BL12" s="452"/>
      <c r="BM12" s="452"/>
      <c r="BN12" s="452"/>
      <c r="BO12" s="452"/>
      <c r="BP12" s="452"/>
      <c r="BQ12" s="452"/>
      <c r="BR12" s="452"/>
      <c r="BS12" s="452"/>
      <c r="BT12" s="452"/>
      <c r="BU12" s="452"/>
      <c r="BV12" s="452"/>
      <c r="BW12" s="452"/>
      <c r="BX12" s="452"/>
    </row>
    <row r="13" spans="1:76">
      <c r="A13" s="649"/>
      <c r="B13" s="649"/>
      <c r="C13" s="649"/>
      <c r="D13" s="649"/>
      <c r="E13" s="649"/>
      <c r="F13" s="649"/>
      <c r="G13" s="650"/>
      <c r="H13" s="452"/>
      <c r="I13" s="452"/>
      <c r="J13" s="452"/>
      <c r="K13" s="452"/>
      <c r="L13" s="649"/>
      <c r="M13" s="649"/>
      <c r="N13" s="649"/>
      <c r="O13" s="649"/>
      <c r="P13" s="649"/>
      <c r="Q13" s="649"/>
      <c r="R13" s="650"/>
      <c r="S13" s="452"/>
      <c r="T13" s="452"/>
      <c r="U13" s="452"/>
      <c r="V13" s="452"/>
      <c r="W13" s="452"/>
      <c r="X13" s="452"/>
      <c r="Y13" s="452"/>
      <c r="Z13" s="452"/>
      <c r="AA13" s="452"/>
      <c r="AB13" s="452"/>
      <c r="AC13" s="452"/>
      <c r="AD13" s="452"/>
      <c r="AE13" s="452"/>
      <c r="AF13" s="452"/>
      <c r="AG13" s="452"/>
      <c r="AH13" s="452"/>
      <c r="AI13" s="452"/>
      <c r="AJ13" s="452"/>
      <c r="AK13" s="452"/>
      <c r="AL13" s="452"/>
      <c r="AM13" s="452"/>
      <c r="AN13" s="452"/>
      <c r="AO13" s="452"/>
      <c r="AP13" s="452"/>
      <c r="AQ13" s="452"/>
      <c r="AR13" s="452"/>
      <c r="AS13" s="452"/>
      <c r="AT13" s="452"/>
      <c r="AU13" s="659">
        <v>11</v>
      </c>
      <c r="AV13" s="658">
        <v>47673.860911270902</v>
      </c>
      <c r="AW13" s="658">
        <f t="shared" si="0"/>
        <v>44724.409448818951</v>
      </c>
      <c r="AX13" s="645">
        <f t="shared" si="1"/>
        <v>866141.7322834644</v>
      </c>
      <c r="AY13" s="452"/>
      <c r="AZ13" s="452"/>
      <c r="BA13" s="452"/>
      <c r="BB13" s="452"/>
      <c r="BC13" s="452"/>
      <c r="BD13" s="452"/>
      <c r="BE13" s="452"/>
      <c r="BF13" s="452"/>
      <c r="BG13" s="452"/>
      <c r="BH13" s="452"/>
      <c r="BI13" s="452"/>
      <c r="BJ13" s="452"/>
      <c r="BK13" s="452"/>
      <c r="BL13" s="452"/>
      <c r="BM13" s="452"/>
      <c r="BN13" s="452"/>
      <c r="BO13" s="452"/>
      <c r="BP13" s="452"/>
      <c r="BQ13" s="452"/>
      <c r="BR13" s="452"/>
      <c r="BS13" s="452"/>
      <c r="BT13" s="452"/>
      <c r="BU13" s="452"/>
      <c r="BV13" s="452"/>
      <c r="BW13" s="452"/>
      <c r="BX13" s="452"/>
    </row>
    <row r="14" spans="1:76">
      <c r="A14" s="649"/>
      <c r="B14" s="649"/>
      <c r="C14" s="649"/>
      <c r="D14" s="649"/>
      <c r="E14" s="649"/>
      <c r="F14" s="649"/>
      <c r="G14" s="650"/>
      <c r="H14" s="452"/>
      <c r="I14" s="452"/>
      <c r="J14" s="452"/>
      <c r="K14" s="452"/>
      <c r="L14" s="649"/>
      <c r="M14" s="649"/>
      <c r="N14" s="649"/>
      <c r="O14" s="649"/>
      <c r="P14" s="649"/>
      <c r="Q14" s="649"/>
      <c r="R14" s="650"/>
      <c r="S14" s="452"/>
      <c r="T14" s="452"/>
      <c r="U14" s="452"/>
      <c r="V14" s="452"/>
      <c r="W14" s="452"/>
      <c r="X14" s="452"/>
      <c r="Y14" s="452"/>
      <c r="Z14" s="452"/>
      <c r="AA14" s="452"/>
      <c r="AB14" s="452"/>
      <c r="AC14" s="452"/>
      <c r="AD14" s="452"/>
      <c r="AE14" s="452"/>
      <c r="AF14" s="452"/>
      <c r="AG14" s="452"/>
      <c r="AH14" s="452"/>
      <c r="AI14" s="452"/>
      <c r="AJ14" s="452"/>
      <c r="AK14" s="452"/>
      <c r="AL14" s="452"/>
      <c r="AM14" s="452"/>
      <c r="AN14" s="452"/>
      <c r="AO14" s="452"/>
      <c r="AP14" s="452"/>
      <c r="AQ14" s="452"/>
      <c r="AR14" s="452"/>
      <c r="AS14" s="452"/>
      <c r="AT14" s="452"/>
      <c r="AU14" s="659">
        <v>12</v>
      </c>
      <c r="AV14" s="658">
        <v>42302.158273381297</v>
      </c>
      <c r="AW14" s="658">
        <f t="shared" si="0"/>
        <v>39685.039370078855</v>
      </c>
      <c r="AX14" s="645">
        <f t="shared" si="1"/>
        <v>905826.77165354323</v>
      </c>
      <c r="AY14" s="452"/>
      <c r="AZ14" s="452"/>
      <c r="BA14" s="452"/>
      <c r="BB14" s="452"/>
      <c r="BC14" s="452"/>
      <c r="BD14" s="452"/>
      <c r="BE14" s="452"/>
      <c r="BF14" s="452"/>
      <c r="BG14" s="452"/>
      <c r="BH14" s="452"/>
      <c r="BI14" s="452"/>
      <c r="BJ14" s="452"/>
      <c r="BK14" s="452"/>
      <c r="BL14" s="452"/>
      <c r="BM14" s="452"/>
      <c r="BN14" s="452"/>
      <c r="BO14" s="452"/>
      <c r="BP14" s="452"/>
      <c r="BQ14" s="452"/>
      <c r="BR14" s="452"/>
      <c r="BS14" s="452"/>
      <c r="BT14" s="452"/>
      <c r="BU14" s="452"/>
      <c r="BV14" s="452"/>
      <c r="BW14" s="452"/>
      <c r="BX14" s="452"/>
    </row>
    <row r="15" spans="1:76">
      <c r="A15" s="649"/>
      <c r="B15" s="649"/>
      <c r="C15" s="649"/>
      <c r="D15" s="649"/>
      <c r="E15" s="649"/>
      <c r="F15" s="649"/>
      <c r="G15" s="650"/>
      <c r="H15" s="452"/>
      <c r="I15" s="452"/>
      <c r="J15" s="452"/>
      <c r="K15" s="452"/>
      <c r="L15" s="649"/>
      <c r="M15" s="649"/>
      <c r="N15" s="649"/>
      <c r="O15" s="649"/>
      <c r="P15" s="649"/>
      <c r="Q15" s="649"/>
      <c r="R15" s="650"/>
      <c r="S15" s="452"/>
      <c r="T15" s="452"/>
      <c r="U15" s="452"/>
      <c r="V15" s="452"/>
      <c r="W15" s="452"/>
      <c r="X15" s="452"/>
      <c r="Y15" s="452"/>
      <c r="Z15" s="452"/>
      <c r="AA15" s="452"/>
      <c r="AB15" s="452"/>
      <c r="AC15" s="452"/>
      <c r="AD15" s="452"/>
      <c r="AE15" s="452"/>
      <c r="AF15" s="452"/>
      <c r="AG15" s="452"/>
      <c r="AH15" s="452"/>
      <c r="AI15" s="452"/>
      <c r="AJ15" s="452"/>
      <c r="AK15" s="452"/>
      <c r="AL15" s="452"/>
      <c r="AM15" s="452"/>
      <c r="AN15" s="452"/>
      <c r="AO15" s="452"/>
      <c r="AP15" s="452"/>
      <c r="AQ15" s="452"/>
      <c r="AR15" s="452"/>
      <c r="AS15" s="452"/>
      <c r="AT15" s="452"/>
      <c r="AU15" s="659">
        <v>13</v>
      </c>
      <c r="AV15" s="658">
        <v>37266.187050359702</v>
      </c>
      <c r="AW15" s="658">
        <f t="shared" si="0"/>
        <v>34960.629921259933</v>
      </c>
      <c r="AX15" s="645">
        <f t="shared" si="1"/>
        <v>940787.40157480317</v>
      </c>
      <c r="AY15" s="452"/>
      <c r="AZ15" s="452"/>
      <c r="BA15" s="452"/>
      <c r="BB15" s="452"/>
      <c r="BC15" s="452"/>
      <c r="BD15" s="452"/>
      <c r="BE15" s="452"/>
      <c r="BF15" s="452"/>
      <c r="BG15" s="452"/>
      <c r="BH15" s="452"/>
      <c r="BI15" s="452"/>
      <c r="BJ15" s="452"/>
      <c r="BK15" s="452"/>
      <c r="BL15" s="452"/>
      <c r="BM15" s="452"/>
      <c r="BN15" s="452"/>
      <c r="BO15" s="452"/>
      <c r="BP15" s="452"/>
      <c r="BQ15" s="452"/>
      <c r="BR15" s="452"/>
      <c r="BS15" s="452"/>
      <c r="BT15" s="452"/>
      <c r="BU15" s="452"/>
      <c r="BV15" s="452"/>
      <c r="BW15" s="452"/>
      <c r="BX15" s="452"/>
    </row>
    <row r="16" spans="1:76">
      <c r="A16" s="649"/>
      <c r="B16" s="649"/>
      <c r="C16" s="649"/>
      <c r="D16" s="649"/>
      <c r="E16" s="649"/>
      <c r="F16" s="649"/>
      <c r="G16" s="650"/>
      <c r="H16" s="452"/>
      <c r="I16" s="452"/>
      <c r="J16" s="452"/>
      <c r="K16" s="452"/>
      <c r="L16" s="649"/>
      <c r="M16" s="649"/>
      <c r="N16" s="649"/>
      <c r="O16" s="649"/>
      <c r="P16" s="649"/>
      <c r="Q16" s="649"/>
      <c r="R16" s="650"/>
      <c r="S16" s="452"/>
      <c r="T16" s="452"/>
      <c r="U16" s="452"/>
      <c r="V16" s="452"/>
      <c r="W16" s="452"/>
      <c r="X16" s="452"/>
      <c r="Y16" s="452"/>
      <c r="Z16" s="452"/>
      <c r="AA16" s="452"/>
      <c r="AB16" s="452"/>
      <c r="AC16" s="452"/>
      <c r="AD16" s="452"/>
      <c r="AE16" s="452"/>
      <c r="AF16" s="452"/>
      <c r="AG16" s="452"/>
      <c r="AH16" s="452"/>
      <c r="AI16" s="452"/>
      <c r="AJ16" s="452"/>
      <c r="AK16" s="452"/>
      <c r="AL16" s="452"/>
      <c r="AM16" s="452"/>
      <c r="AN16" s="452"/>
      <c r="AO16" s="452"/>
      <c r="AP16" s="452"/>
      <c r="AQ16" s="452"/>
      <c r="AR16" s="452"/>
      <c r="AS16" s="452"/>
      <c r="AT16" s="452"/>
      <c r="AU16" s="659">
        <v>14</v>
      </c>
      <c r="AV16" s="658">
        <v>33573.141486810498</v>
      </c>
      <c r="AW16" s="658">
        <f t="shared" si="0"/>
        <v>31496.062992126026</v>
      </c>
      <c r="AX16" s="645">
        <f t="shared" si="1"/>
        <v>972283.46456692915</v>
      </c>
      <c r="AY16" s="452"/>
      <c r="AZ16" s="452"/>
      <c r="BA16" s="452"/>
      <c r="BB16" s="452"/>
      <c r="BC16" s="452"/>
      <c r="BD16" s="452"/>
      <c r="BE16" s="452"/>
      <c r="BF16" s="452"/>
      <c r="BG16" s="452"/>
      <c r="BH16" s="452"/>
      <c r="BI16" s="452"/>
      <c r="BJ16" s="452"/>
      <c r="BK16" s="452"/>
      <c r="BL16" s="452"/>
      <c r="BM16" s="452"/>
      <c r="BN16" s="452"/>
      <c r="BO16" s="452"/>
      <c r="BP16" s="452"/>
      <c r="BQ16" s="452"/>
      <c r="BR16" s="452"/>
      <c r="BS16" s="452"/>
      <c r="BT16" s="452"/>
      <c r="BU16" s="452"/>
      <c r="BV16" s="452"/>
      <c r="BW16" s="452"/>
      <c r="BX16" s="452"/>
    </row>
    <row r="17" spans="1:76" ht="15" thickBot="1">
      <c r="A17" s="649"/>
      <c r="B17" s="649"/>
      <c r="C17" s="649"/>
      <c r="D17" s="649"/>
      <c r="E17" s="649"/>
      <c r="F17" s="649"/>
      <c r="G17" s="650"/>
      <c r="H17" s="452"/>
      <c r="I17" s="452"/>
      <c r="J17" s="452"/>
      <c r="K17" s="452"/>
      <c r="L17" s="649"/>
      <c r="M17" s="649"/>
      <c r="N17" s="649"/>
      <c r="O17" s="649"/>
      <c r="P17" s="649"/>
      <c r="Q17" s="649"/>
      <c r="R17" s="650"/>
      <c r="S17" s="452"/>
      <c r="T17" s="452"/>
      <c r="U17" s="452"/>
      <c r="V17" s="452"/>
      <c r="W17" s="452"/>
      <c r="X17" s="452"/>
      <c r="Y17" s="452"/>
      <c r="Z17" s="452"/>
      <c r="AA17" s="452"/>
      <c r="AB17" s="452"/>
      <c r="AC17" s="452"/>
      <c r="AD17" s="452"/>
      <c r="AE17" s="452"/>
      <c r="AF17" s="452"/>
      <c r="AG17" s="452"/>
      <c r="AH17" s="452"/>
      <c r="AI17" s="452"/>
      <c r="AJ17" s="452"/>
      <c r="AK17" s="452"/>
      <c r="AL17" s="452"/>
      <c r="AM17" s="452"/>
      <c r="AN17" s="452"/>
      <c r="AO17" s="452"/>
      <c r="AP17" s="452"/>
      <c r="AQ17" s="452"/>
      <c r="AR17" s="452"/>
      <c r="AS17" s="452"/>
      <c r="AT17" s="452"/>
      <c r="AU17" s="660">
        <v>15</v>
      </c>
      <c r="AV17" s="661">
        <v>29544.364508393301</v>
      </c>
      <c r="AW17" s="661">
        <f t="shared" si="0"/>
        <v>27716.53543307096</v>
      </c>
      <c r="AX17" s="646">
        <f>AX16+AW17</f>
        <v>1000000.0000000001</v>
      </c>
      <c r="AY17" s="452"/>
      <c r="AZ17" s="452"/>
      <c r="BA17" s="452"/>
      <c r="BB17" s="452"/>
      <c r="BC17" s="452"/>
      <c r="BD17" s="452"/>
      <c r="BE17" s="452"/>
      <c r="BF17" s="452"/>
      <c r="BG17" s="452"/>
      <c r="BH17" s="452"/>
      <c r="BI17" s="452"/>
      <c r="BJ17" s="452"/>
      <c r="BK17" s="452"/>
      <c r="BL17" s="452"/>
      <c r="BM17" s="452"/>
      <c r="BN17" s="452"/>
      <c r="BO17" s="452"/>
      <c r="BP17" s="452"/>
      <c r="BQ17" s="452"/>
      <c r="BR17" s="452"/>
      <c r="BS17" s="452"/>
      <c r="BT17" s="452"/>
      <c r="BU17" s="452"/>
      <c r="BV17" s="452"/>
      <c r="BW17" s="452"/>
      <c r="BX17" s="452"/>
    </row>
    <row r="18" spans="1:76" ht="15" thickBot="1">
      <c r="A18" s="649"/>
      <c r="B18" s="649"/>
      <c r="C18" s="649"/>
      <c r="D18" s="649"/>
      <c r="E18" s="649"/>
      <c r="F18" s="649"/>
      <c r="G18" s="650"/>
      <c r="H18" s="452"/>
      <c r="I18" s="452"/>
      <c r="J18" s="452"/>
      <c r="K18" s="452"/>
      <c r="L18" s="649"/>
      <c r="M18" s="649"/>
      <c r="N18" s="649"/>
      <c r="O18" s="649"/>
      <c r="P18" s="649"/>
      <c r="Q18" s="649"/>
      <c r="R18" s="650"/>
      <c r="S18" s="452"/>
      <c r="T18" s="452"/>
      <c r="U18" s="452"/>
      <c r="V18" s="452"/>
      <c r="W18" s="452"/>
      <c r="X18" s="452"/>
      <c r="Y18" s="452"/>
      <c r="Z18" s="452"/>
      <c r="AA18" s="452"/>
      <c r="AB18" s="452"/>
      <c r="AC18" s="452"/>
      <c r="AD18" s="452"/>
      <c r="AE18" s="452"/>
      <c r="AF18" s="452"/>
      <c r="AG18" s="452"/>
      <c r="AH18" s="452"/>
      <c r="AI18" s="452"/>
      <c r="AJ18" s="452"/>
      <c r="AK18" s="452"/>
      <c r="AL18" s="452"/>
      <c r="AM18" s="452"/>
      <c r="AN18" s="452"/>
      <c r="AO18" s="452"/>
      <c r="AP18" s="452"/>
      <c r="AQ18" s="452"/>
      <c r="AR18" s="452"/>
      <c r="AS18" s="452"/>
      <c r="AT18" s="452"/>
      <c r="AU18" s="662" t="s">
        <v>110</v>
      </c>
      <c r="AV18" s="663">
        <f>SUM(AV1:AV17)</f>
        <v>1065947.2422062319</v>
      </c>
      <c r="AW18" s="664">
        <f>SUM(AW1:AW17)</f>
        <v>1000000.0000000001</v>
      </c>
      <c r="AX18" s="452"/>
      <c r="AY18" s="452"/>
      <c r="AZ18" s="452"/>
      <c r="BA18" s="452"/>
      <c r="BB18" s="452"/>
      <c r="BC18" s="452"/>
      <c r="BD18" s="452"/>
      <c r="BE18" s="452"/>
      <c r="BF18" s="452"/>
      <c r="BG18" s="452"/>
      <c r="BH18" s="452"/>
      <c r="BI18" s="452"/>
      <c r="BJ18" s="452"/>
      <c r="BK18" s="452"/>
      <c r="BL18" s="452"/>
      <c r="BM18" s="452"/>
      <c r="BN18" s="452"/>
      <c r="BO18" s="452"/>
      <c r="BP18" s="452"/>
      <c r="BQ18" s="452"/>
      <c r="BR18" s="452"/>
      <c r="BS18" s="452"/>
      <c r="BT18" s="452"/>
      <c r="BU18" s="452"/>
      <c r="BV18" s="452"/>
      <c r="BW18" s="452"/>
      <c r="BX18" s="452"/>
    </row>
    <row r="19" spans="1:76">
      <c r="A19" s="649"/>
      <c r="B19" s="649"/>
      <c r="C19" s="649"/>
      <c r="D19" s="649"/>
      <c r="E19" s="649"/>
      <c r="F19" s="649"/>
      <c r="G19" s="650"/>
      <c r="H19" s="452"/>
      <c r="I19" s="452"/>
      <c r="J19" s="452"/>
      <c r="K19" s="452"/>
      <c r="L19" s="649"/>
      <c r="M19" s="649"/>
      <c r="N19" s="649"/>
      <c r="O19" s="649"/>
      <c r="P19" s="649"/>
      <c r="Q19" s="649"/>
      <c r="R19" s="650"/>
      <c r="S19" s="452"/>
      <c r="T19" s="452"/>
      <c r="U19" s="452"/>
      <c r="V19" s="452"/>
      <c r="W19" s="452"/>
      <c r="X19" s="452"/>
      <c r="Y19" s="452"/>
      <c r="Z19" s="452"/>
      <c r="AA19" s="452"/>
      <c r="AB19" s="452"/>
      <c r="AC19" s="452"/>
      <c r="AD19" s="452"/>
      <c r="AE19" s="452"/>
      <c r="AF19" s="452"/>
      <c r="AG19" s="452"/>
      <c r="AH19" s="452"/>
      <c r="AI19" s="452"/>
      <c r="AJ19" s="452"/>
      <c r="AK19" s="452"/>
      <c r="AL19" s="452"/>
      <c r="AM19" s="452"/>
      <c r="AN19" s="452"/>
      <c r="AO19" s="452"/>
      <c r="AP19" s="452"/>
      <c r="AQ19" s="452"/>
      <c r="AR19" s="452"/>
      <c r="AS19" s="452"/>
      <c r="AT19" s="452"/>
      <c r="AU19" s="739"/>
      <c r="AV19" s="740"/>
      <c r="AW19" s="740"/>
      <c r="AX19" s="626"/>
      <c r="AY19" s="452"/>
      <c r="AZ19" s="452"/>
      <c r="BA19" s="452"/>
      <c r="BB19" s="452"/>
      <c r="BC19" s="452"/>
      <c r="BD19" s="452"/>
      <c r="BE19" s="452"/>
      <c r="BF19" s="452"/>
      <c r="BG19" s="452"/>
      <c r="BH19" s="452"/>
      <c r="BI19" s="452"/>
      <c r="BJ19" s="452"/>
      <c r="BK19" s="452"/>
      <c r="BL19" s="452"/>
      <c r="BM19" s="452"/>
      <c r="BN19" s="452"/>
      <c r="BO19" s="452"/>
      <c r="BP19" s="452"/>
      <c r="BQ19" s="452"/>
      <c r="BR19" s="452"/>
      <c r="BS19" s="452"/>
      <c r="BT19" s="452"/>
      <c r="BU19" s="452"/>
      <c r="BV19" s="452"/>
      <c r="BW19" s="452"/>
      <c r="BX19" s="452"/>
    </row>
    <row r="20" spans="1:76">
      <c r="A20" s="649"/>
      <c r="B20" s="649"/>
      <c r="C20" s="649"/>
      <c r="D20" s="649"/>
      <c r="E20" s="649"/>
      <c r="F20" s="649"/>
      <c r="G20" s="650"/>
      <c r="H20" s="452"/>
      <c r="I20" s="452"/>
      <c r="J20" s="452"/>
      <c r="K20" s="452"/>
      <c r="L20" s="649"/>
      <c r="M20" s="649"/>
      <c r="N20" s="649"/>
      <c r="O20" s="649"/>
      <c r="P20" s="649"/>
      <c r="Q20" s="649"/>
      <c r="R20" s="650"/>
      <c r="S20" s="452"/>
      <c r="T20" s="452"/>
      <c r="U20" s="452"/>
      <c r="V20" s="452"/>
      <c r="W20" s="452"/>
      <c r="X20" s="452"/>
      <c r="Y20" s="452"/>
      <c r="Z20" s="452"/>
      <c r="AA20" s="452"/>
      <c r="AB20" s="452"/>
      <c r="AC20" s="452"/>
      <c r="AD20" s="452"/>
      <c r="AE20" s="452"/>
      <c r="AF20" s="452"/>
      <c r="AG20" s="452"/>
      <c r="AH20" s="452"/>
      <c r="AI20" s="452"/>
      <c r="AJ20" s="452"/>
      <c r="AK20" s="452"/>
      <c r="AL20" s="452"/>
      <c r="AM20" s="452"/>
      <c r="AN20" s="452"/>
      <c r="AO20" s="452"/>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c r="BS20" s="452"/>
      <c r="BT20" s="452"/>
      <c r="BU20" s="452"/>
      <c r="BV20" s="452"/>
      <c r="BW20" s="452"/>
      <c r="BX20" s="452"/>
    </row>
    <row r="21" spans="1:76">
      <c r="A21" s="649"/>
      <c r="B21" s="649"/>
      <c r="C21" s="649"/>
      <c r="D21" s="649"/>
      <c r="E21" s="649"/>
      <c r="F21" s="649"/>
      <c r="G21" s="650"/>
      <c r="H21" s="452"/>
      <c r="I21" s="452"/>
      <c r="J21" s="452"/>
      <c r="K21" s="452"/>
      <c r="L21" s="649"/>
      <c r="M21" s="649"/>
      <c r="N21" s="649"/>
      <c r="O21" s="649"/>
      <c r="P21" s="649"/>
      <c r="Q21" s="649"/>
      <c r="R21" s="650"/>
      <c r="S21" s="452"/>
      <c r="T21" s="452"/>
      <c r="U21" s="452"/>
      <c r="V21" s="452"/>
      <c r="W21" s="452"/>
      <c r="X21" s="452"/>
      <c r="Y21" s="452"/>
      <c r="Z21" s="452"/>
      <c r="AA21" s="452"/>
      <c r="AB21" s="452"/>
      <c r="AC21" s="452"/>
      <c r="AD21" s="452"/>
      <c r="AE21" s="452"/>
      <c r="AF21" s="452"/>
      <c r="AG21" s="452"/>
      <c r="AH21" s="452"/>
      <c r="AI21" s="452"/>
      <c r="AJ21" s="452"/>
      <c r="AK21" s="452"/>
      <c r="AL21" s="452"/>
      <c r="AM21" s="452"/>
      <c r="AN21" s="452"/>
      <c r="AO21" s="452"/>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c r="BS21" s="452"/>
      <c r="BT21" s="452"/>
      <c r="BU21" s="452"/>
      <c r="BV21" s="452"/>
      <c r="BW21" s="452"/>
      <c r="BX21" s="452"/>
    </row>
    <row r="22" spans="1:76">
      <c r="A22" s="649"/>
      <c r="B22" s="649"/>
      <c r="C22" s="649"/>
      <c r="D22" s="649"/>
      <c r="E22" s="649"/>
      <c r="F22" s="649"/>
      <c r="G22" s="650"/>
      <c r="H22" s="452"/>
      <c r="I22" s="452"/>
      <c r="J22" s="452"/>
      <c r="K22" s="452"/>
      <c r="L22" s="649"/>
      <c r="M22" s="649"/>
      <c r="N22" s="649"/>
      <c r="O22" s="649"/>
      <c r="P22" s="649"/>
      <c r="Q22" s="649"/>
      <c r="R22" s="650"/>
      <c r="S22" s="452"/>
      <c r="T22" s="452"/>
      <c r="U22" s="452"/>
      <c r="V22" s="452"/>
      <c r="W22" s="452"/>
      <c r="X22" s="452"/>
      <c r="Y22" s="452"/>
      <c r="Z22" s="452"/>
      <c r="AA22" s="452"/>
      <c r="AB22" s="452"/>
      <c r="AC22" s="452"/>
      <c r="AD22" s="452"/>
      <c r="AE22" s="452"/>
      <c r="AF22" s="452"/>
      <c r="AG22" s="452"/>
      <c r="AH22" s="452"/>
      <c r="AI22" s="452"/>
      <c r="AJ22" s="452"/>
      <c r="AK22" s="452"/>
      <c r="AL22" s="452"/>
      <c r="AM22" s="452"/>
      <c r="AN22" s="452"/>
      <c r="AO22" s="452"/>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c r="BS22" s="452"/>
      <c r="BT22" s="452"/>
      <c r="BU22" s="452"/>
      <c r="BV22" s="452"/>
      <c r="BW22" s="452"/>
      <c r="BX22" s="452"/>
    </row>
    <row r="23" spans="1:76">
      <c r="A23" s="649"/>
      <c r="B23" s="649"/>
      <c r="C23" s="649"/>
      <c r="D23" s="649"/>
      <c r="E23" s="649"/>
      <c r="F23" s="649"/>
      <c r="G23" s="650"/>
      <c r="H23" s="452"/>
      <c r="I23" s="452"/>
      <c r="J23" s="452"/>
      <c r="K23" s="452"/>
      <c r="L23" s="649"/>
      <c r="M23" s="649"/>
      <c r="N23" s="649"/>
      <c r="O23" s="649"/>
      <c r="P23" s="649"/>
      <c r="Q23" s="649"/>
      <c r="R23" s="650"/>
      <c r="S23" s="452"/>
      <c r="T23" s="452"/>
      <c r="U23" s="452"/>
      <c r="V23" s="452"/>
      <c r="W23" s="452"/>
      <c r="X23" s="452"/>
      <c r="Y23" s="452"/>
      <c r="Z23" s="452"/>
      <c r="AA23" s="452"/>
      <c r="AB23" s="452"/>
      <c r="AC23" s="452"/>
      <c r="AD23" s="452"/>
      <c r="AE23" s="452"/>
      <c r="AF23" s="452"/>
      <c r="AG23" s="452"/>
      <c r="AH23" s="452"/>
      <c r="AI23" s="452"/>
      <c r="AJ23" s="452"/>
      <c r="AK23" s="452"/>
      <c r="AL23" s="452"/>
      <c r="AM23" s="452"/>
      <c r="AN23" s="452"/>
      <c r="AO23" s="452"/>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c r="BS23" s="452"/>
      <c r="BT23" s="452"/>
      <c r="BU23" s="452"/>
      <c r="BV23" s="452"/>
      <c r="BW23" s="452"/>
      <c r="BX23" s="452"/>
    </row>
    <row r="24" spans="1:76">
      <c r="A24" s="649"/>
      <c r="B24" s="649"/>
      <c r="C24" s="649"/>
      <c r="D24" s="649"/>
      <c r="E24" s="649"/>
      <c r="F24" s="649"/>
      <c r="G24" s="650"/>
      <c r="H24" s="452"/>
      <c r="I24" s="452"/>
      <c r="J24" s="452"/>
      <c r="K24" s="452"/>
      <c r="L24" s="649"/>
      <c r="M24" s="649"/>
      <c r="N24" s="649"/>
      <c r="O24" s="649"/>
      <c r="P24" s="649"/>
      <c r="Q24" s="649"/>
      <c r="R24" s="650"/>
      <c r="S24" s="452"/>
      <c r="T24" s="452"/>
      <c r="U24" s="452"/>
      <c r="V24" s="452"/>
      <c r="W24" s="452"/>
      <c r="X24" s="452"/>
      <c r="Y24" s="452"/>
      <c r="Z24" s="452"/>
      <c r="AA24" s="452"/>
      <c r="AB24" s="452"/>
      <c r="AC24" s="452"/>
      <c r="AD24" s="452"/>
      <c r="AE24" s="452"/>
      <c r="AF24" s="452"/>
      <c r="AG24" s="452"/>
      <c r="AH24" s="452"/>
      <c r="AI24" s="452"/>
      <c r="AJ24" s="452"/>
      <c r="AK24" s="452"/>
      <c r="AL24" s="452"/>
      <c r="AM24" s="452"/>
      <c r="AN24" s="452"/>
      <c r="AO24" s="452"/>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c r="BS24" s="452"/>
      <c r="BT24" s="452"/>
      <c r="BU24" s="452"/>
      <c r="BV24" s="452"/>
      <c r="BW24" s="452"/>
      <c r="BX24" s="452"/>
    </row>
    <row r="25" spans="1:76">
      <c r="A25" s="649"/>
      <c r="B25" s="649"/>
      <c r="C25" s="649"/>
      <c r="D25" s="649"/>
      <c r="E25" s="649"/>
      <c r="F25" s="649"/>
      <c r="G25" s="650"/>
      <c r="H25" s="452"/>
      <c r="I25" s="452"/>
      <c r="J25" s="452"/>
      <c r="K25" s="452"/>
      <c r="L25" s="649"/>
      <c r="M25" s="649"/>
      <c r="N25" s="649"/>
      <c r="O25" s="649"/>
      <c r="P25" s="649"/>
      <c r="Q25" s="649"/>
      <c r="R25" s="650"/>
      <c r="S25" s="452"/>
      <c r="T25" s="452"/>
      <c r="U25" s="452"/>
      <c r="V25" s="452"/>
      <c r="W25" s="452"/>
      <c r="X25" s="452"/>
      <c r="Y25" s="452"/>
      <c r="Z25" s="452"/>
      <c r="AA25" s="452"/>
      <c r="AB25" s="452"/>
      <c r="AC25" s="452"/>
      <c r="AD25" s="452"/>
      <c r="AE25" s="452"/>
      <c r="AF25" s="452"/>
      <c r="AG25" s="452"/>
      <c r="AH25" s="452"/>
      <c r="AI25" s="452"/>
      <c r="AJ25" s="452"/>
      <c r="AK25" s="452"/>
      <c r="AL25" s="452"/>
      <c r="AM25" s="452"/>
      <c r="AN25" s="452"/>
      <c r="AO25" s="452"/>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c r="BS25" s="452"/>
      <c r="BT25" s="452"/>
      <c r="BU25" s="452"/>
      <c r="BV25" s="452"/>
      <c r="BW25" s="452"/>
      <c r="BX25" s="452"/>
    </row>
    <row r="26" spans="1:76">
      <c r="A26" s="649"/>
      <c r="B26" s="649"/>
      <c r="C26" s="649"/>
      <c r="D26" s="649"/>
      <c r="E26" s="649"/>
      <c r="F26" s="649"/>
      <c r="G26" s="650"/>
      <c r="H26" s="452"/>
      <c r="I26" s="452"/>
      <c r="J26" s="452"/>
      <c r="K26" s="452"/>
      <c r="L26" s="649"/>
      <c r="M26" s="649"/>
      <c r="N26" s="649"/>
      <c r="O26" s="649"/>
      <c r="P26" s="649"/>
      <c r="Q26" s="649"/>
      <c r="R26" s="650"/>
      <c r="S26" s="452"/>
      <c r="T26" s="452"/>
      <c r="U26" s="452"/>
      <c r="V26" s="452"/>
      <c r="W26" s="452"/>
      <c r="X26" s="452"/>
      <c r="Y26" s="452"/>
      <c r="Z26" s="452"/>
      <c r="AA26" s="452"/>
      <c r="AB26" s="452"/>
      <c r="AC26" s="452"/>
      <c r="AD26" s="452"/>
      <c r="AE26" s="452"/>
      <c r="AF26" s="452"/>
      <c r="AG26" s="452"/>
      <c r="AH26" s="452"/>
      <c r="AI26" s="452"/>
      <c r="AJ26" s="452"/>
      <c r="AK26" s="452"/>
      <c r="AL26" s="452"/>
      <c r="AM26" s="452"/>
      <c r="AN26" s="452"/>
      <c r="AO26" s="452"/>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c r="BS26" s="452"/>
      <c r="BT26" s="452"/>
      <c r="BU26" s="452"/>
      <c r="BV26" s="452"/>
      <c r="BW26" s="452"/>
      <c r="BX26" s="452"/>
    </row>
    <row r="27" spans="1:76">
      <c r="A27" s="649"/>
      <c r="B27" s="649"/>
      <c r="C27" s="649"/>
      <c r="D27" s="649"/>
      <c r="E27" s="649"/>
      <c r="F27" s="649"/>
      <c r="G27" s="650"/>
      <c r="H27" s="452"/>
      <c r="I27" s="452"/>
      <c r="J27" s="452"/>
      <c r="K27" s="452"/>
      <c r="L27" s="649"/>
      <c r="M27" s="649"/>
      <c r="N27" s="649"/>
      <c r="O27" s="649"/>
      <c r="P27" s="649"/>
      <c r="Q27" s="649"/>
      <c r="R27" s="650"/>
      <c r="S27" s="452"/>
      <c r="T27" s="452"/>
      <c r="U27" s="452"/>
      <c r="V27" s="452"/>
      <c r="W27" s="452"/>
      <c r="X27" s="452"/>
      <c r="Y27" s="452"/>
      <c r="Z27" s="452"/>
      <c r="AA27" s="452"/>
      <c r="AB27" s="452"/>
      <c r="AC27" s="452"/>
      <c r="AD27" s="452"/>
      <c r="AE27" s="452"/>
      <c r="AF27" s="452"/>
      <c r="AG27" s="452"/>
      <c r="AH27" s="452"/>
      <c r="AI27" s="452"/>
      <c r="AJ27" s="452"/>
      <c r="AK27" s="452"/>
      <c r="AL27" s="452"/>
      <c r="AM27" s="452"/>
      <c r="AN27" s="452"/>
      <c r="AO27" s="452"/>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c r="BS27" s="452"/>
      <c r="BT27" s="452"/>
      <c r="BU27" s="452"/>
      <c r="BV27" s="452"/>
      <c r="BW27" s="452"/>
      <c r="BX27" s="452"/>
    </row>
    <row r="28" spans="1:76">
      <c r="A28" s="649"/>
      <c r="B28" s="649"/>
      <c r="C28" s="649"/>
      <c r="D28" s="649"/>
      <c r="E28" s="649"/>
      <c r="F28" s="649"/>
      <c r="G28" s="650"/>
      <c r="H28" s="452"/>
      <c r="I28" s="452"/>
      <c r="J28" s="452"/>
      <c r="K28" s="452"/>
      <c r="L28" s="649"/>
      <c r="M28" s="649"/>
      <c r="N28" s="649"/>
      <c r="O28" s="649"/>
      <c r="P28" s="649"/>
      <c r="Q28" s="649"/>
      <c r="R28" s="650"/>
      <c r="S28" s="452"/>
      <c r="T28" s="452"/>
      <c r="U28" s="452"/>
      <c r="V28" s="452"/>
      <c r="W28" s="452"/>
      <c r="X28" s="452"/>
      <c r="Y28" s="452"/>
      <c r="Z28" s="452"/>
      <c r="AA28" s="452"/>
      <c r="AB28" s="452"/>
      <c r="AC28" s="452"/>
      <c r="AD28" s="452"/>
      <c r="AE28" s="452"/>
      <c r="AF28" s="452"/>
      <c r="AG28" s="452"/>
      <c r="AH28" s="452"/>
      <c r="AI28" s="452"/>
      <c r="AJ28" s="452"/>
      <c r="AK28" s="452"/>
      <c r="AL28" s="452"/>
      <c r="AM28" s="452"/>
      <c r="AN28" s="452"/>
      <c r="AO28" s="452"/>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c r="BS28" s="452"/>
      <c r="BT28" s="452"/>
      <c r="BU28" s="452"/>
      <c r="BV28" s="452"/>
      <c r="BW28" s="452"/>
      <c r="BX28" s="452"/>
    </row>
    <row r="29" spans="1:76">
      <c r="A29" s="649"/>
      <c r="B29" s="649"/>
      <c r="C29" s="649"/>
      <c r="D29" s="649"/>
      <c r="E29" s="649"/>
      <c r="F29" s="649"/>
      <c r="G29" s="650"/>
      <c r="H29" s="452"/>
      <c r="I29" s="452"/>
      <c r="J29" s="452"/>
      <c r="K29" s="452"/>
      <c r="L29" s="649"/>
      <c r="M29" s="649"/>
      <c r="N29" s="649"/>
      <c r="O29" s="649"/>
      <c r="P29" s="649"/>
      <c r="Q29" s="649"/>
      <c r="R29" s="650"/>
      <c r="S29" s="452"/>
      <c r="T29" s="452"/>
      <c r="U29" s="452"/>
      <c r="V29" s="452"/>
      <c r="W29" s="452"/>
      <c r="X29" s="452"/>
      <c r="Y29" s="452"/>
      <c r="Z29" s="452"/>
      <c r="AA29" s="452"/>
      <c r="AB29" s="452"/>
      <c r="AC29" s="452"/>
      <c r="AD29" s="452"/>
      <c r="AE29" s="452"/>
      <c r="AF29" s="452"/>
      <c r="AG29" s="452"/>
      <c r="AH29" s="452"/>
      <c r="AI29" s="452"/>
      <c r="AJ29" s="452"/>
      <c r="AK29" s="452"/>
      <c r="AL29" s="452"/>
      <c r="AM29" s="452"/>
      <c r="AN29" s="452"/>
      <c r="AO29" s="452"/>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c r="BS29" s="452"/>
      <c r="BT29" s="452"/>
      <c r="BU29" s="452"/>
      <c r="BV29" s="452"/>
      <c r="BW29" s="452"/>
      <c r="BX29" s="452"/>
    </row>
    <row r="30" spans="1:76">
      <c r="A30" s="649"/>
      <c r="B30" s="649"/>
      <c r="C30" s="649"/>
      <c r="D30" s="649"/>
      <c r="E30" s="649"/>
      <c r="F30" s="649"/>
      <c r="G30" s="650"/>
      <c r="H30" s="452"/>
      <c r="I30" s="452"/>
      <c r="J30" s="452"/>
      <c r="K30" s="452"/>
      <c r="L30" s="649"/>
      <c r="M30" s="649"/>
      <c r="N30" s="649"/>
      <c r="O30" s="649"/>
      <c r="P30" s="649"/>
      <c r="Q30" s="649"/>
      <c r="R30" s="650"/>
      <c r="S30" s="452"/>
      <c r="T30" s="452"/>
      <c r="U30" s="452"/>
      <c r="V30" s="452"/>
      <c r="W30" s="452"/>
      <c r="X30" s="452"/>
      <c r="Y30" s="452"/>
      <c r="Z30" s="452"/>
      <c r="AA30" s="452"/>
      <c r="AB30" s="452"/>
      <c r="AC30" s="452"/>
      <c r="AD30" s="452"/>
      <c r="AE30" s="452"/>
      <c r="AF30" s="452"/>
      <c r="AG30" s="452"/>
      <c r="AH30" s="452"/>
      <c r="AI30" s="452"/>
      <c r="AJ30" s="452"/>
      <c r="AK30" s="452"/>
      <c r="AL30" s="452"/>
      <c r="AM30" s="452"/>
      <c r="AN30" s="452"/>
      <c r="AO30" s="452"/>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c r="BS30" s="452"/>
      <c r="BT30" s="452"/>
      <c r="BU30" s="452"/>
      <c r="BV30" s="452"/>
      <c r="BW30" s="452"/>
      <c r="BX30" s="452"/>
    </row>
    <row r="31" spans="1:76">
      <c r="A31" s="649"/>
      <c r="B31" s="649"/>
      <c r="C31" s="649"/>
      <c r="D31" s="649"/>
      <c r="E31" s="649"/>
      <c r="F31" s="649"/>
      <c r="G31" s="650"/>
      <c r="H31" s="452"/>
      <c r="I31" s="452"/>
      <c r="J31" s="452"/>
      <c r="K31" s="452"/>
      <c r="L31" s="649"/>
      <c r="M31" s="649"/>
      <c r="N31" s="649"/>
      <c r="O31" s="649"/>
      <c r="P31" s="649"/>
      <c r="Q31" s="649"/>
      <c r="R31" s="650"/>
      <c r="S31" s="452"/>
      <c r="T31" s="452"/>
      <c r="U31" s="452"/>
      <c r="V31" s="452"/>
      <c r="W31" s="452"/>
      <c r="X31" s="452"/>
      <c r="Y31" s="452"/>
      <c r="Z31" s="452"/>
      <c r="AA31" s="452"/>
      <c r="AB31" s="452"/>
      <c r="AC31" s="452"/>
      <c r="AD31" s="452"/>
      <c r="AE31" s="452"/>
      <c r="AF31" s="452"/>
      <c r="AG31" s="452"/>
      <c r="AH31" s="452"/>
      <c r="AI31" s="452"/>
      <c r="AJ31" s="452"/>
      <c r="AK31" s="452"/>
      <c r="AL31" s="452"/>
      <c r="AM31" s="452"/>
      <c r="AN31" s="452"/>
      <c r="AO31" s="452"/>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c r="BS31" s="452"/>
      <c r="BT31" s="452"/>
      <c r="BU31" s="452"/>
      <c r="BV31" s="452"/>
      <c r="BW31" s="452"/>
      <c r="BX31" s="452"/>
    </row>
    <row r="32" spans="1:76">
      <c r="A32" s="649"/>
      <c r="B32" s="649"/>
      <c r="C32" s="649"/>
      <c r="D32" s="649"/>
      <c r="E32" s="649"/>
      <c r="F32" s="649"/>
      <c r="G32" s="650"/>
      <c r="H32" s="452"/>
      <c r="I32" s="452"/>
      <c r="J32" s="452"/>
      <c r="K32" s="452"/>
      <c r="L32" s="649"/>
      <c r="M32" s="649"/>
      <c r="N32" s="649"/>
      <c r="O32" s="649"/>
      <c r="P32" s="649"/>
      <c r="Q32" s="649"/>
      <c r="R32" s="650"/>
      <c r="S32" s="452"/>
      <c r="T32" s="452"/>
      <c r="U32" s="452"/>
      <c r="V32" s="452"/>
      <c r="W32" s="452"/>
      <c r="X32" s="452"/>
      <c r="Y32" s="452"/>
      <c r="Z32" s="452"/>
      <c r="AA32" s="452"/>
      <c r="AB32" s="452"/>
      <c r="AC32" s="452"/>
      <c r="AD32" s="452"/>
      <c r="AE32" s="452"/>
      <c r="AF32" s="452"/>
      <c r="AG32" s="452"/>
      <c r="AH32" s="452"/>
      <c r="AI32" s="452"/>
      <c r="AJ32" s="452"/>
      <c r="AK32" s="452"/>
      <c r="AL32" s="452"/>
      <c r="AM32" s="452"/>
      <c r="AN32" s="452"/>
      <c r="AO32" s="452"/>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c r="BS32" s="452"/>
      <c r="BT32" s="452"/>
      <c r="BU32" s="452"/>
      <c r="BV32" s="452"/>
      <c r="BW32" s="452"/>
      <c r="BX32" s="452"/>
    </row>
    <row r="33" spans="1:76">
      <c r="A33" s="649"/>
      <c r="B33" s="649"/>
      <c r="C33" s="649"/>
      <c r="D33" s="649"/>
      <c r="E33" s="649"/>
      <c r="F33" s="649"/>
      <c r="G33" s="650"/>
      <c r="H33" s="452"/>
      <c r="I33" s="452"/>
      <c r="J33" s="452"/>
      <c r="K33" s="452"/>
      <c r="L33" s="649"/>
      <c r="M33" s="649"/>
      <c r="N33" s="649"/>
      <c r="O33" s="649"/>
      <c r="P33" s="649"/>
      <c r="Q33" s="649"/>
      <c r="R33" s="650"/>
      <c r="S33" s="452"/>
      <c r="T33" s="452"/>
      <c r="U33" s="452"/>
      <c r="V33" s="452"/>
      <c r="W33" s="452"/>
      <c r="X33" s="452"/>
      <c r="Y33" s="452"/>
      <c r="Z33" s="452"/>
      <c r="AA33" s="452"/>
      <c r="AB33" s="452"/>
      <c r="AC33" s="452"/>
      <c r="AD33" s="452"/>
      <c r="AE33" s="452"/>
      <c r="AF33" s="452"/>
      <c r="AG33" s="452"/>
      <c r="AH33" s="452"/>
      <c r="AI33" s="452"/>
      <c r="AJ33" s="452"/>
      <c r="AK33" s="452"/>
      <c r="AL33" s="452"/>
      <c r="AM33" s="452"/>
      <c r="AN33" s="452"/>
      <c r="AO33" s="452"/>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c r="BS33" s="452"/>
      <c r="BT33" s="452"/>
      <c r="BU33" s="452"/>
      <c r="BV33" s="452"/>
      <c r="BW33" s="452"/>
      <c r="BX33" s="452"/>
    </row>
    <row r="34" spans="1:76">
      <c r="A34" s="649"/>
      <c r="B34" s="649"/>
      <c r="C34" s="649"/>
      <c r="D34" s="649"/>
      <c r="E34" s="649"/>
      <c r="F34" s="649"/>
      <c r="G34" s="650"/>
      <c r="H34" s="452"/>
      <c r="I34" s="452"/>
      <c r="J34" s="452"/>
      <c r="K34" s="452"/>
      <c r="L34" s="649"/>
      <c r="M34" s="649"/>
      <c r="N34" s="649"/>
      <c r="O34" s="649"/>
      <c r="P34" s="649"/>
      <c r="Q34" s="649"/>
      <c r="R34" s="650"/>
      <c r="S34" s="452"/>
      <c r="T34" s="452"/>
      <c r="U34" s="452"/>
      <c r="V34" s="452"/>
      <c r="W34" s="452"/>
      <c r="X34" s="452"/>
      <c r="Y34" s="452"/>
      <c r="Z34" s="452"/>
      <c r="AA34" s="452"/>
      <c r="AB34" s="452"/>
      <c r="AC34" s="452"/>
      <c r="AD34" s="452"/>
      <c r="AE34" s="452"/>
      <c r="AF34" s="452"/>
      <c r="AG34" s="452"/>
      <c r="AH34" s="452"/>
      <c r="AI34" s="452"/>
      <c r="AJ34" s="452"/>
      <c r="AK34" s="452"/>
      <c r="AL34" s="452"/>
      <c r="AM34" s="452"/>
      <c r="AN34" s="452"/>
      <c r="AO34" s="452"/>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c r="BS34" s="452"/>
      <c r="BT34" s="452"/>
      <c r="BU34" s="452"/>
      <c r="BV34" s="452"/>
      <c r="BW34" s="452"/>
      <c r="BX34" s="452"/>
    </row>
    <row r="35" spans="1:76">
      <c r="A35" s="739"/>
      <c r="B35" s="740"/>
      <c r="C35" s="740"/>
      <c r="D35" s="626"/>
      <c r="E35" s="626"/>
      <c r="F35" s="626"/>
      <c r="G35" s="626"/>
      <c r="H35" s="626"/>
      <c r="I35" s="626"/>
      <c r="J35" s="626"/>
      <c r="K35" s="452"/>
      <c r="L35" s="741"/>
      <c r="M35" s="740"/>
      <c r="N35" s="740"/>
      <c r="O35" s="626"/>
      <c r="P35" s="626"/>
      <c r="Q35" s="626"/>
      <c r="R35" s="626"/>
      <c r="S35" s="626"/>
      <c r="T35" s="626"/>
      <c r="U35" s="626"/>
      <c r="V35" s="452"/>
      <c r="W35" s="452"/>
      <c r="X35" s="452"/>
      <c r="Y35" s="452"/>
      <c r="Z35" s="452"/>
      <c r="AA35" s="452"/>
      <c r="AB35" s="452"/>
      <c r="AC35" s="452"/>
      <c r="AD35" s="452"/>
      <c r="AE35" s="452"/>
      <c r="AF35" s="452"/>
      <c r="AG35" s="452"/>
      <c r="AH35" s="452"/>
      <c r="AI35" s="452"/>
      <c r="AJ35" s="452"/>
      <c r="AK35" s="452"/>
      <c r="AL35" s="452"/>
      <c r="AM35" s="452"/>
      <c r="AN35" s="452"/>
      <c r="AO35" s="452"/>
      <c r="AP35" s="452"/>
      <c r="AQ35" s="452"/>
      <c r="AR35" s="452"/>
      <c r="AS35" s="452"/>
      <c r="AT35" s="452"/>
      <c r="AU35" s="452"/>
      <c r="AV35" s="452"/>
      <c r="AW35" s="452"/>
      <c r="AX35" s="452"/>
      <c r="AY35" s="626"/>
      <c r="AZ35" s="626"/>
      <c r="BA35" s="626"/>
      <c r="BB35" s="626"/>
      <c r="BC35" s="626"/>
      <c r="BD35" s="626"/>
      <c r="BE35" s="452"/>
      <c r="BF35" s="452"/>
      <c r="BG35" s="452"/>
      <c r="BH35" s="452"/>
      <c r="BI35" s="452"/>
      <c r="BJ35" s="452"/>
      <c r="BK35" s="452"/>
      <c r="BL35" s="452"/>
      <c r="BM35" s="452"/>
      <c r="BN35" s="452"/>
      <c r="BO35" s="452"/>
      <c r="BP35" s="452"/>
      <c r="BQ35" s="452"/>
      <c r="BR35" s="452"/>
      <c r="BS35" s="452"/>
      <c r="BT35" s="452"/>
      <c r="BU35" s="452"/>
      <c r="BV35" s="452"/>
      <c r="BW35" s="452"/>
      <c r="BX35" s="452"/>
    </row>
    <row r="36" spans="1:76">
      <c r="A36" s="739"/>
      <c r="B36" s="740"/>
      <c r="C36" s="740"/>
      <c r="D36" s="626"/>
      <c r="E36" s="626"/>
      <c r="F36" s="626"/>
      <c r="G36" s="626"/>
      <c r="H36" s="626"/>
      <c r="I36" s="626"/>
      <c r="J36" s="626"/>
      <c r="K36" s="452"/>
      <c r="L36" s="741"/>
      <c r="M36" s="740"/>
      <c r="N36" s="740"/>
      <c r="O36" s="626"/>
      <c r="P36" s="626"/>
      <c r="Q36" s="626"/>
      <c r="R36" s="626"/>
      <c r="S36" s="626"/>
      <c r="T36" s="626"/>
      <c r="U36" s="626"/>
      <c r="V36" s="452"/>
      <c r="W36" s="452"/>
      <c r="X36" s="452"/>
      <c r="Y36" s="452"/>
      <c r="Z36" s="452"/>
      <c r="AA36" s="452"/>
      <c r="AB36" s="452"/>
      <c r="AC36" s="452"/>
      <c r="AD36" s="452"/>
      <c r="AE36" s="452"/>
      <c r="AF36" s="452"/>
      <c r="AG36" s="452"/>
      <c r="AH36" s="452"/>
      <c r="AI36" s="452"/>
      <c r="AJ36" s="452"/>
      <c r="AK36" s="452"/>
      <c r="AL36" s="452"/>
      <c r="AM36" s="452"/>
      <c r="AN36" s="452"/>
      <c r="AO36" s="452"/>
      <c r="AP36" s="452"/>
      <c r="AQ36" s="452"/>
      <c r="AR36" s="452"/>
      <c r="AS36" s="452"/>
      <c r="AT36" s="452"/>
      <c r="AU36" s="452"/>
      <c r="AV36" s="452"/>
      <c r="AW36" s="452"/>
      <c r="AX36" s="452"/>
      <c r="AY36" s="626"/>
      <c r="AZ36" s="626"/>
      <c r="BA36" s="626"/>
      <c r="BB36" s="626"/>
      <c r="BC36" s="626"/>
      <c r="BD36" s="626"/>
      <c r="BE36" s="452"/>
      <c r="BF36" s="452"/>
      <c r="BG36" s="452"/>
      <c r="BH36" s="452"/>
      <c r="BI36" s="452"/>
      <c r="BJ36" s="452"/>
      <c r="BK36" s="452"/>
      <c r="BL36" s="452"/>
      <c r="BM36" s="452"/>
      <c r="BN36" s="452"/>
      <c r="BO36" s="452"/>
      <c r="BP36" s="452"/>
      <c r="BQ36" s="452"/>
      <c r="BR36" s="452"/>
      <c r="BS36" s="452"/>
      <c r="BT36" s="452"/>
      <c r="BU36" s="452"/>
      <c r="BV36" s="452"/>
      <c r="BW36" s="452"/>
      <c r="BX36" s="452"/>
    </row>
    <row r="37" spans="1:76">
      <c r="A37" s="739"/>
      <c r="B37" s="740"/>
      <c r="C37" s="740"/>
      <c r="D37" s="626"/>
      <c r="E37" s="626"/>
      <c r="F37" s="626"/>
      <c r="G37" s="626"/>
      <c r="H37" s="626"/>
      <c r="I37" s="626"/>
      <c r="J37" s="626"/>
      <c r="K37" s="452"/>
      <c r="L37" s="741"/>
      <c r="M37" s="740"/>
      <c r="N37" s="740"/>
      <c r="O37" s="626"/>
      <c r="P37" s="626"/>
      <c r="Q37" s="626"/>
      <c r="R37" s="626"/>
      <c r="S37" s="626"/>
      <c r="T37" s="626"/>
      <c r="U37" s="626"/>
      <c r="V37" s="452"/>
      <c r="W37" s="452"/>
      <c r="X37" s="452"/>
      <c r="Y37" s="452"/>
      <c r="Z37" s="452"/>
      <c r="AA37" s="452"/>
      <c r="AB37" s="452"/>
      <c r="AC37" s="452"/>
      <c r="AD37" s="452"/>
      <c r="AE37" s="452"/>
      <c r="AF37" s="452"/>
      <c r="AG37" s="452"/>
      <c r="AH37" s="452"/>
      <c r="AI37" s="452"/>
      <c r="AJ37" s="452"/>
      <c r="AK37" s="452"/>
      <c r="AL37" s="452"/>
      <c r="AM37" s="452"/>
      <c r="AN37" s="452"/>
      <c r="AO37" s="452"/>
      <c r="AP37" s="452"/>
      <c r="AQ37" s="452"/>
      <c r="AR37" s="452"/>
      <c r="AS37" s="452"/>
      <c r="AT37" s="452"/>
      <c r="AU37" s="452"/>
      <c r="AV37" s="452"/>
      <c r="AW37" s="452"/>
      <c r="AX37" s="452"/>
      <c r="AY37" s="626"/>
      <c r="AZ37" s="626"/>
      <c r="BA37" s="626"/>
      <c r="BB37" s="626"/>
      <c r="BC37" s="626"/>
      <c r="BD37" s="626"/>
      <c r="BE37" s="452"/>
      <c r="BF37" s="452"/>
      <c r="BG37" s="452"/>
      <c r="BH37" s="452"/>
      <c r="BI37" s="452"/>
      <c r="BJ37" s="452"/>
      <c r="BK37" s="452"/>
      <c r="BL37" s="452"/>
      <c r="BM37" s="452"/>
      <c r="BN37" s="452"/>
      <c r="BO37" s="452"/>
      <c r="BP37" s="452"/>
      <c r="BQ37" s="452"/>
      <c r="BR37" s="452"/>
      <c r="BS37" s="452"/>
      <c r="BT37" s="452"/>
      <c r="BU37" s="452"/>
      <c r="BV37" s="452"/>
      <c r="BW37" s="452"/>
      <c r="BX37" s="452"/>
    </row>
    <row r="38" spans="1:76">
      <c r="A38" s="739"/>
      <c r="B38" s="740"/>
      <c r="C38" s="740"/>
      <c r="D38" s="626"/>
      <c r="E38" s="626"/>
      <c r="F38" s="626"/>
      <c r="G38" s="626"/>
      <c r="H38" s="626"/>
      <c r="I38" s="626"/>
      <c r="J38" s="626"/>
      <c r="K38" s="452"/>
      <c r="L38" s="741"/>
      <c r="M38" s="740"/>
      <c r="N38" s="740"/>
      <c r="O38" s="626"/>
      <c r="P38" s="626"/>
      <c r="Q38" s="626"/>
      <c r="R38" s="626"/>
      <c r="S38" s="626"/>
      <c r="T38" s="626"/>
      <c r="U38" s="626"/>
      <c r="V38" s="452"/>
      <c r="W38" s="452"/>
      <c r="X38" s="452"/>
      <c r="Y38" s="452"/>
      <c r="Z38" s="452"/>
      <c r="AA38" s="452"/>
      <c r="AB38" s="452"/>
      <c r="AC38" s="452"/>
      <c r="AD38" s="452"/>
      <c r="AE38" s="452"/>
      <c r="AF38" s="452"/>
      <c r="AG38" s="452"/>
      <c r="AH38" s="452"/>
      <c r="AI38" s="452"/>
      <c r="AJ38" s="452"/>
      <c r="AK38" s="452"/>
      <c r="AL38" s="452"/>
      <c r="AM38" s="452"/>
      <c r="AN38" s="452"/>
      <c r="AO38" s="452"/>
      <c r="AP38" s="452"/>
      <c r="AQ38" s="452"/>
      <c r="AR38" s="452"/>
      <c r="AS38" s="452"/>
      <c r="AT38" s="452"/>
      <c r="AU38" s="452"/>
      <c r="AV38" s="452"/>
      <c r="AW38" s="452"/>
      <c r="AX38" s="452"/>
      <c r="AY38" s="626"/>
      <c r="AZ38" s="626"/>
      <c r="BA38" s="626"/>
      <c r="BB38" s="626"/>
      <c r="BC38" s="626"/>
      <c r="BD38" s="626"/>
      <c r="BE38" s="452"/>
      <c r="BF38" s="452"/>
      <c r="BG38" s="452"/>
      <c r="BH38" s="452"/>
      <c r="BI38" s="452"/>
      <c r="BJ38" s="452"/>
      <c r="BK38" s="452"/>
      <c r="BL38" s="452"/>
      <c r="BM38" s="452"/>
      <c r="BN38" s="452"/>
      <c r="BO38" s="452"/>
      <c r="BP38" s="452"/>
      <c r="BQ38" s="452"/>
      <c r="BR38" s="452"/>
      <c r="BS38" s="452"/>
      <c r="BT38" s="452"/>
      <c r="BU38" s="452"/>
      <c r="BV38" s="452"/>
      <c r="BW38" s="452"/>
      <c r="BX38" s="452"/>
    </row>
    <row r="39" spans="1:76">
      <c r="A39" s="739"/>
      <c r="B39" s="740"/>
      <c r="C39" s="740"/>
      <c r="D39" s="626"/>
      <c r="E39" s="626"/>
      <c r="F39" s="626"/>
      <c r="G39" s="626"/>
      <c r="H39" s="626"/>
      <c r="I39" s="626"/>
      <c r="J39" s="626"/>
      <c r="K39" s="452"/>
      <c r="L39" s="741"/>
      <c r="M39" s="740"/>
      <c r="N39" s="740"/>
      <c r="O39" s="626"/>
      <c r="P39" s="626"/>
      <c r="Q39" s="626"/>
      <c r="R39" s="626"/>
      <c r="S39" s="626"/>
      <c r="T39" s="626"/>
      <c r="U39" s="626"/>
      <c r="V39" s="452"/>
      <c r="W39" s="452"/>
      <c r="X39" s="452"/>
      <c r="Y39" s="452"/>
      <c r="Z39" s="452"/>
      <c r="AA39" s="452"/>
      <c r="AB39" s="452"/>
      <c r="AC39" s="452"/>
      <c r="AD39" s="452"/>
      <c r="AE39" s="452"/>
      <c r="AF39" s="452"/>
      <c r="AG39" s="452"/>
      <c r="AH39" s="452"/>
      <c r="AI39" s="452"/>
      <c r="AJ39" s="452"/>
      <c r="AK39" s="452"/>
      <c r="AL39" s="452"/>
      <c r="AM39" s="452"/>
      <c r="AN39" s="452"/>
      <c r="AO39" s="452"/>
      <c r="AP39" s="452"/>
      <c r="AQ39" s="452"/>
      <c r="AR39" s="452"/>
      <c r="AS39" s="452"/>
      <c r="AT39" s="452"/>
      <c r="AU39" s="452"/>
      <c r="AV39" s="452"/>
      <c r="AW39" s="452"/>
      <c r="AX39" s="452"/>
      <c r="AY39" s="626"/>
      <c r="AZ39" s="626"/>
      <c r="BA39" s="626"/>
      <c r="BB39" s="626"/>
      <c r="BC39" s="626"/>
      <c r="BD39" s="626"/>
      <c r="BE39" s="452"/>
      <c r="BF39" s="452"/>
      <c r="BG39" s="452"/>
      <c r="BH39" s="452"/>
      <c r="BI39" s="452"/>
      <c r="BJ39" s="452"/>
      <c r="BK39" s="452"/>
      <c r="BL39" s="452"/>
      <c r="BM39" s="452"/>
      <c r="BN39" s="452"/>
      <c r="BO39" s="452"/>
      <c r="BP39" s="452"/>
      <c r="BQ39" s="452"/>
      <c r="BR39" s="452"/>
      <c r="BS39" s="452"/>
      <c r="BT39" s="452"/>
      <c r="BU39" s="452"/>
      <c r="BV39" s="452"/>
      <c r="BW39" s="452"/>
      <c r="BX39" s="452"/>
    </row>
    <row r="40" spans="1:76">
      <c r="A40" s="739"/>
      <c r="B40" s="740"/>
      <c r="C40" s="740"/>
      <c r="D40" s="626"/>
      <c r="E40" s="626"/>
      <c r="F40" s="626"/>
      <c r="G40" s="626"/>
      <c r="H40" s="626"/>
      <c r="I40" s="626"/>
      <c r="J40" s="626"/>
      <c r="K40" s="452"/>
      <c r="L40" s="741"/>
      <c r="M40" s="740"/>
      <c r="N40" s="740"/>
      <c r="O40" s="626"/>
      <c r="P40" s="626"/>
      <c r="Q40" s="626"/>
      <c r="R40" s="626"/>
      <c r="S40" s="626"/>
      <c r="T40" s="626"/>
      <c r="U40" s="626"/>
      <c r="V40" s="452"/>
      <c r="W40" s="452"/>
      <c r="X40" s="452"/>
      <c r="Y40" s="452"/>
      <c r="Z40" s="452"/>
      <c r="AA40" s="452"/>
      <c r="AB40" s="452"/>
      <c r="AC40" s="452"/>
      <c r="AD40" s="452"/>
      <c r="AE40" s="452"/>
      <c r="AF40" s="452"/>
      <c r="AG40" s="452"/>
      <c r="AH40" s="452"/>
      <c r="AI40" s="452"/>
      <c r="AJ40" s="452"/>
      <c r="AK40" s="452"/>
      <c r="AL40" s="452"/>
      <c r="AM40" s="452"/>
      <c r="AN40" s="452"/>
      <c r="AO40" s="452"/>
      <c r="AP40" s="452"/>
      <c r="AQ40" s="452"/>
      <c r="AR40" s="452"/>
      <c r="AS40" s="452"/>
      <c r="AT40" s="452"/>
      <c r="AU40" s="452"/>
      <c r="AV40" s="452"/>
      <c r="AW40" s="452"/>
      <c r="AX40" s="452"/>
      <c r="AY40" s="626"/>
      <c r="AZ40" s="626"/>
      <c r="BA40" s="626"/>
      <c r="BB40" s="626"/>
      <c r="BC40" s="626"/>
      <c r="BD40" s="626"/>
      <c r="BE40" s="452"/>
      <c r="BF40" s="452"/>
      <c r="BG40" s="452"/>
      <c r="BH40" s="452"/>
      <c r="BI40" s="452"/>
      <c r="BJ40" s="452"/>
      <c r="BK40" s="452"/>
      <c r="BL40" s="452"/>
      <c r="BM40" s="452"/>
      <c r="BN40" s="452"/>
      <c r="BO40" s="452"/>
      <c r="BP40" s="452"/>
      <c r="BQ40" s="452"/>
      <c r="BR40" s="452"/>
      <c r="BS40" s="452"/>
      <c r="BT40" s="452"/>
      <c r="BU40" s="452"/>
      <c r="BV40" s="452"/>
      <c r="BW40" s="452"/>
      <c r="BX40" s="452"/>
    </row>
    <row r="41" spans="1:76">
      <c r="A41" s="739"/>
      <c r="B41" s="740"/>
      <c r="C41" s="740"/>
      <c r="D41" s="626"/>
      <c r="E41" s="626"/>
      <c r="F41" s="626"/>
      <c r="G41" s="626"/>
      <c r="H41" s="626"/>
      <c r="I41" s="626"/>
      <c r="J41" s="626"/>
      <c r="K41" s="452"/>
      <c r="L41" s="741"/>
      <c r="M41" s="740"/>
      <c r="N41" s="740"/>
      <c r="O41" s="626"/>
      <c r="P41" s="626"/>
      <c r="Q41" s="626"/>
      <c r="R41" s="626"/>
      <c r="S41" s="626"/>
      <c r="T41" s="626"/>
      <c r="U41" s="626"/>
      <c r="V41" s="452"/>
      <c r="W41" s="452"/>
      <c r="X41" s="452"/>
      <c r="Y41" s="452"/>
      <c r="Z41" s="452"/>
      <c r="AA41" s="452"/>
      <c r="AB41" s="452"/>
      <c r="AC41" s="452"/>
      <c r="AD41" s="452"/>
      <c r="AE41" s="452"/>
      <c r="AF41" s="452"/>
      <c r="AG41" s="452"/>
      <c r="AH41" s="452"/>
      <c r="AI41" s="452"/>
      <c r="AJ41" s="452"/>
      <c r="AK41" s="452"/>
      <c r="AL41" s="452"/>
      <c r="AM41" s="452"/>
      <c r="AN41" s="452"/>
      <c r="AO41" s="452"/>
      <c r="AP41" s="452"/>
      <c r="AQ41" s="452"/>
      <c r="AR41" s="452"/>
      <c r="AS41" s="452"/>
      <c r="AT41" s="452"/>
      <c r="AU41" s="452"/>
      <c r="AV41" s="452"/>
      <c r="AW41" s="452"/>
      <c r="AX41" s="452"/>
      <c r="AY41" s="626"/>
      <c r="AZ41" s="626"/>
      <c r="BA41" s="626"/>
      <c r="BB41" s="626"/>
      <c r="BC41" s="626"/>
      <c r="BD41" s="626"/>
      <c r="BE41" s="452"/>
      <c r="BF41" s="452"/>
      <c r="BG41" s="452"/>
      <c r="BH41" s="452"/>
      <c r="BI41" s="452"/>
      <c r="BJ41" s="452"/>
      <c r="BK41" s="452"/>
      <c r="BL41" s="452"/>
      <c r="BM41" s="452"/>
      <c r="BN41" s="452"/>
      <c r="BO41" s="452"/>
      <c r="BP41" s="452"/>
      <c r="BQ41" s="452"/>
      <c r="BR41" s="452"/>
      <c r="BS41" s="452"/>
      <c r="BT41" s="452"/>
      <c r="BU41" s="452"/>
      <c r="BV41" s="452"/>
      <c r="BW41" s="452"/>
      <c r="BX41" s="452"/>
    </row>
    <row r="42" spans="1:76">
      <c r="A42" s="739"/>
      <c r="B42" s="740"/>
      <c r="C42" s="740"/>
      <c r="D42" s="626"/>
      <c r="E42" s="626"/>
      <c r="F42" s="626"/>
      <c r="G42" s="626"/>
      <c r="H42" s="626"/>
      <c r="I42" s="626"/>
      <c r="J42" s="626"/>
      <c r="K42" s="452"/>
      <c r="L42" s="741"/>
      <c r="M42" s="740"/>
      <c r="N42" s="740"/>
      <c r="O42" s="626"/>
      <c r="P42" s="626"/>
      <c r="Q42" s="626"/>
      <c r="R42" s="626"/>
      <c r="S42" s="626"/>
      <c r="T42" s="626"/>
      <c r="U42" s="626"/>
      <c r="V42" s="452"/>
      <c r="W42" s="452"/>
      <c r="X42" s="452"/>
      <c r="Y42" s="452"/>
      <c r="Z42" s="452"/>
      <c r="AA42" s="452"/>
      <c r="AB42" s="452"/>
      <c r="AC42" s="452"/>
      <c r="AD42" s="452"/>
      <c r="AE42" s="452"/>
      <c r="AF42" s="452"/>
      <c r="AG42" s="452"/>
      <c r="AH42" s="452"/>
      <c r="AI42" s="452"/>
      <c r="AJ42" s="452"/>
      <c r="AK42" s="452"/>
      <c r="AL42" s="452"/>
      <c r="AM42" s="452"/>
      <c r="AN42" s="452"/>
      <c r="AO42" s="452"/>
      <c r="AP42" s="452"/>
      <c r="AQ42" s="452"/>
      <c r="AR42" s="452"/>
      <c r="AS42" s="452"/>
      <c r="AT42" s="452"/>
      <c r="AU42" s="452"/>
      <c r="AV42" s="452"/>
      <c r="AW42" s="452"/>
      <c r="AX42" s="452"/>
      <c r="AY42" s="626"/>
      <c r="AZ42" s="626"/>
      <c r="BA42" s="626"/>
      <c r="BB42" s="626"/>
      <c r="BC42" s="626"/>
      <c r="BD42" s="626"/>
      <c r="BE42" s="452"/>
      <c r="BF42" s="452"/>
      <c r="BG42" s="452"/>
      <c r="BH42" s="452"/>
      <c r="BI42" s="452"/>
      <c r="BJ42" s="452"/>
      <c r="BK42" s="452"/>
      <c r="BL42" s="452"/>
      <c r="BM42" s="452"/>
      <c r="BN42" s="452"/>
      <c r="BO42" s="452"/>
      <c r="BP42" s="452"/>
      <c r="BQ42" s="452"/>
      <c r="BR42" s="452"/>
      <c r="BS42" s="452"/>
      <c r="BT42" s="452"/>
      <c r="BU42" s="452"/>
      <c r="BV42" s="452"/>
      <c r="BW42" s="452"/>
      <c r="BX42" s="452"/>
    </row>
    <row r="43" spans="1:76">
      <c r="A43" s="739"/>
      <c r="B43" s="740"/>
      <c r="C43" s="740"/>
      <c r="D43" s="626"/>
      <c r="E43" s="626"/>
      <c r="F43" s="626"/>
      <c r="G43" s="626"/>
      <c r="H43" s="626"/>
      <c r="I43" s="626"/>
      <c r="J43" s="626"/>
      <c r="K43" s="452"/>
      <c r="L43" s="741"/>
      <c r="M43" s="740"/>
      <c r="N43" s="740"/>
      <c r="O43" s="626"/>
      <c r="P43" s="626"/>
      <c r="Q43" s="626"/>
      <c r="R43" s="626"/>
      <c r="S43" s="626"/>
      <c r="T43" s="626"/>
      <c r="U43" s="626"/>
      <c r="V43" s="452"/>
      <c r="W43" s="452"/>
      <c r="X43" s="452"/>
      <c r="Y43" s="452"/>
      <c r="Z43" s="452"/>
      <c r="AA43" s="452"/>
      <c r="AB43" s="452"/>
      <c r="AC43" s="452"/>
      <c r="AD43" s="452"/>
      <c r="AE43" s="452"/>
      <c r="AF43" s="452"/>
      <c r="AG43" s="452"/>
      <c r="AH43" s="452"/>
      <c r="AI43" s="452"/>
      <c r="AJ43" s="452"/>
      <c r="AK43" s="452"/>
      <c r="AL43" s="452"/>
      <c r="AM43" s="452"/>
      <c r="AN43" s="452"/>
      <c r="AO43" s="452"/>
      <c r="AP43" s="452"/>
      <c r="AQ43" s="452"/>
      <c r="AR43" s="452"/>
      <c r="AS43" s="452"/>
      <c r="AT43" s="452"/>
      <c r="AU43" s="452"/>
      <c r="AV43" s="452"/>
      <c r="AW43" s="452"/>
      <c r="AX43" s="452"/>
      <c r="AY43" s="626"/>
      <c r="AZ43" s="626"/>
      <c r="BA43" s="626"/>
      <c r="BB43" s="626"/>
      <c r="BC43" s="626"/>
      <c r="BD43" s="626"/>
      <c r="BE43" s="452"/>
      <c r="BF43" s="452"/>
      <c r="BG43" s="452"/>
      <c r="BH43" s="452"/>
      <c r="BI43" s="452"/>
      <c r="BJ43" s="452"/>
      <c r="BK43" s="452"/>
      <c r="BL43" s="452"/>
      <c r="BM43" s="452"/>
      <c r="BN43" s="452"/>
      <c r="BO43" s="452"/>
      <c r="BP43" s="452"/>
      <c r="BQ43" s="452"/>
      <c r="BR43" s="452"/>
      <c r="BS43" s="452"/>
      <c r="BT43" s="452"/>
      <c r="BU43" s="452"/>
      <c r="BV43" s="452"/>
      <c r="BW43" s="452"/>
      <c r="BX43" s="452"/>
    </row>
    <row r="44" spans="1:76">
      <c r="A44" s="739"/>
      <c r="B44" s="740"/>
      <c r="C44" s="740"/>
      <c r="D44" s="626"/>
      <c r="E44" s="626"/>
      <c r="F44" s="626"/>
      <c r="G44" s="626"/>
      <c r="H44" s="626"/>
      <c r="I44" s="626"/>
      <c r="J44" s="626"/>
      <c r="K44" s="452"/>
      <c r="L44" s="741"/>
      <c r="M44" s="740"/>
      <c r="N44" s="740"/>
      <c r="O44" s="626"/>
      <c r="P44" s="626"/>
      <c r="Q44" s="626"/>
      <c r="R44" s="626"/>
      <c r="S44" s="626"/>
      <c r="T44" s="626"/>
      <c r="U44" s="626"/>
      <c r="V44" s="452"/>
      <c r="W44" s="452"/>
      <c r="X44" s="452"/>
      <c r="Y44" s="452"/>
      <c r="Z44" s="452"/>
      <c r="AA44" s="452"/>
      <c r="AB44" s="452"/>
      <c r="AC44" s="452"/>
      <c r="AD44" s="452"/>
      <c r="AE44" s="452"/>
      <c r="AF44" s="452"/>
      <c r="AG44" s="452"/>
      <c r="AH44" s="452"/>
      <c r="AI44" s="452"/>
      <c r="AJ44" s="452"/>
      <c r="AK44" s="452"/>
      <c r="AL44" s="452"/>
      <c r="AM44" s="452"/>
      <c r="AN44" s="452"/>
      <c r="AO44" s="452"/>
      <c r="AP44" s="452"/>
      <c r="AQ44" s="452"/>
      <c r="AR44" s="452"/>
      <c r="AS44" s="452"/>
      <c r="AT44" s="452"/>
      <c r="AU44" s="452"/>
      <c r="AV44" s="452"/>
      <c r="AW44" s="452"/>
      <c r="AX44" s="452"/>
      <c r="AY44" s="626"/>
      <c r="AZ44" s="626"/>
      <c r="BA44" s="626"/>
      <c r="BB44" s="626"/>
      <c r="BC44" s="626"/>
      <c r="BD44" s="626"/>
      <c r="BE44" s="452"/>
      <c r="BF44" s="452"/>
      <c r="BG44" s="452"/>
      <c r="BH44" s="452"/>
      <c r="BI44" s="452"/>
      <c r="BJ44" s="452"/>
      <c r="BK44" s="452"/>
      <c r="BL44" s="452"/>
      <c r="BM44" s="452"/>
      <c r="BN44" s="452"/>
      <c r="BO44" s="452"/>
      <c r="BP44" s="452"/>
      <c r="BQ44" s="452"/>
      <c r="BR44" s="452"/>
      <c r="BS44" s="452"/>
      <c r="BT44" s="452"/>
      <c r="BU44" s="452"/>
      <c r="BV44" s="452"/>
      <c r="BW44" s="452"/>
      <c r="BX44" s="452"/>
    </row>
    <row r="45" spans="1:76">
      <c r="A45" s="739"/>
      <c r="B45" s="740"/>
      <c r="C45" s="740"/>
      <c r="D45" s="626"/>
      <c r="E45" s="626"/>
      <c r="F45" s="626"/>
      <c r="G45" s="626"/>
      <c r="H45" s="626"/>
      <c r="I45" s="626"/>
      <c r="J45" s="626"/>
      <c r="K45" s="452"/>
      <c r="L45" s="741"/>
      <c r="M45" s="740"/>
      <c r="N45" s="740"/>
      <c r="O45" s="626"/>
      <c r="P45" s="626"/>
      <c r="Q45" s="626"/>
      <c r="R45" s="626"/>
      <c r="S45" s="626"/>
      <c r="T45" s="626"/>
      <c r="U45" s="626"/>
      <c r="V45" s="452"/>
      <c r="W45" s="452"/>
      <c r="X45" s="452"/>
      <c r="Y45" s="452"/>
      <c r="Z45" s="452"/>
      <c r="AA45" s="452"/>
      <c r="AB45" s="452"/>
      <c r="AC45" s="452"/>
      <c r="AD45" s="452"/>
      <c r="AE45" s="452"/>
      <c r="AF45" s="452"/>
      <c r="AG45" s="452"/>
      <c r="AH45" s="452"/>
      <c r="AI45" s="452"/>
      <c r="AJ45" s="452"/>
      <c r="AK45" s="452"/>
      <c r="AL45" s="452"/>
      <c r="AM45" s="452"/>
      <c r="AN45" s="452"/>
      <c r="AO45" s="452"/>
      <c r="AP45" s="452"/>
      <c r="AQ45" s="452"/>
      <c r="AR45" s="452"/>
      <c r="AS45" s="452"/>
      <c r="AT45" s="452"/>
      <c r="AU45" s="452"/>
      <c r="AV45" s="452"/>
      <c r="AW45" s="452"/>
      <c r="AX45" s="452"/>
      <c r="AY45" s="626"/>
      <c r="AZ45" s="626"/>
      <c r="BA45" s="626"/>
      <c r="BB45" s="626"/>
      <c r="BC45" s="626"/>
      <c r="BD45" s="626"/>
      <c r="BE45" s="452"/>
      <c r="BF45" s="452"/>
      <c r="BG45" s="452"/>
      <c r="BH45" s="452"/>
      <c r="BI45" s="452"/>
      <c r="BJ45" s="452"/>
      <c r="BK45" s="452"/>
      <c r="BL45" s="452"/>
      <c r="BM45" s="452"/>
      <c r="BN45" s="452"/>
      <c r="BO45" s="452"/>
      <c r="BP45" s="452"/>
      <c r="BQ45" s="452"/>
      <c r="BR45" s="452"/>
      <c r="BS45" s="452"/>
      <c r="BT45" s="452"/>
      <c r="BU45" s="452"/>
      <c r="BV45" s="452"/>
      <c r="BW45" s="452"/>
      <c r="BX45" s="452"/>
    </row>
    <row r="46" spans="1:76">
      <c r="A46" s="739"/>
      <c r="B46" s="740"/>
      <c r="C46" s="740"/>
      <c r="D46" s="626"/>
      <c r="E46" s="626"/>
      <c r="F46" s="626"/>
      <c r="G46" s="626"/>
      <c r="H46" s="626"/>
      <c r="I46" s="626"/>
      <c r="J46" s="626"/>
      <c r="K46" s="452"/>
      <c r="L46" s="741"/>
      <c r="M46" s="740"/>
      <c r="N46" s="740"/>
      <c r="O46" s="626"/>
      <c r="P46" s="626"/>
      <c r="Q46" s="626"/>
      <c r="R46" s="626"/>
      <c r="S46" s="626"/>
      <c r="T46" s="626"/>
      <c r="U46" s="626"/>
      <c r="V46" s="452"/>
      <c r="W46" s="452"/>
      <c r="X46" s="452"/>
      <c r="Y46" s="452"/>
      <c r="Z46" s="452"/>
      <c r="AA46" s="452"/>
      <c r="AB46" s="452"/>
      <c r="AC46" s="452"/>
      <c r="AD46" s="452"/>
      <c r="AE46" s="452"/>
      <c r="AF46" s="452"/>
      <c r="AG46" s="452"/>
      <c r="AH46" s="452"/>
      <c r="AI46" s="452"/>
      <c r="AJ46" s="452"/>
      <c r="AK46" s="452"/>
      <c r="AL46" s="452"/>
      <c r="AM46" s="452"/>
      <c r="AN46" s="452"/>
      <c r="AO46" s="452"/>
      <c r="AP46" s="452"/>
      <c r="AQ46" s="452"/>
      <c r="AR46" s="452"/>
      <c r="AS46" s="452"/>
      <c r="AT46" s="452"/>
      <c r="AU46" s="452"/>
      <c r="AV46" s="452"/>
      <c r="AW46" s="452"/>
      <c r="AX46" s="452"/>
      <c r="AY46" s="626"/>
      <c r="AZ46" s="626"/>
      <c r="BA46" s="626"/>
      <c r="BB46" s="626"/>
      <c r="BC46" s="626"/>
      <c r="BD46" s="626"/>
      <c r="BE46" s="452"/>
      <c r="BF46" s="452"/>
      <c r="BG46" s="452"/>
      <c r="BH46" s="452"/>
      <c r="BI46" s="452"/>
      <c r="BJ46" s="452"/>
      <c r="BK46" s="452"/>
      <c r="BL46" s="452"/>
      <c r="BM46" s="452"/>
      <c r="BN46" s="452"/>
      <c r="BO46" s="452"/>
      <c r="BP46" s="452"/>
      <c r="BQ46" s="452"/>
      <c r="BR46" s="452"/>
      <c r="BS46" s="452"/>
      <c r="BT46" s="452"/>
      <c r="BU46" s="452"/>
      <c r="BV46" s="452"/>
      <c r="BW46" s="452"/>
      <c r="BX46" s="452"/>
    </row>
    <row r="47" spans="1:76">
      <c r="A47" s="739"/>
      <c r="B47" s="740"/>
      <c r="C47" s="740"/>
      <c r="D47" s="626"/>
      <c r="E47" s="626"/>
      <c r="F47" s="626"/>
      <c r="G47" s="626"/>
      <c r="H47" s="626"/>
      <c r="I47" s="626"/>
      <c r="J47" s="626"/>
      <c r="K47" s="452"/>
      <c r="L47" s="741"/>
      <c r="M47" s="740"/>
      <c r="N47" s="740"/>
      <c r="O47" s="626"/>
      <c r="P47" s="626"/>
      <c r="Q47" s="626"/>
      <c r="R47" s="626"/>
      <c r="S47" s="626"/>
      <c r="T47" s="626"/>
      <c r="U47" s="626"/>
      <c r="V47" s="452"/>
      <c r="W47" s="452"/>
      <c r="X47" s="452"/>
      <c r="Y47" s="452"/>
      <c r="Z47" s="452"/>
      <c r="AA47" s="452"/>
      <c r="AB47" s="452"/>
      <c r="AC47" s="452"/>
      <c r="AD47" s="452"/>
      <c r="AE47" s="452"/>
      <c r="AF47" s="452"/>
      <c r="AG47" s="452"/>
      <c r="AH47" s="452"/>
      <c r="AI47" s="452"/>
      <c r="AJ47" s="452"/>
      <c r="AK47" s="452"/>
      <c r="AL47" s="452"/>
      <c r="AM47" s="452"/>
      <c r="AN47" s="452"/>
      <c r="AO47" s="452"/>
      <c r="AP47" s="452"/>
      <c r="AQ47" s="452"/>
      <c r="AR47" s="452"/>
      <c r="AS47" s="452"/>
      <c r="AT47" s="452"/>
      <c r="AU47" s="452"/>
      <c r="AV47" s="452"/>
      <c r="AW47" s="452"/>
      <c r="AX47" s="452"/>
      <c r="AY47" s="626"/>
      <c r="AZ47" s="626"/>
      <c r="BA47" s="626"/>
      <c r="BB47" s="626"/>
      <c r="BC47" s="626"/>
      <c r="BD47" s="626"/>
      <c r="BE47" s="452"/>
      <c r="BF47" s="452"/>
      <c r="BG47" s="452"/>
      <c r="BH47" s="452"/>
      <c r="BI47" s="452"/>
      <c r="BJ47" s="452"/>
      <c r="BK47" s="452"/>
      <c r="BL47" s="452"/>
      <c r="BM47" s="452"/>
      <c r="BN47" s="452"/>
      <c r="BO47" s="452"/>
      <c r="BP47" s="452"/>
      <c r="BQ47" s="452"/>
      <c r="BR47" s="452"/>
      <c r="BS47" s="452"/>
      <c r="BT47" s="452"/>
      <c r="BU47" s="452"/>
      <c r="BV47" s="452"/>
      <c r="BW47" s="452"/>
      <c r="BX47" s="452"/>
    </row>
    <row r="48" spans="1:76">
      <c r="A48" s="739"/>
      <c r="B48" s="740"/>
      <c r="C48" s="740"/>
      <c r="D48" s="626"/>
      <c r="E48" s="626"/>
      <c r="F48" s="626"/>
      <c r="G48" s="626"/>
      <c r="H48" s="626"/>
      <c r="I48" s="626"/>
      <c r="J48" s="626"/>
      <c r="K48" s="452"/>
      <c r="L48" s="741"/>
      <c r="M48" s="740"/>
      <c r="N48" s="740"/>
      <c r="O48" s="626"/>
      <c r="P48" s="626"/>
      <c r="Q48" s="626"/>
      <c r="R48" s="626"/>
      <c r="S48" s="626"/>
      <c r="T48" s="626"/>
      <c r="U48" s="626"/>
      <c r="V48" s="452"/>
      <c r="W48" s="452"/>
      <c r="X48" s="452"/>
      <c r="Y48" s="452"/>
      <c r="Z48" s="452"/>
      <c r="AA48" s="452"/>
      <c r="AB48" s="452"/>
      <c r="AC48" s="452"/>
      <c r="AD48" s="452"/>
      <c r="AE48" s="452"/>
      <c r="AF48" s="452"/>
      <c r="AG48" s="452"/>
      <c r="AH48" s="452"/>
      <c r="AI48" s="452"/>
      <c r="AJ48" s="452"/>
      <c r="AK48" s="452"/>
      <c r="AL48" s="452"/>
      <c r="AM48" s="452"/>
      <c r="AN48" s="452"/>
      <c r="AO48" s="452"/>
      <c r="AP48" s="452"/>
      <c r="AQ48" s="452"/>
      <c r="AR48" s="452"/>
      <c r="AS48" s="452"/>
      <c r="AT48" s="452"/>
      <c r="AU48" s="452"/>
      <c r="AV48" s="452"/>
      <c r="AW48" s="452"/>
      <c r="AX48" s="452"/>
      <c r="AY48" s="626"/>
      <c r="AZ48" s="626"/>
      <c r="BA48" s="626"/>
      <c r="BB48" s="626"/>
      <c r="BC48" s="626"/>
      <c r="BD48" s="626"/>
      <c r="BE48" s="452"/>
      <c r="BF48" s="452"/>
      <c r="BG48" s="452"/>
      <c r="BH48" s="452"/>
      <c r="BI48" s="452"/>
      <c r="BJ48" s="452"/>
      <c r="BK48" s="452"/>
      <c r="BL48" s="452"/>
      <c r="BM48" s="452"/>
      <c r="BN48" s="452"/>
      <c r="BO48" s="452"/>
      <c r="BP48" s="452"/>
      <c r="BQ48" s="452"/>
      <c r="BR48" s="452"/>
      <c r="BS48" s="452"/>
      <c r="BT48" s="452"/>
      <c r="BU48" s="452"/>
      <c r="BV48" s="452"/>
      <c r="BW48" s="452"/>
      <c r="BX48" s="452"/>
    </row>
    <row r="49" spans="1:76">
      <c r="A49" s="739"/>
      <c r="B49" s="740"/>
      <c r="C49" s="740"/>
      <c r="D49" s="626"/>
      <c r="E49" s="626"/>
      <c r="F49" s="626"/>
      <c r="G49" s="626"/>
      <c r="H49" s="626"/>
      <c r="I49" s="626"/>
      <c r="J49" s="626"/>
      <c r="K49" s="452"/>
      <c r="L49" s="741"/>
      <c r="M49" s="740"/>
      <c r="N49" s="740"/>
      <c r="O49" s="626"/>
      <c r="P49" s="626"/>
      <c r="Q49" s="626"/>
      <c r="R49" s="626"/>
      <c r="S49" s="626"/>
      <c r="T49" s="626"/>
      <c r="U49" s="626"/>
      <c r="V49" s="452"/>
      <c r="W49" s="452"/>
      <c r="X49" s="452"/>
      <c r="Y49" s="452"/>
      <c r="Z49" s="452"/>
      <c r="AA49" s="452"/>
      <c r="AB49" s="452"/>
      <c r="AC49" s="452"/>
      <c r="AD49" s="452"/>
      <c r="AE49" s="452"/>
      <c r="AF49" s="452"/>
      <c r="AG49" s="452"/>
      <c r="AH49" s="452"/>
      <c r="AI49" s="452"/>
      <c r="AJ49" s="452"/>
      <c r="AK49" s="452"/>
      <c r="AL49" s="452"/>
      <c r="AM49" s="452"/>
      <c r="AN49" s="452"/>
      <c r="AO49" s="452"/>
      <c r="AP49" s="452"/>
      <c r="AQ49" s="452"/>
      <c r="AR49" s="452"/>
      <c r="AS49" s="452"/>
      <c r="AT49" s="452"/>
      <c r="AU49" s="739"/>
      <c r="AV49" s="740"/>
      <c r="AW49" s="740"/>
      <c r="AX49" s="626"/>
      <c r="AY49" s="626"/>
      <c r="AZ49" s="626"/>
      <c r="BA49" s="626"/>
      <c r="BB49" s="626"/>
      <c r="BC49" s="626"/>
      <c r="BD49" s="626"/>
      <c r="BE49" s="452"/>
      <c r="BF49" s="452"/>
      <c r="BG49" s="452"/>
      <c r="BH49" s="452"/>
      <c r="BI49" s="452"/>
      <c r="BJ49" s="452"/>
      <c r="BK49" s="452"/>
      <c r="BL49" s="452"/>
      <c r="BM49" s="452"/>
      <c r="BN49" s="452"/>
      <c r="BO49" s="452"/>
      <c r="BP49" s="452"/>
      <c r="BQ49" s="452"/>
      <c r="BR49" s="452"/>
      <c r="BS49" s="452"/>
      <c r="BT49" s="452"/>
      <c r="BU49" s="452"/>
      <c r="BV49" s="452"/>
      <c r="BW49" s="452"/>
      <c r="BX49" s="452"/>
    </row>
    <row r="50" spans="1:76" ht="15" thickBot="1">
      <c r="A50" s="739"/>
      <c r="B50" s="740"/>
      <c r="C50" s="740"/>
      <c r="D50" s="626"/>
      <c r="E50" s="626"/>
      <c r="F50" s="626"/>
      <c r="G50" s="626"/>
      <c r="H50" s="626"/>
      <c r="I50" s="626"/>
      <c r="J50" s="626"/>
      <c r="K50" s="452"/>
      <c r="L50" s="741"/>
      <c r="M50" s="740"/>
      <c r="N50" s="740"/>
      <c r="O50" s="626"/>
      <c r="P50" s="626"/>
      <c r="Q50" s="626"/>
      <c r="R50" s="626"/>
      <c r="S50" s="626"/>
      <c r="T50" s="626"/>
      <c r="U50" s="626"/>
      <c r="V50" s="452"/>
      <c r="W50" s="452"/>
      <c r="X50" s="452"/>
      <c r="Y50" s="452"/>
      <c r="Z50" s="452"/>
      <c r="AA50" s="452"/>
      <c r="AB50" s="452"/>
      <c r="AC50" s="452"/>
      <c r="AD50" s="452"/>
      <c r="AE50" s="452"/>
      <c r="AF50" s="452"/>
      <c r="AG50" s="452"/>
      <c r="AH50" s="452"/>
      <c r="AI50" s="452"/>
      <c r="AJ50" s="452"/>
      <c r="AK50" s="452"/>
      <c r="AL50" s="452"/>
      <c r="AM50" s="452"/>
      <c r="AN50" s="452"/>
      <c r="AO50" s="452"/>
      <c r="AP50" s="452"/>
      <c r="AQ50" s="452"/>
      <c r="AR50" s="452"/>
      <c r="AS50" s="452"/>
      <c r="AT50" s="452"/>
      <c r="AU50" s="739"/>
      <c r="AV50" s="740"/>
      <c r="AW50" s="740"/>
      <c r="AX50" s="626"/>
      <c r="AY50" s="626"/>
      <c r="AZ50" s="626"/>
      <c r="BA50" s="626"/>
      <c r="BB50" s="626"/>
      <c r="BC50" s="626"/>
      <c r="BD50" s="626"/>
      <c r="BE50" s="452"/>
      <c r="BF50" s="452"/>
      <c r="BG50" s="452"/>
      <c r="BH50" s="452"/>
      <c r="BI50" s="452"/>
      <c r="BJ50" s="452"/>
      <c r="BK50" s="452"/>
      <c r="BL50" s="452"/>
      <c r="BM50" s="452"/>
      <c r="BN50" s="452"/>
      <c r="BO50" s="452"/>
      <c r="BP50" s="452"/>
      <c r="BQ50" s="452"/>
      <c r="BR50" s="452"/>
      <c r="BS50" s="452"/>
      <c r="BT50" s="452"/>
      <c r="BU50" s="452"/>
      <c r="BV50" s="452"/>
      <c r="BW50" s="452"/>
      <c r="BX50" s="452"/>
    </row>
    <row r="51" spans="1:76" ht="42.65" customHeight="1" thickBot="1">
      <c r="A51" s="1156" t="s">
        <v>494</v>
      </c>
      <c r="B51" s="643" t="s">
        <v>487</v>
      </c>
      <c r="C51" s="644" t="s">
        <v>506</v>
      </c>
      <c r="D51" s="352" t="s">
        <v>454</v>
      </c>
      <c r="E51" s="609" t="s">
        <v>552</v>
      </c>
      <c r="F51" s="354" t="s">
        <v>553</v>
      </c>
      <c r="G51" s="355" t="s">
        <v>523</v>
      </c>
      <c r="H51" s="355" t="s">
        <v>445</v>
      </c>
      <c r="I51" s="973" t="s">
        <v>414</v>
      </c>
      <c r="J51" s="357" t="s">
        <v>413</v>
      </c>
      <c r="K51" s="452"/>
      <c r="L51" s="1161" t="s">
        <v>504</v>
      </c>
      <c r="M51" s="643" t="s">
        <v>487</v>
      </c>
      <c r="N51" s="644" t="s">
        <v>506</v>
      </c>
      <c r="O51" s="352" t="s">
        <v>454</v>
      </c>
      <c r="P51" s="609" t="s">
        <v>552</v>
      </c>
      <c r="Q51" s="354" t="s">
        <v>553</v>
      </c>
      <c r="R51" s="355" t="s">
        <v>523</v>
      </c>
      <c r="S51" s="355" t="s">
        <v>445</v>
      </c>
      <c r="T51" s="973" t="s">
        <v>414</v>
      </c>
      <c r="U51" s="357" t="s">
        <v>413</v>
      </c>
      <c r="V51" s="452"/>
      <c r="W51" s="1152" t="s">
        <v>555</v>
      </c>
      <c r="X51" s="643" t="s">
        <v>487</v>
      </c>
      <c r="Y51" s="644" t="s">
        <v>506</v>
      </c>
      <c r="Z51" s="352" t="s">
        <v>454</v>
      </c>
      <c r="AA51" s="609" t="s">
        <v>552</v>
      </c>
      <c r="AB51" s="354" t="s">
        <v>553</v>
      </c>
      <c r="AC51" s="355" t="s">
        <v>523</v>
      </c>
      <c r="AD51" s="355" t="s">
        <v>445</v>
      </c>
      <c r="AE51" s="973" t="s">
        <v>414</v>
      </c>
      <c r="AF51" s="357" t="s">
        <v>413</v>
      </c>
      <c r="AG51" s="452"/>
      <c r="AH51" s="452"/>
      <c r="AI51" s="452"/>
      <c r="AJ51" s="452"/>
      <c r="AK51" s="452"/>
      <c r="AL51" s="452"/>
      <c r="AM51" s="452"/>
      <c r="AN51" s="452"/>
      <c r="AO51" s="452"/>
      <c r="AP51" s="452"/>
      <c r="AQ51" s="452"/>
      <c r="AR51" s="452"/>
      <c r="AS51" s="452"/>
      <c r="AT51" s="452"/>
      <c r="AU51" s="647" t="s">
        <v>508</v>
      </c>
      <c r="AV51" s="701"/>
      <c r="AW51" s="702"/>
      <c r="AX51" s="734" t="s">
        <v>454</v>
      </c>
      <c r="AY51" s="609" t="s">
        <v>552</v>
      </c>
      <c r="AZ51" s="609" t="s">
        <v>553</v>
      </c>
      <c r="BA51" s="610" t="s">
        <v>523</v>
      </c>
      <c r="BB51" s="610" t="s">
        <v>445</v>
      </c>
      <c r="BC51" s="975" t="s">
        <v>414</v>
      </c>
      <c r="BD51" s="612" t="s">
        <v>413</v>
      </c>
      <c r="BE51" s="452"/>
      <c r="BF51" s="452"/>
      <c r="BG51" s="452"/>
      <c r="BH51" s="452"/>
      <c r="BI51" s="452"/>
      <c r="BJ51" s="452"/>
      <c r="BK51" s="452"/>
      <c r="BL51" s="452"/>
      <c r="BM51" s="452"/>
      <c r="BN51" s="452"/>
      <c r="BO51" s="452"/>
      <c r="BP51" s="452"/>
      <c r="BQ51" s="452"/>
      <c r="BR51" s="452"/>
      <c r="BS51" s="452"/>
      <c r="BT51" s="452"/>
      <c r="BU51" s="452"/>
      <c r="BV51" s="452"/>
      <c r="BW51" s="452"/>
      <c r="BX51" s="452"/>
    </row>
    <row r="52" spans="1:76" ht="15" thickBot="1">
      <c r="A52" s="1157"/>
      <c r="B52" s="640">
        <f t="shared" ref="B52:B67" si="2">AW2</f>
        <v>0</v>
      </c>
      <c r="C52" s="641">
        <f t="shared" ref="C52:C67" si="3">AU2</f>
        <v>0</v>
      </c>
      <c r="D52" s="624">
        <f t="shared" ref="D52:J61" si="4">D94+D113+D132+D151+D170+D189+D208+D227</f>
        <v>13558.8</v>
      </c>
      <c r="E52" s="629">
        <f t="shared" si="4"/>
        <v>15718.8</v>
      </c>
      <c r="F52" s="626">
        <f t="shared" si="4"/>
        <v>16440.8</v>
      </c>
      <c r="G52" s="625">
        <f t="shared" si="4"/>
        <v>21103.219212549669</v>
      </c>
      <c r="H52" s="626">
        <f t="shared" si="4"/>
        <v>27428.866439709938</v>
      </c>
      <c r="I52" s="625">
        <f t="shared" ca="1" si="4"/>
        <v>21485.540331638746</v>
      </c>
      <c r="J52" s="627">
        <f t="shared" ca="1" si="4"/>
        <v>15503.985522722061</v>
      </c>
      <c r="K52" s="452"/>
      <c r="L52" s="1162"/>
      <c r="M52" s="640">
        <f t="shared" ref="M52:M67" si="5">B52</f>
        <v>0</v>
      </c>
      <c r="N52" s="645">
        <f t="shared" ref="N52:N67" si="6">C52</f>
        <v>0</v>
      </c>
      <c r="O52" s="624">
        <f t="shared" ref="O52:U52" si="7">O94+O113+O132+O151+O170+O189+O208+O227</f>
        <v>13558.8</v>
      </c>
      <c r="P52" s="629">
        <f t="shared" si="7"/>
        <v>15718.8</v>
      </c>
      <c r="Q52" s="626">
        <f t="shared" si="7"/>
        <v>16440.8</v>
      </c>
      <c r="R52" s="625">
        <f t="shared" si="7"/>
        <v>21103.219212549669</v>
      </c>
      <c r="S52" s="626">
        <f t="shared" si="7"/>
        <v>27428.866439709938</v>
      </c>
      <c r="T52" s="625">
        <f t="shared" ca="1" si="7"/>
        <v>21485.540331638746</v>
      </c>
      <c r="U52" s="627">
        <f t="shared" ca="1" si="7"/>
        <v>15503.985522722061</v>
      </c>
      <c r="V52" s="452"/>
      <c r="W52" s="1153"/>
      <c r="X52" s="640">
        <f t="shared" ref="X52:X67" si="8">M52</f>
        <v>0</v>
      </c>
      <c r="Y52" s="645">
        <f t="shared" ref="Y52:Y67" si="9">N52</f>
        <v>0</v>
      </c>
      <c r="Z52" s="624">
        <f>O52-$O52</f>
        <v>0</v>
      </c>
      <c r="AA52" s="629">
        <f t="shared" ref="AA52:AF67" si="10">P52-$O52</f>
        <v>2160</v>
      </c>
      <c r="AB52" s="626">
        <f t="shared" si="10"/>
        <v>2882</v>
      </c>
      <c r="AC52" s="625">
        <f t="shared" si="10"/>
        <v>7544.4192125496702</v>
      </c>
      <c r="AD52" s="626">
        <f t="shared" si="10"/>
        <v>13870.066439709939</v>
      </c>
      <c r="AE52" s="625">
        <f t="shared" ca="1" si="10"/>
        <v>7926.7403316387463</v>
      </c>
      <c r="AF52" s="627">
        <f t="shared" ca="1" si="10"/>
        <v>1945.1855227220622</v>
      </c>
      <c r="AG52" s="452"/>
      <c r="AH52" s="452"/>
      <c r="AI52" s="452"/>
      <c r="AJ52" s="452"/>
      <c r="AK52" s="452"/>
      <c r="AL52" s="452"/>
      <c r="AM52" s="452"/>
      <c r="AN52" s="452"/>
      <c r="AO52" s="452"/>
      <c r="AP52" s="452"/>
      <c r="AQ52" s="452"/>
      <c r="AR52" s="452"/>
      <c r="AS52" s="452"/>
      <c r="AT52" s="452"/>
      <c r="AU52" s="452"/>
      <c r="AV52" s="452"/>
      <c r="AW52" s="452"/>
      <c r="AX52" s="628">
        <f ca="1">$B95/'TCO Calculation'!E$65*AX71+$B95/'TCO Calculation'!E$65*0.04+$BE71</f>
        <v>24379.123651250393</v>
      </c>
      <c r="AY52" s="630">
        <f ca="1">$B95/'TCO Calculation'!F$65*AY71+$B95/'TCO Calculation'!F$65*0.04+$BE71</f>
        <v>25217.630391600393</v>
      </c>
      <c r="AZ52" s="630">
        <f ca="1">$B95/'TCO Calculation'!G$65*AZ71+$B95/'TCO Calculation'!G$65*0.04+$BE71</f>
        <v>30192.293930513759</v>
      </c>
      <c r="BA52" s="630">
        <f>$B95*'TCO Calculation'!H$65*('TCO Calculation'!H$63*$BB71+(1-'TCO Calculation'!H$63)*$BA71)/'TCO Calculation'!H$67</f>
        <v>31452.144580599164</v>
      </c>
      <c r="BB52" s="630">
        <f>$B95*'TCO Calculation'!I$65*('TCO Calculation'!I$63*$BB71+(1-'TCO Calculation'!I$63)*$BA71)/'TCO Calculation'!I$67</f>
        <v>29606.867549761588</v>
      </c>
      <c r="BC52" s="630">
        <f>$B95/'TCO Calculation'!J$65*BD71</f>
        <v>41866.702721870352</v>
      </c>
      <c r="BD52" s="631">
        <f>$B95/'TCO Calculation'!K$65*BD71</f>
        <v>47327.576989940397</v>
      </c>
      <c r="BE52" s="452"/>
      <c r="BF52" s="452"/>
      <c r="BG52" s="452"/>
      <c r="BH52" s="452"/>
      <c r="BI52" s="452"/>
      <c r="BJ52" s="452"/>
      <c r="BK52" s="452"/>
      <c r="BL52" s="452"/>
      <c r="BM52" s="452"/>
      <c r="BN52" s="452"/>
      <c r="BO52" s="452"/>
      <c r="BP52" s="452"/>
      <c r="BQ52" s="452"/>
      <c r="BR52" s="452"/>
      <c r="BS52" s="452"/>
      <c r="BT52" s="452"/>
      <c r="BU52" s="452"/>
      <c r="BV52" s="452"/>
      <c r="BW52" s="452"/>
      <c r="BX52" s="452"/>
    </row>
    <row r="53" spans="1:76">
      <c r="A53" s="1157"/>
      <c r="B53" s="640">
        <f t="shared" si="2"/>
        <v>101417.32283464503</v>
      </c>
      <c r="C53" s="641">
        <f t="shared" si="3"/>
        <v>1</v>
      </c>
      <c r="D53" s="628">
        <f t="shared" ca="1" si="4"/>
        <v>91670.517571871897</v>
      </c>
      <c r="E53" s="629">
        <f t="shared" ca="1" si="4"/>
        <v>93541.63495437715</v>
      </c>
      <c r="F53" s="630">
        <f t="shared" ca="1" si="4"/>
        <v>96756.797393086556</v>
      </c>
      <c r="G53" s="629">
        <f>G95+G114+G133+G152+G171+G190+G209+G228</f>
        <v>125281.67735608853</v>
      </c>
      <c r="H53" s="630">
        <f t="shared" si="4"/>
        <v>130076.93534210519</v>
      </c>
      <c r="I53" s="629">
        <f t="shared" ca="1" si="4"/>
        <v>109682.37931190949</v>
      </c>
      <c r="J53" s="631">
        <f t="shared" ca="1" si="4"/>
        <v>105452.48226886863</v>
      </c>
      <c r="K53" s="452"/>
      <c r="L53" s="1162"/>
      <c r="M53" s="640">
        <f t="shared" si="5"/>
        <v>101417.32283464503</v>
      </c>
      <c r="N53" s="645">
        <f t="shared" si="6"/>
        <v>1</v>
      </c>
      <c r="O53" s="628">
        <f t="shared" ref="O53:Q54" ca="1" si="11">O95+O114+O133+O152+O171+O190+O209+O228</f>
        <v>91670.517571871897</v>
      </c>
      <c r="P53" s="629">
        <f t="shared" ca="1" si="11"/>
        <v>93541.63495437715</v>
      </c>
      <c r="Q53" s="630">
        <f t="shared" ca="1" si="11"/>
        <v>96756.797393086556</v>
      </c>
      <c r="R53" s="629">
        <f t="shared" ref="R53:U53" si="12">R95+R114+R133+R152+R171+R190+R209+R228</f>
        <v>125281.67735608853</v>
      </c>
      <c r="S53" s="630">
        <f t="shared" si="12"/>
        <v>130076.93534210519</v>
      </c>
      <c r="T53" s="629">
        <f t="shared" ca="1" si="12"/>
        <v>109682.37931190949</v>
      </c>
      <c r="U53" s="631">
        <f t="shared" ca="1" si="12"/>
        <v>105452.48226886863</v>
      </c>
      <c r="V53" s="452"/>
      <c r="W53" s="1153"/>
      <c r="X53" s="640">
        <f t="shared" si="8"/>
        <v>101417.32283464503</v>
      </c>
      <c r="Y53" s="645">
        <f t="shared" si="9"/>
        <v>1</v>
      </c>
      <c r="Z53" s="628">
        <f t="shared" ref="Z53:Z68" ca="1" si="13">O53-$O53</f>
        <v>0</v>
      </c>
      <c r="AA53" s="629">
        <f t="shared" ca="1" si="10"/>
        <v>1871.1173825052538</v>
      </c>
      <c r="AB53" s="630">
        <f t="shared" ca="1" si="10"/>
        <v>5086.279821214659</v>
      </c>
      <c r="AC53" s="629">
        <f t="shared" ca="1" si="10"/>
        <v>33611.159784216637</v>
      </c>
      <c r="AD53" s="630">
        <f t="shared" ca="1" si="10"/>
        <v>38406.417770233296</v>
      </c>
      <c r="AE53" s="629">
        <f t="shared" ca="1" si="10"/>
        <v>18011.861740037595</v>
      </c>
      <c r="AF53" s="631">
        <f t="shared" ca="1" si="10"/>
        <v>13781.964696996729</v>
      </c>
      <c r="AG53" s="452"/>
      <c r="AH53" s="452"/>
      <c r="AI53" s="452"/>
      <c r="AJ53" s="452"/>
      <c r="AK53" s="452"/>
      <c r="AL53" s="452"/>
      <c r="AM53" s="452"/>
      <c r="AN53" s="452"/>
      <c r="AO53" s="452"/>
      <c r="AP53" s="452"/>
      <c r="AQ53" s="452"/>
      <c r="AR53" s="452"/>
      <c r="AS53" s="452"/>
      <c r="AT53" s="452"/>
      <c r="AU53" s="452"/>
      <c r="AV53" s="452"/>
      <c r="AW53" s="452"/>
      <c r="AX53" s="624">
        <f ca="1">$B96/'TCO Calculation'!E$65*AX72+$B96/'TCO Calculation'!E$65*0.04+$BE72</f>
        <v>27104.30083713448</v>
      </c>
      <c r="AY53" s="626">
        <f ca="1">$B96/'TCO Calculation'!F$65*AY72+$B96/'TCO Calculation'!F$65*0.04+$BE72</f>
        <v>28036.553672678896</v>
      </c>
      <c r="AZ53" s="626">
        <f ca="1">$B96/'TCO Calculation'!G$65*AZ72+$B96/'TCO Calculation'!G$65*0.04+$BE72</f>
        <v>33567.390774949039</v>
      </c>
      <c r="BA53" s="626">
        <f>$B96*'TCO Calculation'!H$65*('TCO Calculation'!H$63*$BB72+(1-'TCO Calculation'!H$63)*$BA72)/'TCO Calculation'!H$67</f>
        <v>34968.533415697304</v>
      </c>
      <c r="BB53" s="626">
        <f>$B96*'TCO Calculation'!I$65*('TCO Calculation'!I$63*$BB72+(1-'TCO Calculation'!I$63)*$BA72)/'TCO Calculation'!I$67</f>
        <v>32916.952120542475</v>
      </c>
      <c r="BC53" s="626">
        <f>$B96/'TCO Calculation'!J$65*BD72</f>
        <v>46547.452094501939</v>
      </c>
      <c r="BD53" s="627">
        <f>$B96/'TCO Calculation'!K$65*BD72</f>
        <v>52618.858889436982</v>
      </c>
      <c r="BE53" s="452"/>
      <c r="BF53" s="452"/>
      <c r="BG53" s="452"/>
      <c r="BH53" s="452"/>
      <c r="BI53" s="452"/>
      <c r="BJ53" s="452"/>
      <c r="BK53" s="452"/>
      <c r="BL53" s="452"/>
      <c r="BM53" s="452"/>
      <c r="BN53" s="452"/>
      <c r="BO53" s="452"/>
      <c r="BP53" s="452"/>
      <c r="BQ53" s="452"/>
      <c r="BR53" s="452"/>
      <c r="BS53" s="452"/>
      <c r="BT53" s="452"/>
      <c r="BU53" s="452"/>
      <c r="BV53" s="452"/>
      <c r="BW53" s="452"/>
      <c r="BX53" s="452"/>
    </row>
    <row r="54" spans="1:76">
      <c r="A54" s="1157"/>
      <c r="B54" s="640">
        <f t="shared" si="2"/>
        <v>112755.90551181062</v>
      </c>
      <c r="C54" s="641">
        <f t="shared" si="3"/>
        <v>2</v>
      </c>
      <c r="D54" s="624">
        <f t="shared" ca="1" si="4"/>
        <v>99366.73310301156</v>
      </c>
      <c r="E54" s="625">
        <f t="shared" ca="1" si="4"/>
        <v>101052.47026382545</v>
      </c>
      <c r="F54" s="626">
        <f t="shared" ca="1" si="4"/>
        <v>104609.74190147202</v>
      </c>
      <c r="G54" s="625">
        <f>G96+G115+G134+G153+G172+G191+G210+G229</f>
        <v>135337.03874526898</v>
      </c>
      <c r="H54" s="626">
        <f t="shared" si="4"/>
        <v>139020.52481215779</v>
      </c>
      <c r="I54" s="625">
        <f t="shared" ca="1" si="4"/>
        <v>117918.65234019514</v>
      </c>
      <c r="J54" s="627">
        <f t="shared" ca="1" si="4"/>
        <v>114754.81492729537</v>
      </c>
      <c r="K54" s="452"/>
      <c r="L54" s="1162"/>
      <c r="M54" s="640">
        <f t="shared" si="5"/>
        <v>112755.90551181062</v>
      </c>
      <c r="N54" s="645">
        <f t="shared" si="6"/>
        <v>2</v>
      </c>
      <c r="O54" s="624">
        <f t="shared" ca="1" si="11"/>
        <v>94338.776407999161</v>
      </c>
      <c r="P54" s="625">
        <f t="shared" ca="1" si="11"/>
        <v>95939.215268475906</v>
      </c>
      <c r="Q54" s="626">
        <f t="shared" ca="1" si="11"/>
        <v>99316.488961257521</v>
      </c>
      <c r="R54" s="625">
        <f t="shared" ref="R54:U67" si="14">R96+R115+R134+R153+R172+R191+R210+R229</f>
        <v>128488.98458475838</v>
      </c>
      <c r="S54" s="626">
        <f t="shared" si="14"/>
        <v>131986.08625666262</v>
      </c>
      <c r="T54" s="625">
        <f t="shared" ca="1" si="14"/>
        <v>111951.96853178124</v>
      </c>
      <c r="U54" s="627">
        <f t="shared" ca="1" si="14"/>
        <v>108948.22129197425</v>
      </c>
      <c r="V54" s="452"/>
      <c r="W54" s="1153"/>
      <c r="X54" s="640">
        <f t="shared" si="8"/>
        <v>112755.90551181062</v>
      </c>
      <c r="Y54" s="645">
        <f t="shared" si="9"/>
        <v>2</v>
      </c>
      <c r="Z54" s="624">
        <f t="shared" ca="1" si="13"/>
        <v>0</v>
      </c>
      <c r="AA54" s="625">
        <f t="shared" ca="1" si="10"/>
        <v>1600.4388604767446</v>
      </c>
      <c r="AB54" s="626">
        <f t="shared" ca="1" si="10"/>
        <v>4977.7125532583595</v>
      </c>
      <c r="AC54" s="625">
        <f t="shared" ca="1" si="10"/>
        <v>34150.208176759217</v>
      </c>
      <c r="AD54" s="626">
        <f t="shared" ca="1" si="10"/>
        <v>37647.309848663455</v>
      </c>
      <c r="AE54" s="625">
        <f t="shared" ca="1" si="10"/>
        <v>17613.192123782079</v>
      </c>
      <c r="AF54" s="627">
        <f t="shared" ca="1" si="10"/>
        <v>14609.444883975084</v>
      </c>
      <c r="AG54" s="452"/>
      <c r="AH54" s="452"/>
      <c r="AI54" s="452"/>
      <c r="AJ54" s="452"/>
      <c r="AK54" s="452"/>
      <c r="AL54" s="452"/>
      <c r="AM54" s="452"/>
      <c r="AN54" s="452"/>
      <c r="AO54" s="452"/>
      <c r="AP54" s="452"/>
      <c r="AQ54" s="452"/>
      <c r="AR54" s="452"/>
      <c r="AS54" s="452"/>
      <c r="AT54" s="452"/>
      <c r="AU54" s="452"/>
      <c r="AV54" s="452"/>
      <c r="AW54" s="452"/>
      <c r="AX54" s="624">
        <f ca="1">$B97/'TCO Calculation'!E$65*AX73+$B97/'TCO Calculation'!E$65*0.04+$BE73</f>
        <v>25741.712244192437</v>
      </c>
      <c r="AY54" s="626">
        <f ca="1">$B97/'TCO Calculation'!F$65*AY73+$B97/'TCO Calculation'!F$65*0.04+$BE73</f>
        <v>26627.092032139648</v>
      </c>
      <c r="AZ54" s="626">
        <f ca="1">$B97/'TCO Calculation'!G$65*AZ73+$B97/'TCO Calculation'!G$65*0.04+$BE73</f>
        <v>31879.842352731404</v>
      </c>
      <c r="BA54" s="626">
        <f>$B97*'TCO Calculation'!H$65*('TCO Calculation'!H$63*$BB73+(1-'TCO Calculation'!H$63)*$BA73)/'TCO Calculation'!H$67</f>
        <v>33210.33899814824</v>
      </c>
      <c r="BB54" s="626">
        <f>$B97*'TCO Calculation'!I$65*('TCO Calculation'!I$63*$BB73+(1-'TCO Calculation'!I$63)*$BA73)/'TCO Calculation'!I$67</f>
        <v>31261.909835152033</v>
      </c>
      <c r="BC54" s="626">
        <f>$B97/'TCO Calculation'!J$65*BD73</f>
        <v>44207.077408186145</v>
      </c>
      <c r="BD54" s="627">
        <f>$B97/'TCO Calculation'!K$65*BD73</f>
        <v>49973.217939688693</v>
      </c>
      <c r="BE54" s="452"/>
      <c r="BF54" s="452"/>
      <c r="BG54" s="452"/>
      <c r="BH54" s="452"/>
      <c r="BI54" s="452"/>
      <c r="BJ54" s="452"/>
      <c r="BK54" s="452"/>
      <c r="BL54" s="452"/>
      <c r="BM54" s="452"/>
      <c r="BN54" s="452"/>
      <c r="BO54" s="452"/>
      <c r="BP54" s="452"/>
      <c r="BQ54" s="452"/>
      <c r="BR54" s="452"/>
      <c r="BS54" s="452"/>
      <c r="BT54" s="452"/>
      <c r="BU54" s="452"/>
      <c r="BV54" s="452"/>
      <c r="BW54" s="452"/>
      <c r="BX54" s="452"/>
    </row>
    <row r="55" spans="1:76">
      <c r="A55" s="1157"/>
      <c r="B55" s="640">
        <f t="shared" si="2"/>
        <v>107086.61417322783</v>
      </c>
      <c r="C55" s="641">
        <f t="shared" si="3"/>
        <v>3</v>
      </c>
      <c r="D55" s="624">
        <f t="shared" ca="1" si="4"/>
        <v>96909.915364754677</v>
      </c>
      <c r="E55" s="625">
        <f t="shared" ca="1" si="4"/>
        <v>98839.668596919364</v>
      </c>
      <c r="F55" s="626">
        <f t="shared" ca="1" si="4"/>
        <v>102438.27686332783</v>
      </c>
      <c r="G55" s="625">
        <f t="shared" si="4"/>
        <v>132110.81432436113</v>
      </c>
      <c r="H55" s="626">
        <f t="shared" si="4"/>
        <v>136093.63418427153</v>
      </c>
      <c r="I55" s="625">
        <f t="shared" ca="1" si="4"/>
        <v>115710.04372474182</v>
      </c>
      <c r="J55" s="627">
        <f t="shared" ca="1" si="4"/>
        <v>112227.16586529017</v>
      </c>
      <c r="K55" s="452"/>
      <c r="L55" s="1162"/>
      <c r="M55" s="640">
        <f t="shared" si="5"/>
        <v>107086.61417322783</v>
      </c>
      <c r="N55" s="645">
        <f t="shared" si="6"/>
        <v>3</v>
      </c>
      <c r="O55" s="624">
        <f t="shared" ref="O55:O67" ca="1" si="15">O97+O116+O135+O154+O173+O192+O211+O230</f>
        <v>87350.756200744814</v>
      </c>
      <c r="P55" s="625">
        <f t="shared" ref="P55" ca="1" si="16">P97+P116+P135+P154+P173+P192+P211+P230</f>
        <v>89090.159268799936</v>
      </c>
      <c r="Q55" s="626">
        <f t="shared" ref="Q55:Q67" ca="1" si="17">Q97+Q116+Q135+Q154+Q173+Q192+Q211+Q230</f>
        <v>92333.802111308847</v>
      </c>
      <c r="R55" s="625">
        <f t="shared" si="14"/>
        <v>119079.45115929934</v>
      </c>
      <c r="S55" s="626">
        <f t="shared" si="14"/>
        <v>122669.40710204333</v>
      </c>
      <c r="T55" s="625">
        <f t="shared" ca="1" si="14"/>
        <v>104296.44666734902</v>
      </c>
      <c r="U55" s="627">
        <f t="shared" ca="1" si="14"/>
        <v>101157.11862611768</v>
      </c>
      <c r="V55" s="452"/>
      <c r="W55" s="1153"/>
      <c r="X55" s="640">
        <f t="shared" si="8"/>
        <v>107086.61417322783</v>
      </c>
      <c r="Y55" s="645">
        <f t="shared" si="9"/>
        <v>3</v>
      </c>
      <c r="Z55" s="624">
        <f t="shared" ca="1" si="13"/>
        <v>0</v>
      </c>
      <c r="AA55" s="625">
        <f t="shared" ca="1" si="10"/>
        <v>1739.4030680551223</v>
      </c>
      <c r="AB55" s="626">
        <f t="shared" ca="1" si="10"/>
        <v>4983.045910564033</v>
      </c>
      <c r="AC55" s="625">
        <f t="shared" ca="1" si="10"/>
        <v>31728.694958554523</v>
      </c>
      <c r="AD55" s="626">
        <f t="shared" ca="1" si="10"/>
        <v>35318.650901298519</v>
      </c>
      <c r="AE55" s="625">
        <f t="shared" ca="1" si="10"/>
        <v>16945.69046660421</v>
      </c>
      <c r="AF55" s="627">
        <f t="shared" ca="1" si="10"/>
        <v>13806.362425372863</v>
      </c>
      <c r="AG55" s="452"/>
      <c r="AH55" s="452"/>
      <c r="AI55" s="452"/>
      <c r="AJ55" s="452"/>
      <c r="AK55" s="452"/>
      <c r="AL55" s="452"/>
      <c r="AM55" s="452"/>
      <c r="AN55" s="452"/>
      <c r="AO55" s="452"/>
      <c r="AP55" s="452"/>
      <c r="AQ55" s="452"/>
      <c r="AR55" s="452"/>
      <c r="AS55" s="452"/>
      <c r="AT55" s="452"/>
      <c r="AU55" s="452"/>
      <c r="AV55" s="452"/>
      <c r="AW55" s="452"/>
      <c r="AX55" s="624">
        <f ca="1">$B98/'TCO Calculation'!E$65*AX74+$B98/'TCO Calculation'!E$65*0.04+$BE74</f>
        <v>23773.528721054132</v>
      </c>
      <c r="AY55" s="626">
        <f ca="1">$B98/'TCO Calculation'!F$65*AY74+$B98/'TCO Calculation'!F$65*0.04+$BE74</f>
        <v>24591.202995805383</v>
      </c>
      <c r="AZ55" s="626">
        <f ca="1">$B98/'TCO Calculation'!G$65*AZ74+$B98/'TCO Calculation'!G$65*0.04+$BE74</f>
        <v>29442.272409528385</v>
      </c>
      <c r="BA55" s="626">
        <f>$B98*'TCO Calculation'!H$65*('TCO Calculation'!H$63*$BB74+(1-'TCO Calculation'!H$63)*$BA74)/'TCO Calculation'!H$67</f>
        <v>30670.724839466508</v>
      </c>
      <c r="BB55" s="626">
        <f>$B98*'TCO Calculation'!I$65*('TCO Calculation'!I$63*$BB74+(1-'TCO Calculation'!I$63)*$BA74)/'TCO Calculation'!I$67</f>
        <v>28871.293200699412</v>
      </c>
      <c r="BC55" s="626">
        <f>$B98/'TCO Calculation'!J$65*BD74</f>
        <v>40826.536194619228</v>
      </c>
      <c r="BD55" s="627">
        <f>$B98/'TCO Calculation'!K$65*BD74</f>
        <v>46151.736567830441</v>
      </c>
      <c r="BE55" s="452"/>
      <c r="BF55" s="452"/>
      <c r="BG55" s="452"/>
      <c r="BH55" s="452"/>
      <c r="BI55" s="452"/>
      <c r="BJ55" s="452"/>
      <c r="BK55" s="452"/>
      <c r="BL55" s="452"/>
      <c r="BM55" s="452"/>
      <c r="BN55" s="452"/>
      <c r="BO55" s="452"/>
      <c r="BP55" s="452"/>
      <c r="BQ55" s="452"/>
      <c r="BR55" s="452"/>
      <c r="BS55" s="452"/>
      <c r="BT55" s="452"/>
      <c r="BU55" s="452"/>
      <c r="BV55" s="452"/>
      <c r="BW55" s="452"/>
      <c r="BX55" s="452"/>
    </row>
    <row r="56" spans="1:76">
      <c r="A56" s="1157"/>
      <c r="B56" s="640">
        <f t="shared" si="2"/>
        <v>98897.637795275747</v>
      </c>
      <c r="C56" s="641">
        <f t="shared" si="3"/>
        <v>4</v>
      </c>
      <c r="D56" s="624">
        <f t="shared" ca="1" si="4"/>
        <v>92826.974163698585</v>
      </c>
      <c r="E56" s="625">
        <f t="shared" ca="1" si="4"/>
        <v>95050.063577616587</v>
      </c>
      <c r="F56" s="626">
        <f t="shared" ca="1" si="4"/>
        <v>98624.640311545852</v>
      </c>
      <c r="G56" s="625">
        <f t="shared" si="4"/>
        <v>126757.2917067333</v>
      </c>
      <c r="H56" s="626">
        <f t="shared" si="4"/>
        <v>131275.96684395979</v>
      </c>
      <c r="I56" s="625">
        <f t="shared" ca="1" si="4"/>
        <v>111783.27978916005</v>
      </c>
      <c r="J56" s="627">
        <f t="shared" ca="1" si="4"/>
        <v>107753.02851856557</v>
      </c>
      <c r="K56" s="452"/>
      <c r="L56" s="1162"/>
      <c r="M56" s="640">
        <f t="shared" si="5"/>
        <v>98897.637795275747</v>
      </c>
      <c r="N56" s="645">
        <f t="shared" si="6"/>
        <v>4</v>
      </c>
      <c r="O56" s="624">
        <f t="shared" ca="1" si="15"/>
        <v>79436.824774497014</v>
      </c>
      <c r="P56" s="625">
        <f t="shared" ref="P56" ca="1" si="18">P98+P117+P136+P155+P174+P193+P212+P231</f>
        <v>81339.236932411615</v>
      </c>
      <c r="Q56" s="626">
        <f t="shared" ca="1" si="17"/>
        <v>84398.186426503584</v>
      </c>
      <c r="R56" s="625">
        <f t="shared" si="14"/>
        <v>108472.7457822846</v>
      </c>
      <c r="S56" s="626">
        <f t="shared" si="14"/>
        <v>112339.60892548841</v>
      </c>
      <c r="T56" s="625">
        <f t="shared" ca="1" si="14"/>
        <v>95658.712236713487</v>
      </c>
      <c r="U56" s="627">
        <f t="shared" ca="1" si="14"/>
        <v>92209.818562609376</v>
      </c>
      <c r="V56" s="452"/>
      <c r="W56" s="1153"/>
      <c r="X56" s="640">
        <f t="shared" si="8"/>
        <v>98897.637795275747</v>
      </c>
      <c r="Y56" s="645">
        <f t="shared" si="9"/>
        <v>4</v>
      </c>
      <c r="Z56" s="624">
        <f t="shared" ca="1" si="13"/>
        <v>0</v>
      </c>
      <c r="AA56" s="625">
        <f t="shared" ca="1" si="10"/>
        <v>1902.4121579146013</v>
      </c>
      <c r="AB56" s="626">
        <f t="shared" ca="1" si="10"/>
        <v>4961.3616520065698</v>
      </c>
      <c r="AC56" s="625">
        <f t="shared" ca="1" si="10"/>
        <v>29035.92100778759</v>
      </c>
      <c r="AD56" s="626">
        <f t="shared" ca="1" si="10"/>
        <v>32902.7841509914</v>
      </c>
      <c r="AE56" s="625">
        <f t="shared" ca="1" si="10"/>
        <v>16221.887462216473</v>
      </c>
      <c r="AF56" s="627">
        <f t="shared" ca="1" si="10"/>
        <v>12772.993788112362</v>
      </c>
      <c r="AG56" s="452"/>
      <c r="AH56" s="452"/>
      <c r="AI56" s="452"/>
      <c r="AJ56" s="452"/>
      <c r="AK56" s="452"/>
      <c r="AL56" s="452"/>
      <c r="AM56" s="452"/>
      <c r="AN56" s="452"/>
      <c r="AO56" s="452"/>
      <c r="AP56" s="452"/>
      <c r="AQ56" s="452"/>
      <c r="AR56" s="452"/>
      <c r="AS56" s="452"/>
      <c r="AT56" s="452"/>
      <c r="AU56" s="452"/>
      <c r="AV56" s="452"/>
      <c r="AW56" s="452"/>
      <c r="AX56" s="624">
        <f ca="1">$B99/'TCO Calculation'!E$65*AX75+$B99/'TCO Calculation'!E$65*0.04+$BE75</f>
        <v>20745.554070071892</v>
      </c>
      <c r="AY56" s="626">
        <f ca="1">$B99/'TCO Calculation'!F$65*AY75+$B99/'TCO Calculation'!F$65*0.04+$BE75</f>
        <v>21459.066016829354</v>
      </c>
      <c r="AZ56" s="626">
        <f ca="1">$B99/'TCO Calculation'!G$65*AZ75+$B99/'TCO Calculation'!G$65*0.04+$BE75</f>
        <v>25692.164804600394</v>
      </c>
      <c r="BA56" s="626">
        <f>$B99*'TCO Calculation'!H$65*('TCO Calculation'!H$63*$BB75+(1-'TCO Calculation'!H$63)*$BA75)/'TCO Calculation'!H$67</f>
        <v>26763.626133802016</v>
      </c>
      <c r="BB56" s="626">
        <f>$B99*'TCO Calculation'!I$65*('TCO Calculation'!I$63*$BB75+(1-'TCO Calculation'!I$63)*$BA75)/'TCO Calculation'!I$67</f>
        <v>25193.421455387412</v>
      </c>
      <c r="BC56" s="626">
        <f>$B99/'TCO Calculation'!J$65*BD75</f>
        <v>35625.703558362045</v>
      </c>
      <c r="BD56" s="627">
        <f>$B99/'TCO Calculation'!K$65*BD75</f>
        <v>40272.534457278838</v>
      </c>
      <c r="BE56" s="452"/>
      <c r="BF56" s="452"/>
      <c r="BG56" s="452"/>
      <c r="BH56" s="452"/>
      <c r="BI56" s="452"/>
      <c r="BJ56" s="452"/>
      <c r="BK56" s="452"/>
      <c r="BL56" s="452"/>
      <c r="BM56" s="452"/>
      <c r="BN56" s="452"/>
      <c r="BO56" s="452"/>
      <c r="BP56" s="452"/>
      <c r="BQ56" s="452"/>
      <c r="BR56" s="452"/>
      <c r="BS56" s="452"/>
      <c r="BT56" s="452"/>
      <c r="BU56" s="452"/>
      <c r="BV56" s="452"/>
      <c r="BW56" s="452"/>
      <c r="BX56" s="452"/>
    </row>
    <row r="57" spans="1:76">
      <c r="A57" s="1157"/>
      <c r="B57" s="640">
        <f t="shared" si="2"/>
        <v>86299.212598425438</v>
      </c>
      <c r="C57" s="641">
        <f t="shared" si="3"/>
        <v>5</v>
      </c>
      <c r="D57" s="624">
        <f t="shared" ca="1" si="4"/>
        <v>85871.846409083897</v>
      </c>
      <c r="E57" s="625">
        <f t="shared" ca="1" si="4"/>
        <v>88471.607412433455</v>
      </c>
      <c r="F57" s="626">
        <f t="shared" ca="1" si="4"/>
        <v>91903.513588963222</v>
      </c>
      <c r="G57" s="625">
        <f t="shared" si="4"/>
        <v>117642.89248804754</v>
      </c>
      <c r="H57" s="626">
        <f t="shared" si="4"/>
        <v>123116.62492842112</v>
      </c>
      <c r="I57" s="625">
        <f t="shared" ca="1" si="4"/>
        <v>104813.10061019666</v>
      </c>
      <c r="J57" s="627">
        <f t="shared" ca="1" si="4"/>
        <v>99831.414829082787</v>
      </c>
      <c r="K57" s="452"/>
      <c r="L57" s="1162"/>
      <c r="M57" s="640">
        <f t="shared" si="5"/>
        <v>86299.212598425438</v>
      </c>
      <c r="N57" s="645">
        <f t="shared" si="6"/>
        <v>5</v>
      </c>
      <c r="O57" s="624">
        <f t="shared" ca="1" si="15"/>
        <v>69766.624428987838</v>
      </c>
      <c r="P57" s="625">
        <f t="shared" ref="P57:P67" ca="1" si="19">P99+P118+P137+P156+P175+P194+P213+P232</f>
        <v>71878.801552346282</v>
      </c>
      <c r="Q57" s="626">
        <f t="shared" ca="1" si="17"/>
        <v>74667.055436545372</v>
      </c>
      <c r="R57" s="625">
        <f t="shared" si="14"/>
        <v>95579.0266562287</v>
      </c>
      <c r="S57" s="626">
        <f t="shared" si="14"/>
        <v>100026.16330650006</v>
      </c>
      <c r="T57" s="625">
        <f t="shared" ca="1" si="14"/>
        <v>85155.455848399753</v>
      </c>
      <c r="U57" s="627">
        <f t="shared" ca="1" si="14"/>
        <v>81108.082751768205</v>
      </c>
      <c r="V57" s="452"/>
      <c r="W57" s="1153"/>
      <c r="X57" s="640">
        <f t="shared" si="8"/>
        <v>86299.212598425438</v>
      </c>
      <c r="Y57" s="645">
        <f t="shared" si="9"/>
        <v>5</v>
      </c>
      <c r="Z57" s="624">
        <f t="shared" ca="1" si="13"/>
        <v>0</v>
      </c>
      <c r="AA57" s="625">
        <f t="shared" ca="1" si="10"/>
        <v>2112.1771233584441</v>
      </c>
      <c r="AB57" s="626">
        <f t="shared" ca="1" si="10"/>
        <v>4900.431007557534</v>
      </c>
      <c r="AC57" s="625">
        <f t="shared" ca="1" si="10"/>
        <v>25812.402227240862</v>
      </c>
      <c r="AD57" s="626">
        <f t="shared" ca="1" si="10"/>
        <v>30259.538877512226</v>
      </c>
      <c r="AE57" s="625">
        <f t="shared" ca="1" si="10"/>
        <v>15388.831419411916</v>
      </c>
      <c r="AF57" s="627">
        <f t="shared" ca="1" si="10"/>
        <v>11341.458322780367</v>
      </c>
      <c r="AG57" s="452"/>
      <c r="AH57" s="452"/>
      <c r="AI57" s="452"/>
      <c r="AJ57" s="452"/>
      <c r="AK57" s="452"/>
      <c r="AL57" s="452"/>
      <c r="AM57" s="452"/>
      <c r="AN57" s="452"/>
      <c r="AO57" s="452"/>
      <c r="AP57" s="452"/>
      <c r="AQ57" s="452"/>
      <c r="AR57" s="452"/>
      <c r="AS57" s="452"/>
      <c r="AT57" s="452"/>
      <c r="AU57" s="452"/>
      <c r="AV57" s="452"/>
      <c r="AW57" s="452"/>
      <c r="AX57" s="624">
        <f ca="1">$B100/'TCO Calculation'!E$65*AX76+$B100/'TCO Calculation'!E$65*0.04+$BE76</f>
        <v>18474.57308183518</v>
      </c>
      <c r="AY57" s="626">
        <f ca="1">$B100/'TCO Calculation'!F$65*AY76+$B100/'TCO Calculation'!F$65*0.04+$BE76</f>
        <v>19109.963282597302</v>
      </c>
      <c r="AZ57" s="626">
        <f ca="1">$B100/'TCO Calculation'!G$65*AZ76+$B100/'TCO Calculation'!G$65*0.04+$BE76</f>
        <v>22879.584100904351</v>
      </c>
      <c r="BA57" s="626">
        <f>$B100*'TCO Calculation'!H$65*('TCO Calculation'!H$63*$BB76+(1-'TCO Calculation'!H$63)*$BA76)/'TCO Calculation'!H$67</f>
        <v>23833.302104553604</v>
      </c>
      <c r="BB57" s="626">
        <f>$B100*'TCO Calculation'!I$65*('TCO Calculation'!I$63*$BB76+(1-'TCO Calculation'!I$63)*$BA76)/'TCO Calculation'!I$67</f>
        <v>22435.017646403376</v>
      </c>
      <c r="BC57" s="626">
        <f>$B100/'TCO Calculation'!J$65*BD76</f>
        <v>31725.0790811691</v>
      </c>
      <c r="BD57" s="627">
        <f>$B100/'TCO Calculation'!K$65*BD76</f>
        <v>35863.132874365074</v>
      </c>
      <c r="BE57" s="452"/>
      <c r="BF57" s="452"/>
      <c r="BG57" s="452"/>
      <c r="BH57" s="452"/>
      <c r="BI57" s="452"/>
      <c r="BJ57" s="452"/>
      <c r="BK57" s="452"/>
      <c r="BL57" s="452"/>
      <c r="BM57" s="452"/>
      <c r="BN57" s="452"/>
      <c r="BO57" s="452"/>
      <c r="BP57" s="452"/>
      <c r="BQ57" s="452"/>
      <c r="BR57" s="452"/>
      <c r="BS57" s="452"/>
      <c r="BT57" s="452"/>
      <c r="BU57" s="452"/>
      <c r="BV57" s="452"/>
      <c r="BW57" s="452"/>
      <c r="BX57" s="452"/>
    </row>
    <row r="58" spans="1:76">
      <c r="A58" s="1157"/>
      <c r="B58" s="640">
        <f t="shared" si="2"/>
        <v>76850.393700787565</v>
      </c>
      <c r="C58" s="641">
        <f t="shared" si="3"/>
        <v>6</v>
      </c>
      <c r="D58" s="624">
        <f t="shared" ca="1" si="4"/>
        <v>53894.027470508692</v>
      </c>
      <c r="E58" s="625">
        <f t="shared" ca="1" si="4"/>
        <v>52508.401891814465</v>
      </c>
      <c r="F58" s="626">
        <f t="shared" ca="1" si="4"/>
        <v>54415.20343878214</v>
      </c>
      <c r="G58" s="625">
        <f t="shared" si="4"/>
        <v>69135.347449272784</v>
      </c>
      <c r="H58" s="626">
        <f t="shared" si="4"/>
        <v>62807.116892754981</v>
      </c>
      <c r="I58" s="625">
        <f t="shared" ca="1" si="4"/>
        <v>57160.686835045446</v>
      </c>
      <c r="J58" s="627">
        <f t="shared" ca="1" si="4"/>
        <v>63301.931623745848</v>
      </c>
      <c r="K58" s="452"/>
      <c r="L58" s="1162"/>
      <c r="M58" s="640">
        <f t="shared" si="5"/>
        <v>76850.393700787565</v>
      </c>
      <c r="N58" s="645">
        <f t="shared" si="6"/>
        <v>6</v>
      </c>
      <c r="O58" s="624">
        <f t="shared" ca="1" si="15"/>
        <v>41570.646276726417</v>
      </c>
      <c r="P58" s="625">
        <f t="shared" ca="1" si="19"/>
        <v>40501.857145400092</v>
      </c>
      <c r="Q58" s="626">
        <f t="shared" ca="1" si="17"/>
        <v>41972.650410429022</v>
      </c>
      <c r="R58" s="625">
        <f t="shared" si="14"/>
        <v>53326.893700883258</v>
      </c>
      <c r="S58" s="626">
        <f t="shared" si="14"/>
        <v>48445.673158096266</v>
      </c>
      <c r="T58" s="625">
        <f t="shared" ca="1" si="14"/>
        <v>44090.352955245166</v>
      </c>
      <c r="U58" s="627">
        <f t="shared" ca="1" si="14"/>
        <v>48827.343801764364</v>
      </c>
      <c r="V58" s="452"/>
      <c r="W58" s="1153"/>
      <c r="X58" s="640">
        <f t="shared" si="8"/>
        <v>76850.393700787565</v>
      </c>
      <c r="Y58" s="645">
        <f t="shared" si="9"/>
        <v>6</v>
      </c>
      <c r="Z58" s="624">
        <f t="shared" ca="1" si="13"/>
        <v>0</v>
      </c>
      <c r="AA58" s="625">
        <f t="shared" ca="1" si="10"/>
        <v>-1068.7891313263244</v>
      </c>
      <c r="AB58" s="626">
        <f t="shared" ca="1" si="10"/>
        <v>402.00413370260503</v>
      </c>
      <c r="AC58" s="625">
        <f t="shared" ca="1" si="10"/>
        <v>11756.247424156842</v>
      </c>
      <c r="AD58" s="626">
        <f t="shared" ca="1" si="10"/>
        <v>6875.0268813698494</v>
      </c>
      <c r="AE58" s="625">
        <f t="shared" ca="1" si="10"/>
        <v>2519.706678518749</v>
      </c>
      <c r="AF58" s="627">
        <f t="shared" ca="1" si="10"/>
        <v>7256.6975250379473</v>
      </c>
      <c r="AG58" s="452"/>
      <c r="AH58" s="452"/>
      <c r="AI58" s="452"/>
      <c r="AJ58" s="452"/>
      <c r="AK58" s="452"/>
      <c r="AL58" s="452"/>
      <c r="AM58" s="452"/>
      <c r="AN58" s="452"/>
      <c r="AO58" s="452"/>
      <c r="AP58" s="452"/>
      <c r="AQ58" s="452"/>
      <c r="AR58" s="452"/>
      <c r="AS58" s="452"/>
      <c r="AT58" s="452"/>
      <c r="AU58" s="452"/>
      <c r="AV58" s="452"/>
      <c r="AW58" s="452"/>
      <c r="AX58" s="624">
        <f ca="1">$B101/'TCO Calculation'!E$65*AX77+$B101/'TCO Calculation'!E$65*0.04+$BE77</f>
        <v>16657.788291245834</v>
      </c>
      <c r="AY58" s="626">
        <f ca="1">$B101/'TCO Calculation'!F$65*AY77+$B101/'TCO Calculation'!F$65*0.04+$BE77</f>
        <v>17230.681095211683</v>
      </c>
      <c r="AZ58" s="626">
        <f ca="1">$B101/'TCO Calculation'!G$65*AZ77+$B101/'TCO Calculation'!G$65*0.04+$BE77</f>
        <v>20629.519537947552</v>
      </c>
      <c r="BA58" s="626">
        <f>$B101*'TCO Calculation'!H$65*('TCO Calculation'!H$63*$BB77+(1-'TCO Calculation'!H$63)*$BA77)/'TCO Calculation'!H$67</f>
        <v>21489.042881154906</v>
      </c>
      <c r="BB58" s="626">
        <f>$B101*'TCO Calculation'!I$65*('TCO Calculation'!I$63*$BB77+(1-'TCO Calculation'!I$63)*$BA77)/'TCO Calculation'!I$67</f>
        <v>20228.294599216173</v>
      </c>
      <c r="BC58" s="626">
        <f>$B101/'TCO Calculation'!J$65*BD77</f>
        <v>28604.579499414784</v>
      </c>
      <c r="BD58" s="627">
        <f>$B101/'TCO Calculation'!K$65*BD77</f>
        <v>32335.611608034105</v>
      </c>
      <c r="BE58" s="452"/>
      <c r="BF58" s="452"/>
      <c r="BG58" s="452"/>
      <c r="BH58" s="452"/>
      <c r="BI58" s="452"/>
      <c r="BJ58" s="452"/>
      <c r="BK58" s="452"/>
      <c r="BL58" s="452"/>
      <c r="BM58" s="452"/>
      <c r="BN58" s="452"/>
      <c r="BO58" s="452"/>
      <c r="BP58" s="452"/>
      <c r="BQ58" s="452"/>
      <c r="BR58" s="452"/>
      <c r="BS58" s="452"/>
      <c r="BT58" s="452"/>
      <c r="BU58" s="452"/>
      <c r="BV58" s="452"/>
      <c r="BW58" s="452"/>
      <c r="BX58" s="452"/>
    </row>
    <row r="59" spans="1:76">
      <c r="A59" s="1157"/>
      <c r="B59" s="640">
        <f t="shared" si="2"/>
        <v>69291.338582677359</v>
      </c>
      <c r="C59" s="641">
        <f t="shared" si="3"/>
        <v>7</v>
      </c>
      <c r="D59" s="624">
        <f t="shared" ca="1" si="4"/>
        <v>49806.825516478915</v>
      </c>
      <c r="E59" s="625">
        <f t="shared" ca="1" si="4"/>
        <v>48653.99534717128</v>
      </c>
      <c r="F59" s="626">
        <f t="shared" ca="1" si="4"/>
        <v>50482.876522131606</v>
      </c>
      <c r="G59" s="625">
        <f t="shared" si="4"/>
        <v>63732.955279465416</v>
      </c>
      <c r="H59" s="626">
        <f t="shared" si="4"/>
        <v>57973.652581820024</v>
      </c>
      <c r="I59" s="625">
        <f t="shared" ca="1" si="4"/>
        <v>53088.105859116629</v>
      </c>
      <c r="J59" s="627">
        <f t="shared" ca="1" si="4"/>
        <v>58660.857813693605</v>
      </c>
      <c r="K59" s="452"/>
      <c r="L59" s="1162"/>
      <c r="M59" s="640">
        <f t="shared" si="5"/>
        <v>69291.338582677359</v>
      </c>
      <c r="N59" s="645">
        <f t="shared" si="6"/>
        <v>7</v>
      </c>
      <c r="O59" s="624">
        <f t="shared" ca="1" si="15"/>
        <v>36474.069957878142</v>
      </c>
      <c r="P59" s="625">
        <f t="shared" ca="1" si="19"/>
        <v>35629.840119721375</v>
      </c>
      <c r="Q59" s="626">
        <f t="shared" ca="1" si="17"/>
        <v>36969.149325406033</v>
      </c>
      <c r="R59" s="625">
        <f t="shared" si="14"/>
        <v>46672.323429174015</v>
      </c>
      <c r="S59" s="626">
        <f t="shared" si="14"/>
        <v>42454.724589572943</v>
      </c>
      <c r="T59" s="625">
        <f t="shared" ca="1" si="14"/>
        <v>38876.986576789765</v>
      </c>
      <c r="U59" s="627">
        <f t="shared" ca="1" si="14"/>
        <v>42957.972316021282</v>
      </c>
      <c r="V59" s="452"/>
      <c r="W59" s="1153"/>
      <c r="X59" s="640">
        <f t="shared" si="8"/>
        <v>69291.338582677359</v>
      </c>
      <c r="Y59" s="645">
        <f t="shared" si="9"/>
        <v>7</v>
      </c>
      <c r="Z59" s="624">
        <f t="shared" ca="1" si="13"/>
        <v>0</v>
      </c>
      <c r="AA59" s="625">
        <f t="shared" ca="1" si="10"/>
        <v>-844.22983815676707</v>
      </c>
      <c r="AB59" s="626">
        <f t="shared" ca="1" si="10"/>
        <v>495.07936752789101</v>
      </c>
      <c r="AC59" s="625">
        <f t="shared" ca="1" si="10"/>
        <v>10198.253471295873</v>
      </c>
      <c r="AD59" s="626">
        <f t="shared" ca="1" si="10"/>
        <v>5980.6546316948006</v>
      </c>
      <c r="AE59" s="625">
        <f t="shared" ca="1" si="10"/>
        <v>2402.9166189116222</v>
      </c>
      <c r="AF59" s="627">
        <f t="shared" ca="1" si="10"/>
        <v>6483.9023581431393</v>
      </c>
      <c r="AG59" s="452"/>
      <c r="AH59" s="452"/>
      <c r="AI59" s="452"/>
      <c r="AJ59" s="452"/>
      <c r="AK59" s="452"/>
      <c r="AL59" s="452"/>
      <c r="AM59" s="452"/>
      <c r="AN59" s="452"/>
      <c r="AO59" s="452"/>
      <c r="AP59" s="452"/>
      <c r="AQ59" s="452"/>
      <c r="AR59" s="452"/>
      <c r="AS59" s="452"/>
      <c r="AT59" s="452"/>
      <c r="AU59" s="452"/>
      <c r="AV59" s="452"/>
      <c r="AW59" s="452"/>
      <c r="AX59" s="624">
        <f ca="1">$B102/'TCO Calculation'!E$65*AX78+$B102/'TCO Calculation'!E$65*0.04+$BE78</f>
        <v>15143.800965754703</v>
      </c>
      <c r="AY59" s="626">
        <f ca="1">$B102/'TCO Calculation'!F$65*AY78+$B102/'TCO Calculation'!F$65*0.04+$BE78</f>
        <v>15664.612605723654</v>
      </c>
      <c r="AZ59" s="626">
        <f ca="1">$B102/'TCO Calculation'!G$65*AZ78+$B102/'TCO Calculation'!G$65*0.04+$BE78</f>
        <v>18754.465735483533</v>
      </c>
      <c r="BA59" s="626">
        <f>$B102*'TCO Calculation'!H$65*('TCO Calculation'!H$63*$BB78+(1-'TCO Calculation'!H$63)*$BA78)/'TCO Calculation'!H$67</f>
        <v>19535.493528322644</v>
      </c>
      <c r="BB59" s="626">
        <f>$B102*'TCO Calculation'!I$65*('TCO Calculation'!I$63*$BB78+(1-'TCO Calculation'!I$63)*$BA78)/'TCO Calculation'!I$67</f>
        <v>18389.35872656016</v>
      </c>
      <c r="BC59" s="626">
        <f>$B102/'TCO Calculation'!J$65*BD78</f>
        <v>26004.163181286167</v>
      </c>
      <c r="BD59" s="627">
        <f>$B102/'TCO Calculation'!K$65*BD78</f>
        <v>29396.010552758278</v>
      </c>
      <c r="BE59" s="452"/>
      <c r="BF59" s="452"/>
      <c r="BG59" s="452"/>
      <c r="BH59" s="452"/>
      <c r="BI59" s="452"/>
      <c r="BJ59" s="452"/>
      <c r="BK59" s="452"/>
      <c r="BL59" s="452"/>
      <c r="BM59" s="452"/>
      <c r="BN59" s="452"/>
      <c r="BO59" s="452"/>
      <c r="BP59" s="452"/>
      <c r="BQ59" s="452"/>
      <c r="BR59" s="452"/>
      <c r="BS59" s="452"/>
      <c r="BT59" s="452"/>
      <c r="BU59" s="452"/>
      <c r="BV59" s="452"/>
      <c r="BW59" s="452"/>
      <c r="BX59" s="452"/>
    </row>
    <row r="60" spans="1:76">
      <c r="A60" s="1157"/>
      <c r="B60" s="640">
        <f t="shared" si="2"/>
        <v>62992.125984252147</v>
      </c>
      <c r="C60" s="641">
        <f t="shared" si="3"/>
        <v>8</v>
      </c>
      <c r="D60" s="624">
        <f t="shared" ca="1" si="4"/>
        <v>46422.094128610421</v>
      </c>
      <c r="E60" s="625">
        <f t="shared" ca="1" si="4"/>
        <v>45464.326381605708</v>
      </c>
      <c r="F60" s="626">
        <f t="shared" ca="1" si="4"/>
        <v>47228.864073878431</v>
      </c>
      <c r="G60" s="625">
        <f t="shared" si="4"/>
        <v>59256.001241859427</v>
      </c>
      <c r="H60" s="626">
        <f t="shared" si="4"/>
        <v>53972.916906380153</v>
      </c>
      <c r="I60" s="625">
        <f t="shared" ca="1" si="4"/>
        <v>49719.401094229608</v>
      </c>
      <c r="J60" s="627">
        <f t="shared" ca="1" si="4"/>
        <v>54816.373924919986</v>
      </c>
      <c r="K60" s="452"/>
      <c r="L60" s="1162"/>
      <c r="M60" s="640">
        <f t="shared" si="5"/>
        <v>62992.125984252147</v>
      </c>
      <c r="N60" s="645">
        <f t="shared" si="6"/>
        <v>8</v>
      </c>
      <c r="O60" s="624">
        <f t="shared" ca="1" si="15"/>
        <v>32275.22804558323</v>
      </c>
      <c r="P60" s="625">
        <f t="shared" ca="1" si="19"/>
        <v>31609.334508690205</v>
      </c>
      <c r="Q60" s="626">
        <f t="shared" ca="1" si="17"/>
        <v>32836.139492010203</v>
      </c>
      <c r="R60" s="625">
        <f t="shared" si="14"/>
        <v>41198.075809589165</v>
      </c>
      <c r="S60" s="626">
        <f t="shared" si="14"/>
        <v>37524.981027625137</v>
      </c>
      <c r="T60" s="625">
        <f t="shared" ca="1" si="14"/>
        <v>34567.699685419509</v>
      </c>
      <c r="U60" s="627">
        <f t="shared" ca="1" si="14"/>
        <v>38111.399372833803</v>
      </c>
      <c r="V60" s="452"/>
      <c r="W60" s="1153"/>
      <c r="X60" s="640">
        <f t="shared" si="8"/>
        <v>62992.125984252147</v>
      </c>
      <c r="Y60" s="645">
        <f t="shared" si="9"/>
        <v>8</v>
      </c>
      <c r="Z60" s="624">
        <f t="shared" ca="1" si="13"/>
        <v>0</v>
      </c>
      <c r="AA60" s="625">
        <f t="shared" ca="1" si="10"/>
        <v>-665.89353689302516</v>
      </c>
      <c r="AB60" s="626">
        <f t="shared" ca="1" si="10"/>
        <v>560.91144642697327</v>
      </c>
      <c r="AC60" s="625">
        <f t="shared" ca="1" si="10"/>
        <v>8922.8477640059355</v>
      </c>
      <c r="AD60" s="626">
        <f t="shared" ca="1" si="10"/>
        <v>5249.7529820419077</v>
      </c>
      <c r="AE60" s="625">
        <f t="shared" ca="1" si="10"/>
        <v>2292.4716398362798</v>
      </c>
      <c r="AF60" s="627">
        <f t="shared" ca="1" si="10"/>
        <v>5836.1713272505731</v>
      </c>
      <c r="AG60" s="452"/>
      <c r="AH60" s="452"/>
      <c r="AI60" s="452"/>
      <c r="AJ60" s="452"/>
      <c r="AK60" s="452"/>
      <c r="AL60" s="452"/>
      <c r="AM60" s="452"/>
      <c r="AN60" s="452"/>
      <c r="AO60" s="452"/>
      <c r="AP60" s="452"/>
      <c r="AQ60" s="452"/>
      <c r="AR60" s="452"/>
      <c r="AS60" s="452"/>
      <c r="AT60" s="452"/>
      <c r="AU60" s="452"/>
      <c r="AV60" s="452"/>
      <c r="AW60" s="452"/>
      <c r="AX60" s="624">
        <f ca="1">$B103/'TCO Calculation'!E$65*AX79+$B103/'TCO Calculation'!E$65*0.04+$BE79</f>
        <v>13478.414907714438</v>
      </c>
      <c r="AY60" s="626">
        <f ca="1">$B103/'TCO Calculation'!F$65*AY79+$B103/'TCO Calculation'!F$65*0.04+$BE79</f>
        <v>13941.937267286805</v>
      </c>
      <c r="AZ60" s="626">
        <f ca="1">$B103/'TCO Calculation'!G$65*AZ79+$B103/'TCO Calculation'!G$65*0.04+$BE79</f>
        <v>16691.906552773093</v>
      </c>
      <c r="BA60" s="626">
        <f>$B103*'TCO Calculation'!H$65*('TCO Calculation'!H$63*$BB79+(1-'TCO Calculation'!H$63)*$BA79)/'TCO Calculation'!H$67</f>
        <v>17386.589240207126</v>
      </c>
      <c r="BB60" s="626">
        <f>$B103*'TCO Calculation'!I$65*('TCO Calculation'!I$63*$BB79+(1-'TCO Calculation'!I$63)*$BA79)/'TCO Calculation'!I$67</f>
        <v>16366.529266638518</v>
      </c>
      <c r="BC60" s="626">
        <f>$B103/'TCO Calculation'!J$65*BD79</f>
        <v>23143.705231344655</v>
      </c>
      <c r="BD60" s="627">
        <f>$B103/'TCO Calculation'!K$65*BD79</f>
        <v>26162.449391954833</v>
      </c>
      <c r="BE60" s="452"/>
      <c r="BF60" s="452"/>
      <c r="BG60" s="452"/>
      <c r="BH60" s="452"/>
      <c r="BI60" s="452"/>
      <c r="BJ60" s="452"/>
      <c r="BK60" s="452"/>
      <c r="BL60" s="452"/>
      <c r="BM60" s="452"/>
      <c r="BN60" s="452"/>
      <c r="BO60" s="452"/>
      <c r="BP60" s="452"/>
      <c r="BQ60" s="452"/>
      <c r="BR60" s="452"/>
      <c r="BS60" s="452"/>
      <c r="BT60" s="452"/>
      <c r="BU60" s="452"/>
      <c r="BV60" s="452"/>
      <c r="BW60" s="452"/>
      <c r="BX60" s="452"/>
    </row>
    <row r="61" spans="1:76">
      <c r="A61" s="1157"/>
      <c r="B61" s="640">
        <f t="shared" si="2"/>
        <v>56062.992125984332</v>
      </c>
      <c r="C61" s="641">
        <f t="shared" si="3"/>
        <v>9</v>
      </c>
      <c r="D61" s="624">
        <f t="shared" ca="1" si="4"/>
        <v>42523.133512422181</v>
      </c>
      <c r="E61" s="625">
        <f t="shared" ca="1" si="4"/>
        <v>41760.122827754087</v>
      </c>
      <c r="F61" s="626">
        <f t="shared" ca="1" si="4"/>
        <v>43425.571226801439</v>
      </c>
      <c r="G61" s="625">
        <f t="shared" si="4"/>
        <v>54110.777518559044</v>
      </c>
      <c r="H61" s="626">
        <f t="shared" si="4"/>
        <v>49387.431744233676</v>
      </c>
      <c r="I61" s="625">
        <f t="shared" ca="1" si="4"/>
        <v>45770.328470805871</v>
      </c>
      <c r="J61" s="627">
        <f t="shared" ca="1" si="4"/>
        <v>50313.954009384244</v>
      </c>
      <c r="K61" s="452"/>
      <c r="L61" s="1162"/>
      <c r="M61" s="640">
        <f t="shared" si="5"/>
        <v>56062.992125984332</v>
      </c>
      <c r="N61" s="645">
        <f t="shared" si="6"/>
        <v>9</v>
      </c>
      <c r="O61" s="624">
        <f t="shared" ca="1" si="15"/>
        <v>28068.491909287895</v>
      </c>
      <c r="P61" s="625">
        <f t="shared" ca="1" si="19"/>
        <v>27564.847011551217</v>
      </c>
      <c r="Q61" s="626">
        <f t="shared" ca="1" si="17"/>
        <v>28664.169216965391</v>
      </c>
      <c r="R61" s="625">
        <f t="shared" si="14"/>
        <v>35717.215443242574</v>
      </c>
      <c r="S61" s="626">
        <f t="shared" si="14"/>
        <v>32599.44914286655</v>
      </c>
      <c r="T61" s="625">
        <f t="shared" ca="1" si="14"/>
        <v>30211.886760249363</v>
      </c>
      <c r="U61" s="627">
        <f t="shared" ca="1" si="14"/>
        <v>33211.024079966533</v>
      </c>
      <c r="V61" s="452"/>
      <c r="W61" s="1153"/>
      <c r="X61" s="640">
        <f t="shared" si="8"/>
        <v>56062.992125984332</v>
      </c>
      <c r="Y61" s="645">
        <f t="shared" si="9"/>
        <v>9</v>
      </c>
      <c r="Z61" s="624">
        <f t="shared" ca="1" si="13"/>
        <v>0</v>
      </c>
      <c r="AA61" s="625">
        <f t="shared" ca="1" si="10"/>
        <v>-503.6448977366781</v>
      </c>
      <c r="AB61" s="626">
        <f t="shared" ca="1" si="10"/>
        <v>595.67730767749526</v>
      </c>
      <c r="AC61" s="625">
        <f t="shared" ca="1" si="10"/>
        <v>7648.7235339546787</v>
      </c>
      <c r="AD61" s="626">
        <f t="shared" ca="1" si="10"/>
        <v>4530.9572335786543</v>
      </c>
      <c r="AE61" s="625">
        <f t="shared" ca="1" si="10"/>
        <v>2143.3948509614675</v>
      </c>
      <c r="AF61" s="627">
        <f t="shared" ca="1" si="10"/>
        <v>5142.5321706786381</v>
      </c>
      <c r="AG61" s="452"/>
      <c r="AH61" s="452"/>
      <c r="AI61" s="452"/>
      <c r="AJ61" s="452"/>
      <c r="AK61" s="452"/>
      <c r="AL61" s="452"/>
      <c r="AM61" s="452"/>
      <c r="AN61" s="452"/>
      <c r="AO61" s="452"/>
      <c r="AP61" s="452"/>
      <c r="AQ61" s="452"/>
      <c r="AR61" s="452"/>
      <c r="AS61" s="452"/>
      <c r="AT61" s="452"/>
      <c r="AU61" s="452"/>
      <c r="AV61" s="452"/>
      <c r="AW61" s="452"/>
      <c r="AX61" s="624">
        <f ca="1">$B104/'TCO Calculation'!E$65*AX80+$B104/'TCO Calculation'!E$65*0.04+$BE80</f>
        <v>11964.427582223308</v>
      </c>
      <c r="AY61" s="626">
        <f ca="1">$B104/'TCO Calculation'!F$65*AY80+$B104/'TCO Calculation'!F$65*0.04+$BE80</f>
        <v>12375.86877779878</v>
      </c>
      <c r="AZ61" s="626">
        <f ca="1">$B104/'TCO Calculation'!G$65*AZ80+$B104/'TCO Calculation'!G$65*0.04+$BE80</f>
        <v>14816.852750309083</v>
      </c>
      <c r="BA61" s="626">
        <f>$B104*'TCO Calculation'!H$65*('TCO Calculation'!H$63*$BB80+(1-'TCO Calculation'!H$63)*$BA80)/'TCO Calculation'!H$67</f>
        <v>15433.039887374869</v>
      </c>
      <c r="BB61" s="626">
        <f>$B104*'TCO Calculation'!I$65*('TCO Calculation'!I$63*$BB80+(1-'TCO Calculation'!I$63)*$BA80)/'TCO Calculation'!I$67</f>
        <v>14527.593393982508</v>
      </c>
      <c r="BC61" s="626">
        <f>$B104/'TCO Calculation'!J$65*BD80</f>
        <v>20543.288913216045</v>
      </c>
      <c r="BD61" s="627">
        <f>$B104/'TCO Calculation'!K$65*BD80</f>
        <v>23222.84833667901</v>
      </c>
      <c r="BE61" s="452"/>
      <c r="BF61" s="452"/>
      <c r="BG61" s="452"/>
      <c r="BH61" s="452"/>
      <c r="BI61" s="452"/>
      <c r="BJ61" s="452"/>
      <c r="BK61" s="452"/>
      <c r="BL61" s="452"/>
      <c r="BM61" s="452"/>
      <c r="BN61" s="452"/>
      <c r="BO61" s="452"/>
      <c r="BP61" s="452"/>
      <c r="BQ61" s="452"/>
      <c r="BR61" s="452"/>
      <c r="BS61" s="452"/>
      <c r="BT61" s="452"/>
      <c r="BU61" s="452"/>
      <c r="BV61" s="452"/>
      <c r="BW61" s="452"/>
      <c r="BX61" s="452"/>
    </row>
    <row r="62" spans="1:76">
      <c r="A62" s="1157"/>
      <c r="B62" s="640">
        <f t="shared" si="2"/>
        <v>49763.779527559134</v>
      </c>
      <c r="C62" s="641">
        <f t="shared" si="3"/>
        <v>10</v>
      </c>
      <c r="D62" s="624">
        <f t="shared" ref="D62:J67" ca="1" si="20">D104+D123+D142+D161+D180+D199+D218+D237</f>
        <v>38932.345971009607</v>
      </c>
      <c r="E62" s="625">
        <f t="shared" ca="1" si="20"/>
        <v>38340.139835591603</v>
      </c>
      <c r="F62" s="626">
        <f t="shared" ca="1" si="20"/>
        <v>39905.85664506584</v>
      </c>
      <c r="G62" s="625">
        <f t="shared" si="20"/>
        <v>49372.870666958144</v>
      </c>
      <c r="H62" s="626">
        <f t="shared" si="20"/>
        <v>45172.812970359657</v>
      </c>
      <c r="I62" s="625">
        <f t="shared" ca="1" si="20"/>
        <v>42112.775517362636</v>
      </c>
      <c r="J62" s="627">
        <f t="shared" ca="1" si="20"/>
        <v>46141.0757811039</v>
      </c>
      <c r="K62" s="452"/>
      <c r="L62" s="1162"/>
      <c r="M62" s="640">
        <f t="shared" si="5"/>
        <v>49763.779527559134</v>
      </c>
      <c r="N62" s="645">
        <f t="shared" si="6"/>
        <v>10</v>
      </c>
      <c r="O62" s="624">
        <f t="shared" ca="1" si="15"/>
        <v>24397.965929679718</v>
      </c>
      <c r="P62" s="625">
        <f t="shared" ca="1" si="19"/>
        <v>24026.844571464244</v>
      </c>
      <c r="Q62" s="626">
        <f t="shared" ca="1" si="17"/>
        <v>25008.041681998624</v>
      </c>
      <c r="R62" s="625">
        <f t="shared" si="14"/>
        <v>30940.791938916649</v>
      </c>
      <c r="S62" s="626">
        <f t="shared" si="14"/>
        <v>28308.716680451515</v>
      </c>
      <c r="T62" s="625">
        <f t="shared" ca="1" si="14"/>
        <v>26391.064721400322</v>
      </c>
      <c r="U62" s="627">
        <f t="shared" ca="1" si="14"/>
        <v>28915.503722904723</v>
      </c>
      <c r="V62" s="452"/>
      <c r="W62" s="1153"/>
      <c r="X62" s="640">
        <f t="shared" si="8"/>
        <v>49763.779527559134</v>
      </c>
      <c r="Y62" s="645">
        <f t="shared" si="9"/>
        <v>10</v>
      </c>
      <c r="Z62" s="624">
        <f t="shared" ca="1" si="13"/>
        <v>0</v>
      </c>
      <c r="AA62" s="625">
        <f t="shared" ca="1" si="10"/>
        <v>-371.12135821547417</v>
      </c>
      <c r="AB62" s="626">
        <f t="shared" ca="1" si="10"/>
        <v>610.07575231890587</v>
      </c>
      <c r="AC62" s="625">
        <f t="shared" ca="1" si="10"/>
        <v>6542.826009236931</v>
      </c>
      <c r="AD62" s="626">
        <f t="shared" ca="1" si="10"/>
        <v>3910.7507507717964</v>
      </c>
      <c r="AE62" s="625">
        <f t="shared" ca="1" si="10"/>
        <v>1993.0987917206039</v>
      </c>
      <c r="AF62" s="627">
        <f t="shared" ca="1" si="10"/>
        <v>4517.5377932250049</v>
      </c>
      <c r="AG62" s="452"/>
      <c r="AH62" s="452"/>
      <c r="AI62" s="452"/>
      <c r="AJ62" s="452"/>
      <c r="AK62" s="452"/>
      <c r="AL62" s="452"/>
      <c r="AM62" s="452"/>
      <c r="AN62" s="452"/>
      <c r="AO62" s="452"/>
      <c r="AP62" s="452"/>
      <c r="AQ62" s="452"/>
      <c r="AR62" s="452"/>
      <c r="AS62" s="452"/>
      <c r="AT62" s="452"/>
      <c r="AU62" s="452"/>
      <c r="AV62" s="452"/>
      <c r="AW62" s="452"/>
      <c r="AX62" s="624">
        <f ca="1">$B105/'TCO Calculation'!E$65*AX81+$B105/'TCO Calculation'!E$65*0.04+$BE81</f>
        <v>10753.237721830399</v>
      </c>
      <c r="AY62" s="626">
        <f ca="1">$B105/'TCO Calculation'!F$65*AY81+$B105/'TCO Calculation'!F$65*0.04+$BE81</f>
        <v>11123.013986208354</v>
      </c>
      <c r="AZ62" s="626">
        <f ca="1">$B105/'TCO Calculation'!G$65*AZ81+$B105/'TCO Calculation'!G$65*0.04+$BE81</f>
        <v>13316.809708337867</v>
      </c>
      <c r="BA62" s="626">
        <f>$B105*'TCO Calculation'!H$65*('TCO Calculation'!H$63*$BB81+(1-'TCO Calculation'!H$63)*$BA81)/'TCO Calculation'!H$67</f>
        <v>13870.200405109053</v>
      </c>
      <c r="BB62" s="626">
        <f>$B105*'TCO Calculation'!I$65*('TCO Calculation'!I$63*$BB81+(1-'TCO Calculation'!I$63)*$BA81)/'TCO Calculation'!I$67</f>
        <v>13056.444695857692</v>
      </c>
      <c r="BC62" s="626">
        <f>$B105/'TCO Calculation'!J$65*BD81</f>
        <v>18462.955858713147</v>
      </c>
      <c r="BD62" s="627">
        <f>$B105/'TCO Calculation'!K$65*BD81</f>
        <v>20871.167492458342</v>
      </c>
      <c r="BE62" s="452"/>
      <c r="BF62" s="452"/>
      <c r="BG62" s="452"/>
      <c r="BH62" s="452"/>
      <c r="BI62" s="452"/>
      <c r="BJ62" s="452"/>
      <c r="BK62" s="452"/>
      <c r="BL62" s="452"/>
      <c r="BM62" s="452"/>
      <c r="BN62" s="452"/>
      <c r="BO62" s="452"/>
      <c r="BP62" s="452"/>
      <c r="BQ62" s="452"/>
      <c r="BR62" s="452"/>
      <c r="BS62" s="452"/>
      <c r="BT62" s="452"/>
      <c r="BU62" s="452"/>
      <c r="BV62" s="452"/>
      <c r="BW62" s="452"/>
      <c r="BX62" s="452"/>
    </row>
    <row r="63" spans="1:76">
      <c r="A63" s="1157"/>
      <c r="B63" s="640">
        <f t="shared" si="2"/>
        <v>44724.409448818951</v>
      </c>
      <c r="C63" s="641">
        <f t="shared" si="3"/>
        <v>11</v>
      </c>
      <c r="D63" s="624">
        <f t="shared" ca="1" si="20"/>
        <v>36091.081480167064</v>
      </c>
      <c r="E63" s="625">
        <f t="shared" ca="1" si="20"/>
        <v>35637.40605877155</v>
      </c>
      <c r="F63" s="626">
        <f t="shared" ca="1" si="20"/>
        <v>37124.878374925283</v>
      </c>
      <c r="G63" s="625">
        <f t="shared" si="20"/>
        <v>45618.599698968639</v>
      </c>
      <c r="H63" s="626">
        <f t="shared" si="20"/>
        <v>41838.741295380503</v>
      </c>
      <c r="I63" s="625">
        <f t="shared" ca="1" si="20"/>
        <v>39224.794652957586</v>
      </c>
      <c r="J63" s="627">
        <f t="shared" ca="1" si="20"/>
        <v>42839.172910991023</v>
      </c>
      <c r="K63" s="452"/>
      <c r="L63" s="1162"/>
      <c r="M63" s="640">
        <f t="shared" si="5"/>
        <v>44724.409448818951</v>
      </c>
      <c r="N63" s="645">
        <f t="shared" si="6"/>
        <v>11</v>
      </c>
      <c r="O63" s="624">
        <f t="shared" ca="1" si="15"/>
        <v>21472.972595568965</v>
      </c>
      <c r="P63" s="625">
        <f t="shared" ca="1" si="19"/>
        <v>21203.051066720836</v>
      </c>
      <c r="Q63" s="626">
        <f t="shared" ca="1" si="17"/>
        <v>22088.046776782579</v>
      </c>
      <c r="R63" s="625">
        <f t="shared" si="14"/>
        <v>27141.523639918643</v>
      </c>
      <c r="S63" s="626">
        <f t="shared" si="14"/>
        <v>24892.635754417584</v>
      </c>
      <c r="T63" s="625">
        <f t="shared" ca="1" si="14"/>
        <v>23337.425926475164</v>
      </c>
      <c r="U63" s="627">
        <f t="shared" ca="1" si="14"/>
        <v>25487.858723215308</v>
      </c>
      <c r="V63" s="452"/>
      <c r="W63" s="1153"/>
      <c r="X63" s="640">
        <f t="shared" si="8"/>
        <v>44724.409448818951</v>
      </c>
      <c r="Y63" s="645">
        <f t="shared" si="9"/>
        <v>11</v>
      </c>
      <c r="Z63" s="624">
        <f t="shared" ca="1" si="13"/>
        <v>0</v>
      </c>
      <c r="AA63" s="625">
        <f t="shared" ca="1" si="10"/>
        <v>-269.92152884812822</v>
      </c>
      <c r="AB63" s="626">
        <f t="shared" ca="1" si="10"/>
        <v>615.07418121361479</v>
      </c>
      <c r="AC63" s="625">
        <f t="shared" ca="1" si="10"/>
        <v>5668.5510443496787</v>
      </c>
      <c r="AD63" s="626">
        <f t="shared" ca="1" si="10"/>
        <v>3419.6631588486198</v>
      </c>
      <c r="AE63" s="625">
        <f t="shared" ca="1" si="10"/>
        <v>1864.453330906199</v>
      </c>
      <c r="AF63" s="627">
        <f t="shared" ca="1" si="10"/>
        <v>4014.8861276463431</v>
      </c>
      <c r="AG63" s="452"/>
      <c r="AH63" s="452"/>
      <c r="AI63" s="452"/>
      <c r="AJ63" s="452"/>
      <c r="AK63" s="452"/>
      <c r="AL63" s="452"/>
      <c r="AM63" s="452"/>
      <c r="AN63" s="452"/>
      <c r="AO63" s="452"/>
      <c r="AP63" s="452"/>
      <c r="AQ63" s="452"/>
      <c r="AR63" s="452"/>
      <c r="AS63" s="452"/>
      <c r="AT63" s="452"/>
      <c r="AU63" s="452"/>
      <c r="AV63" s="452"/>
      <c r="AW63" s="452"/>
      <c r="AX63" s="624">
        <f ca="1">$B106/'TCO Calculation'!E$65*AX82+$B106/'TCO Calculation'!E$65*0.04+$BE82</f>
        <v>9542.0478614375115</v>
      </c>
      <c r="AY63" s="626">
        <f ca="1">$B106/'TCO Calculation'!F$65*AY82+$B106/'TCO Calculation'!F$65*0.04+$BE82</f>
        <v>9870.1591946179506</v>
      </c>
      <c r="AZ63" s="626">
        <f ca="1">$B106/'TCO Calculation'!G$65*AZ82+$B106/'TCO Calculation'!G$65*0.04+$BE82</f>
        <v>11816.766666366677</v>
      </c>
      <c r="BA63" s="626">
        <f>$B106*'TCO Calculation'!H$65*('TCO Calculation'!H$63*$BB82+(1-'TCO Calculation'!H$63)*$BA82)/'TCO Calculation'!H$67</f>
        <v>12307.360922843265</v>
      </c>
      <c r="BB63" s="626">
        <f>$B106*'TCO Calculation'!I$65*('TCO Calculation'!I$63*$BB82+(1-'TCO Calculation'!I$63)*$BA82)/'TCO Calculation'!I$67</f>
        <v>11585.295997732901</v>
      </c>
      <c r="BC63" s="626">
        <f>$B106/'TCO Calculation'!J$65*BD82</f>
        <v>16382.622804210287</v>
      </c>
      <c r="BD63" s="627">
        <f>$B106/'TCO Calculation'!K$65*BD82</f>
        <v>18519.486648237718</v>
      </c>
      <c r="BE63" s="452"/>
      <c r="BF63" s="452"/>
      <c r="BG63" s="452"/>
      <c r="BH63" s="452"/>
      <c r="BI63" s="452"/>
      <c r="BJ63" s="452"/>
      <c r="BK63" s="452"/>
      <c r="BL63" s="452"/>
      <c r="BM63" s="452"/>
      <c r="BN63" s="452"/>
      <c r="BO63" s="452"/>
      <c r="BP63" s="452"/>
      <c r="BQ63" s="452"/>
      <c r="BR63" s="452"/>
      <c r="BS63" s="452"/>
      <c r="BT63" s="452"/>
      <c r="BU63" s="452"/>
      <c r="BV63" s="452"/>
      <c r="BW63" s="452"/>
      <c r="BX63" s="452"/>
    </row>
    <row r="64" spans="1:76">
      <c r="A64" s="1157"/>
      <c r="B64" s="640">
        <f t="shared" si="2"/>
        <v>39685.039370078855</v>
      </c>
      <c r="C64" s="641">
        <f t="shared" si="3"/>
        <v>12</v>
      </c>
      <c r="D64" s="624">
        <f t="shared" ca="1" si="20"/>
        <v>33165.50433578399</v>
      </c>
      <c r="E64" s="625">
        <f t="shared" ca="1" si="20"/>
        <v>32840.397903940058</v>
      </c>
      <c r="F64" s="626">
        <f t="shared" ca="1" si="20"/>
        <v>34235.069060983842</v>
      </c>
      <c r="G64" s="625">
        <f t="shared" si="20"/>
        <v>41812.18777847501</v>
      </c>
      <c r="H64" s="626">
        <f t="shared" si="20"/>
        <v>38472.783348213496</v>
      </c>
      <c r="I64" s="625">
        <f t="shared" ca="1" si="20"/>
        <v>36218.506904322807</v>
      </c>
      <c r="J64" s="627">
        <f t="shared" ca="1" si="20"/>
        <v>39402.628538125929</v>
      </c>
      <c r="K64" s="452"/>
      <c r="L64" s="1162"/>
      <c r="M64" s="640">
        <f t="shared" si="5"/>
        <v>39685.039370078855</v>
      </c>
      <c r="N64" s="645">
        <f t="shared" si="6"/>
        <v>12</v>
      </c>
      <c r="O64" s="624">
        <f t="shared" ca="1" si="15"/>
        <v>18733.896090827962</v>
      </c>
      <c r="P64" s="625">
        <f t="shared" ca="1" si="19"/>
        <v>18550.256184407102</v>
      </c>
      <c r="Q64" s="626">
        <f t="shared" ca="1" si="17"/>
        <v>19338.051366787087</v>
      </c>
      <c r="R64" s="625">
        <f t="shared" si="14"/>
        <v>23618.069342216782</v>
      </c>
      <c r="S64" s="626">
        <f t="shared" si="14"/>
        <v>21731.770404369177</v>
      </c>
      <c r="T64" s="625">
        <f t="shared" ca="1" si="14"/>
        <v>20458.417819940551</v>
      </c>
      <c r="U64" s="627">
        <f t="shared" ca="1" si="14"/>
        <v>22257.003580141529</v>
      </c>
      <c r="V64" s="452"/>
      <c r="W64" s="1153"/>
      <c r="X64" s="640">
        <f t="shared" si="8"/>
        <v>39685.039370078855</v>
      </c>
      <c r="Y64" s="645">
        <f t="shared" si="9"/>
        <v>12</v>
      </c>
      <c r="Z64" s="624">
        <f t="shared" ca="1" si="13"/>
        <v>0</v>
      </c>
      <c r="AA64" s="625">
        <f t="shared" ca="1" si="10"/>
        <v>-183.63990642085992</v>
      </c>
      <c r="AB64" s="626">
        <f t="shared" ca="1" si="10"/>
        <v>604.15527595912499</v>
      </c>
      <c r="AC64" s="625">
        <f t="shared" ca="1" si="10"/>
        <v>4884.1732513888201</v>
      </c>
      <c r="AD64" s="626">
        <f t="shared" ca="1" si="10"/>
        <v>2997.8743135412151</v>
      </c>
      <c r="AE64" s="625">
        <f t="shared" ca="1" si="10"/>
        <v>1724.5217291125882</v>
      </c>
      <c r="AF64" s="627">
        <f t="shared" ca="1" si="10"/>
        <v>3523.1074893135665</v>
      </c>
      <c r="AG64" s="452"/>
      <c r="AH64" s="452"/>
      <c r="AI64" s="452"/>
      <c r="AJ64" s="452"/>
      <c r="AK64" s="452"/>
      <c r="AL64" s="452"/>
      <c r="AM64" s="452"/>
      <c r="AN64" s="452"/>
      <c r="AO64" s="452"/>
      <c r="AP64" s="452"/>
      <c r="AQ64" s="452"/>
      <c r="AR64" s="452"/>
      <c r="AS64" s="452"/>
      <c r="AT64" s="452"/>
      <c r="AU64" s="452"/>
      <c r="AV64" s="452"/>
      <c r="AW64" s="452"/>
      <c r="AX64" s="624">
        <f ca="1">$B107/'TCO Calculation'!E$65*AX83+$B107/'TCO Calculation'!E$65*0.04+$BE83</f>
        <v>8406.5573673191611</v>
      </c>
      <c r="AY64" s="626">
        <f ca="1">$B107/'TCO Calculation'!F$65*AY83+$B107/'TCO Calculation'!F$65*0.04+$BE83</f>
        <v>8695.6078275019281</v>
      </c>
      <c r="AZ64" s="626">
        <f ca="1">$B107/'TCO Calculation'!G$65*AZ83+$B107/'TCO Calculation'!G$65*0.04+$BE83</f>
        <v>10410.476314518661</v>
      </c>
      <c r="BA64" s="626">
        <f>$B107*'TCO Calculation'!H$65*('TCO Calculation'!H$63*$BB83+(1-'TCO Calculation'!H$63)*$BA83)/'TCO Calculation'!H$67</f>
        <v>10842.198908219063</v>
      </c>
      <c r="BB64" s="626">
        <f>$B107*'TCO Calculation'!I$65*('TCO Calculation'!I$63*$BB83+(1-'TCO Calculation'!I$63)*$BA83)/'TCO Calculation'!I$67</f>
        <v>10206.094093240887</v>
      </c>
      <c r="BC64" s="626">
        <f>$B107/'TCO Calculation'!J$65*BD83</f>
        <v>14432.31056561382</v>
      </c>
      <c r="BD64" s="627">
        <f>$B107/'TCO Calculation'!K$65*BD83</f>
        <v>16314.785856780842</v>
      </c>
      <c r="BE64" s="452"/>
      <c r="BF64" s="452"/>
      <c r="BG64" s="452"/>
      <c r="BH64" s="452"/>
      <c r="BI64" s="452"/>
      <c r="BJ64" s="452"/>
      <c r="BK64" s="452"/>
      <c r="BL64" s="452"/>
      <c r="BM64" s="452"/>
      <c r="BN64" s="452"/>
      <c r="BO64" s="452"/>
      <c r="BP64" s="452"/>
      <c r="BQ64" s="452"/>
      <c r="BR64" s="452"/>
      <c r="BS64" s="452"/>
      <c r="BT64" s="452"/>
      <c r="BU64" s="452"/>
      <c r="BV64" s="452"/>
      <c r="BW64" s="452"/>
      <c r="BX64" s="452"/>
    </row>
    <row r="65" spans="1:76">
      <c r="A65" s="1157"/>
      <c r="B65" s="640">
        <f t="shared" si="2"/>
        <v>34960.629921259933</v>
      </c>
      <c r="C65" s="641">
        <f t="shared" si="3"/>
        <v>13</v>
      </c>
      <c r="D65" s="624">
        <f t="shared" ca="1" si="20"/>
        <v>30372.651121136063</v>
      </c>
      <c r="E65" s="625">
        <f t="shared" ca="1" si="20"/>
        <v>30161.566749629495</v>
      </c>
      <c r="F65" s="626">
        <f t="shared" ca="1" si="20"/>
        <v>31459.327982994477</v>
      </c>
      <c r="G65" s="625">
        <f t="shared" si="20"/>
        <v>38118.438861617884</v>
      </c>
      <c r="H65" s="626">
        <f t="shared" si="20"/>
        <v>35205.455413400196</v>
      </c>
      <c r="I65" s="625">
        <f t="shared" ca="1" si="20"/>
        <v>33327.850574785305</v>
      </c>
      <c r="J65" s="627">
        <f t="shared" ca="1" si="20"/>
        <v>36096.389419691426</v>
      </c>
      <c r="K65" s="452"/>
      <c r="L65" s="1162"/>
      <c r="M65" s="640">
        <f t="shared" si="5"/>
        <v>34960.629921259933</v>
      </c>
      <c r="N65" s="645">
        <f t="shared" si="6"/>
        <v>13</v>
      </c>
      <c r="O65" s="624">
        <f t="shared" ca="1" si="15"/>
        <v>16288.212634357405</v>
      </c>
      <c r="P65" s="625">
        <f t="shared" ca="1" si="19"/>
        <v>16175.012534926631</v>
      </c>
      <c r="Q65" s="626">
        <f t="shared" ca="1" si="17"/>
        <v>16870.974531571861</v>
      </c>
      <c r="R65" s="625">
        <f t="shared" si="14"/>
        <v>20442.11534223691</v>
      </c>
      <c r="S65" s="626">
        <f t="shared" si="14"/>
        <v>18879.943715673988</v>
      </c>
      <c r="T65" s="625">
        <f t="shared" ca="1" si="14"/>
        <v>17873.023814849941</v>
      </c>
      <c r="U65" s="627">
        <f t="shared" ca="1" si="14"/>
        <v>19357.732845104081</v>
      </c>
      <c r="V65" s="452"/>
      <c r="W65" s="1153"/>
      <c r="X65" s="640">
        <f t="shared" si="8"/>
        <v>34960.629921259933</v>
      </c>
      <c r="Y65" s="645">
        <f t="shared" si="9"/>
        <v>13</v>
      </c>
      <c r="Z65" s="624">
        <f t="shared" ca="1" si="13"/>
        <v>0</v>
      </c>
      <c r="AA65" s="625">
        <f t="shared" ca="1" si="10"/>
        <v>-113.20009943077457</v>
      </c>
      <c r="AB65" s="626">
        <f t="shared" ca="1" si="10"/>
        <v>582.76189721445553</v>
      </c>
      <c r="AC65" s="625">
        <f t="shared" ca="1" si="10"/>
        <v>4153.9027078795043</v>
      </c>
      <c r="AD65" s="626">
        <f t="shared" ca="1" si="10"/>
        <v>2591.7310813165823</v>
      </c>
      <c r="AE65" s="625">
        <f t="shared" ca="1" si="10"/>
        <v>1584.8111804925356</v>
      </c>
      <c r="AF65" s="627">
        <f t="shared" ca="1" si="10"/>
        <v>3069.5202107466757</v>
      </c>
      <c r="AG65" s="452"/>
      <c r="AH65" s="452"/>
      <c r="AI65" s="452"/>
      <c r="AJ65" s="452"/>
      <c r="AK65" s="452"/>
      <c r="AL65" s="452"/>
      <c r="AM65" s="452"/>
      <c r="AN65" s="452"/>
      <c r="AO65" s="452"/>
      <c r="AP65" s="452"/>
      <c r="AQ65" s="452"/>
      <c r="AR65" s="452"/>
      <c r="AS65" s="452"/>
      <c r="AT65" s="452"/>
      <c r="AU65" s="452"/>
      <c r="AV65" s="452"/>
      <c r="AW65" s="452"/>
      <c r="AX65" s="624">
        <f ca="1">$B108/'TCO Calculation'!E$65*AX84+$B108/'TCO Calculation'!E$65*0.04+$BE84</f>
        <v>7573.8643382990267</v>
      </c>
      <c r="AY65" s="626">
        <f ca="1">$B108/'TCO Calculation'!F$65*AY84+$B108/'TCO Calculation'!F$65*0.04+$BE84</f>
        <v>7834.2701582835016</v>
      </c>
      <c r="AZ65" s="626">
        <f ca="1">$B108/'TCO Calculation'!G$65*AZ84+$B108/'TCO Calculation'!G$65*0.04+$BE84</f>
        <v>9379.1967231634408</v>
      </c>
      <c r="BA65" s="626">
        <f>$B108*'TCO Calculation'!H$65*('TCO Calculation'!H$63*$BB84+(1-'TCO Calculation'!H$63)*$BA84)/'TCO Calculation'!H$67</f>
        <v>9767.7467641613057</v>
      </c>
      <c r="BB65" s="626">
        <f>$B108*'TCO Calculation'!I$65*('TCO Calculation'!I$63*$BB84+(1-'TCO Calculation'!I$63)*$BA84)/'TCO Calculation'!I$67</f>
        <v>9194.6793632800654</v>
      </c>
      <c r="BC65" s="626">
        <f>$B108/'TCO Calculation'!J$65*BD84</f>
        <v>13002.081590643063</v>
      </c>
      <c r="BD65" s="627">
        <f>$B108/'TCO Calculation'!K$65*BD84</f>
        <v>14698.005276379117</v>
      </c>
      <c r="BE65" s="452"/>
      <c r="BF65" s="452"/>
      <c r="BG65" s="452"/>
      <c r="BH65" s="452"/>
      <c r="BI65" s="452"/>
      <c r="BJ65" s="452"/>
      <c r="BK65" s="452"/>
      <c r="BL65" s="452"/>
      <c r="BM65" s="452"/>
      <c r="BN65" s="452"/>
      <c r="BO65" s="452"/>
      <c r="BP65" s="452"/>
      <c r="BQ65" s="452"/>
      <c r="BR65" s="452"/>
      <c r="BS65" s="452"/>
      <c r="BT65" s="452"/>
      <c r="BU65" s="452"/>
      <c r="BV65" s="452"/>
      <c r="BW65" s="452"/>
      <c r="BX65" s="452"/>
    </row>
    <row r="66" spans="1:76" ht="15" thickBot="1">
      <c r="A66" s="1157"/>
      <c r="B66" s="640">
        <f t="shared" si="2"/>
        <v>31496.062992126026</v>
      </c>
      <c r="C66" s="641">
        <f t="shared" si="3"/>
        <v>14</v>
      </c>
      <c r="D66" s="624">
        <f t="shared" ca="1" si="20"/>
        <v>28387.546801519395</v>
      </c>
      <c r="E66" s="625">
        <f t="shared" ca="1" si="20"/>
        <v>28264.967794232209</v>
      </c>
      <c r="F66" s="626">
        <f t="shared" ca="1" si="20"/>
        <v>29497.098272829797</v>
      </c>
      <c r="G66" s="625">
        <f t="shared" si="20"/>
        <v>35483.956936259172</v>
      </c>
      <c r="H66" s="626">
        <f t="shared" si="20"/>
        <v>32881.507961168376</v>
      </c>
      <c r="I66" s="625">
        <f t="shared" ca="1" si="20"/>
        <v>31288.068058318986</v>
      </c>
      <c r="J66" s="627">
        <f t="shared" ca="1" si="20"/>
        <v>33753.187329580593</v>
      </c>
      <c r="K66" s="452"/>
      <c r="L66" s="1162"/>
      <c r="M66" s="640">
        <f t="shared" si="5"/>
        <v>31496.062992126026</v>
      </c>
      <c r="N66" s="645">
        <f t="shared" si="6"/>
        <v>14</v>
      </c>
      <c r="O66" s="624">
        <f t="shared" ca="1" si="15"/>
        <v>14453.326690431888</v>
      </c>
      <c r="P66" s="625">
        <f t="shared" ca="1" si="19"/>
        <v>14390.916421235404</v>
      </c>
      <c r="Q66" s="626">
        <f t="shared" ca="1" si="17"/>
        <v>15018.247287721408</v>
      </c>
      <c r="R66" s="625">
        <f t="shared" si="14"/>
        <v>18066.415722880298</v>
      </c>
      <c r="S66" s="626">
        <f t="shared" si="14"/>
        <v>16741.396498952374</v>
      </c>
      <c r="T66" s="625">
        <f t="shared" ca="1" si="14"/>
        <v>15930.107392553804</v>
      </c>
      <c r="U66" s="627">
        <f t="shared" ca="1" si="14"/>
        <v>17185.20613030441</v>
      </c>
      <c r="V66" s="452"/>
      <c r="W66" s="1153"/>
      <c r="X66" s="640">
        <f t="shared" si="8"/>
        <v>31496.062992126026</v>
      </c>
      <c r="Y66" s="645">
        <f t="shared" si="9"/>
        <v>14</v>
      </c>
      <c r="Z66" s="624">
        <f t="shared" ca="1" si="13"/>
        <v>0</v>
      </c>
      <c r="AA66" s="625">
        <f t="shared" ca="1" si="10"/>
        <v>-62.410269196483569</v>
      </c>
      <c r="AB66" s="626">
        <f t="shared" ca="1" si="10"/>
        <v>564.92059728951972</v>
      </c>
      <c r="AC66" s="625">
        <f t="shared" ca="1" si="10"/>
        <v>3613.0890324484099</v>
      </c>
      <c r="AD66" s="626">
        <f t="shared" ca="1" si="10"/>
        <v>2288.0698085204858</v>
      </c>
      <c r="AE66" s="625">
        <f t="shared" ca="1" si="10"/>
        <v>1476.780702121916</v>
      </c>
      <c r="AF66" s="627">
        <f t="shared" ca="1" si="10"/>
        <v>2731.8794398725222</v>
      </c>
      <c r="AG66" s="452"/>
      <c r="AH66" s="452"/>
      <c r="AI66" s="452"/>
      <c r="AJ66" s="452"/>
      <c r="AK66" s="452"/>
      <c r="AL66" s="452"/>
      <c r="AM66" s="452"/>
      <c r="AN66" s="452"/>
      <c r="AO66" s="452"/>
      <c r="AP66" s="452"/>
      <c r="AQ66" s="452"/>
      <c r="AR66" s="452"/>
      <c r="AS66" s="452"/>
      <c r="AT66" s="452"/>
      <c r="AU66" s="452"/>
      <c r="AV66" s="452"/>
      <c r="AW66" s="452"/>
      <c r="AX66" s="632">
        <f ca="1">$B109/'TCO Calculation'!E$65*AX85+$B109/'TCO Calculation'!E$65*0.04+$BE85</f>
        <v>6665.4719430043615</v>
      </c>
      <c r="AY66" s="634">
        <f ca="1">$B109/'TCO Calculation'!F$65*AY85+$B109/'TCO Calculation'!F$65*0.04+$BE85</f>
        <v>6894.6290645907002</v>
      </c>
      <c r="AZ66" s="634">
        <f ca="1">$B109/'TCO Calculation'!G$65*AZ85+$B109/'TCO Calculation'!G$65*0.04+$BE85</f>
        <v>8254.1644416850504</v>
      </c>
      <c r="BA66" s="634">
        <f>$B109*'TCO Calculation'!H$65*('TCO Calculation'!H$63*$BB85+(1-'TCO Calculation'!H$63)*$BA85)/'TCO Calculation'!H$67</f>
        <v>8595.6171524619658</v>
      </c>
      <c r="BB66" s="634">
        <f>$B109*'TCO Calculation'!I$65*('TCO Calculation'!I$63*$BB85+(1-'TCO Calculation'!I$63)*$BA85)/'TCO Calculation'!I$67</f>
        <v>8091.3178396864741</v>
      </c>
      <c r="BC66" s="634">
        <f>$B109/'TCO Calculation'!J$65*BD85</f>
        <v>11441.83179976592</v>
      </c>
      <c r="BD66" s="635">
        <f>$B109/'TCO Calculation'!K$65*BD85</f>
        <v>12934.244643213649</v>
      </c>
      <c r="BE66" s="452"/>
      <c r="BF66" s="452"/>
      <c r="BG66" s="452"/>
      <c r="BH66" s="452"/>
      <c r="BI66" s="452"/>
      <c r="BJ66" s="452"/>
      <c r="BK66" s="452"/>
      <c r="BL66" s="452"/>
      <c r="BM66" s="452"/>
      <c r="BN66" s="452"/>
      <c r="BO66" s="452"/>
      <c r="BP66" s="452"/>
      <c r="BQ66" s="452"/>
      <c r="BR66" s="452"/>
      <c r="BS66" s="452"/>
      <c r="BT66" s="452"/>
      <c r="BU66" s="452"/>
      <c r="BV66" s="452"/>
      <c r="BW66" s="452"/>
      <c r="BX66" s="452"/>
    </row>
    <row r="67" spans="1:76" ht="15" thickBot="1">
      <c r="A67" s="1157"/>
      <c r="B67" s="640">
        <f t="shared" si="2"/>
        <v>27716.53543307096</v>
      </c>
      <c r="C67" s="642">
        <f t="shared" si="3"/>
        <v>15</v>
      </c>
      <c r="D67" s="624">
        <f t="shared" ca="1" si="20"/>
        <v>26115.849889977042</v>
      </c>
      <c r="E67" s="625">
        <f t="shared" ca="1" si="20"/>
        <v>26078.101483354862</v>
      </c>
      <c r="F67" s="626">
        <f t="shared" ca="1" si="20"/>
        <v>27222.055402801361</v>
      </c>
      <c r="G67" s="625">
        <f t="shared" si="20"/>
        <v>32474.734352030486</v>
      </c>
      <c r="H67" s="626">
        <f t="shared" si="20"/>
        <v>30231.516697792893</v>
      </c>
      <c r="I67" s="625">
        <f t="shared" ca="1" si="20"/>
        <v>28916.610103320585</v>
      </c>
      <c r="J67" s="627">
        <f t="shared" ca="1" si="20"/>
        <v>31033.647928183549</v>
      </c>
      <c r="K67" s="452"/>
      <c r="L67" s="1162"/>
      <c r="M67" s="640">
        <f t="shared" si="5"/>
        <v>27716.53543307096</v>
      </c>
      <c r="N67" s="646">
        <f t="shared" si="6"/>
        <v>15</v>
      </c>
      <c r="O67" s="624">
        <f t="shared" ca="1" si="15"/>
        <v>12623.894227446113</v>
      </c>
      <c r="P67" s="625">
        <f t="shared" ca="1" si="19"/>
        <v>12605.647381394363</v>
      </c>
      <c r="Q67" s="626">
        <f t="shared" ca="1" si="17"/>
        <v>13158.612471215445</v>
      </c>
      <c r="R67" s="625">
        <f t="shared" si="14"/>
        <v>15697.655379838148</v>
      </c>
      <c r="S67" s="626">
        <f t="shared" si="14"/>
        <v>14613.327566822829</v>
      </c>
      <c r="T67" s="625">
        <f t="shared" ca="1" si="14"/>
        <v>13977.72727667258</v>
      </c>
      <c r="U67" s="627">
        <f t="shared" ca="1" si="14"/>
        <v>15001.062212704261</v>
      </c>
      <c r="V67" s="452"/>
      <c r="W67" s="1153"/>
      <c r="X67" s="640">
        <f t="shared" si="8"/>
        <v>27716.53543307096</v>
      </c>
      <c r="Y67" s="646">
        <f t="shared" si="9"/>
        <v>15</v>
      </c>
      <c r="Z67" s="624">
        <f t="shared" ca="1" si="13"/>
        <v>0</v>
      </c>
      <c r="AA67" s="625">
        <f t="shared" ca="1" si="10"/>
        <v>-18.246846051750254</v>
      </c>
      <c r="AB67" s="626">
        <f t="shared" ca="1" si="10"/>
        <v>534.71824376933182</v>
      </c>
      <c r="AC67" s="625">
        <f t="shared" ca="1" si="10"/>
        <v>3073.761152392035</v>
      </c>
      <c r="AD67" s="626">
        <f t="shared" ca="1" si="10"/>
        <v>1989.4333393767156</v>
      </c>
      <c r="AE67" s="625">
        <f t="shared" ca="1" si="10"/>
        <v>1353.8330492264668</v>
      </c>
      <c r="AF67" s="627">
        <f t="shared" ca="1" si="10"/>
        <v>2377.1679852581474</v>
      </c>
      <c r="AG67" s="452"/>
      <c r="AH67" s="452"/>
      <c r="AI67" s="452"/>
      <c r="AJ67" s="452"/>
      <c r="AK67" s="452"/>
      <c r="AL67" s="452"/>
      <c r="AM67" s="452"/>
      <c r="AN67" s="452"/>
      <c r="AO67" s="452"/>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c r="BS67" s="452"/>
      <c r="BT67" s="452"/>
      <c r="BU67" s="452"/>
      <c r="BV67" s="452"/>
      <c r="BW67" s="452"/>
      <c r="BX67" s="452"/>
    </row>
    <row r="68" spans="1:76" ht="15" thickBot="1">
      <c r="A68" s="1158"/>
      <c r="B68" s="1150" t="s">
        <v>110</v>
      </c>
      <c r="C68" s="1160"/>
      <c r="D68" s="636">
        <f ca="1">SUM(D52:D67)</f>
        <v>865915.84684003401</v>
      </c>
      <c r="E68" s="637">
        <f t="shared" ref="E68:J68" ca="1" si="21">SUM(E52:E67)</f>
        <v>872383.67107903736</v>
      </c>
      <c r="F68" s="638">
        <f t="shared" ref="F68" ca="1" si="22">SUM(F52:F67)</f>
        <v>905770.57105958962</v>
      </c>
      <c r="G68" s="637">
        <f t="shared" si="21"/>
        <v>1147348.8036165151</v>
      </c>
      <c r="H68" s="638">
        <f t="shared" si="21"/>
        <v>1134956.4883621293</v>
      </c>
      <c r="I68" s="637">
        <f t="shared" ca="1" si="21"/>
        <v>998220.12417810748</v>
      </c>
      <c r="J68" s="639">
        <f t="shared" ca="1" si="21"/>
        <v>1011882.1112112446</v>
      </c>
      <c r="K68" s="452"/>
      <c r="L68" s="1163"/>
      <c r="M68" s="1150" t="s">
        <v>110</v>
      </c>
      <c r="N68" s="1151"/>
      <c r="O68" s="636">
        <f ca="1">SUM(O52:O67)</f>
        <v>682481.00374188845</v>
      </c>
      <c r="P68" s="637">
        <f t="shared" ref="P68:U68" ca="1" si="23">SUM(P52:P67)</f>
        <v>689765.45492192253</v>
      </c>
      <c r="Q68" s="638">
        <f t="shared" ca="1" si="23"/>
        <v>715837.2128895896</v>
      </c>
      <c r="R68" s="637">
        <f t="shared" si="23"/>
        <v>910826.1845001058</v>
      </c>
      <c r="S68" s="638">
        <f t="shared" si="23"/>
        <v>910719.6859113581</v>
      </c>
      <c r="T68" s="637">
        <f t="shared" ca="1" si="23"/>
        <v>793945.19585738808</v>
      </c>
      <c r="U68" s="639">
        <f t="shared" ca="1" si="23"/>
        <v>795691.81580902054</v>
      </c>
      <c r="V68" s="452"/>
      <c r="W68" s="1154"/>
      <c r="X68" s="1150" t="s">
        <v>110</v>
      </c>
      <c r="Y68" s="1151"/>
      <c r="Z68" s="636">
        <f t="shared" ca="1" si="13"/>
        <v>0</v>
      </c>
      <c r="AA68" s="637">
        <f t="shared" ref="AA68" ca="1" si="24">P68-$O68</f>
        <v>7284.4511800340842</v>
      </c>
      <c r="AB68" s="638">
        <f t="shared" ref="AB68" ca="1" si="25">Q68-$O68</f>
        <v>33356.209147701156</v>
      </c>
      <c r="AC68" s="637">
        <f t="shared" ref="AC68" ca="1" si="26">R68-$O68</f>
        <v>228345.18075821735</v>
      </c>
      <c r="AD68" s="638">
        <f t="shared" ref="AD68" ca="1" si="27">S68-$O68</f>
        <v>228238.68216946966</v>
      </c>
      <c r="AE68" s="637">
        <f t="shared" ref="AE68" ca="1" si="28">T68-$O68</f>
        <v>111464.19211549964</v>
      </c>
      <c r="AF68" s="639">
        <f t="shared" ref="AF68" ca="1" si="29">U68-$O68</f>
        <v>113210.81206713209</v>
      </c>
      <c r="AG68" s="452"/>
      <c r="AH68" s="452"/>
      <c r="AI68" s="452"/>
      <c r="AJ68" s="452"/>
      <c r="AK68" s="452"/>
      <c r="AL68" s="452"/>
      <c r="AM68" s="452"/>
      <c r="AN68" s="452"/>
      <c r="AO68" s="452"/>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c r="BS68" s="452"/>
      <c r="BT68" s="452"/>
      <c r="BU68" s="452"/>
      <c r="BV68" s="452"/>
      <c r="BW68" s="452"/>
      <c r="BX68" s="452"/>
    </row>
    <row r="69" spans="1:76" ht="15" thickBot="1">
      <c r="A69" s="739"/>
      <c r="B69" s="740"/>
      <c r="C69" s="740"/>
      <c r="D69" s="626"/>
      <c r="E69" s="626"/>
      <c r="F69" s="626"/>
      <c r="G69" s="626"/>
      <c r="H69" s="626"/>
      <c r="I69" s="626"/>
      <c r="J69" s="626"/>
      <c r="K69" s="452"/>
      <c r="L69" s="741"/>
      <c r="M69" s="740"/>
      <c r="N69" s="740"/>
      <c r="O69" s="626"/>
      <c r="P69" s="626"/>
      <c r="Q69" s="626"/>
      <c r="R69" s="626"/>
      <c r="S69" s="626"/>
      <c r="T69" s="626"/>
      <c r="U69" s="626"/>
      <c r="V69" s="452"/>
      <c r="W69" s="452"/>
      <c r="X69" s="452"/>
      <c r="Y69" s="452"/>
      <c r="Z69" s="452"/>
      <c r="AA69" s="452"/>
      <c r="AB69" s="452"/>
      <c r="AC69" s="452"/>
      <c r="AD69" s="452"/>
      <c r="AE69" s="452"/>
      <c r="AF69" s="452"/>
      <c r="AG69" s="452"/>
      <c r="AH69" s="452"/>
      <c r="AI69" s="452"/>
      <c r="AJ69" s="452"/>
      <c r="AK69" s="452"/>
      <c r="AL69" s="452"/>
      <c r="AM69" s="452"/>
      <c r="AN69" s="452"/>
      <c r="AO69" s="452"/>
      <c r="AP69" s="452"/>
      <c r="AQ69" s="452"/>
      <c r="AR69" s="452"/>
      <c r="AS69" s="452"/>
      <c r="AT69" s="452"/>
      <c r="AU69" s="452"/>
      <c r="AV69" s="452"/>
      <c r="AW69" s="690" t="s">
        <v>517</v>
      </c>
      <c r="AX69" s="665">
        <v>2</v>
      </c>
      <c r="AY69" s="665">
        <v>2</v>
      </c>
      <c r="AZ69" s="665">
        <v>2</v>
      </c>
      <c r="BA69" s="665">
        <v>20</v>
      </c>
      <c r="BB69" s="665">
        <v>21</v>
      </c>
      <c r="BC69" s="665">
        <v>5</v>
      </c>
      <c r="BD69" s="665">
        <v>5</v>
      </c>
      <c r="BE69" s="665">
        <v>6</v>
      </c>
      <c r="BF69" s="452"/>
      <c r="BG69" s="452"/>
      <c r="BH69" s="452"/>
      <c r="BI69" s="452"/>
      <c r="BJ69" s="452"/>
      <c r="BK69" s="452"/>
      <c r="BL69" s="452"/>
      <c r="BM69" s="452"/>
      <c r="BN69" s="452"/>
      <c r="BO69" s="452"/>
      <c r="BP69" s="452"/>
      <c r="BQ69" s="452"/>
      <c r="BR69" s="452"/>
      <c r="BS69" s="452"/>
      <c r="BT69" s="452"/>
      <c r="BU69" s="452"/>
      <c r="BV69" s="452"/>
      <c r="BW69" s="452"/>
      <c r="BX69" s="452"/>
    </row>
    <row r="70" spans="1:76" ht="42.65" customHeight="1" thickBot="1">
      <c r="A70" s="1156" t="s">
        <v>503</v>
      </c>
      <c r="B70" s="643" t="s">
        <v>487</v>
      </c>
      <c r="C70" s="644" t="s">
        <v>506</v>
      </c>
      <c r="D70" s="352" t="s">
        <v>454</v>
      </c>
      <c r="E70" s="354" t="s">
        <v>552</v>
      </c>
      <c r="F70" s="354" t="s">
        <v>553</v>
      </c>
      <c r="G70" s="355" t="s">
        <v>523</v>
      </c>
      <c r="H70" s="355" t="s">
        <v>445</v>
      </c>
      <c r="I70" s="973" t="s">
        <v>414</v>
      </c>
      <c r="J70" s="357" t="s">
        <v>413</v>
      </c>
      <c r="K70" s="452"/>
      <c r="L70" s="1161" t="s">
        <v>505</v>
      </c>
      <c r="M70" s="643" t="s">
        <v>487</v>
      </c>
      <c r="N70" s="644" t="s">
        <v>506</v>
      </c>
      <c r="O70" s="352" t="s">
        <v>454</v>
      </c>
      <c r="P70" s="354" t="s">
        <v>552</v>
      </c>
      <c r="Q70" s="354" t="s">
        <v>553</v>
      </c>
      <c r="R70" s="355" t="s">
        <v>523</v>
      </c>
      <c r="S70" s="355" t="s">
        <v>445</v>
      </c>
      <c r="T70" s="973" t="s">
        <v>414</v>
      </c>
      <c r="U70" s="357" t="s">
        <v>413</v>
      </c>
      <c r="V70" s="452"/>
      <c r="W70" s="1159"/>
      <c r="X70" s="744"/>
      <c r="Y70" s="453"/>
      <c r="Z70" s="745"/>
      <c r="AA70" s="746"/>
      <c r="AB70" s="746"/>
      <c r="AC70" s="747"/>
      <c r="AD70" s="747"/>
      <c r="AE70" s="748"/>
      <c r="AF70" s="748"/>
      <c r="AG70" s="452"/>
      <c r="AH70" s="452"/>
      <c r="AI70" s="452"/>
      <c r="AJ70" s="452"/>
      <c r="AK70" s="452"/>
      <c r="AL70" s="452"/>
      <c r="AM70" s="452"/>
      <c r="AN70" s="452"/>
      <c r="AO70" s="452"/>
      <c r="AP70" s="452"/>
      <c r="AQ70" s="452"/>
      <c r="AR70" s="452"/>
      <c r="AS70" s="452"/>
      <c r="AT70" s="452"/>
      <c r="AU70" s="648" t="s">
        <v>507</v>
      </c>
      <c r="AV70" s="666" t="s">
        <v>253</v>
      </c>
      <c r="AW70" s="667" t="s">
        <v>487</v>
      </c>
      <c r="AX70" s="576" t="s">
        <v>267</v>
      </c>
      <c r="AY70" s="354" t="s">
        <v>267</v>
      </c>
      <c r="AZ70" s="354" t="s">
        <v>267</v>
      </c>
      <c r="BA70" s="355" t="s">
        <v>605</v>
      </c>
      <c r="BB70" s="355" t="s">
        <v>606</v>
      </c>
      <c r="BC70" s="356" t="s">
        <v>139</v>
      </c>
      <c r="BD70" s="357" t="s">
        <v>139</v>
      </c>
      <c r="BE70" s="738" t="s">
        <v>554</v>
      </c>
      <c r="BF70" s="452"/>
      <c r="BG70" s="452"/>
      <c r="BH70" s="452"/>
      <c r="BI70" s="452"/>
      <c r="BJ70" s="452"/>
      <c r="BK70" s="452"/>
      <c r="BL70" s="452"/>
      <c r="BM70" s="452"/>
      <c r="BN70" s="452"/>
      <c r="BO70" s="452"/>
      <c r="BP70" s="452"/>
      <c r="BQ70" s="452"/>
      <c r="BR70" s="452"/>
      <c r="BS70" s="452"/>
      <c r="BT70" s="452"/>
      <c r="BU70" s="452"/>
      <c r="BV70" s="452"/>
      <c r="BW70" s="452"/>
      <c r="BX70" s="452"/>
    </row>
    <row r="71" spans="1:76" ht="21.65" customHeight="1" thickBot="1">
      <c r="A71" s="1157"/>
      <c r="B71" s="640">
        <f t="shared" ref="B71:B86" si="30">B52</f>
        <v>0</v>
      </c>
      <c r="C71" s="641">
        <v>0</v>
      </c>
      <c r="D71" s="625">
        <f t="shared" ref="D71:J71" si="31">D52</f>
        <v>13558.8</v>
      </c>
      <c r="E71" s="625">
        <f t="shared" si="31"/>
        <v>15718.8</v>
      </c>
      <c r="F71" s="625">
        <f t="shared" si="31"/>
        <v>16440.8</v>
      </c>
      <c r="G71" s="625">
        <f t="shared" si="31"/>
        <v>21103.219212549669</v>
      </c>
      <c r="H71" s="625">
        <f t="shared" si="31"/>
        <v>27428.866439709938</v>
      </c>
      <c r="I71" s="625">
        <f t="shared" ca="1" si="31"/>
        <v>21485.540331638746</v>
      </c>
      <c r="J71" s="625">
        <f t="shared" ca="1" si="31"/>
        <v>15503.985522722061</v>
      </c>
      <c r="K71" s="452"/>
      <c r="L71" s="1162"/>
      <c r="M71" s="640">
        <f t="shared" ref="M71:N86" si="32">M52</f>
        <v>0</v>
      </c>
      <c r="N71" s="645">
        <f t="shared" si="32"/>
        <v>0</v>
      </c>
      <c r="O71" s="625">
        <f>O52</f>
        <v>13558.8</v>
      </c>
      <c r="P71" s="625">
        <f t="shared" ref="P71:U71" si="33">P52</f>
        <v>15718.8</v>
      </c>
      <c r="Q71" s="625">
        <f t="shared" si="33"/>
        <v>16440.8</v>
      </c>
      <c r="R71" s="626">
        <f t="shared" si="33"/>
        <v>21103.219212549669</v>
      </c>
      <c r="S71" s="625">
        <f t="shared" si="33"/>
        <v>27428.866439709938</v>
      </c>
      <c r="T71" s="626">
        <f t="shared" ca="1" si="33"/>
        <v>21485.540331638746</v>
      </c>
      <c r="U71" s="625">
        <f t="shared" ca="1" si="33"/>
        <v>15503.985522722061</v>
      </c>
      <c r="V71" s="452"/>
      <c r="W71" s="1159"/>
      <c r="X71" s="749"/>
      <c r="Y71" s="459"/>
      <c r="Z71" s="626"/>
      <c r="AA71" s="626"/>
      <c r="AB71" s="626"/>
      <c r="AC71" s="626"/>
      <c r="AD71" s="626"/>
      <c r="AE71" s="626"/>
      <c r="AF71" s="626"/>
      <c r="AG71" s="452"/>
      <c r="AH71" s="452"/>
      <c r="AI71" s="452"/>
      <c r="AJ71" s="452"/>
      <c r="AK71" s="452"/>
      <c r="AL71" s="452"/>
      <c r="AM71" s="452"/>
      <c r="AN71" s="452"/>
      <c r="AO71" s="452"/>
      <c r="AP71" s="452"/>
      <c r="AQ71" s="452"/>
      <c r="AR71" s="452"/>
      <c r="AS71" s="452"/>
      <c r="AT71" s="452"/>
      <c r="AU71" s="452"/>
      <c r="AV71" s="688">
        <f t="shared" ref="AV71:AV85" si="34">$H$2+$C52</f>
        <v>2050</v>
      </c>
      <c r="AW71" s="669">
        <f t="shared" ref="AW71:AW85" si="35">AW3</f>
        <v>101417.32283464503</v>
      </c>
      <c r="AX71" s="668">
        <f>IF('TCO Calculation'!$E$3="Lookup Table", VLOOKUP($AV71, 'Cost Projection'!$B$6:$X$49, AX$69, FALSE),'TCO Calculation'!$E$8)</f>
        <v>2</v>
      </c>
      <c r="AY71" s="668">
        <f>IF('TCO Calculation'!$E$3="Lookup Table", VLOOKUP($AV71, 'Cost Projection'!$B$6:$X$49, AY$69, FALSE),'TCO Calculation'!$E$8)</f>
        <v>2</v>
      </c>
      <c r="AZ71" s="668">
        <f>IF('TCO Calculation'!$E$3="Lookup Table", VLOOKUP($AV71, 'Cost Projection'!$B$6:$X$49, AZ$69, FALSE),'TCO Calculation'!$E$8)</f>
        <v>2</v>
      </c>
      <c r="BA71" s="668">
        <f>IF('TCO Calculation'!G$3="Lookup Table", VLOOKUP($AV71, 'Cost Projection'!$B$6:$X$49, BA$69, FALSE),'TCO Calculation'!$G$8)</f>
        <v>0.115</v>
      </c>
      <c r="BB71" s="668">
        <f>IF('TCO Calculation'!H$3="Lookup Table", VLOOKUP($AV71, 'Cost Projection'!$B$6:$X$49, BB$69, FALSE),'TCO Calculation'!$H$8)</f>
        <v>0.14950000000000002</v>
      </c>
      <c r="BC71" s="668">
        <f>IF('TCO Calculation'!F$3="Lookup Table", VLOOKUP($AV71, 'Cost Projection'!$B$6:$X$49, BC$69, FALSE),'TCO Calculation'!$F$8)</f>
        <v>4</v>
      </c>
      <c r="BD71" s="668">
        <f>IF('TCO Calculation'!F$3="Lookup Table", VLOOKUP($AV71, 'Cost Projection'!$B$6:$X$49, BD$69, FALSE),'TCO Calculation'!$F$8)</f>
        <v>4</v>
      </c>
      <c r="BE71" s="668">
        <f ca="1">IF('TCO Calculation'!M$3="Lookup Table", VLOOKUP($AV71, 'Cost Projection'!$B$6:$X$49, BE$69, FALSE),'TCO Calculation'!$M$8)</f>
        <v>3.9277108433735024</v>
      </c>
      <c r="BF71" s="452"/>
      <c r="BG71" s="452"/>
      <c r="BH71" s="452"/>
      <c r="BI71" s="452"/>
      <c r="BJ71" s="452"/>
      <c r="BK71" s="452"/>
      <c r="BL71" s="452"/>
      <c r="BM71" s="452"/>
      <c r="BN71" s="452"/>
      <c r="BO71" s="452"/>
      <c r="BP71" s="452"/>
      <c r="BQ71" s="452"/>
      <c r="BR71" s="452"/>
      <c r="BS71" s="452"/>
      <c r="BT71" s="452"/>
      <c r="BU71" s="452"/>
      <c r="BV71" s="452"/>
      <c r="BW71" s="452"/>
      <c r="BX71" s="452"/>
    </row>
    <row r="72" spans="1:76">
      <c r="A72" s="1157"/>
      <c r="B72" s="640">
        <f t="shared" si="30"/>
        <v>101417.32283464503</v>
      </c>
      <c r="C72" s="641">
        <v>1</v>
      </c>
      <c r="D72" s="629">
        <f t="shared" ref="D72:D86" ca="1" si="36">D71+D53</f>
        <v>105229.3175718719</v>
      </c>
      <c r="E72" s="629">
        <f t="shared" ref="E72:E86" ca="1" si="37">E71+E53</f>
        <v>109260.43495437715</v>
      </c>
      <c r="F72" s="629">
        <f t="shared" ref="F72:F86" ca="1" si="38">F71+F53</f>
        <v>113197.59739308656</v>
      </c>
      <c r="G72" s="630">
        <f t="shared" ref="G72:G86" si="39">G71+G53</f>
        <v>146384.89656863821</v>
      </c>
      <c r="H72" s="629">
        <f t="shared" ref="H72:H86" si="40">H71+H53</f>
        <v>157505.80178181513</v>
      </c>
      <c r="I72" s="630">
        <f t="shared" ref="I72:I86" ca="1" si="41">I71+I53</f>
        <v>131167.91964354823</v>
      </c>
      <c r="J72" s="629">
        <f t="shared" ref="J72:J86" ca="1" si="42">J71+J53</f>
        <v>120956.46779159069</v>
      </c>
      <c r="K72" s="452"/>
      <c r="L72" s="1162"/>
      <c r="M72" s="640">
        <f t="shared" si="32"/>
        <v>101417.32283464503</v>
      </c>
      <c r="N72" s="645">
        <f t="shared" si="32"/>
        <v>1</v>
      </c>
      <c r="O72" s="629">
        <f ca="1">O71+O53</f>
        <v>105229.3175718719</v>
      </c>
      <c r="P72" s="629">
        <f t="shared" ref="P72:U86" ca="1" si="43">P71+P53</f>
        <v>109260.43495437715</v>
      </c>
      <c r="Q72" s="629">
        <f t="shared" ca="1" si="43"/>
        <v>113197.59739308656</v>
      </c>
      <c r="R72" s="630">
        <f t="shared" si="43"/>
        <v>146384.89656863821</v>
      </c>
      <c r="S72" s="629">
        <f t="shared" si="43"/>
        <v>157505.80178181513</v>
      </c>
      <c r="T72" s="630">
        <f t="shared" ca="1" si="43"/>
        <v>131167.91964354823</v>
      </c>
      <c r="U72" s="629">
        <f t="shared" ca="1" si="43"/>
        <v>120956.46779159069</v>
      </c>
      <c r="V72" s="452"/>
      <c r="W72" s="1159"/>
      <c r="X72" s="749"/>
      <c r="Y72" s="459"/>
      <c r="Z72" s="626"/>
      <c r="AA72" s="626"/>
      <c r="AB72" s="626"/>
      <c r="AC72" s="626"/>
      <c r="AD72" s="626"/>
      <c r="AE72" s="626"/>
      <c r="AF72" s="626"/>
      <c r="AG72" s="452"/>
      <c r="AH72" s="452"/>
      <c r="AI72" s="452"/>
      <c r="AJ72" s="452"/>
      <c r="AK72" s="452"/>
      <c r="AL72" s="452"/>
      <c r="AM72" s="452"/>
      <c r="AN72" s="452"/>
      <c r="AO72" s="452"/>
      <c r="AP72" s="452"/>
      <c r="AQ72" s="452"/>
      <c r="AR72" s="452"/>
      <c r="AS72" s="452"/>
      <c r="AT72" s="452"/>
      <c r="AU72" s="452"/>
      <c r="AV72" s="688">
        <f t="shared" si="34"/>
        <v>2051</v>
      </c>
      <c r="AW72" s="669">
        <f t="shared" si="35"/>
        <v>112755.90551181062</v>
      </c>
      <c r="AX72" s="668">
        <f>IF('TCO Calculation'!$E$3="Lookup Table", VLOOKUP($AV72, 'Cost Projection'!$B$6:$X$49, AX$69, FALSE),'TCO Calculation'!$E$8)</f>
        <v>2</v>
      </c>
      <c r="AY72" s="668">
        <f>IF('TCO Calculation'!$E$3="Lookup Table", VLOOKUP($AV72, 'Cost Projection'!$B$6:$X$49, AY$69, FALSE),'TCO Calculation'!$E$8)</f>
        <v>2</v>
      </c>
      <c r="AZ72" s="668">
        <f>IF('TCO Calculation'!$E$3="Lookup Table", VLOOKUP($AV72, 'Cost Projection'!$B$6:$X$49, AZ$69, FALSE),'TCO Calculation'!$E$8)</f>
        <v>2</v>
      </c>
      <c r="BA72" s="668">
        <f>IF('TCO Calculation'!G$3="Lookup Table", VLOOKUP($AV72, 'Cost Projection'!$B$6:$X$49, BA$69, FALSE),'TCO Calculation'!$G$8)</f>
        <v>0.115</v>
      </c>
      <c r="BB72" s="668">
        <f>IF('TCO Calculation'!H$3="Lookup Table", VLOOKUP($AV72, 'Cost Projection'!$B$6:$X$49, BB$69, FALSE),'TCO Calculation'!$H$8)</f>
        <v>0.14950000000000002</v>
      </c>
      <c r="BC72" s="668">
        <f>IF('TCO Calculation'!F$3="Lookup Table", VLOOKUP($AV72, 'Cost Projection'!$B$6:$X$49, BC$69, FALSE),'TCO Calculation'!$F$8)</f>
        <v>4</v>
      </c>
      <c r="BD72" s="668">
        <f>IF('TCO Calculation'!F$3="Lookup Table", VLOOKUP($AV72, 'Cost Projection'!$B$6:$X$49, BD$69, FALSE),'TCO Calculation'!$F$8)</f>
        <v>4</v>
      </c>
      <c r="BE72" s="668">
        <f ca="1">IF('TCO Calculation'!M$3="Lookup Table", VLOOKUP($AV72, 'Cost Projection'!$B$6:$X$49, BE$69, FALSE),'TCO Calculation'!$M$8)</f>
        <v>3.9277108433735024</v>
      </c>
      <c r="BF72" s="452"/>
      <c r="BG72" s="452"/>
      <c r="BH72" s="452"/>
      <c r="BI72" s="452"/>
      <c r="BJ72" s="452"/>
      <c r="BK72" s="452"/>
      <c r="BL72" s="452"/>
      <c r="BM72" s="452"/>
      <c r="BN72" s="452"/>
      <c r="BO72" s="452"/>
      <c r="BP72" s="452"/>
      <c r="BQ72" s="452"/>
      <c r="BR72" s="452"/>
      <c r="BS72" s="452"/>
      <c r="BT72" s="452"/>
      <c r="BU72" s="452"/>
      <c r="BV72" s="452"/>
      <c r="BW72" s="452"/>
      <c r="BX72" s="452"/>
    </row>
    <row r="73" spans="1:76">
      <c r="A73" s="1157"/>
      <c r="B73" s="640">
        <f t="shared" si="30"/>
        <v>112755.90551181062</v>
      </c>
      <c r="C73" s="641">
        <v>2</v>
      </c>
      <c r="D73" s="625">
        <f t="shared" ca="1" si="36"/>
        <v>204596.05067488347</v>
      </c>
      <c r="E73" s="625">
        <f t="shared" ca="1" si="37"/>
        <v>210312.90521820262</v>
      </c>
      <c r="F73" s="625">
        <f t="shared" ca="1" si="38"/>
        <v>217807.33929455857</v>
      </c>
      <c r="G73" s="626">
        <f t="shared" si="39"/>
        <v>281721.93531390722</v>
      </c>
      <c r="H73" s="625">
        <f t="shared" si="40"/>
        <v>296526.32659397292</v>
      </c>
      <c r="I73" s="626">
        <f t="shared" ca="1" si="41"/>
        <v>249086.57198374337</v>
      </c>
      <c r="J73" s="625">
        <f t="shared" ca="1" si="42"/>
        <v>235711.28271888607</v>
      </c>
      <c r="K73" s="452"/>
      <c r="L73" s="1162"/>
      <c r="M73" s="640">
        <f t="shared" si="32"/>
        <v>112755.90551181062</v>
      </c>
      <c r="N73" s="645">
        <f t="shared" si="32"/>
        <v>2</v>
      </c>
      <c r="O73" s="625">
        <f t="shared" ref="O73:O86" ca="1" si="44">O72+O54</f>
        <v>199568.09397987108</v>
      </c>
      <c r="P73" s="625">
        <f t="shared" ca="1" si="43"/>
        <v>205199.65022285306</v>
      </c>
      <c r="Q73" s="625">
        <f t="shared" ca="1" si="43"/>
        <v>212514.08635434409</v>
      </c>
      <c r="R73" s="626">
        <f t="shared" si="43"/>
        <v>274873.88115339656</v>
      </c>
      <c r="S73" s="625">
        <f t="shared" si="43"/>
        <v>289491.88803847774</v>
      </c>
      <c r="T73" s="626">
        <f t="shared" ca="1" si="43"/>
        <v>243119.88817532948</v>
      </c>
      <c r="U73" s="625">
        <f t="shared" ca="1" si="43"/>
        <v>229904.68908356494</v>
      </c>
      <c r="V73" s="452"/>
      <c r="W73" s="1159"/>
      <c r="X73" s="749"/>
      <c r="Y73" s="459"/>
      <c r="Z73" s="626"/>
      <c r="AA73" s="626"/>
      <c r="AB73" s="626"/>
      <c r="AC73" s="626"/>
      <c r="AD73" s="626"/>
      <c r="AE73" s="626"/>
      <c r="AF73" s="626"/>
      <c r="AG73" s="452"/>
      <c r="AH73" s="452"/>
      <c r="AI73" s="452"/>
      <c r="AJ73" s="452"/>
      <c r="AK73" s="452"/>
      <c r="AL73" s="452"/>
      <c r="AM73" s="452"/>
      <c r="AN73" s="452"/>
      <c r="AO73" s="452"/>
      <c r="AP73" s="452"/>
      <c r="AQ73" s="452"/>
      <c r="AR73" s="452"/>
      <c r="AS73" s="452"/>
      <c r="AT73" s="452"/>
      <c r="AU73" s="452"/>
      <c r="AV73" s="688">
        <f t="shared" si="34"/>
        <v>2052</v>
      </c>
      <c r="AW73" s="669">
        <f t="shared" si="35"/>
        <v>107086.61417322783</v>
      </c>
      <c r="AX73" s="668">
        <f>IF('TCO Calculation'!$E$3="Lookup Table", VLOOKUP($AV73, 'Cost Projection'!$B$6:$X$49, AX$69, FALSE),'TCO Calculation'!$E$8)</f>
        <v>2</v>
      </c>
      <c r="AY73" s="668">
        <f>IF('TCO Calculation'!$E$3="Lookup Table", VLOOKUP($AV73, 'Cost Projection'!$B$6:$X$49, AY$69, FALSE),'TCO Calculation'!$E$8)</f>
        <v>2</v>
      </c>
      <c r="AZ73" s="668">
        <f>IF('TCO Calculation'!$E$3="Lookup Table", VLOOKUP($AV73, 'Cost Projection'!$B$6:$X$49, AZ$69, FALSE),'TCO Calculation'!$E$8)</f>
        <v>2</v>
      </c>
      <c r="BA73" s="668">
        <f>IF('TCO Calculation'!G$3="Lookup Table", VLOOKUP($AV73, 'Cost Projection'!$B$6:$X$49, BA$69, FALSE),'TCO Calculation'!$G$8)</f>
        <v>0.115</v>
      </c>
      <c r="BB73" s="668">
        <f>IF('TCO Calculation'!H$3="Lookup Table", VLOOKUP($AV73, 'Cost Projection'!$B$6:$X$49, BB$69, FALSE),'TCO Calculation'!$H$8)</f>
        <v>0.14950000000000002</v>
      </c>
      <c r="BC73" s="668">
        <f>IF('TCO Calculation'!F$3="Lookup Table", VLOOKUP($AV73, 'Cost Projection'!$B$6:$X$49, BC$69, FALSE),'TCO Calculation'!$F$8)</f>
        <v>4</v>
      </c>
      <c r="BD73" s="668">
        <f>IF('TCO Calculation'!F$3="Lookup Table", VLOOKUP($AV73, 'Cost Projection'!$B$6:$X$49, BD$69, FALSE),'TCO Calculation'!$F$8)</f>
        <v>4</v>
      </c>
      <c r="BE73" s="668">
        <f ca="1">IF('TCO Calculation'!M$3="Lookup Table", VLOOKUP($AV73, 'Cost Projection'!$B$6:$X$49, BE$69, FALSE),'TCO Calculation'!$M$8)</f>
        <v>3.9277108433735024</v>
      </c>
      <c r="BF73" s="452"/>
      <c r="BG73" s="452"/>
      <c r="BH73" s="452"/>
      <c r="BI73" s="452"/>
      <c r="BJ73" s="452"/>
      <c r="BK73" s="452"/>
      <c r="BL73" s="452"/>
      <c r="BM73" s="452"/>
      <c r="BN73" s="452"/>
      <c r="BO73" s="452"/>
      <c r="BP73" s="452"/>
      <c r="BQ73" s="452"/>
      <c r="BR73" s="452"/>
      <c r="BS73" s="452"/>
      <c r="BT73" s="452"/>
      <c r="BU73" s="452"/>
      <c r="BV73" s="452"/>
      <c r="BW73" s="452"/>
      <c r="BX73" s="452"/>
    </row>
    <row r="74" spans="1:76">
      <c r="A74" s="1157"/>
      <c r="B74" s="640">
        <f t="shared" si="30"/>
        <v>107086.61417322783</v>
      </c>
      <c r="C74" s="641">
        <v>3</v>
      </c>
      <c r="D74" s="625">
        <f t="shared" ca="1" si="36"/>
        <v>301505.96603963815</v>
      </c>
      <c r="E74" s="625">
        <f t="shared" ca="1" si="37"/>
        <v>309152.57381512201</v>
      </c>
      <c r="F74" s="625">
        <f t="shared" ca="1" si="38"/>
        <v>320245.6161578864</v>
      </c>
      <c r="G74" s="626">
        <f t="shared" si="39"/>
        <v>413832.74963826837</v>
      </c>
      <c r="H74" s="625">
        <f t="shared" si="40"/>
        <v>432619.96077824442</v>
      </c>
      <c r="I74" s="626">
        <f t="shared" ca="1" si="41"/>
        <v>364796.61570848519</v>
      </c>
      <c r="J74" s="625">
        <f t="shared" ca="1" si="42"/>
        <v>347938.44858417625</v>
      </c>
      <c r="K74" s="452"/>
      <c r="L74" s="1162"/>
      <c r="M74" s="640">
        <f t="shared" si="32"/>
        <v>107086.61417322783</v>
      </c>
      <c r="N74" s="645">
        <f t="shared" si="32"/>
        <v>3</v>
      </c>
      <c r="O74" s="625">
        <f t="shared" ca="1" si="44"/>
        <v>286918.8501806159</v>
      </c>
      <c r="P74" s="625">
        <f t="shared" ca="1" si="43"/>
        <v>294289.809491653</v>
      </c>
      <c r="Q74" s="625">
        <f t="shared" ca="1" si="43"/>
        <v>304847.88846565294</v>
      </c>
      <c r="R74" s="626">
        <f t="shared" si="43"/>
        <v>393953.33231269591</v>
      </c>
      <c r="S74" s="625">
        <f t="shared" si="43"/>
        <v>412161.29514052108</v>
      </c>
      <c r="T74" s="626">
        <f t="shared" ca="1" si="43"/>
        <v>347416.33484267851</v>
      </c>
      <c r="U74" s="625">
        <f t="shared" ca="1" si="43"/>
        <v>331061.80770968262</v>
      </c>
      <c r="V74" s="452"/>
      <c r="W74" s="1159"/>
      <c r="X74" s="749"/>
      <c r="Y74" s="459"/>
      <c r="Z74" s="626"/>
      <c r="AA74" s="626"/>
      <c r="AB74" s="626"/>
      <c r="AC74" s="626"/>
      <c r="AD74" s="626"/>
      <c r="AE74" s="626"/>
      <c r="AF74" s="626"/>
      <c r="AG74" s="452"/>
      <c r="AH74" s="452"/>
      <c r="AI74" s="452"/>
      <c r="AJ74" s="452"/>
      <c r="AK74" s="452"/>
      <c r="AL74" s="452"/>
      <c r="AM74" s="452"/>
      <c r="AN74" s="452"/>
      <c r="AO74" s="452"/>
      <c r="AP74" s="452"/>
      <c r="AQ74" s="452"/>
      <c r="AR74" s="452"/>
      <c r="AS74" s="452"/>
      <c r="AT74" s="452"/>
      <c r="AU74" s="452"/>
      <c r="AV74" s="688">
        <f t="shared" si="34"/>
        <v>2053</v>
      </c>
      <c r="AW74" s="669">
        <f t="shared" si="35"/>
        <v>98897.637795275747</v>
      </c>
      <c r="AX74" s="668">
        <f>IF('TCO Calculation'!$E$3="Lookup Table", VLOOKUP($AV74, 'Cost Projection'!$B$6:$X$49, AX$69, FALSE),'TCO Calculation'!$E$8)</f>
        <v>2</v>
      </c>
      <c r="AY74" s="668">
        <f>IF('TCO Calculation'!$E$3="Lookup Table", VLOOKUP($AV74, 'Cost Projection'!$B$6:$X$49, AY$69, FALSE),'TCO Calculation'!$E$8)</f>
        <v>2</v>
      </c>
      <c r="AZ74" s="668">
        <f>IF('TCO Calculation'!$E$3="Lookup Table", VLOOKUP($AV74, 'Cost Projection'!$B$6:$X$49, AZ$69, FALSE),'TCO Calculation'!$E$8)</f>
        <v>2</v>
      </c>
      <c r="BA74" s="668">
        <f>IF('TCO Calculation'!G$3="Lookup Table", VLOOKUP($AV74, 'Cost Projection'!$B$6:$X$49, BA$69, FALSE),'TCO Calculation'!$G$8)</f>
        <v>0.115</v>
      </c>
      <c r="BB74" s="668">
        <f>IF('TCO Calculation'!H$3="Lookup Table", VLOOKUP($AV74, 'Cost Projection'!$B$6:$X$49, BB$69, FALSE),'TCO Calculation'!$H$8)</f>
        <v>0.14950000000000002</v>
      </c>
      <c r="BC74" s="668">
        <f>IF('TCO Calculation'!F$3="Lookup Table", VLOOKUP($AV74, 'Cost Projection'!$B$6:$X$49, BC$69, FALSE),'TCO Calculation'!$F$8)</f>
        <v>4</v>
      </c>
      <c r="BD74" s="668">
        <f>IF('TCO Calculation'!F$3="Lookup Table", VLOOKUP($AV74, 'Cost Projection'!$B$6:$X$49, BD$69, FALSE),'TCO Calculation'!$F$8)</f>
        <v>4</v>
      </c>
      <c r="BE74" s="668">
        <f ca="1">IF('TCO Calculation'!M$3="Lookup Table", VLOOKUP($AV74, 'Cost Projection'!$B$6:$X$49, BE$69, FALSE),'TCO Calculation'!$M$8)</f>
        <v>3.9277108433735024</v>
      </c>
      <c r="BF74" s="452"/>
      <c r="BG74" s="452"/>
      <c r="BH74" s="452"/>
      <c r="BI74" s="452"/>
      <c r="BJ74" s="452"/>
      <c r="BK74" s="452"/>
      <c r="BL74" s="452"/>
      <c r="BM74" s="452"/>
      <c r="BN74" s="452"/>
      <c r="BO74" s="452"/>
      <c r="BP74" s="452"/>
      <c r="BQ74" s="452"/>
      <c r="BR74" s="452"/>
      <c r="BS74" s="452"/>
      <c r="BT74" s="452"/>
      <c r="BU74" s="452"/>
      <c r="BV74" s="452"/>
      <c r="BW74" s="452"/>
      <c r="BX74" s="452"/>
    </row>
    <row r="75" spans="1:76">
      <c r="A75" s="1157"/>
      <c r="B75" s="640">
        <f t="shared" si="30"/>
        <v>98897.637795275747</v>
      </c>
      <c r="C75" s="641">
        <v>4</v>
      </c>
      <c r="D75" s="625">
        <f t="shared" ca="1" si="36"/>
        <v>394332.94020333677</v>
      </c>
      <c r="E75" s="625">
        <f t="shared" ca="1" si="37"/>
        <v>404202.6373927386</v>
      </c>
      <c r="F75" s="625">
        <f t="shared" ca="1" si="38"/>
        <v>418870.25646943226</v>
      </c>
      <c r="G75" s="626">
        <f t="shared" si="39"/>
        <v>540590.04134500166</v>
      </c>
      <c r="H75" s="625">
        <f t="shared" si="40"/>
        <v>563895.92762220418</v>
      </c>
      <c r="I75" s="626">
        <f t="shared" ca="1" si="41"/>
        <v>476579.89549764525</v>
      </c>
      <c r="J75" s="625">
        <f t="shared" ca="1" si="42"/>
        <v>455691.47710274183</v>
      </c>
      <c r="K75" s="452"/>
      <c r="L75" s="1162"/>
      <c r="M75" s="640">
        <f t="shared" si="32"/>
        <v>98897.637795275747</v>
      </c>
      <c r="N75" s="645">
        <f t="shared" si="32"/>
        <v>4</v>
      </c>
      <c r="O75" s="625">
        <f t="shared" ca="1" si="44"/>
        <v>366355.67495511292</v>
      </c>
      <c r="P75" s="625">
        <f t="shared" ca="1" si="43"/>
        <v>375629.04642406461</v>
      </c>
      <c r="Q75" s="625">
        <f t="shared" ca="1" si="43"/>
        <v>389246.07489215652</v>
      </c>
      <c r="R75" s="626">
        <f t="shared" si="43"/>
        <v>502426.0780949805</v>
      </c>
      <c r="S75" s="625">
        <f t="shared" si="43"/>
        <v>524500.90406600945</v>
      </c>
      <c r="T75" s="626">
        <f t="shared" ca="1" si="43"/>
        <v>443075.04707939201</v>
      </c>
      <c r="U75" s="625">
        <f t="shared" ca="1" si="43"/>
        <v>423271.62627229199</v>
      </c>
      <c r="V75" s="452"/>
      <c r="W75" s="1159"/>
      <c r="X75" s="749"/>
      <c r="Y75" s="459"/>
      <c r="Z75" s="626"/>
      <c r="AA75" s="626"/>
      <c r="AB75" s="626"/>
      <c r="AC75" s="626"/>
      <c r="AD75" s="626"/>
      <c r="AE75" s="626"/>
      <c r="AF75" s="626"/>
      <c r="AG75" s="452"/>
      <c r="AH75" s="452"/>
      <c r="AI75" s="452"/>
      <c r="AJ75" s="452"/>
      <c r="AK75" s="452"/>
      <c r="AL75" s="452"/>
      <c r="AM75" s="452"/>
      <c r="AN75" s="452"/>
      <c r="AO75" s="452"/>
      <c r="AP75" s="452"/>
      <c r="AQ75" s="452"/>
      <c r="AR75" s="452"/>
      <c r="AS75" s="452"/>
      <c r="AT75" s="452"/>
      <c r="AU75" s="452"/>
      <c r="AV75" s="688">
        <f t="shared" si="34"/>
        <v>2054</v>
      </c>
      <c r="AW75" s="669">
        <f t="shared" si="35"/>
        <v>86299.212598425438</v>
      </c>
      <c r="AX75" s="668">
        <f>IF('TCO Calculation'!$E$3="Lookup Table", VLOOKUP($AV75, 'Cost Projection'!$B$6:$X$49, AX$69, FALSE),'TCO Calculation'!$E$8)</f>
        <v>2</v>
      </c>
      <c r="AY75" s="668">
        <f>IF('TCO Calculation'!$E$3="Lookup Table", VLOOKUP($AV75, 'Cost Projection'!$B$6:$X$49, AY$69, FALSE),'TCO Calculation'!$E$8)</f>
        <v>2</v>
      </c>
      <c r="AZ75" s="668">
        <f>IF('TCO Calculation'!$E$3="Lookup Table", VLOOKUP($AV75, 'Cost Projection'!$B$6:$X$49, AZ$69, FALSE),'TCO Calculation'!$E$8)</f>
        <v>2</v>
      </c>
      <c r="BA75" s="668">
        <f>IF('TCO Calculation'!G$3="Lookup Table", VLOOKUP($AV75, 'Cost Projection'!$B$6:$X$49, BA$69, FALSE),'TCO Calculation'!$G$8)</f>
        <v>0.115</v>
      </c>
      <c r="BB75" s="668">
        <f>IF('TCO Calculation'!H$3="Lookup Table", VLOOKUP($AV75, 'Cost Projection'!$B$6:$X$49, BB$69, FALSE),'TCO Calculation'!$H$8)</f>
        <v>0.14950000000000002</v>
      </c>
      <c r="BC75" s="668">
        <f>IF('TCO Calculation'!F$3="Lookup Table", VLOOKUP($AV75, 'Cost Projection'!$B$6:$X$49, BC$69, FALSE),'TCO Calculation'!$F$8)</f>
        <v>4</v>
      </c>
      <c r="BD75" s="668">
        <f>IF('TCO Calculation'!F$3="Lookup Table", VLOOKUP($AV75, 'Cost Projection'!$B$6:$X$49, BD$69, FALSE),'TCO Calculation'!$F$8)</f>
        <v>4</v>
      </c>
      <c r="BE75" s="668">
        <f ca="1">IF('TCO Calculation'!M$3="Lookup Table", VLOOKUP($AV75, 'Cost Projection'!$B$6:$X$49, BE$69, FALSE),'TCO Calculation'!$M$8)</f>
        <v>3.9277108433735024</v>
      </c>
      <c r="BF75" s="452"/>
      <c r="BG75" s="452"/>
      <c r="BH75" s="452"/>
      <c r="BI75" s="452"/>
      <c r="BJ75" s="452"/>
      <c r="BK75" s="452"/>
      <c r="BL75" s="452"/>
      <c r="BM75" s="452"/>
      <c r="BN75" s="452"/>
      <c r="BO75" s="452"/>
      <c r="BP75" s="452"/>
      <c r="BQ75" s="452"/>
      <c r="BR75" s="452"/>
      <c r="BS75" s="452"/>
      <c r="BT75" s="452"/>
      <c r="BU75" s="452"/>
      <c r="BV75" s="452"/>
      <c r="BW75" s="452"/>
      <c r="BX75" s="452"/>
    </row>
    <row r="76" spans="1:76">
      <c r="A76" s="1157"/>
      <c r="B76" s="640">
        <f t="shared" si="30"/>
        <v>86299.212598425438</v>
      </c>
      <c r="C76" s="641">
        <v>5</v>
      </c>
      <c r="D76" s="625">
        <f t="shared" ca="1" si="36"/>
        <v>480204.78661242069</v>
      </c>
      <c r="E76" s="625">
        <f t="shared" ca="1" si="37"/>
        <v>492674.24480517209</v>
      </c>
      <c r="F76" s="625">
        <f t="shared" ca="1" si="38"/>
        <v>510773.77005839546</v>
      </c>
      <c r="G76" s="626">
        <f t="shared" si="39"/>
        <v>658232.93383304914</v>
      </c>
      <c r="H76" s="625">
        <f t="shared" si="40"/>
        <v>687012.55255062529</v>
      </c>
      <c r="I76" s="626">
        <f t="shared" ca="1" si="41"/>
        <v>581392.99610784196</v>
      </c>
      <c r="J76" s="625">
        <f t="shared" ca="1" si="42"/>
        <v>555522.89193182462</v>
      </c>
      <c r="K76" s="452"/>
      <c r="L76" s="1162"/>
      <c r="M76" s="640">
        <f t="shared" si="32"/>
        <v>86299.212598425438</v>
      </c>
      <c r="N76" s="645">
        <f t="shared" si="32"/>
        <v>5</v>
      </c>
      <c r="O76" s="625">
        <f t="shared" ca="1" si="44"/>
        <v>436122.29938410077</v>
      </c>
      <c r="P76" s="625">
        <f t="shared" ca="1" si="43"/>
        <v>447507.84797641088</v>
      </c>
      <c r="Q76" s="625">
        <f t="shared" ca="1" si="43"/>
        <v>463913.13032870193</v>
      </c>
      <c r="R76" s="626">
        <f t="shared" si="43"/>
        <v>598005.10475120926</v>
      </c>
      <c r="S76" s="625">
        <f t="shared" si="43"/>
        <v>624527.06737250951</v>
      </c>
      <c r="T76" s="626">
        <f t="shared" ca="1" si="43"/>
        <v>528230.50292779179</v>
      </c>
      <c r="U76" s="625">
        <f t="shared" ca="1" si="43"/>
        <v>504379.70902406017</v>
      </c>
      <c r="V76" s="452"/>
      <c r="W76" s="1159"/>
      <c r="X76" s="749"/>
      <c r="Y76" s="459"/>
      <c r="Z76" s="626"/>
      <c r="AA76" s="626"/>
      <c r="AB76" s="626"/>
      <c r="AC76" s="626"/>
      <c r="AD76" s="626"/>
      <c r="AE76" s="626"/>
      <c r="AF76" s="626"/>
      <c r="AG76" s="452"/>
      <c r="AH76" s="452"/>
      <c r="AI76" s="452"/>
      <c r="AJ76" s="452"/>
      <c r="AK76" s="452"/>
      <c r="AL76" s="452"/>
      <c r="AM76" s="452"/>
      <c r="AN76" s="452"/>
      <c r="AO76" s="452"/>
      <c r="AP76" s="452"/>
      <c r="AQ76" s="452"/>
      <c r="AR76" s="452"/>
      <c r="AS76" s="452"/>
      <c r="AT76" s="452"/>
      <c r="AU76" s="452"/>
      <c r="AV76" s="688">
        <f t="shared" si="34"/>
        <v>2055</v>
      </c>
      <c r="AW76" s="669">
        <f t="shared" si="35"/>
        <v>76850.393700787565</v>
      </c>
      <c r="AX76" s="668">
        <f>IF('TCO Calculation'!$E$3="Lookup Table", VLOOKUP($AV76, 'Cost Projection'!$B$6:$X$49, AX$69, FALSE),'TCO Calculation'!$E$8)</f>
        <v>2</v>
      </c>
      <c r="AY76" s="668">
        <f>IF('TCO Calculation'!$E$3="Lookup Table", VLOOKUP($AV76, 'Cost Projection'!$B$6:$X$49, AY$69, FALSE),'TCO Calculation'!$E$8)</f>
        <v>2</v>
      </c>
      <c r="AZ76" s="668">
        <f>IF('TCO Calculation'!$E$3="Lookup Table", VLOOKUP($AV76, 'Cost Projection'!$B$6:$X$49, AZ$69, FALSE),'TCO Calculation'!$E$8)</f>
        <v>2</v>
      </c>
      <c r="BA76" s="668">
        <f>IF('TCO Calculation'!G$3="Lookup Table", VLOOKUP($AV76, 'Cost Projection'!$B$6:$X$49, BA$69, FALSE),'TCO Calculation'!$G$8)</f>
        <v>0.115</v>
      </c>
      <c r="BB76" s="668">
        <f>IF('TCO Calculation'!H$3="Lookup Table", VLOOKUP($AV76, 'Cost Projection'!$B$6:$X$49, BB$69, FALSE),'TCO Calculation'!$H$8)</f>
        <v>0.14950000000000002</v>
      </c>
      <c r="BC76" s="668">
        <f>IF('TCO Calculation'!F$3="Lookup Table", VLOOKUP($AV76, 'Cost Projection'!$B$6:$X$49, BC$69, FALSE),'TCO Calculation'!$F$8)</f>
        <v>4</v>
      </c>
      <c r="BD76" s="668">
        <f>IF('TCO Calculation'!F$3="Lookup Table", VLOOKUP($AV76, 'Cost Projection'!$B$6:$X$49, BD$69, FALSE),'TCO Calculation'!$F$8)</f>
        <v>4</v>
      </c>
      <c r="BE76" s="668">
        <f ca="1">IF('TCO Calculation'!M$3="Lookup Table", VLOOKUP($AV76, 'Cost Projection'!$B$6:$X$49, BE$69, FALSE),'TCO Calculation'!$M$8)</f>
        <v>3.9277108433735024</v>
      </c>
      <c r="BF76" s="452"/>
      <c r="BG76" s="452"/>
      <c r="BH76" s="452"/>
      <c r="BI76" s="452"/>
      <c r="BJ76" s="452"/>
      <c r="BK76" s="452"/>
      <c r="BL76" s="452"/>
      <c r="BM76" s="452"/>
      <c r="BN76" s="452"/>
      <c r="BO76" s="452"/>
      <c r="BP76" s="452"/>
      <c r="BQ76" s="452"/>
      <c r="BR76" s="452"/>
      <c r="BS76" s="452"/>
      <c r="BT76" s="452"/>
      <c r="BU76" s="452"/>
      <c r="BV76" s="452"/>
      <c r="BW76" s="452"/>
      <c r="BX76" s="452"/>
    </row>
    <row r="77" spans="1:76">
      <c r="A77" s="1157"/>
      <c r="B77" s="640">
        <f t="shared" si="30"/>
        <v>76850.393700787565</v>
      </c>
      <c r="C77" s="641">
        <v>6</v>
      </c>
      <c r="D77" s="625">
        <f t="shared" ca="1" si="36"/>
        <v>534098.8140829294</v>
      </c>
      <c r="E77" s="625">
        <f t="shared" ca="1" si="37"/>
        <v>545182.64669698651</v>
      </c>
      <c r="F77" s="625">
        <f t="shared" ca="1" si="38"/>
        <v>565188.97349717759</v>
      </c>
      <c r="G77" s="626">
        <f t="shared" si="39"/>
        <v>727368.2812823219</v>
      </c>
      <c r="H77" s="625">
        <f t="shared" si="40"/>
        <v>749819.66944338032</v>
      </c>
      <c r="I77" s="626">
        <f t="shared" ca="1" si="41"/>
        <v>638553.68294288742</v>
      </c>
      <c r="J77" s="625">
        <f t="shared" ca="1" si="42"/>
        <v>618824.82355557045</v>
      </c>
      <c r="K77" s="452"/>
      <c r="L77" s="1162"/>
      <c r="M77" s="640">
        <f t="shared" si="32"/>
        <v>76850.393700787565</v>
      </c>
      <c r="N77" s="645">
        <f t="shared" si="32"/>
        <v>6</v>
      </c>
      <c r="O77" s="625">
        <f t="shared" ca="1" si="44"/>
        <v>477692.94566082722</v>
      </c>
      <c r="P77" s="625">
        <f t="shared" ca="1" si="43"/>
        <v>488009.70512181096</v>
      </c>
      <c r="Q77" s="625">
        <f t="shared" ca="1" si="43"/>
        <v>505885.78073913092</v>
      </c>
      <c r="R77" s="626">
        <f t="shared" si="43"/>
        <v>651331.99845209252</v>
      </c>
      <c r="S77" s="625">
        <f t="shared" si="43"/>
        <v>672972.74053060578</v>
      </c>
      <c r="T77" s="626">
        <f t="shared" ca="1" si="43"/>
        <v>572320.85588303697</v>
      </c>
      <c r="U77" s="625">
        <f t="shared" ca="1" si="43"/>
        <v>553207.05282582459</v>
      </c>
      <c r="V77" s="452"/>
      <c r="W77" s="1159"/>
      <c r="X77" s="749"/>
      <c r="Y77" s="459"/>
      <c r="Z77" s="626"/>
      <c r="AA77" s="626"/>
      <c r="AB77" s="626"/>
      <c r="AC77" s="626"/>
      <c r="AD77" s="626"/>
      <c r="AE77" s="626"/>
      <c r="AF77" s="626"/>
      <c r="AG77" s="452"/>
      <c r="AH77" s="452"/>
      <c r="AI77" s="452"/>
      <c r="AJ77" s="452"/>
      <c r="AK77" s="452"/>
      <c r="AL77" s="452"/>
      <c r="AM77" s="452"/>
      <c r="AN77" s="452"/>
      <c r="AO77" s="452"/>
      <c r="AP77" s="452"/>
      <c r="AQ77" s="452"/>
      <c r="AR77" s="452"/>
      <c r="AS77" s="452"/>
      <c r="AT77" s="452"/>
      <c r="AU77" s="452"/>
      <c r="AV77" s="688">
        <f t="shared" si="34"/>
        <v>2056</v>
      </c>
      <c r="AW77" s="669">
        <f t="shared" si="35"/>
        <v>69291.338582677359</v>
      </c>
      <c r="AX77" s="668">
        <f>IF('TCO Calculation'!$E$3="Lookup Table", VLOOKUP($AV77, 'Cost Projection'!$B$6:$X$49, AX$69, FALSE),'TCO Calculation'!$E$8)</f>
        <v>2</v>
      </c>
      <c r="AY77" s="668">
        <f>IF('TCO Calculation'!$E$3="Lookup Table", VLOOKUP($AV77, 'Cost Projection'!$B$6:$X$49, AY$69, FALSE),'TCO Calculation'!$E$8)</f>
        <v>2</v>
      </c>
      <c r="AZ77" s="668">
        <f>IF('TCO Calculation'!$E$3="Lookup Table", VLOOKUP($AV77, 'Cost Projection'!$B$6:$X$49, AZ$69, FALSE),'TCO Calculation'!$E$8)</f>
        <v>2</v>
      </c>
      <c r="BA77" s="668">
        <f>IF('TCO Calculation'!G$3="Lookup Table", VLOOKUP($AV77, 'Cost Projection'!$B$6:$X$49, BA$69, FALSE),'TCO Calculation'!$G$8)</f>
        <v>0.115</v>
      </c>
      <c r="BB77" s="668">
        <f>IF('TCO Calculation'!H$3="Lookup Table", VLOOKUP($AV77, 'Cost Projection'!$B$6:$X$49, BB$69, FALSE),'TCO Calculation'!$H$8)</f>
        <v>0.14950000000000002</v>
      </c>
      <c r="BC77" s="668">
        <f>IF('TCO Calculation'!F$3="Lookup Table", VLOOKUP($AV77, 'Cost Projection'!$B$6:$X$49, BC$69, FALSE),'TCO Calculation'!$F$8)</f>
        <v>4</v>
      </c>
      <c r="BD77" s="668">
        <f>IF('TCO Calculation'!F$3="Lookup Table", VLOOKUP($AV77, 'Cost Projection'!$B$6:$X$49, BD$69, FALSE),'TCO Calculation'!$F$8)</f>
        <v>4</v>
      </c>
      <c r="BE77" s="668">
        <f ca="1">IF('TCO Calculation'!M$3="Lookup Table", VLOOKUP($AV77, 'Cost Projection'!$B$6:$X$49, BE$69, FALSE),'TCO Calculation'!$M$8)</f>
        <v>3.9277108433735024</v>
      </c>
      <c r="BF77" s="452"/>
      <c r="BG77" s="452"/>
      <c r="BH77" s="452"/>
      <c r="BI77" s="452"/>
      <c r="BJ77" s="452"/>
      <c r="BK77" s="452"/>
      <c r="BL77" s="452"/>
      <c r="BM77" s="452"/>
      <c r="BN77" s="452"/>
      <c r="BO77" s="452"/>
      <c r="BP77" s="452"/>
      <c r="BQ77" s="452"/>
      <c r="BR77" s="452"/>
      <c r="BS77" s="452"/>
      <c r="BT77" s="452"/>
      <c r="BU77" s="452"/>
      <c r="BV77" s="452"/>
      <c r="BW77" s="452"/>
      <c r="BX77" s="452"/>
    </row>
    <row r="78" spans="1:76">
      <c r="A78" s="1157"/>
      <c r="B78" s="640">
        <f t="shared" si="30"/>
        <v>69291.338582677359</v>
      </c>
      <c r="C78" s="641">
        <v>7</v>
      </c>
      <c r="D78" s="625">
        <f t="shared" ca="1" si="36"/>
        <v>583905.63959940826</v>
      </c>
      <c r="E78" s="625">
        <f t="shared" ca="1" si="37"/>
        <v>593836.64204415784</v>
      </c>
      <c r="F78" s="625">
        <f t="shared" ca="1" si="38"/>
        <v>615671.8500193092</v>
      </c>
      <c r="G78" s="626">
        <f t="shared" si="39"/>
        <v>791101.23656178731</v>
      </c>
      <c r="H78" s="625">
        <f t="shared" si="40"/>
        <v>807793.32202520035</v>
      </c>
      <c r="I78" s="626">
        <f t="shared" ca="1" si="41"/>
        <v>691641.78880200407</v>
      </c>
      <c r="J78" s="625">
        <f t="shared" ca="1" si="42"/>
        <v>677485.68136926403</v>
      </c>
      <c r="K78" s="452"/>
      <c r="L78" s="1162"/>
      <c r="M78" s="640">
        <f t="shared" si="32"/>
        <v>69291.338582677359</v>
      </c>
      <c r="N78" s="645">
        <f t="shared" si="32"/>
        <v>7</v>
      </c>
      <c r="O78" s="625">
        <f t="shared" ca="1" si="44"/>
        <v>514167.01561870537</v>
      </c>
      <c r="P78" s="625">
        <f t="shared" ca="1" si="43"/>
        <v>523639.54524153232</v>
      </c>
      <c r="Q78" s="625">
        <f t="shared" ca="1" si="43"/>
        <v>542854.93006453698</v>
      </c>
      <c r="R78" s="626">
        <f t="shared" si="43"/>
        <v>698004.32188126654</v>
      </c>
      <c r="S78" s="625">
        <f t="shared" si="43"/>
        <v>715427.46512017876</v>
      </c>
      <c r="T78" s="626">
        <f t="shared" ca="1" si="43"/>
        <v>611197.84245982673</v>
      </c>
      <c r="U78" s="625">
        <f t="shared" ca="1" si="43"/>
        <v>596165.02514184592</v>
      </c>
      <c r="V78" s="452"/>
      <c r="W78" s="1159"/>
      <c r="X78" s="749"/>
      <c r="Y78" s="459"/>
      <c r="Z78" s="626"/>
      <c r="AA78" s="626"/>
      <c r="AB78" s="626"/>
      <c r="AC78" s="626"/>
      <c r="AD78" s="626"/>
      <c r="AE78" s="626"/>
      <c r="AF78" s="626"/>
      <c r="AG78" s="452"/>
      <c r="AH78" s="452"/>
      <c r="AI78" s="452"/>
      <c r="AJ78" s="452"/>
      <c r="AK78" s="452"/>
      <c r="AL78" s="452"/>
      <c r="AM78" s="452"/>
      <c r="AN78" s="452"/>
      <c r="AO78" s="452"/>
      <c r="AP78" s="452"/>
      <c r="AQ78" s="452"/>
      <c r="AR78" s="452"/>
      <c r="AS78" s="452"/>
      <c r="AT78" s="452"/>
      <c r="AU78" s="452"/>
      <c r="AV78" s="688">
        <f t="shared" si="34"/>
        <v>2057</v>
      </c>
      <c r="AW78" s="669">
        <f t="shared" si="35"/>
        <v>62992.125984252147</v>
      </c>
      <c r="AX78" s="668">
        <f>IF('TCO Calculation'!$E$3="Lookup Table", VLOOKUP($AV78, 'Cost Projection'!$B$6:$X$49, AX$69, FALSE),'TCO Calculation'!$E$8)</f>
        <v>2</v>
      </c>
      <c r="AY78" s="668">
        <f>IF('TCO Calculation'!$E$3="Lookup Table", VLOOKUP($AV78, 'Cost Projection'!$B$6:$X$49, AY$69, FALSE),'TCO Calculation'!$E$8)</f>
        <v>2</v>
      </c>
      <c r="AZ78" s="668">
        <f>IF('TCO Calculation'!$E$3="Lookup Table", VLOOKUP($AV78, 'Cost Projection'!$B$6:$X$49, AZ$69, FALSE),'TCO Calculation'!$E$8)</f>
        <v>2</v>
      </c>
      <c r="BA78" s="668">
        <f>IF('TCO Calculation'!G$3="Lookup Table", VLOOKUP($AV78, 'Cost Projection'!$B$6:$X$49, BA$69, FALSE),'TCO Calculation'!$G$8)</f>
        <v>0.115</v>
      </c>
      <c r="BB78" s="668">
        <f>IF('TCO Calculation'!H$3="Lookup Table", VLOOKUP($AV78, 'Cost Projection'!$B$6:$X$49, BB$69, FALSE),'TCO Calculation'!$H$8)</f>
        <v>0.14950000000000002</v>
      </c>
      <c r="BC78" s="668">
        <f>IF('TCO Calculation'!F$3="Lookup Table", VLOOKUP($AV78, 'Cost Projection'!$B$6:$X$49, BC$69, FALSE),'TCO Calculation'!$F$8)</f>
        <v>4</v>
      </c>
      <c r="BD78" s="668">
        <f>IF('TCO Calculation'!F$3="Lookup Table", VLOOKUP($AV78, 'Cost Projection'!$B$6:$X$49, BD$69, FALSE),'TCO Calculation'!$F$8)</f>
        <v>4</v>
      </c>
      <c r="BE78" s="668">
        <f ca="1">IF('TCO Calculation'!M$3="Lookup Table", VLOOKUP($AV78, 'Cost Projection'!$B$6:$X$49, BE$69, FALSE),'TCO Calculation'!$M$8)</f>
        <v>3.9277108433735024</v>
      </c>
      <c r="BF78" s="452"/>
      <c r="BG78" s="452"/>
      <c r="BH78" s="452"/>
      <c r="BI78" s="452"/>
      <c r="BJ78" s="452"/>
      <c r="BK78" s="452"/>
      <c r="BL78" s="452"/>
      <c r="BM78" s="452"/>
      <c r="BN78" s="452"/>
      <c r="BO78" s="452"/>
      <c r="BP78" s="452"/>
      <c r="BQ78" s="452"/>
      <c r="BR78" s="452"/>
      <c r="BS78" s="452"/>
      <c r="BT78" s="452"/>
      <c r="BU78" s="452"/>
      <c r="BV78" s="452"/>
      <c r="BW78" s="452"/>
      <c r="BX78" s="452"/>
    </row>
    <row r="79" spans="1:76">
      <c r="A79" s="1157"/>
      <c r="B79" s="640">
        <f t="shared" si="30"/>
        <v>62992.125984252147</v>
      </c>
      <c r="C79" s="641">
        <v>8</v>
      </c>
      <c r="D79" s="625">
        <f t="shared" ca="1" si="36"/>
        <v>630327.73372801871</v>
      </c>
      <c r="E79" s="625">
        <f t="shared" ca="1" si="37"/>
        <v>639300.96842576354</v>
      </c>
      <c r="F79" s="625">
        <f t="shared" ca="1" si="38"/>
        <v>662900.71409318759</v>
      </c>
      <c r="G79" s="626">
        <f t="shared" si="39"/>
        <v>850357.23780364671</v>
      </c>
      <c r="H79" s="625">
        <f t="shared" si="40"/>
        <v>861766.23893158045</v>
      </c>
      <c r="I79" s="626">
        <f t="shared" ca="1" si="41"/>
        <v>741361.18989623373</v>
      </c>
      <c r="J79" s="625">
        <f t="shared" ca="1" si="42"/>
        <v>732302.05529418401</v>
      </c>
      <c r="K79" s="452"/>
      <c r="L79" s="1162"/>
      <c r="M79" s="640">
        <f t="shared" si="32"/>
        <v>62992.125984252147</v>
      </c>
      <c r="N79" s="645">
        <f t="shared" si="32"/>
        <v>8</v>
      </c>
      <c r="O79" s="625">
        <f t="shared" ca="1" si="44"/>
        <v>546442.24366428854</v>
      </c>
      <c r="P79" s="625">
        <f t="shared" ca="1" si="43"/>
        <v>555248.87975022255</v>
      </c>
      <c r="Q79" s="625">
        <f t="shared" ca="1" si="43"/>
        <v>575691.06955654721</v>
      </c>
      <c r="R79" s="626">
        <f t="shared" si="43"/>
        <v>739202.39769085567</v>
      </c>
      <c r="S79" s="625">
        <f t="shared" si="43"/>
        <v>752952.44614780392</v>
      </c>
      <c r="T79" s="626">
        <f t="shared" ca="1" si="43"/>
        <v>645765.54214524629</v>
      </c>
      <c r="U79" s="625">
        <f t="shared" ca="1" si="43"/>
        <v>634276.4245146797</v>
      </c>
      <c r="V79" s="452"/>
      <c r="W79" s="1159"/>
      <c r="X79" s="749"/>
      <c r="Y79" s="459"/>
      <c r="Z79" s="626"/>
      <c r="AA79" s="626"/>
      <c r="AB79" s="626"/>
      <c r="AC79" s="626"/>
      <c r="AD79" s="626"/>
      <c r="AE79" s="626"/>
      <c r="AF79" s="626"/>
      <c r="AG79" s="452"/>
      <c r="AH79" s="452"/>
      <c r="AI79" s="452"/>
      <c r="AJ79" s="452"/>
      <c r="AK79" s="452"/>
      <c r="AL79" s="452"/>
      <c r="AM79" s="452"/>
      <c r="AN79" s="452"/>
      <c r="AO79" s="452"/>
      <c r="AP79" s="452"/>
      <c r="AQ79" s="452"/>
      <c r="AR79" s="452"/>
      <c r="AS79" s="452"/>
      <c r="AT79" s="452"/>
      <c r="AU79" s="452"/>
      <c r="AV79" s="688">
        <f t="shared" si="34"/>
        <v>2058</v>
      </c>
      <c r="AW79" s="669">
        <f t="shared" si="35"/>
        <v>56062.992125984332</v>
      </c>
      <c r="AX79" s="668">
        <f>IF('TCO Calculation'!$E$3="Lookup Table", VLOOKUP($AV79, 'Cost Projection'!$B$6:$X$49, AX$69, FALSE),'TCO Calculation'!$E$8)</f>
        <v>2</v>
      </c>
      <c r="AY79" s="668">
        <f>IF('TCO Calculation'!$E$3="Lookup Table", VLOOKUP($AV79, 'Cost Projection'!$B$6:$X$49, AY$69, FALSE),'TCO Calculation'!$E$8)</f>
        <v>2</v>
      </c>
      <c r="AZ79" s="668">
        <f>IF('TCO Calculation'!$E$3="Lookup Table", VLOOKUP($AV79, 'Cost Projection'!$B$6:$X$49, AZ$69, FALSE),'TCO Calculation'!$E$8)</f>
        <v>2</v>
      </c>
      <c r="BA79" s="668">
        <f>IF('TCO Calculation'!G$3="Lookup Table", VLOOKUP($AV79, 'Cost Projection'!$B$6:$X$49, BA$69, FALSE),'TCO Calculation'!$G$8)</f>
        <v>0.115</v>
      </c>
      <c r="BB79" s="668">
        <f>IF('TCO Calculation'!H$3="Lookup Table", VLOOKUP($AV79, 'Cost Projection'!$B$6:$X$49, BB$69, FALSE),'TCO Calculation'!$H$8)</f>
        <v>0.14950000000000002</v>
      </c>
      <c r="BC79" s="668">
        <f>IF('TCO Calculation'!F$3="Lookup Table", VLOOKUP($AV79, 'Cost Projection'!$B$6:$X$49, BC$69, FALSE),'TCO Calculation'!$F$8)</f>
        <v>4</v>
      </c>
      <c r="BD79" s="668">
        <f>IF('TCO Calculation'!F$3="Lookup Table", VLOOKUP($AV79, 'Cost Projection'!$B$6:$X$49, BD$69, FALSE),'TCO Calculation'!$F$8)</f>
        <v>4</v>
      </c>
      <c r="BE79" s="668">
        <f ca="1">IF('TCO Calculation'!M$3="Lookup Table", VLOOKUP($AV79, 'Cost Projection'!$B$6:$X$49, BE$69, FALSE),'TCO Calculation'!$M$8)</f>
        <v>3.9277108433735024</v>
      </c>
      <c r="BF79" s="452"/>
      <c r="BG79" s="452"/>
      <c r="BH79" s="452"/>
      <c r="BI79" s="452"/>
      <c r="BJ79" s="452"/>
      <c r="BK79" s="452"/>
      <c r="BL79" s="452"/>
      <c r="BM79" s="452"/>
      <c r="BN79" s="452"/>
      <c r="BO79" s="452"/>
      <c r="BP79" s="452"/>
      <c r="BQ79" s="452"/>
      <c r="BR79" s="452"/>
      <c r="BS79" s="452"/>
      <c r="BT79" s="452"/>
      <c r="BU79" s="452"/>
      <c r="BV79" s="452"/>
      <c r="BW79" s="452"/>
      <c r="BX79" s="452"/>
    </row>
    <row r="80" spans="1:76">
      <c r="A80" s="1157"/>
      <c r="B80" s="640">
        <f t="shared" si="30"/>
        <v>56062.992125984332</v>
      </c>
      <c r="C80" s="641">
        <v>9</v>
      </c>
      <c r="D80" s="625">
        <f t="shared" ca="1" si="36"/>
        <v>672850.86724044092</v>
      </c>
      <c r="E80" s="625">
        <f t="shared" ca="1" si="37"/>
        <v>681061.09125351766</v>
      </c>
      <c r="F80" s="625">
        <f t="shared" ca="1" si="38"/>
        <v>706326.28531998908</v>
      </c>
      <c r="G80" s="626">
        <f t="shared" si="39"/>
        <v>904468.01532220573</v>
      </c>
      <c r="H80" s="625">
        <f t="shared" si="40"/>
        <v>911153.67067581415</v>
      </c>
      <c r="I80" s="626">
        <f t="shared" ca="1" si="41"/>
        <v>787131.51836703962</v>
      </c>
      <c r="J80" s="625">
        <f t="shared" ca="1" si="42"/>
        <v>782616.00930356828</v>
      </c>
      <c r="K80" s="452"/>
      <c r="L80" s="1162"/>
      <c r="M80" s="640">
        <f t="shared" si="32"/>
        <v>56062.992125984332</v>
      </c>
      <c r="N80" s="645">
        <f t="shared" si="32"/>
        <v>9</v>
      </c>
      <c r="O80" s="625">
        <f t="shared" ca="1" si="44"/>
        <v>574510.73557357641</v>
      </c>
      <c r="P80" s="625">
        <f t="shared" ca="1" si="43"/>
        <v>582813.72676177381</v>
      </c>
      <c r="Q80" s="625">
        <f t="shared" ca="1" si="43"/>
        <v>604355.23877351265</v>
      </c>
      <c r="R80" s="626">
        <f t="shared" si="43"/>
        <v>774919.61313409824</v>
      </c>
      <c r="S80" s="625">
        <f t="shared" si="43"/>
        <v>785551.89529067045</v>
      </c>
      <c r="T80" s="626">
        <f t="shared" ca="1" si="43"/>
        <v>675977.42890549568</v>
      </c>
      <c r="U80" s="625">
        <f t="shared" ca="1" si="43"/>
        <v>667487.4485946463</v>
      </c>
      <c r="V80" s="452"/>
      <c r="W80" s="1159"/>
      <c r="X80" s="749"/>
      <c r="Y80" s="459"/>
      <c r="Z80" s="626"/>
      <c r="AA80" s="626"/>
      <c r="AB80" s="626"/>
      <c r="AC80" s="626"/>
      <c r="AD80" s="626"/>
      <c r="AE80" s="626"/>
      <c r="AF80" s="626"/>
      <c r="AG80" s="452"/>
      <c r="AH80" s="452"/>
      <c r="AI80" s="452"/>
      <c r="AJ80" s="452"/>
      <c r="AK80" s="452"/>
      <c r="AL80" s="452"/>
      <c r="AM80" s="452"/>
      <c r="AN80" s="452"/>
      <c r="AO80" s="452"/>
      <c r="AP80" s="452"/>
      <c r="AQ80" s="452"/>
      <c r="AR80" s="452"/>
      <c r="AS80" s="452"/>
      <c r="AT80" s="452"/>
      <c r="AU80" s="452"/>
      <c r="AV80" s="688">
        <f t="shared" si="34"/>
        <v>2059</v>
      </c>
      <c r="AW80" s="669">
        <f t="shared" si="35"/>
        <v>49763.779527559134</v>
      </c>
      <c r="AX80" s="668">
        <f>IF('TCO Calculation'!$E$3="Lookup Table", VLOOKUP($AV80, 'Cost Projection'!$B$6:$X$49, AX$69, FALSE),'TCO Calculation'!$E$8)</f>
        <v>2</v>
      </c>
      <c r="AY80" s="668">
        <f>IF('TCO Calculation'!$E$3="Lookup Table", VLOOKUP($AV80, 'Cost Projection'!$B$6:$X$49, AY$69, FALSE),'TCO Calculation'!$E$8)</f>
        <v>2</v>
      </c>
      <c r="AZ80" s="668">
        <f>IF('TCO Calculation'!$E$3="Lookup Table", VLOOKUP($AV80, 'Cost Projection'!$B$6:$X$49, AZ$69, FALSE),'TCO Calculation'!$E$8)</f>
        <v>2</v>
      </c>
      <c r="BA80" s="668">
        <f>IF('TCO Calculation'!G$3="Lookup Table", VLOOKUP($AV80, 'Cost Projection'!$B$6:$X$49, BA$69, FALSE),'TCO Calculation'!$G$8)</f>
        <v>0.115</v>
      </c>
      <c r="BB80" s="668">
        <f>IF('TCO Calculation'!H$3="Lookup Table", VLOOKUP($AV80, 'Cost Projection'!$B$6:$X$49, BB$69, FALSE),'TCO Calculation'!$H$8)</f>
        <v>0.14950000000000002</v>
      </c>
      <c r="BC80" s="668">
        <f>IF('TCO Calculation'!F$3="Lookup Table", VLOOKUP($AV80, 'Cost Projection'!$B$6:$X$49, BC$69, FALSE),'TCO Calculation'!$F$8)</f>
        <v>4</v>
      </c>
      <c r="BD80" s="668">
        <f>IF('TCO Calculation'!F$3="Lookup Table", VLOOKUP($AV80, 'Cost Projection'!$B$6:$X$49, BD$69, FALSE),'TCO Calculation'!$F$8)</f>
        <v>4</v>
      </c>
      <c r="BE80" s="668">
        <f ca="1">IF('TCO Calculation'!M$3="Lookup Table", VLOOKUP($AV80, 'Cost Projection'!$B$6:$X$49, BE$69, FALSE),'TCO Calculation'!$M$8)</f>
        <v>3.9277108433735024</v>
      </c>
      <c r="BF80" s="452"/>
      <c r="BG80" s="452"/>
      <c r="BH80" s="452"/>
      <c r="BI80" s="452"/>
      <c r="BJ80" s="452"/>
      <c r="BK80" s="452"/>
      <c r="BL80" s="452"/>
      <c r="BM80" s="452"/>
      <c r="BN80" s="452"/>
      <c r="BO80" s="452"/>
      <c r="BP80" s="452"/>
      <c r="BQ80" s="452"/>
      <c r="BR80" s="452"/>
      <c r="BS80" s="452"/>
      <c r="BT80" s="452"/>
      <c r="BU80" s="452"/>
      <c r="BV80" s="452"/>
      <c r="BW80" s="452"/>
      <c r="BX80" s="452"/>
    </row>
    <row r="81" spans="1:77">
      <c r="A81" s="1157"/>
      <c r="B81" s="640">
        <f t="shared" si="30"/>
        <v>49763.779527559134</v>
      </c>
      <c r="C81" s="641">
        <v>10</v>
      </c>
      <c r="D81" s="625">
        <f t="shared" ca="1" si="36"/>
        <v>711783.21321145049</v>
      </c>
      <c r="E81" s="625">
        <f t="shared" ca="1" si="37"/>
        <v>719401.23108910932</v>
      </c>
      <c r="F81" s="625">
        <f t="shared" ca="1" si="38"/>
        <v>746232.14196505491</v>
      </c>
      <c r="G81" s="626">
        <f t="shared" si="39"/>
        <v>953840.88598916389</v>
      </c>
      <c r="H81" s="625">
        <f t="shared" si="40"/>
        <v>956326.48364617385</v>
      </c>
      <c r="I81" s="626">
        <f t="shared" ca="1" si="41"/>
        <v>829244.29388440226</v>
      </c>
      <c r="J81" s="625">
        <f t="shared" ca="1" si="42"/>
        <v>828757.0850846722</v>
      </c>
      <c r="K81" s="452"/>
      <c r="L81" s="1162"/>
      <c r="M81" s="640">
        <f t="shared" si="32"/>
        <v>49763.779527559134</v>
      </c>
      <c r="N81" s="645">
        <f t="shared" si="32"/>
        <v>10</v>
      </c>
      <c r="O81" s="625">
        <f t="shared" ca="1" si="44"/>
        <v>598908.7015032561</v>
      </c>
      <c r="P81" s="625">
        <f t="shared" ca="1" si="43"/>
        <v>606840.57133323804</v>
      </c>
      <c r="Q81" s="625">
        <f t="shared" ca="1" si="43"/>
        <v>629363.2804555113</v>
      </c>
      <c r="R81" s="626">
        <f t="shared" si="43"/>
        <v>805860.4050730149</v>
      </c>
      <c r="S81" s="625">
        <f t="shared" si="43"/>
        <v>813860.61197112198</v>
      </c>
      <c r="T81" s="626">
        <f t="shared" ca="1" si="43"/>
        <v>702368.49362689594</v>
      </c>
      <c r="U81" s="625">
        <f t="shared" ca="1" si="43"/>
        <v>696402.95231755101</v>
      </c>
      <c r="V81" s="452"/>
      <c r="W81" s="1159"/>
      <c r="X81" s="749"/>
      <c r="Y81" s="459"/>
      <c r="Z81" s="626"/>
      <c r="AA81" s="626"/>
      <c r="AB81" s="626"/>
      <c r="AC81" s="626"/>
      <c r="AD81" s="626"/>
      <c r="AE81" s="626"/>
      <c r="AF81" s="626"/>
      <c r="AG81" s="452"/>
      <c r="AH81" s="452"/>
      <c r="AI81" s="452"/>
      <c r="AJ81" s="452"/>
      <c r="AK81" s="452"/>
      <c r="AL81" s="452"/>
      <c r="AM81" s="452"/>
      <c r="AN81" s="452"/>
      <c r="AO81" s="452"/>
      <c r="AP81" s="452"/>
      <c r="AQ81" s="452"/>
      <c r="AR81" s="452"/>
      <c r="AS81" s="452"/>
      <c r="AT81" s="452"/>
      <c r="AU81" s="452"/>
      <c r="AV81" s="688">
        <f t="shared" si="34"/>
        <v>2060</v>
      </c>
      <c r="AW81" s="669">
        <f t="shared" si="35"/>
        <v>44724.409448818951</v>
      </c>
      <c r="AX81" s="668">
        <f>IF('TCO Calculation'!$E$3="Lookup Table", VLOOKUP($AV81, 'Cost Projection'!$B$6:$X$49, AX$69, FALSE),'TCO Calculation'!$E$8)</f>
        <v>2</v>
      </c>
      <c r="AY81" s="668">
        <f>IF('TCO Calculation'!$E$3="Lookup Table", VLOOKUP($AV81, 'Cost Projection'!$B$6:$X$49, AY$69, FALSE),'TCO Calculation'!$E$8)</f>
        <v>2</v>
      </c>
      <c r="AZ81" s="668">
        <f>IF('TCO Calculation'!$E$3="Lookup Table", VLOOKUP($AV81, 'Cost Projection'!$B$6:$X$49, AZ$69, FALSE),'TCO Calculation'!$E$8)</f>
        <v>2</v>
      </c>
      <c r="BA81" s="668">
        <f>IF('TCO Calculation'!G$3="Lookup Table", VLOOKUP($AV81, 'Cost Projection'!$B$6:$X$49, BA$69, FALSE),'TCO Calculation'!$G$8)</f>
        <v>0.115</v>
      </c>
      <c r="BB81" s="668">
        <f>IF('TCO Calculation'!H$3="Lookup Table", VLOOKUP($AV81, 'Cost Projection'!$B$6:$X$49, BB$69, FALSE),'TCO Calculation'!$H$8)</f>
        <v>0.14950000000000002</v>
      </c>
      <c r="BC81" s="668">
        <f>IF('TCO Calculation'!F$3="Lookup Table", VLOOKUP($AV81, 'Cost Projection'!$B$6:$X$49, BC$69, FALSE),'TCO Calculation'!$F$8)</f>
        <v>4</v>
      </c>
      <c r="BD81" s="668">
        <f>IF('TCO Calculation'!F$3="Lookup Table", VLOOKUP($AV81, 'Cost Projection'!$B$6:$X$49, BD$69, FALSE),'TCO Calculation'!$F$8)</f>
        <v>4</v>
      </c>
      <c r="BE81" s="668">
        <f ca="1">IF('TCO Calculation'!M$3="Lookup Table", VLOOKUP($AV81, 'Cost Projection'!$B$6:$X$49, BE$69, FALSE),'TCO Calculation'!$M$8)</f>
        <v>3.9277108433735024</v>
      </c>
      <c r="BF81" s="452"/>
      <c r="BG81" s="452"/>
      <c r="BH81" s="452"/>
      <c r="BI81" s="452"/>
      <c r="BJ81" s="452"/>
      <c r="BK81" s="452"/>
      <c r="BL81" s="452"/>
      <c r="BM81" s="452"/>
      <c r="BN81" s="452"/>
      <c r="BO81" s="452"/>
      <c r="BP81" s="452"/>
      <c r="BQ81" s="452"/>
      <c r="BR81" s="452"/>
      <c r="BS81" s="452"/>
      <c r="BT81" s="452"/>
      <c r="BU81" s="452"/>
      <c r="BV81" s="452"/>
      <c r="BW81" s="452"/>
      <c r="BX81" s="452"/>
    </row>
    <row r="82" spans="1:77">
      <c r="A82" s="1157"/>
      <c r="B82" s="640">
        <f t="shared" si="30"/>
        <v>44724.409448818951</v>
      </c>
      <c r="C82" s="641">
        <v>11</v>
      </c>
      <c r="D82" s="625">
        <f t="shared" ca="1" si="36"/>
        <v>747874.2946916176</v>
      </c>
      <c r="E82" s="625">
        <f t="shared" ca="1" si="37"/>
        <v>755038.63714788086</v>
      </c>
      <c r="F82" s="625">
        <f t="shared" ca="1" si="38"/>
        <v>783357.02033998014</v>
      </c>
      <c r="G82" s="626">
        <f t="shared" si="39"/>
        <v>999459.48568813247</v>
      </c>
      <c r="H82" s="625">
        <f t="shared" si="40"/>
        <v>998165.22494155436</v>
      </c>
      <c r="I82" s="626">
        <f t="shared" ca="1" si="41"/>
        <v>868469.08853735984</v>
      </c>
      <c r="J82" s="625">
        <f t="shared" ca="1" si="42"/>
        <v>871596.25799566321</v>
      </c>
      <c r="K82" s="452"/>
      <c r="L82" s="1162"/>
      <c r="M82" s="640">
        <f t="shared" si="32"/>
        <v>44724.409448818951</v>
      </c>
      <c r="N82" s="645">
        <f t="shared" si="32"/>
        <v>11</v>
      </c>
      <c r="O82" s="625">
        <f t="shared" ca="1" si="44"/>
        <v>620381.67409882508</v>
      </c>
      <c r="P82" s="625">
        <f t="shared" ca="1" si="43"/>
        <v>628043.6223999589</v>
      </c>
      <c r="Q82" s="625">
        <f t="shared" ca="1" si="43"/>
        <v>651451.3272322939</v>
      </c>
      <c r="R82" s="626">
        <f t="shared" si="43"/>
        <v>833001.92871293356</v>
      </c>
      <c r="S82" s="625">
        <f t="shared" si="43"/>
        <v>838753.24772553961</v>
      </c>
      <c r="T82" s="626">
        <f t="shared" ca="1" si="43"/>
        <v>725705.91955337115</v>
      </c>
      <c r="U82" s="625">
        <f t="shared" ca="1" si="43"/>
        <v>721890.8110407663</v>
      </c>
      <c r="V82" s="452"/>
      <c r="W82" s="1159"/>
      <c r="X82" s="749"/>
      <c r="Y82" s="459"/>
      <c r="Z82" s="626"/>
      <c r="AA82" s="626"/>
      <c r="AB82" s="626"/>
      <c r="AC82" s="626"/>
      <c r="AD82" s="626"/>
      <c r="AE82" s="626"/>
      <c r="AF82" s="626"/>
      <c r="AG82" s="452"/>
      <c r="AH82" s="452"/>
      <c r="AI82" s="452"/>
      <c r="AJ82" s="452"/>
      <c r="AK82" s="452"/>
      <c r="AL82" s="452"/>
      <c r="AM82" s="452"/>
      <c r="AN82" s="452"/>
      <c r="AO82" s="452"/>
      <c r="AP82" s="452"/>
      <c r="AQ82" s="452"/>
      <c r="AR82" s="452"/>
      <c r="AS82" s="452"/>
      <c r="AT82" s="452"/>
      <c r="AU82" s="452"/>
      <c r="AV82" s="688">
        <f t="shared" si="34"/>
        <v>2061</v>
      </c>
      <c r="AW82" s="669">
        <f t="shared" si="35"/>
        <v>39685.039370078855</v>
      </c>
      <c r="AX82" s="668">
        <f>IF('TCO Calculation'!$E$3="Lookup Table", VLOOKUP($AV82, 'Cost Projection'!$B$6:$X$49, AX$69, FALSE),'TCO Calculation'!$E$8)</f>
        <v>2</v>
      </c>
      <c r="AY82" s="668">
        <f>IF('TCO Calculation'!$E$3="Lookup Table", VLOOKUP($AV82, 'Cost Projection'!$B$6:$X$49, AY$69, FALSE),'TCO Calculation'!$E$8)</f>
        <v>2</v>
      </c>
      <c r="AZ82" s="668">
        <f>IF('TCO Calculation'!$E$3="Lookup Table", VLOOKUP($AV82, 'Cost Projection'!$B$6:$X$49, AZ$69, FALSE),'TCO Calculation'!$E$8)</f>
        <v>2</v>
      </c>
      <c r="BA82" s="668">
        <f>IF('TCO Calculation'!G$3="Lookup Table", VLOOKUP($AV82, 'Cost Projection'!$B$6:$X$49, BA$69, FALSE),'TCO Calculation'!$G$8)</f>
        <v>0.115</v>
      </c>
      <c r="BB82" s="668">
        <f>IF('TCO Calculation'!H$3="Lookup Table", VLOOKUP($AV82, 'Cost Projection'!$B$6:$X$49, BB$69, FALSE),'TCO Calculation'!$H$8)</f>
        <v>0.14950000000000002</v>
      </c>
      <c r="BC82" s="668">
        <f>IF('TCO Calculation'!F$3="Lookup Table", VLOOKUP($AV82, 'Cost Projection'!$B$6:$X$49, BC$69, FALSE),'TCO Calculation'!$F$8)</f>
        <v>4</v>
      </c>
      <c r="BD82" s="668">
        <f>IF('TCO Calculation'!F$3="Lookup Table", VLOOKUP($AV82, 'Cost Projection'!$B$6:$X$49, BD$69, FALSE),'TCO Calculation'!$F$8)</f>
        <v>4</v>
      </c>
      <c r="BE82" s="668">
        <f ca="1">IF('TCO Calculation'!M$3="Lookup Table", VLOOKUP($AV82, 'Cost Projection'!$B$6:$X$49, BE$69, FALSE),'TCO Calculation'!$M$8)</f>
        <v>3.9277108433735024</v>
      </c>
      <c r="BF82" s="452"/>
      <c r="BG82" s="452"/>
      <c r="BH82" s="452"/>
      <c r="BI82" s="452"/>
      <c r="BJ82" s="452"/>
      <c r="BK82" s="452"/>
      <c r="BL82" s="452"/>
      <c r="BM82" s="452"/>
      <c r="BN82" s="452"/>
      <c r="BO82" s="452"/>
      <c r="BP82" s="452"/>
      <c r="BQ82" s="452"/>
      <c r="BR82" s="452"/>
      <c r="BS82" s="452"/>
      <c r="BT82" s="452"/>
      <c r="BU82" s="452"/>
      <c r="BV82" s="452"/>
      <c r="BW82" s="452"/>
      <c r="BX82" s="452"/>
    </row>
    <row r="83" spans="1:77">
      <c r="A83" s="1157"/>
      <c r="B83" s="640">
        <f t="shared" si="30"/>
        <v>39685.039370078855</v>
      </c>
      <c r="C83" s="641">
        <v>12</v>
      </c>
      <c r="D83" s="625">
        <f t="shared" ca="1" si="36"/>
        <v>781039.7990274016</v>
      </c>
      <c r="E83" s="625">
        <f t="shared" ca="1" si="37"/>
        <v>787879.03505182092</v>
      </c>
      <c r="F83" s="625">
        <f t="shared" ca="1" si="38"/>
        <v>817592.08940096397</v>
      </c>
      <c r="G83" s="626">
        <f t="shared" si="39"/>
        <v>1041271.6734666075</v>
      </c>
      <c r="H83" s="625">
        <f t="shared" si="40"/>
        <v>1036638.0082897679</v>
      </c>
      <c r="I83" s="626">
        <f t="shared" ca="1" si="41"/>
        <v>904687.59544168261</v>
      </c>
      <c r="J83" s="625">
        <f t="shared" ca="1" si="42"/>
        <v>910998.8865337891</v>
      </c>
      <c r="K83" s="452"/>
      <c r="L83" s="1162"/>
      <c r="M83" s="640">
        <f t="shared" si="32"/>
        <v>39685.039370078855</v>
      </c>
      <c r="N83" s="645">
        <f t="shared" si="32"/>
        <v>12</v>
      </c>
      <c r="O83" s="625">
        <f t="shared" ca="1" si="44"/>
        <v>639115.57018965308</v>
      </c>
      <c r="P83" s="625">
        <f t="shared" ca="1" si="43"/>
        <v>646593.87858436606</v>
      </c>
      <c r="Q83" s="625">
        <f t="shared" ca="1" si="43"/>
        <v>670789.37859908096</v>
      </c>
      <c r="R83" s="626">
        <f t="shared" si="43"/>
        <v>856619.99805515038</v>
      </c>
      <c r="S83" s="625">
        <f t="shared" si="43"/>
        <v>860485.01812990883</v>
      </c>
      <c r="T83" s="626">
        <f t="shared" ca="1" si="43"/>
        <v>746164.33737331175</v>
      </c>
      <c r="U83" s="625">
        <f t="shared" ca="1" si="43"/>
        <v>744147.81462090788</v>
      </c>
      <c r="V83" s="452"/>
      <c r="W83" s="1159"/>
      <c r="X83" s="749"/>
      <c r="Y83" s="459"/>
      <c r="Z83" s="626"/>
      <c r="AA83" s="626"/>
      <c r="AB83" s="626"/>
      <c r="AC83" s="626"/>
      <c r="AD83" s="626"/>
      <c r="AE83" s="626"/>
      <c r="AF83" s="626"/>
      <c r="AG83" s="452"/>
      <c r="AH83" s="452"/>
      <c r="AI83" s="452"/>
      <c r="AJ83" s="452"/>
      <c r="AK83" s="452"/>
      <c r="AL83" s="452"/>
      <c r="AM83" s="452"/>
      <c r="AN83" s="452"/>
      <c r="AO83" s="452"/>
      <c r="AP83" s="452"/>
      <c r="AQ83" s="452"/>
      <c r="AR83" s="452"/>
      <c r="AS83" s="452"/>
      <c r="AT83" s="452"/>
      <c r="AU83" s="452"/>
      <c r="AV83" s="688">
        <f t="shared" si="34"/>
        <v>2062</v>
      </c>
      <c r="AW83" s="669">
        <f t="shared" si="35"/>
        <v>34960.629921259933</v>
      </c>
      <c r="AX83" s="668">
        <f>IF('TCO Calculation'!$E$3="Lookup Table", VLOOKUP($AV83, 'Cost Projection'!$B$6:$X$49, AX$69, FALSE),'TCO Calculation'!$E$8)</f>
        <v>2</v>
      </c>
      <c r="AY83" s="668">
        <f>IF('TCO Calculation'!$E$3="Lookup Table", VLOOKUP($AV83, 'Cost Projection'!$B$6:$X$49, AY$69, FALSE),'TCO Calculation'!$E$8)</f>
        <v>2</v>
      </c>
      <c r="AZ83" s="668">
        <f>IF('TCO Calculation'!$E$3="Lookup Table", VLOOKUP($AV83, 'Cost Projection'!$B$6:$X$49, AZ$69, FALSE),'TCO Calculation'!$E$8)</f>
        <v>2</v>
      </c>
      <c r="BA83" s="668">
        <f>IF('TCO Calculation'!G$3="Lookup Table", VLOOKUP($AV83, 'Cost Projection'!$B$6:$X$49, BA$69, FALSE),'TCO Calculation'!$G$8)</f>
        <v>0.115</v>
      </c>
      <c r="BB83" s="668">
        <f>IF('TCO Calculation'!H$3="Lookup Table", VLOOKUP($AV83, 'Cost Projection'!$B$6:$X$49, BB$69, FALSE),'TCO Calculation'!$H$8)</f>
        <v>0.14950000000000002</v>
      </c>
      <c r="BC83" s="668">
        <f>IF('TCO Calculation'!F$3="Lookup Table", VLOOKUP($AV83, 'Cost Projection'!$B$6:$X$49, BC$69, FALSE),'TCO Calculation'!$F$8)</f>
        <v>4</v>
      </c>
      <c r="BD83" s="668">
        <f>IF('TCO Calculation'!F$3="Lookup Table", VLOOKUP($AV83, 'Cost Projection'!$B$6:$X$49, BD$69, FALSE),'TCO Calculation'!$F$8)</f>
        <v>4</v>
      </c>
      <c r="BE83" s="668">
        <f ca="1">IF('TCO Calculation'!M$3="Lookup Table", VLOOKUP($AV83, 'Cost Projection'!$B$6:$X$49, BE$69, FALSE),'TCO Calculation'!$M$8)</f>
        <v>3.9277108433735024</v>
      </c>
      <c r="BF83" s="452"/>
      <c r="BG83" s="452"/>
      <c r="BH83" s="452"/>
      <c r="BI83" s="452"/>
      <c r="BJ83" s="452"/>
      <c r="BK83" s="452"/>
      <c r="BL83" s="452"/>
      <c r="BM83" s="452"/>
      <c r="BN83" s="452"/>
      <c r="BO83" s="452"/>
      <c r="BP83" s="452"/>
      <c r="BQ83" s="452"/>
      <c r="BR83" s="452"/>
      <c r="BS83" s="452"/>
      <c r="BT83" s="452"/>
      <c r="BU83" s="452"/>
      <c r="BV83" s="452"/>
      <c r="BW83" s="452"/>
      <c r="BX83" s="452"/>
    </row>
    <row r="84" spans="1:77">
      <c r="A84" s="1157"/>
      <c r="B84" s="640">
        <f t="shared" si="30"/>
        <v>34960.629921259933</v>
      </c>
      <c r="C84" s="641">
        <v>13</v>
      </c>
      <c r="D84" s="625">
        <f t="shared" ca="1" si="36"/>
        <v>811412.45014853764</v>
      </c>
      <c r="E84" s="625">
        <f t="shared" ca="1" si="37"/>
        <v>818040.60180145036</v>
      </c>
      <c r="F84" s="625">
        <f t="shared" ca="1" si="38"/>
        <v>849051.41738395847</v>
      </c>
      <c r="G84" s="626">
        <f t="shared" si="39"/>
        <v>1079390.1123282253</v>
      </c>
      <c r="H84" s="625">
        <f t="shared" si="40"/>
        <v>1071843.4637031681</v>
      </c>
      <c r="I84" s="626">
        <f t="shared" ca="1" si="41"/>
        <v>938015.44601646787</v>
      </c>
      <c r="J84" s="625">
        <f t="shared" ca="1" si="42"/>
        <v>947095.27595348051</v>
      </c>
      <c r="K84" s="452"/>
      <c r="L84" s="1162"/>
      <c r="M84" s="640">
        <f t="shared" si="32"/>
        <v>34960.629921259933</v>
      </c>
      <c r="N84" s="645">
        <f t="shared" si="32"/>
        <v>13</v>
      </c>
      <c r="O84" s="625">
        <f t="shared" ca="1" si="44"/>
        <v>655403.78282401047</v>
      </c>
      <c r="P84" s="625">
        <f t="shared" ca="1" si="43"/>
        <v>662768.8911192927</v>
      </c>
      <c r="Q84" s="625">
        <f t="shared" ca="1" si="43"/>
        <v>687660.3531306528</v>
      </c>
      <c r="R84" s="626">
        <f t="shared" si="43"/>
        <v>877062.11339738732</v>
      </c>
      <c r="S84" s="625">
        <f t="shared" si="43"/>
        <v>879364.96184558282</v>
      </c>
      <c r="T84" s="626">
        <f t="shared" ca="1" si="43"/>
        <v>764037.36118816165</v>
      </c>
      <c r="U84" s="625">
        <f t="shared" ca="1" si="43"/>
        <v>763505.54746601195</v>
      </c>
      <c r="V84" s="452"/>
      <c r="W84" s="1159"/>
      <c r="X84" s="749"/>
      <c r="Y84" s="459"/>
      <c r="Z84" s="626"/>
      <c r="AA84" s="626"/>
      <c r="AB84" s="626"/>
      <c r="AC84" s="626"/>
      <c r="AD84" s="626"/>
      <c r="AE84" s="626"/>
      <c r="AF84" s="626"/>
      <c r="AG84" s="452"/>
      <c r="AH84" s="452"/>
      <c r="AI84" s="452"/>
      <c r="AJ84" s="452"/>
      <c r="AK84" s="452"/>
      <c r="AL84" s="452"/>
      <c r="AM84" s="452"/>
      <c r="AN84" s="452"/>
      <c r="AO84" s="452"/>
      <c r="AP84" s="452"/>
      <c r="AQ84" s="452"/>
      <c r="AR84" s="452"/>
      <c r="AS84" s="452"/>
      <c r="AT84" s="452"/>
      <c r="AU84" s="452"/>
      <c r="AV84" s="688">
        <f t="shared" si="34"/>
        <v>2063</v>
      </c>
      <c r="AW84" s="669">
        <f t="shared" si="35"/>
        <v>31496.062992126026</v>
      </c>
      <c r="AX84" s="668">
        <f>IF('TCO Calculation'!$E$3="Lookup Table", VLOOKUP($AV84, 'Cost Projection'!$B$6:$X$49, AX$69, FALSE),'TCO Calculation'!$E$8)</f>
        <v>2</v>
      </c>
      <c r="AY84" s="668">
        <f>IF('TCO Calculation'!$E$3="Lookup Table", VLOOKUP($AV84, 'Cost Projection'!$B$6:$X$49, AY$69, FALSE),'TCO Calculation'!$E$8)</f>
        <v>2</v>
      </c>
      <c r="AZ84" s="668">
        <f>IF('TCO Calculation'!$E$3="Lookup Table", VLOOKUP($AV84, 'Cost Projection'!$B$6:$X$49, AZ$69, FALSE),'TCO Calculation'!$E$8)</f>
        <v>2</v>
      </c>
      <c r="BA84" s="668">
        <f>IF('TCO Calculation'!G$3="Lookup Table", VLOOKUP($AV84, 'Cost Projection'!$B$6:$X$49, BA$69, FALSE),'TCO Calculation'!$G$8)</f>
        <v>0.115</v>
      </c>
      <c r="BB84" s="668">
        <f>IF('TCO Calculation'!H$3="Lookup Table", VLOOKUP($AV84, 'Cost Projection'!$B$6:$X$49, BB$69, FALSE),'TCO Calculation'!$H$8)</f>
        <v>0.14950000000000002</v>
      </c>
      <c r="BC84" s="668">
        <f>IF('TCO Calculation'!F$3="Lookup Table", VLOOKUP($AV84, 'Cost Projection'!$B$6:$X$49, BC$69, FALSE),'TCO Calculation'!$F$8)</f>
        <v>4</v>
      </c>
      <c r="BD84" s="668">
        <f>IF('TCO Calculation'!F$3="Lookup Table", VLOOKUP($AV84, 'Cost Projection'!$B$6:$X$49, BD$69, FALSE),'TCO Calculation'!$F$8)</f>
        <v>4</v>
      </c>
      <c r="BE84" s="668">
        <f ca="1">IF('TCO Calculation'!M$3="Lookup Table", VLOOKUP($AV84, 'Cost Projection'!$B$6:$X$49, BE$69, FALSE),'TCO Calculation'!$M$8)</f>
        <v>3.9277108433735024</v>
      </c>
      <c r="BF84" s="452"/>
      <c r="BG84" s="452"/>
      <c r="BH84" s="452"/>
      <c r="BI84" s="452"/>
      <c r="BJ84" s="452"/>
      <c r="BK84" s="452"/>
      <c r="BL84" s="452"/>
      <c r="BM84" s="452"/>
      <c r="BN84" s="452"/>
      <c r="BO84" s="452"/>
      <c r="BP84" s="452"/>
      <c r="BQ84" s="452"/>
      <c r="BR84" s="452"/>
      <c r="BS84" s="452"/>
      <c r="BT84" s="452"/>
      <c r="BU84" s="452"/>
      <c r="BV84" s="452"/>
      <c r="BW84" s="452"/>
      <c r="BX84" s="452"/>
    </row>
    <row r="85" spans="1:77" ht="15" thickBot="1">
      <c r="A85" s="1157"/>
      <c r="B85" s="640">
        <f t="shared" si="30"/>
        <v>31496.062992126026</v>
      </c>
      <c r="C85" s="641">
        <v>14</v>
      </c>
      <c r="D85" s="625">
        <f t="shared" ca="1" si="36"/>
        <v>839799.99695005699</v>
      </c>
      <c r="E85" s="625">
        <f t="shared" ca="1" si="37"/>
        <v>846305.56959568255</v>
      </c>
      <c r="F85" s="625">
        <f t="shared" ca="1" si="38"/>
        <v>878548.51565678825</v>
      </c>
      <c r="G85" s="626">
        <f t="shared" si="39"/>
        <v>1114874.0692644846</v>
      </c>
      <c r="H85" s="625">
        <f t="shared" si="40"/>
        <v>1104724.9716643365</v>
      </c>
      <c r="I85" s="626">
        <f t="shared" ca="1" si="41"/>
        <v>969303.51407478692</v>
      </c>
      <c r="J85" s="625">
        <f t="shared" ca="1" si="42"/>
        <v>980848.46328306105</v>
      </c>
      <c r="K85" s="452"/>
      <c r="L85" s="1162"/>
      <c r="M85" s="640">
        <f t="shared" si="32"/>
        <v>31496.062992126026</v>
      </c>
      <c r="N85" s="645">
        <f t="shared" si="32"/>
        <v>14</v>
      </c>
      <c r="O85" s="625">
        <f t="shared" ca="1" si="44"/>
        <v>669857.10951444239</v>
      </c>
      <c r="P85" s="625">
        <f t="shared" ca="1" si="43"/>
        <v>677159.80754052813</v>
      </c>
      <c r="Q85" s="625">
        <f t="shared" ca="1" si="43"/>
        <v>702678.60041837418</v>
      </c>
      <c r="R85" s="626">
        <f t="shared" si="43"/>
        <v>895128.5291202676</v>
      </c>
      <c r="S85" s="625">
        <f t="shared" si="43"/>
        <v>896106.35834453523</v>
      </c>
      <c r="T85" s="626">
        <f t="shared" ca="1" si="43"/>
        <v>779967.46858071547</v>
      </c>
      <c r="U85" s="625">
        <f t="shared" ca="1" si="43"/>
        <v>780690.75359631632</v>
      </c>
      <c r="V85" s="452"/>
      <c r="W85" s="1159"/>
      <c r="X85" s="749"/>
      <c r="Y85" s="459"/>
      <c r="Z85" s="626"/>
      <c r="AA85" s="626"/>
      <c r="AB85" s="626"/>
      <c r="AC85" s="626"/>
      <c r="AD85" s="626"/>
      <c r="AE85" s="626"/>
      <c r="AF85" s="626"/>
      <c r="AG85" s="452"/>
      <c r="AH85" s="452"/>
      <c r="AI85" s="452"/>
      <c r="AJ85" s="452"/>
      <c r="AK85" s="452"/>
      <c r="AL85" s="452"/>
      <c r="AM85" s="452"/>
      <c r="AN85" s="452"/>
      <c r="AO85" s="452"/>
      <c r="AP85" s="452"/>
      <c r="AQ85" s="452"/>
      <c r="AR85" s="452"/>
      <c r="AS85" s="452"/>
      <c r="AT85" s="452"/>
      <c r="AU85" s="452"/>
      <c r="AV85" s="689">
        <f t="shared" si="34"/>
        <v>2064</v>
      </c>
      <c r="AW85" s="671">
        <f t="shared" si="35"/>
        <v>27716.53543307096</v>
      </c>
      <c r="AX85" s="670">
        <f>IF('TCO Calculation'!$E$3="Lookup Table", VLOOKUP($AV85, 'Cost Projection'!$B$6:$X$49, AX$69, FALSE),'TCO Calculation'!$E$8)</f>
        <v>2</v>
      </c>
      <c r="AY85" s="670">
        <f>IF('TCO Calculation'!$E$3="Lookup Table", VLOOKUP($AV85, 'Cost Projection'!$B$6:$X$49, AY$69, FALSE),'TCO Calculation'!$E$8)</f>
        <v>2</v>
      </c>
      <c r="AZ85" s="670">
        <f>IF('TCO Calculation'!$E$3="Lookup Table", VLOOKUP($AV85, 'Cost Projection'!$B$6:$X$49, AZ$69, FALSE),'TCO Calculation'!$E$8)</f>
        <v>2</v>
      </c>
      <c r="BA85" s="670">
        <f>IF('TCO Calculation'!G$3="Lookup Table", VLOOKUP($AV85, 'Cost Projection'!$B$6:$X$49, BA$69, FALSE),'TCO Calculation'!$G$8)</f>
        <v>0.115</v>
      </c>
      <c r="BB85" s="670">
        <f>IF('TCO Calculation'!H$3="Lookup Table", VLOOKUP($AV85, 'Cost Projection'!$B$6:$X$49, BB$69, FALSE),'TCO Calculation'!$H$8)</f>
        <v>0.14950000000000002</v>
      </c>
      <c r="BC85" s="670">
        <f>IF('TCO Calculation'!F$3="Lookup Table", VLOOKUP($AV85, 'Cost Projection'!$B$6:$X$49, BC$69, FALSE),'TCO Calculation'!$F$8)</f>
        <v>4</v>
      </c>
      <c r="BD85" s="670">
        <f>IF('TCO Calculation'!F$3="Lookup Table", VLOOKUP($AV85, 'Cost Projection'!$B$6:$X$49, BD$69, FALSE),'TCO Calculation'!$F$8)</f>
        <v>4</v>
      </c>
      <c r="BE85" s="670">
        <f ca="1">IF('TCO Calculation'!M$3="Lookup Table", VLOOKUP($AV85, 'Cost Projection'!$B$6:$X$49, BE$69, FALSE),'TCO Calculation'!$M$8)</f>
        <v>3.9277108433735024</v>
      </c>
      <c r="BF85" s="452"/>
      <c r="BG85" s="452"/>
      <c r="BH85" s="452"/>
      <c r="BI85" s="452"/>
      <c r="BJ85" s="452"/>
      <c r="BK85" s="452"/>
      <c r="BL85" s="452"/>
      <c r="BM85" s="452"/>
      <c r="BN85" s="452"/>
      <c r="BO85" s="452"/>
      <c r="BP85" s="452"/>
      <c r="BQ85" s="452"/>
      <c r="BR85" s="452"/>
      <c r="BS85" s="452"/>
      <c r="BT85" s="452"/>
      <c r="BU85" s="452"/>
      <c r="BV85" s="452"/>
      <c r="BW85" s="452"/>
      <c r="BX85" s="452"/>
    </row>
    <row r="86" spans="1:77" ht="15" thickBot="1">
      <c r="A86" s="1157"/>
      <c r="B86" s="640">
        <f t="shared" si="30"/>
        <v>27716.53543307096</v>
      </c>
      <c r="C86" s="642">
        <v>15</v>
      </c>
      <c r="D86" s="625">
        <f t="shared" ca="1" si="36"/>
        <v>865915.84684003401</v>
      </c>
      <c r="E86" s="625">
        <f t="shared" ca="1" si="37"/>
        <v>872383.67107903736</v>
      </c>
      <c r="F86" s="625">
        <f t="shared" ca="1" si="38"/>
        <v>905770.57105958962</v>
      </c>
      <c r="G86" s="626">
        <f t="shared" si="39"/>
        <v>1147348.8036165151</v>
      </c>
      <c r="H86" s="625">
        <f t="shared" si="40"/>
        <v>1134956.4883621293</v>
      </c>
      <c r="I86" s="626">
        <f t="shared" ca="1" si="41"/>
        <v>998220.12417810748</v>
      </c>
      <c r="J86" s="625">
        <f t="shared" ca="1" si="42"/>
        <v>1011882.1112112446</v>
      </c>
      <c r="K86" s="452"/>
      <c r="L86" s="1162"/>
      <c r="M86" s="640">
        <f t="shared" si="32"/>
        <v>27716.53543307096</v>
      </c>
      <c r="N86" s="646">
        <f t="shared" si="32"/>
        <v>15</v>
      </c>
      <c r="O86" s="633">
        <f t="shared" ca="1" si="44"/>
        <v>682481.00374188845</v>
      </c>
      <c r="P86" s="625">
        <f t="shared" ca="1" si="43"/>
        <v>689765.45492192253</v>
      </c>
      <c r="Q86" s="633">
        <f t="shared" ca="1" si="43"/>
        <v>715837.2128895896</v>
      </c>
      <c r="R86" s="634">
        <f t="shared" si="43"/>
        <v>910826.1845001058</v>
      </c>
      <c r="S86" s="633">
        <f t="shared" si="43"/>
        <v>910719.6859113581</v>
      </c>
      <c r="T86" s="634">
        <f t="shared" ca="1" si="43"/>
        <v>793945.19585738808</v>
      </c>
      <c r="U86" s="633">
        <f t="shared" ca="1" si="43"/>
        <v>795691.81580902054</v>
      </c>
      <c r="V86" s="452"/>
      <c r="W86" s="1159"/>
      <c r="X86" s="749"/>
      <c r="Y86" s="459"/>
      <c r="Z86" s="626"/>
      <c r="AA86" s="626"/>
      <c r="AB86" s="626"/>
      <c r="AC86" s="626"/>
      <c r="AD86" s="626"/>
      <c r="AE86" s="626"/>
      <c r="AF86" s="626"/>
      <c r="AG86" s="452"/>
      <c r="AH86" s="452"/>
      <c r="AI86" s="452"/>
      <c r="AJ86" s="452"/>
      <c r="AK86" s="452"/>
      <c r="AL86" s="452"/>
      <c r="AM86" s="452"/>
      <c r="AN86" s="452"/>
      <c r="AO86" s="452"/>
      <c r="AP86" s="452"/>
      <c r="AQ86" s="452"/>
      <c r="AR86" s="452"/>
      <c r="AS86" s="452"/>
      <c r="AT86" s="452"/>
      <c r="BE86" s="452"/>
      <c r="BF86" s="452"/>
      <c r="BG86" s="452"/>
      <c r="BH86" s="452"/>
      <c r="BI86" s="452"/>
      <c r="BJ86" s="452"/>
      <c r="BK86" s="452"/>
      <c r="BL86" s="452"/>
      <c r="BM86" s="452"/>
      <c r="BN86" s="452"/>
      <c r="BO86" s="452"/>
      <c r="BP86" s="452"/>
      <c r="BQ86" s="452"/>
      <c r="BR86" s="452"/>
      <c r="BS86" s="452"/>
      <c r="BT86" s="452"/>
      <c r="BU86" s="452"/>
      <c r="BV86" s="452"/>
      <c r="BW86" s="452"/>
      <c r="BX86" s="452"/>
    </row>
    <row r="87" spans="1:77" ht="15" thickBot="1">
      <c r="A87" s="1158"/>
      <c r="B87" s="1150" t="s">
        <v>110</v>
      </c>
      <c r="C87" s="1160"/>
      <c r="D87" s="637">
        <f ca="1">D86</f>
        <v>865915.84684003401</v>
      </c>
      <c r="E87" s="637">
        <f t="shared" ref="E87:J87" ca="1" si="45">E86</f>
        <v>872383.67107903736</v>
      </c>
      <c r="F87" s="637">
        <f t="shared" ca="1" si="45"/>
        <v>905770.57105958962</v>
      </c>
      <c r="G87" s="638">
        <f t="shared" si="45"/>
        <v>1147348.8036165151</v>
      </c>
      <c r="H87" s="637">
        <f t="shared" si="45"/>
        <v>1134956.4883621293</v>
      </c>
      <c r="I87" s="638">
        <f t="shared" ca="1" si="45"/>
        <v>998220.12417810748</v>
      </c>
      <c r="J87" s="637">
        <f t="shared" ca="1" si="45"/>
        <v>1011882.1112112446</v>
      </c>
      <c r="K87" s="452"/>
      <c r="L87" s="1163"/>
      <c r="M87" s="1150" t="s">
        <v>110</v>
      </c>
      <c r="N87" s="1151"/>
      <c r="O87" s="637">
        <f ca="1">O86</f>
        <v>682481.00374188845</v>
      </c>
      <c r="P87" s="637">
        <f t="shared" ref="P87:U87" ca="1" si="46">P86</f>
        <v>689765.45492192253</v>
      </c>
      <c r="Q87" s="637">
        <f t="shared" ca="1" si="46"/>
        <v>715837.2128895896</v>
      </c>
      <c r="R87" s="638">
        <f t="shared" si="46"/>
        <v>910826.1845001058</v>
      </c>
      <c r="S87" s="637">
        <f t="shared" si="46"/>
        <v>910719.6859113581</v>
      </c>
      <c r="T87" s="638">
        <f t="shared" ca="1" si="46"/>
        <v>793945.19585738808</v>
      </c>
      <c r="U87" s="637">
        <f t="shared" ca="1" si="46"/>
        <v>795691.81580902054</v>
      </c>
      <c r="V87" s="452"/>
      <c r="W87" s="1159"/>
      <c r="X87" s="1155"/>
      <c r="Y87" s="1155"/>
      <c r="Z87" s="626"/>
      <c r="AA87" s="626"/>
      <c r="AB87" s="626"/>
      <c r="AC87" s="626"/>
      <c r="AD87" s="626"/>
      <c r="AE87" s="626"/>
      <c r="AF87" s="626"/>
      <c r="AG87" s="452"/>
      <c r="AH87" s="452"/>
      <c r="AI87" s="452"/>
      <c r="AJ87" s="452"/>
      <c r="AK87" s="452"/>
      <c r="AL87" s="452"/>
      <c r="AM87" s="452"/>
      <c r="AN87" s="452"/>
      <c r="AO87" s="452"/>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c r="BS87" s="452"/>
      <c r="BT87" s="452"/>
      <c r="BU87" s="452"/>
      <c r="BV87" s="452"/>
      <c r="BW87" s="452"/>
      <c r="BX87" s="452"/>
    </row>
    <row r="88" spans="1:77" ht="63.65" customHeight="1">
      <c r="A88" s="739"/>
      <c r="B88" s="740"/>
      <c r="C88" s="740"/>
      <c r="D88" s="626"/>
      <c r="E88" s="626"/>
      <c r="F88" s="626"/>
      <c r="G88" s="626"/>
      <c r="H88" s="626"/>
      <c r="I88" s="626"/>
      <c r="J88" s="626"/>
      <c r="K88" s="452"/>
      <c r="L88" s="741"/>
      <c r="M88" s="740"/>
      <c r="N88" s="740"/>
      <c r="O88" s="626"/>
      <c r="P88" s="626"/>
      <c r="Q88" s="626"/>
      <c r="R88" s="626"/>
      <c r="S88" s="626"/>
      <c r="T88" s="626"/>
      <c r="U88" s="626"/>
      <c r="V88" s="452"/>
      <c r="W88" s="452"/>
      <c r="X88" s="452"/>
      <c r="Y88" s="452"/>
      <c r="Z88" s="452"/>
      <c r="AA88" s="452"/>
      <c r="AB88" s="452"/>
      <c r="AC88" s="452"/>
      <c r="AD88" s="452"/>
      <c r="AE88" s="452"/>
      <c r="AF88" s="452"/>
      <c r="AG88" s="452"/>
      <c r="AH88" s="452"/>
      <c r="AI88" s="452"/>
      <c r="AJ88" s="452"/>
      <c r="AK88" s="452"/>
      <c r="AL88" s="452"/>
      <c r="AM88" s="452"/>
      <c r="AN88" s="452"/>
      <c r="AO88" s="452"/>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c r="BS88" s="452"/>
      <c r="BT88" s="452"/>
      <c r="BU88" s="452"/>
      <c r="BV88" s="452"/>
      <c r="BW88" s="452"/>
      <c r="BX88" s="452"/>
    </row>
    <row r="89" spans="1:77">
      <c r="A89" s="739"/>
      <c r="B89" s="740"/>
      <c r="C89" s="740"/>
      <c r="D89" s="626"/>
      <c r="E89" s="626"/>
      <c r="F89" s="626"/>
      <c r="G89" s="626"/>
      <c r="H89" s="626"/>
      <c r="I89" s="626"/>
      <c r="J89" s="626"/>
      <c r="K89" s="452"/>
      <c r="L89" s="741"/>
      <c r="M89" s="740"/>
      <c r="N89" s="740"/>
      <c r="O89" s="626"/>
      <c r="P89" s="626"/>
      <c r="Q89" s="626"/>
      <c r="R89" s="626"/>
      <c r="S89" s="626"/>
      <c r="T89" s="626"/>
      <c r="U89" s="626"/>
      <c r="V89" s="452"/>
      <c r="W89" s="452"/>
      <c r="X89" s="452"/>
      <c r="Y89" s="452"/>
      <c r="Z89" s="452"/>
      <c r="AA89" s="452"/>
      <c r="AB89" s="452"/>
      <c r="AC89" s="452"/>
      <c r="AD89" s="452"/>
      <c r="AE89" s="452"/>
      <c r="AF89" s="452"/>
      <c r="AG89" s="452"/>
      <c r="AH89" s="452"/>
      <c r="AI89" s="452"/>
      <c r="AJ89" s="452"/>
      <c r="AK89" s="452"/>
      <c r="AL89" s="452"/>
      <c r="AM89" s="452"/>
      <c r="AN89" s="452"/>
      <c r="AO89" s="452"/>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c r="BS89" s="452"/>
      <c r="BT89" s="452"/>
      <c r="BU89" s="452"/>
      <c r="BV89" s="452"/>
      <c r="BW89" s="452"/>
      <c r="BX89" s="452"/>
    </row>
    <row r="90" spans="1:77">
      <c r="A90" s="739"/>
      <c r="B90" s="740"/>
      <c r="C90" s="740"/>
      <c r="D90" s="626"/>
      <c r="E90" s="626"/>
      <c r="F90" s="626"/>
      <c r="G90" s="626"/>
      <c r="H90" s="626"/>
      <c r="I90" s="626"/>
      <c r="J90" s="626"/>
      <c r="K90" s="452"/>
      <c r="L90" s="741"/>
      <c r="M90" s="740"/>
      <c r="N90" s="740"/>
      <c r="O90" s="626"/>
      <c r="P90" s="626"/>
      <c r="Q90" s="626"/>
      <c r="R90" s="626"/>
      <c r="S90" s="626"/>
      <c r="T90" s="626"/>
      <c r="U90" s="626"/>
      <c r="V90" s="452"/>
      <c r="W90" s="452"/>
      <c r="X90" s="452"/>
      <c r="Y90" s="452"/>
      <c r="Z90" s="452"/>
      <c r="AA90" s="452"/>
      <c r="AB90" s="452"/>
      <c r="AC90" s="452"/>
      <c r="AD90" s="452"/>
      <c r="AE90" s="452"/>
      <c r="AF90" s="452"/>
      <c r="AG90" s="452"/>
      <c r="AH90" s="452"/>
      <c r="AI90" s="452"/>
      <c r="AJ90" s="452"/>
      <c r="AK90" s="452"/>
      <c r="AL90" s="452"/>
      <c r="AM90" s="452"/>
      <c r="AN90" s="452"/>
      <c r="AO90" s="452"/>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c r="BS90" s="452"/>
      <c r="BT90" s="452"/>
      <c r="BU90" s="452"/>
      <c r="BV90" s="452"/>
      <c r="BW90" s="452"/>
      <c r="BX90" s="452"/>
    </row>
    <row r="91" spans="1:77" ht="15" thickBot="1">
      <c r="A91" s="739"/>
      <c r="B91" s="740"/>
      <c r="C91" s="740"/>
      <c r="D91" s="626"/>
      <c r="E91" s="626"/>
      <c r="F91" s="626"/>
      <c r="G91" s="626"/>
      <c r="H91" s="626"/>
      <c r="I91" s="626"/>
      <c r="J91" s="626"/>
      <c r="K91" s="452"/>
      <c r="L91" s="741"/>
      <c r="M91" s="740"/>
      <c r="N91" s="740"/>
      <c r="O91" s="626"/>
      <c r="P91" s="626"/>
      <c r="Q91" s="626"/>
      <c r="R91" s="626"/>
      <c r="S91" s="626"/>
      <c r="T91" s="626"/>
      <c r="U91" s="626"/>
      <c r="V91" s="452"/>
      <c r="W91" s="452"/>
      <c r="X91" s="452"/>
      <c r="Y91" s="452"/>
      <c r="Z91" s="452"/>
      <c r="AA91" s="452"/>
      <c r="AB91" s="452"/>
      <c r="AC91" s="452"/>
      <c r="AD91" s="452"/>
      <c r="AE91" s="452"/>
      <c r="AF91" s="452"/>
      <c r="AG91" s="452"/>
      <c r="AH91" s="452"/>
      <c r="AI91" s="452"/>
      <c r="AJ91" s="452"/>
      <c r="AK91" s="452"/>
      <c r="AL91" s="452"/>
      <c r="AM91" s="452"/>
      <c r="AN91" s="452"/>
      <c r="AO91" s="452"/>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c r="BS91" s="452"/>
      <c r="BT91" s="452"/>
      <c r="BU91" s="452"/>
      <c r="BV91" s="452"/>
      <c r="BW91" s="452"/>
      <c r="BX91" s="452"/>
    </row>
    <row r="92" spans="1:77" ht="15" thickBot="1">
      <c r="A92" s="452"/>
      <c r="B92" s="452"/>
      <c r="C92" s="452"/>
      <c r="D92" s="459"/>
      <c r="E92" s="459"/>
      <c r="F92" s="459"/>
      <c r="G92" s="459"/>
      <c r="H92" s="459"/>
      <c r="I92" s="459"/>
      <c r="J92" s="452"/>
      <c r="K92" s="452"/>
      <c r="L92" s="452"/>
      <c r="M92" s="452"/>
      <c r="N92" s="452"/>
      <c r="O92" s="459"/>
      <c r="P92" s="459"/>
      <c r="Q92" s="459"/>
      <c r="R92" s="459"/>
      <c r="S92" s="459"/>
      <c r="T92" s="459"/>
      <c r="U92" s="452"/>
      <c r="V92" s="452"/>
      <c r="W92" s="452"/>
      <c r="X92" s="452"/>
      <c r="Y92" s="452"/>
      <c r="Z92" s="452"/>
      <c r="AA92" s="452"/>
      <c r="AB92" s="452"/>
      <c r="AC92" s="452"/>
      <c r="AD92" s="452"/>
      <c r="AE92" s="452"/>
      <c r="AF92" s="452"/>
      <c r="AG92" s="452"/>
      <c r="AK92" s="452"/>
      <c r="AL92" s="452"/>
      <c r="AM92" s="452"/>
      <c r="AN92" s="452"/>
      <c r="AO92" s="452"/>
      <c r="AP92" s="452"/>
      <c r="AQ92" s="452"/>
      <c r="AR92" s="452"/>
      <c r="AS92" s="452"/>
      <c r="AT92" s="452"/>
      <c r="AU92" s="452"/>
      <c r="AV92" s="452"/>
      <c r="AW92" s="690" t="s">
        <v>517</v>
      </c>
      <c r="AX92" s="665">
        <v>2</v>
      </c>
      <c r="AY92" s="665">
        <v>2</v>
      </c>
      <c r="AZ92" s="665">
        <v>2</v>
      </c>
      <c r="BA92" s="665">
        <v>20</v>
      </c>
      <c r="BB92" s="665">
        <v>21</v>
      </c>
      <c r="BC92" s="665">
        <v>5</v>
      </c>
      <c r="BD92" s="665">
        <v>5</v>
      </c>
      <c r="BE92" s="665">
        <v>6</v>
      </c>
      <c r="BF92" s="452"/>
      <c r="BG92" s="452"/>
      <c r="BH92" s="452"/>
      <c r="BI92" s="452"/>
      <c r="BJ92" s="452"/>
      <c r="BK92" s="452"/>
      <c r="BL92" s="452"/>
      <c r="BM92" s="452"/>
      <c r="BN92" s="452"/>
      <c r="BO92" s="452"/>
      <c r="BP92" s="452"/>
      <c r="BQ92" s="452"/>
      <c r="BR92" s="452"/>
      <c r="BS92" s="452"/>
      <c r="BT92" s="452"/>
      <c r="BU92" s="452"/>
      <c r="BV92" s="452"/>
      <c r="BW92" s="452"/>
      <c r="BX92" s="452"/>
    </row>
    <row r="93" spans="1:77" ht="42" customHeight="1" thickBot="1">
      <c r="A93" s="1156" t="s">
        <v>0</v>
      </c>
      <c r="B93" s="643" t="s">
        <v>487</v>
      </c>
      <c r="C93" s="644" t="s">
        <v>506</v>
      </c>
      <c r="D93" s="620" t="s">
        <v>454</v>
      </c>
      <c r="E93" s="621" t="s">
        <v>455</v>
      </c>
      <c r="F93" s="354" t="str">
        <f>F$51</f>
        <v>Mobile Carbon Capture  90%</v>
      </c>
      <c r="G93" s="355" t="str">
        <f>$G$51</f>
        <v>BEV 250 mile</v>
      </c>
      <c r="H93" s="622" t="s">
        <v>445</v>
      </c>
      <c r="I93" s="974" t="s">
        <v>414</v>
      </c>
      <c r="J93" s="623" t="s">
        <v>413</v>
      </c>
      <c r="K93" s="452"/>
      <c r="L93" s="1156" t="s">
        <v>0</v>
      </c>
      <c r="M93" s="643" t="s">
        <v>487</v>
      </c>
      <c r="N93" s="644" t="s">
        <v>506</v>
      </c>
      <c r="O93" s="620" t="s">
        <v>454</v>
      </c>
      <c r="P93" s="621" t="s">
        <v>455</v>
      </c>
      <c r="Q93" s="354" t="str">
        <f>Q$51</f>
        <v>Mobile Carbon Capture  90%</v>
      </c>
      <c r="R93" s="355" t="str">
        <f>$G$51</f>
        <v>BEV 250 mile</v>
      </c>
      <c r="S93" s="622" t="s">
        <v>445</v>
      </c>
      <c r="T93" s="974" t="s">
        <v>414</v>
      </c>
      <c r="U93" s="623" t="s">
        <v>413</v>
      </c>
      <c r="V93" s="452"/>
      <c r="W93" s="1156" t="s">
        <v>0</v>
      </c>
      <c r="X93" s="643" t="s">
        <v>487</v>
      </c>
      <c r="Y93" s="644" t="s">
        <v>506</v>
      </c>
      <c r="Z93" s="352" t="s">
        <v>454</v>
      </c>
      <c r="AA93" s="609" t="s">
        <v>552</v>
      </c>
      <c r="AB93" s="354" t="s">
        <v>553</v>
      </c>
      <c r="AC93" s="355" t="s">
        <v>523</v>
      </c>
      <c r="AD93" s="355" t="s">
        <v>445</v>
      </c>
      <c r="AE93" s="973" t="s">
        <v>414</v>
      </c>
      <c r="AF93" s="357" t="s">
        <v>413</v>
      </c>
      <c r="AG93" s="452"/>
      <c r="AH93" s="1152" t="s">
        <v>555</v>
      </c>
      <c r="AI93" s="643" t="s">
        <v>487</v>
      </c>
      <c r="AJ93" s="644" t="s">
        <v>506</v>
      </c>
      <c r="AK93" s="750" t="s">
        <v>558</v>
      </c>
      <c r="AL93" s="751" t="s">
        <v>559</v>
      </c>
      <c r="AM93" s="752" t="s">
        <v>560</v>
      </c>
      <c r="AN93" s="755" t="s">
        <v>561</v>
      </c>
      <c r="AO93" s="755" t="s">
        <v>562</v>
      </c>
      <c r="AP93" s="753" t="s">
        <v>563</v>
      </c>
      <c r="AQ93" s="754" t="s">
        <v>565</v>
      </c>
      <c r="AR93" s="754" t="s">
        <v>564</v>
      </c>
      <c r="AS93" s="756" t="s">
        <v>557</v>
      </c>
      <c r="AT93" s="452"/>
      <c r="AU93" s="1009" t="s">
        <v>701</v>
      </c>
      <c r="AV93" s="666" t="s">
        <v>253</v>
      </c>
      <c r="AW93" s="667" t="s">
        <v>487</v>
      </c>
      <c r="AX93" s="576" t="s">
        <v>267</v>
      </c>
      <c r="AY93" s="354" t="s">
        <v>267</v>
      </c>
      <c r="AZ93" s="354" t="s">
        <v>267</v>
      </c>
      <c r="BA93" s="355" t="s">
        <v>605</v>
      </c>
      <c r="BB93" s="355" t="s">
        <v>606</v>
      </c>
      <c r="BC93" s="356" t="s">
        <v>139</v>
      </c>
      <c r="BD93" s="357" t="s">
        <v>139</v>
      </c>
      <c r="BE93" s="738" t="s">
        <v>554</v>
      </c>
      <c r="BF93" s="452"/>
      <c r="BG93" s="452"/>
      <c r="BH93" s="452"/>
      <c r="BI93" s="452"/>
      <c r="BJ93" s="452"/>
      <c r="BK93" s="452"/>
      <c r="BL93" s="452"/>
      <c r="BM93" s="452"/>
      <c r="BN93" s="452"/>
      <c r="BO93" s="452"/>
      <c r="BP93" s="452"/>
      <c r="BQ93" s="452"/>
      <c r="BR93" s="452"/>
      <c r="BS93" s="452"/>
      <c r="BT93" s="452"/>
      <c r="BU93" s="452"/>
      <c r="BV93" s="452"/>
      <c r="BW93" s="452"/>
      <c r="BX93" s="452"/>
      <c r="BY93" s="452"/>
    </row>
    <row r="94" spans="1:77" ht="15" thickBot="1">
      <c r="A94" s="1157"/>
      <c r="B94" s="640">
        <f t="shared" ref="B94:B109" si="47">M52</f>
        <v>0</v>
      </c>
      <c r="C94" s="645">
        <f t="shared" ref="C94:C109" si="48">N52</f>
        <v>0</v>
      </c>
      <c r="D94" s="625">
        <f>$F$2*'TCO Calculation'!E59</f>
        <v>13558.8</v>
      </c>
      <c r="E94" s="625">
        <f>$F$2*('TCO Calculation'!F59-$B$5)</f>
        <v>15718.8</v>
      </c>
      <c r="F94" s="625">
        <f>$F$2*('TCO Calculation'!G59-$B$5)</f>
        <v>16438.8</v>
      </c>
      <c r="G94" s="625">
        <f>$F$2*('TCO Calculation'!H59-$B$5)</f>
        <v>15144.873043322194</v>
      </c>
      <c r="H94" s="625">
        <f>$F$2*('TCO Calculation'!I59-$B$5)</f>
        <v>21381.145077944049</v>
      </c>
      <c r="I94" s="625">
        <f ca="1">$F$2*('TCO Calculation'!J59-$B$5)</f>
        <v>21485.540331638746</v>
      </c>
      <c r="J94" s="625">
        <f ca="1">$F$2*('TCO Calculation'!K59-$B$5)</f>
        <v>15503.985522722061</v>
      </c>
      <c r="K94" s="452"/>
      <c r="L94" s="1157"/>
      <c r="M94" s="640">
        <f t="shared" ref="M94:N109" si="49">M52</f>
        <v>0</v>
      </c>
      <c r="N94" s="645">
        <f t="shared" si="49"/>
        <v>0</v>
      </c>
      <c r="O94" s="633">
        <f t="shared" ref="O94:O109" si="50">D94*(1-$B$2)^MAX(0,($N94-1))</f>
        <v>13558.8</v>
      </c>
      <c r="P94" s="633">
        <f t="shared" ref="P94:P109" si="51">E94*(1-$B$2)^MAX(0,($N94-1))</f>
        <v>15718.8</v>
      </c>
      <c r="Q94" s="633">
        <f t="shared" ref="Q94:Q109" si="52">F94*(1-$B$2)^MAX(0,($N94-1))</f>
        <v>16438.8</v>
      </c>
      <c r="R94" s="633">
        <f t="shared" ref="R94:R109" si="53">G94*(1-$B$2)^MAX(0,($N94-1))</f>
        <v>15144.873043322194</v>
      </c>
      <c r="S94" s="633">
        <f t="shared" ref="S94:S109" si="54">H94*(1-$B$2)^MAX(0,($N94-1))</f>
        <v>21381.145077944049</v>
      </c>
      <c r="T94" s="633">
        <f t="shared" ref="T94:T109" ca="1" si="55">I94*(1-$B$2)^MAX(0,($N94-1))</f>
        <v>21485.540331638746</v>
      </c>
      <c r="U94" s="635">
        <f t="shared" ref="U94:U109" ca="1" si="56">J94*(1-$B$2)^MAX(0,($N94-1))</f>
        <v>15503.985522722061</v>
      </c>
      <c r="V94" s="452"/>
      <c r="W94" s="1157"/>
      <c r="X94" s="640">
        <f t="shared" ref="X94:X109" si="57">M94</f>
        <v>0</v>
      </c>
      <c r="Y94" s="645">
        <f t="shared" ref="Y94:Y109" si="58">N94</f>
        <v>0</v>
      </c>
      <c r="Z94" s="624">
        <f>O94-$O94</f>
        <v>0</v>
      </c>
      <c r="AA94" s="629">
        <f t="shared" ref="AA94:AA110" si="59">P94-$O94</f>
        <v>2160</v>
      </c>
      <c r="AB94" s="626">
        <f t="shared" ref="AB94:AB110" si="60">Q94-$O94</f>
        <v>2880</v>
      </c>
      <c r="AC94" s="625">
        <f t="shared" ref="AC94:AC110" si="61">R94-$O94</f>
        <v>1586.0730433221943</v>
      </c>
      <c r="AD94" s="626">
        <f t="shared" ref="AD94:AD110" si="62">S94-$O94</f>
        <v>7822.34507794405</v>
      </c>
      <c r="AE94" s="625">
        <f t="shared" ref="AE94:AE110" ca="1" si="63">T94-$O94</f>
        <v>7926.7403316387463</v>
      </c>
      <c r="AF94" s="627">
        <f t="shared" ref="AF94:AF110" ca="1" si="64">U94-$O94</f>
        <v>1945.1855227220622</v>
      </c>
      <c r="AG94" s="452"/>
      <c r="AH94" s="1153"/>
      <c r="AI94" s="640">
        <f t="shared" ref="AI94:AI109" si="65">X52</f>
        <v>0</v>
      </c>
      <c r="AJ94" s="645">
        <f t="shared" ref="AJ94:AJ109" si="66">Y52</f>
        <v>0</v>
      </c>
      <c r="AK94" s="624">
        <f t="shared" ref="AK94:AK110" si="67">IF($AH$5="Conventional Diesel", Z94,
    IF($AH$5="Mobile Carbon Capture  50%", AA94,
    IF($AH$5="Mobile Carbon Capture  90%", AB94,
    IF($AH$5="BEV 250 mile", AC94,
    IF($AH$5="BEV 500 mile", AD94,
    IF($AH$5="H2 FCEV", AE94,
    IF($AH$5="H2 ICHEV", AF94, "")))))))</f>
        <v>2160</v>
      </c>
      <c r="AL94" s="629">
        <f t="shared" ref="AL94:AL110" si="68">IF($AH$5="Conventional Diesel", Z113,
    IF($AH$5="Mobile Carbon Capture  50%", AA113,
    IF($AH$5="Mobile Carbon Capture  90%", AB113,
    IF($AH$5="BEV 250 mile", AC113,
    IF($AH$5="BEV 500 mile", AD113,
    IF($AH$5="H2 FCEV", AE113,
    IF($AH$5="H2 ICHEV", AF113, "")))))))</f>
        <v>0</v>
      </c>
      <c r="AM94" s="626">
        <f t="shared" ref="AM94:AM110" si="69">IF($AH$5="Conventional Diesel", Z132,
    IF($AH$5="Mobile Carbon Capture  50%", AA132,
    IF($AH$5="Mobile Carbon Capture  90%", AB132,
    IF($AH$5="BEV 250 mile", AC132,
    IF($AH$5="BEV 500 mile", AD132,
    IF($AH$5="H2 FCEV", AE132,
    IF($AH$5="H2 ICHEV", AF132, "")))))))</f>
        <v>0</v>
      </c>
      <c r="AN94" s="625">
        <f t="shared" ref="AN94:AN110" si="70">IF($AH$5="Conventional Diesel", Z151,
    IF($AH$5="Mobile Carbon Capture  50%", AA151,
    IF($AH$5="Mobile Carbon Capture  90%", AB151,
    IF($AH$5="BEV 250 mile", AC151,
    IF($AH$5="BEV 500 mile", AD151,
    IF($AH$5="H2 FCEV", AE151,
    IF($AH$5="H2 ICHEV", AF151, "")))))))</f>
        <v>0</v>
      </c>
      <c r="AO94" s="626">
        <f t="shared" ref="AO94:AO110" si="71">IF($AH$5="Conventional Diesel", Z170,
    IF($AH$5="Mobile Carbon Capture  50%", AA170,
    IF($AH$5="Mobile Carbon Capture  90%", AB170,
    IF($AH$5="BEV 250 mile", AC170,
    IF($AH$5="BEV 500 mile", AD170,
    IF($AH$5="H2 FCEV", AE170,
    IF($AH$5="H2 ICHEV", AF170, "")))))))</f>
        <v>0</v>
      </c>
      <c r="AP94" s="625">
        <f t="shared" ref="AP94:AP110" si="72">IF($AH$5="Conventional Diesel", Z189,
    IF($AH$5="Mobile Carbon Capture  50%", AA189,
    IF($AH$5="Mobile Carbon Capture  90%", AB189,
    IF($AH$5="BEV 250 mile", AC189,
    IF($AH$5="BEV 500 mile", AD189,
    IF($AH$5="H2 FCEV", AE189,
    IF($AH$5="H2 ICHEV", AF189, "")))))))</f>
        <v>0</v>
      </c>
      <c r="AQ94" s="627">
        <f t="shared" ref="AQ94:AQ110" si="73">IF($AH$5="Conventional Diesel", Z208,
    IF($AH$5="Mobile Carbon Capture  50%", AA208,
    IF($AH$5="Mobile Carbon Capture  90%", AB208,
    IF($AH$5="BEV 250 mile", AC208,
    IF($AH$5="BEV 500 mile", AD208,
    IF($AH$5="H2 FCEV", AE208,
    IF($AH$5="H2 ICHEV", AF208, "")))))))</f>
        <v>0</v>
      </c>
      <c r="AR94" s="627">
        <f t="shared" ref="AR94:AR110" si="74">IF($AH$5="Conventional Diesel", Z227,
    IF($AH$5="Mobile Carbon Capture  50%", AA227,
    IF($AH$5="Mobile Carbon Capture  90%", AB227,
    IF($AH$5="BEV 250 mile", AC227,
    IF($AH$5="BEV 500 mile", AD227,
    IF($AH$5="H2 FCEV", AE227,
    IF($AH$5="H2 ICHEV", AF227, "")))))))</f>
        <v>0</v>
      </c>
      <c r="AS94" s="627">
        <f>SUM(AK94:AR94)</f>
        <v>2160</v>
      </c>
      <c r="AT94" s="452"/>
      <c r="AU94" s="452"/>
      <c r="AV94" s="688">
        <f>$H$2+$C52</f>
        <v>2050</v>
      </c>
      <c r="AW94" s="669">
        <f>AW3</f>
        <v>101417.32283464503</v>
      </c>
      <c r="AX94" s="668"/>
      <c r="AY94" s="668"/>
      <c r="AZ94" s="668"/>
      <c r="BA94" s="668">
        <f>IF('TCO Calculation'!G$3="Lookup Table", VLOOKUP($AV94, 'Cost Projection'!$B$6:$X$49, BA$69, FALSE),'TCO Calculation'!$G$8)</f>
        <v>0.115</v>
      </c>
      <c r="BB94" s="668">
        <f>IF('TCO Calculation'!H$3="Lookup Table", VLOOKUP($AV94, 'Cost Projection'!$B$6:$X$49, BB$69, FALSE),'TCO Calculation'!$H$8)</f>
        <v>0.14950000000000002</v>
      </c>
      <c r="BC94" s="668">
        <f>IF('TCO Calculation'!F$3="Lookup Table", VLOOKUP($AV94, 'Cost Projection'!$B$6:$X$49, BC$69, FALSE),'TCO Calculation'!$F$8)</f>
        <v>4</v>
      </c>
      <c r="BD94" s="668">
        <f>IF('TCO Calculation'!F$3="Lookup Table", VLOOKUP($AV94, 'Cost Projection'!$B$6:$X$49, BD$69, FALSE),'TCO Calculation'!$F$8)</f>
        <v>4</v>
      </c>
      <c r="BE94" s="668">
        <f ca="1">IF('TCO Calculation'!M$3="Lookup Table", VLOOKUP($AV94, 'Cost Projection'!$B$6:$X$49, BE$69, FALSE),'TCO Calculation'!$M$8)</f>
        <v>3.9277108433735024</v>
      </c>
      <c r="BF94" s="452"/>
      <c r="BG94" s="452"/>
      <c r="BH94" s="452"/>
      <c r="BI94" s="452"/>
      <c r="BJ94" s="452"/>
      <c r="BK94" s="452"/>
      <c r="BL94" s="452"/>
      <c r="BM94" s="452"/>
      <c r="BN94" s="452"/>
      <c r="BO94" s="452"/>
      <c r="BP94" s="452"/>
      <c r="BQ94" s="452"/>
      <c r="BR94" s="452"/>
      <c r="BS94" s="452"/>
      <c r="BT94" s="452"/>
      <c r="BU94" s="452"/>
      <c r="BV94" s="452"/>
      <c r="BW94" s="452"/>
      <c r="BX94" s="452"/>
      <c r="BY94" s="452"/>
    </row>
    <row r="95" spans="1:77">
      <c r="A95" s="1157"/>
      <c r="B95" s="640">
        <f t="shared" si="47"/>
        <v>101417.32283464503</v>
      </c>
      <c r="C95" s="645">
        <f t="shared" si="48"/>
        <v>1</v>
      </c>
      <c r="D95" s="629">
        <f>IF($C95&lt;=$E$2,PMT($D$2,$E$2,-1*'TCO Calculation'!E$59),0)</f>
        <v>26823.419284720116</v>
      </c>
      <c r="E95" s="629">
        <f>IF($C95&lt;=$E$2,PMT($D$2-$C$5,$E$2,-1*'TCO Calculation'!F$59+$B$5),0)</f>
        <v>31096.554492481529</v>
      </c>
      <c r="F95" s="629">
        <f>IF($C95&lt;=$E$2,PMT($D$2-$C$5,$E$2,-1*'TCO Calculation'!G$59+$B$5),0)</f>
        <v>32520.932895068669</v>
      </c>
      <c r="G95" s="629">
        <f>IF($C95&lt;=$E$2,PMT($D$2-$C$5,$E$2,-1*'TCO Calculation'!H$59+$B$5),0)</f>
        <v>29961.152878933706</v>
      </c>
      <c r="H95" s="629">
        <f>IF($C95&lt;=$E$2,PMT($D$2-$C$5,$E$2,-1*'TCO Calculation'!I$59+$B$5),0)</f>
        <v>42298.390655008036</v>
      </c>
      <c r="I95" s="629">
        <f ca="1">IF($C95&lt;=$E$2,PMT($D$2-$C$5,$E$2,-1*'TCO Calculation'!J$59+$B$5),0)</f>
        <v>42504.916133751554</v>
      </c>
      <c r="J95" s="631">
        <f ca="1">IF($C95&lt;=$E$2,PMT($D$2-$C$5,$E$2,-1*'TCO Calculation'!K$59+$B$5),0)</f>
        <v>30671.586295262445</v>
      </c>
      <c r="K95" s="452"/>
      <c r="L95" s="1157"/>
      <c r="M95" s="640">
        <f t="shared" si="49"/>
        <v>101417.32283464503</v>
      </c>
      <c r="N95" s="645">
        <f t="shared" si="49"/>
        <v>1</v>
      </c>
      <c r="O95" s="629">
        <f t="shared" si="50"/>
        <v>26823.419284720116</v>
      </c>
      <c r="P95" s="629">
        <f t="shared" si="51"/>
        <v>31096.554492481529</v>
      </c>
      <c r="Q95" s="629">
        <f t="shared" si="52"/>
        <v>32520.932895068669</v>
      </c>
      <c r="R95" s="629">
        <f t="shared" si="53"/>
        <v>29961.152878933706</v>
      </c>
      <c r="S95" s="629">
        <f t="shared" si="54"/>
        <v>42298.390655008036</v>
      </c>
      <c r="T95" s="629">
        <f t="shared" ca="1" si="55"/>
        <v>42504.916133751554</v>
      </c>
      <c r="U95" s="631">
        <f t="shared" ca="1" si="56"/>
        <v>30671.586295262445</v>
      </c>
      <c r="V95" s="452"/>
      <c r="W95" s="1157"/>
      <c r="X95" s="640">
        <f t="shared" si="57"/>
        <v>101417.32283464503</v>
      </c>
      <c r="Y95" s="645">
        <f t="shared" si="58"/>
        <v>1</v>
      </c>
      <c r="Z95" s="628">
        <f t="shared" ref="Z95:Z110" si="75">O95-$O95</f>
        <v>0</v>
      </c>
      <c r="AA95" s="629">
        <f t="shared" si="59"/>
        <v>4273.1352077614138</v>
      </c>
      <c r="AB95" s="630">
        <f t="shared" si="60"/>
        <v>5697.5136103485529</v>
      </c>
      <c r="AC95" s="629">
        <f t="shared" si="61"/>
        <v>3137.7335942135905</v>
      </c>
      <c r="AD95" s="630">
        <f t="shared" si="62"/>
        <v>15474.97137028792</v>
      </c>
      <c r="AE95" s="629">
        <f t="shared" ca="1" si="63"/>
        <v>15681.496849031439</v>
      </c>
      <c r="AF95" s="631">
        <f t="shared" ca="1" si="64"/>
        <v>3848.1670105423291</v>
      </c>
      <c r="AG95" s="452"/>
      <c r="AH95" s="1153"/>
      <c r="AI95" s="640">
        <f t="shared" si="65"/>
        <v>101417.32283464503</v>
      </c>
      <c r="AJ95" s="645">
        <f t="shared" si="66"/>
        <v>1</v>
      </c>
      <c r="AK95" s="628">
        <f t="shared" si="67"/>
        <v>4273.1352077614138</v>
      </c>
      <c r="AL95" s="629">
        <f t="shared" ca="1" si="68"/>
        <v>872.04700996400061</v>
      </c>
      <c r="AM95" s="630">
        <f t="shared" si="69"/>
        <v>1582.9623692178043</v>
      </c>
      <c r="AN95" s="629">
        <f t="shared" si="70"/>
        <v>2040.3554784845965</v>
      </c>
      <c r="AO95" s="630">
        <f t="shared" si="71"/>
        <v>0</v>
      </c>
      <c r="AP95" s="629">
        <f t="shared" si="72"/>
        <v>207.68400000000111</v>
      </c>
      <c r="AQ95" s="631">
        <f t="shared" si="73"/>
        <v>1685.2720038165251</v>
      </c>
      <c r="AR95" s="631">
        <f t="shared" si="74"/>
        <v>-8790.3386867391073</v>
      </c>
      <c r="AS95" s="631">
        <f t="shared" ref="AS95:AS110" ca="1" si="76">SUM(AK95:AR95)</f>
        <v>1871.1173825052338</v>
      </c>
      <c r="AT95" s="452"/>
      <c r="AU95" s="452"/>
      <c r="AV95" s="688">
        <f t="shared" ref="AV95:AV108" si="77">$H$2+$C53</f>
        <v>2051</v>
      </c>
      <c r="AW95" s="669">
        <f t="shared" ref="AW95:AW108" si="78">AW4</f>
        <v>112755.90551181062</v>
      </c>
      <c r="AX95" s="668"/>
      <c r="AY95" s="668"/>
      <c r="AZ95" s="668"/>
      <c r="BA95" s="668">
        <f>IF('TCO Calculation'!G$3="Lookup Table", VLOOKUP($AV95, 'Cost Projection'!$B$6:$X$49, BA$69, FALSE),'TCO Calculation'!$G$8)</f>
        <v>0.115</v>
      </c>
      <c r="BB95" s="668">
        <f>IF('TCO Calculation'!H$3="Lookup Table", VLOOKUP($AV95, 'Cost Projection'!$B$6:$X$49, BB$69, FALSE),'TCO Calculation'!$H$8)</f>
        <v>0.14950000000000002</v>
      </c>
      <c r="BC95" s="668">
        <f>IF('TCO Calculation'!F$3="Lookup Table", VLOOKUP($AV95, 'Cost Projection'!$B$6:$X$49, BC$69, FALSE),'TCO Calculation'!$F$8)</f>
        <v>4</v>
      </c>
      <c r="BD95" s="668">
        <f>IF('TCO Calculation'!F$3="Lookup Table", VLOOKUP($AV95, 'Cost Projection'!$B$6:$X$49, BD$69, FALSE),'TCO Calculation'!$F$8)</f>
        <v>4</v>
      </c>
      <c r="BE95" s="668">
        <f ca="1">IF('TCO Calculation'!M$3="Lookup Table", VLOOKUP($AV95, 'Cost Projection'!$B$6:$X$49, BE$69, FALSE),'TCO Calculation'!$M$8)</f>
        <v>3.9277108433735024</v>
      </c>
      <c r="BF95" s="452"/>
      <c r="BG95" s="452"/>
      <c r="BH95" s="452"/>
      <c r="BI95" s="452"/>
      <c r="BJ95" s="452"/>
      <c r="BK95" s="452"/>
      <c r="BL95" s="452"/>
      <c r="BM95" s="452"/>
      <c r="BN95" s="452"/>
      <c r="BO95" s="452"/>
      <c r="BP95" s="452"/>
      <c r="BQ95" s="452"/>
      <c r="BR95" s="452"/>
      <c r="BS95" s="452"/>
      <c r="BT95" s="452"/>
      <c r="BU95" s="452"/>
      <c r="BV95" s="452"/>
      <c r="BW95" s="452"/>
      <c r="BX95" s="452"/>
      <c r="BY95" s="452"/>
    </row>
    <row r="96" spans="1:77">
      <c r="A96" s="1157"/>
      <c r="B96" s="640">
        <f t="shared" si="47"/>
        <v>112755.90551181062</v>
      </c>
      <c r="C96" s="645">
        <f t="shared" si="48"/>
        <v>2</v>
      </c>
      <c r="D96" s="625">
        <f>IF($C96&lt;=$E$2,PMT($D$2,$E$2,-1*'TCO Calculation'!E$59),0)</f>
        <v>26823.419284720116</v>
      </c>
      <c r="E96" s="625">
        <f>IF($C96&lt;=$E$2,PMT($D$2-$C$5,$E$2,-1*'TCO Calculation'!F$59+$B$5),0)</f>
        <v>31096.554492481529</v>
      </c>
      <c r="F96" s="625">
        <f>IF($C96&lt;=$E$2,PMT($D$2-$C$5,$E$2,-1*'TCO Calculation'!G$59+$B$5),0)</f>
        <v>32520.932895068669</v>
      </c>
      <c r="G96" s="625">
        <f>IF($C96&lt;=$E$2,PMT($D$2-$C$5,$E$2,-1*'TCO Calculation'!H$59+$B$5),0)</f>
        <v>29961.152878933706</v>
      </c>
      <c r="H96" s="625">
        <f>IF($C96&lt;=$E$2,PMT($D$2-$C$5,$E$2,-1*'TCO Calculation'!I$59+$B$5),0)</f>
        <v>42298.390655008036</v>
      </c>
      <c r="I96" s="625">
        <f ca="1">IF($C96&lt;=$E$2,PMT($D$2-$C$5,$E$2,-1*'TCO Calculation'!J$59+$B$5),0)</f>
        <v>42504.916133751554</v>
      </c>
      <c r="J96" s="627">
        <f ca="1">IF($C96&lt;=$E$2,PMT($D$2-$C$5,$E$2,-1*'TCO Calculation'!K$59+$B$5),0)</f>
        <v>30671.586295262445</v>
      </c>
      <c r="K96" s="452"/>
      <c r="L96" s="1157"/>
      <c r="M96" s="640">
        <f t="shared" si="49"/>
        <v>112755.90551181062</v>
      </c>
      <c r="N96" s="645">
        <f t="shared" si="49"/>
        <v>2</v>
      </c>
      <c r="O96" s="625">
        <f t="shared" si="50"/>
        <v>25466.154268913277</v>
      </c>
      <c r="P96" s="625">
        <f t="shared" si="51"/>
        <v>29523.068835161965</v>
      </c>
      <c r="Q96" s="625">
        <f t="shared" si="52"/>
        <v>30875.373690578195</v>
      </c>
      <c r="R96" s="625">
        <f t="shared" si="53"/>
        <v>28445.118543259661</v>
      </c>
      <c r="S96" s="625">
        <f t="shared" si="54"/>
        <v>40158.092087864628</v>
      </c>
      <c r="T96" s="625">
        <f t="shared" ca="1" si="55"/>
        <v>40354.167377383725</v>
      </c>
      <c r="U96" s="627">
        <f t="shared" ca="1" si="56"/>
        <v>29119.604028722166</v>
      </c>
      <c r="V96" s="452"/>
      <c r="W96" s="1157"/>
      <c r="X96" s="640">
        <f t="shared" si="57"/>
        <v>112755.90551181062</v>
      </c>
      <c r="Y96" s="645">
        <f t="shared" si="58"/>
        <v>2</v>
      </c>
      <c r="Z96" s="624">
        <f t="shared" si="75"/>
        <v>0</v>
      </c>
      <c r="AA96" s="625">
        <f t="shared" si="59"/>
        <v>4056.9145662486881</v>
      </c>
      <c r="AB96" s="626">
        <f t="shared" si="60"/>
        <v>5409.2194216649186</v>
      </c>
      <c r="AC96" s="625">
        <f t="shared" si="61"/>
        <v>2978.9642743463846</v>
      </c>
      <c r="AD96" s="626">
        <f t="shared" si="62"/>
        <v>14691.937818951352</v>
      </c>
      <c r="AE96" s="625">
        <f t="shared" ca="1" si="63"/>
        <v>14888.013108470448</v>
      </c>
      <c r="AF96" s="627">
        <f t="shared" ca="1" si="64"/>
        <v>3653.4497598088892</v>
      </c>
      <c r="AG96" s="452"/>
      <c r="AH96" s="1153"/>
      <c r="AI96" s="640">
        <f t="shared" si="65"/>
        <v>112755.90551181062</v>
      </c>
      <c r="AJ96" s="645">
        <f t="shared" si="66"/>
        <v>2</v>
      </c>
      <c r="AK96" s="624">
        <f t="shared" si="67"/>
        <v>4056.9145662486881</v>
      </c>
      <c r="AL96" s="625">
        <f t="shared" ca="1" si="68"/>
        <v>938.89375726347134</v>
      </c>
      <c r="AM96" s="626">
        <f t="shared" si="69"/>
        <v>1670.8865883666731</v>
      </c>
      <c r="AN96" s="625">
        <f t="shared" si="70"/>
        <v>2196.7588896687903</v>
      </c>
      <c r="AO96" s="626">
        <f t="shared" si="71"/>
        <v>0</v>
      </c>
      <c r="AP96" s="625">
        <f t="shared" si="72"/>
        <v>201.11869339200075</v>
      </c>
      <c r="AQ96" s="627">
        <f t="shared" si="73"/>
        <v>1814.4564978665016</v>
      </c>
      <c r="AR96" s="627">
        <f t="shared" si="74"/>
        <v>-9278.5901323293983</v>
      </c>
      <c r="AS96" s="627">
        <f t="shared" ca="1" si="76"/>
        <v>1600.4388604767282</v>
      </c>
      <c r="AT96" s="452"/>
      <c r="AU96" s="452"/>
      <c r="AV96" s="688">
        <f t="shared" si="77"/>
        <v>2052</v>
      </c>
      <c r="AW96" s="669">
        <f t="shared" si="78"/>
        <v>107086.61417322783</v>
      </c>
      <c r="AX96" s="668"/>
      <c r="AY96" s="668"/>
      <c r="AZ96" s="668"/>
      <c r="BA96" s="668">
        <f>IF('TCO Calculation'!G$3="Lookup Table", VLOOKUP($AV96, 'Cost Projection'!$B$6:$X$49, BA$69, FALSE),'TCO Calculation'!$G$8)</f>
        <v>0.115</v>
      </c>
      <c r="BB96" s="668">
        <f>IF('TCO Calculation'!H$3="Lookup Table", VLOOKUP($AV96, 'Cost Projection'!$B$6:$X$49, BB$69, FALSE),'TCO Calculation'!$H$8)</f>
        <v>0.14950000000000002</v>
      </c>
      <c r="BC96" s="668">
        <f>IF('TCO Calculation'!F$3="Lookup Table", VLOOKUP($AV96, 'Cost Projection'!$B$6:$X$49, BC$69, FALSE),'TCO Calculation'!$F$8)</f>
        <v>4</v>
      </c>
      <c r="BD96" s="668">
        <f>IF('TCO Calculation'!F$3="Lookup Table", VLOOKUP($AV96, 'Cost Projection'!$B$6:$X$49, BD$69, FALSE),'TCO Calculation'!$F$8)</f>
        <v>4</v>
      </c>
      <c r="BE96" s="668">
        <f ca="1">IF('TCO Calculation'!M$3="Lookup Table", VLOOKUP($AV96, 'Cost Projection'!$B$6:$X$49, BE$69, FALSE),'TCO Calculation'!$M$8)</f>
        <v>3.9277108433735024</v>
      </c>
      <c r="BF96" s="452"/>
      <c r="BG96" s="452"/>
      <c r="BH96" s="452"/>
      <c r="BI96" s="452"/>
      <c r="BJ96" s="452"/>
      <c r="BK96" s="452"/>
      <c r="BL96" s="452"/>
      <c r="BM96" s="452"/>
      <c r="BN96" s="452"/>
      <c r="BO96" s="452"/>
      <c r="BP96" s="452"/>
      <c r="BQ96" s="452"/>
      <c r="BR96" s="452"/>
      <c r="BS96" s="452"/>
      <c r="BT96" s="452"/>
      <c r="BU96" s="452"/>
      <c r="BV96" s="452"/>
      <c r="BW96" s="452"/>
      <c r="BX96" s="452"/>
      <c r="BY96" s="452"/>
    </row>
    <row r="97" spans="1:77">
      <c r="A97" s="1157"/>
      <c r="B97" s="640">
        <f t="shared" si="47"/>
        <v>107086.61417322783</v>
      </c>
      <c r="C97" s="645">
        <f t="shared" si="48"/>
        <v>3</v>
      </c>
      <c r="D97" s="625">
        <f>IF($C97&lt;=$E$2,PMT($D$2,$E$2,-1*'TCO Calculation'!E$59),0)</f>
        <v>26823.419284720116</v>
      </c>
      <c r="E97" s="625">
        <f>IF($C97&lt;=$E$2,PMT($D$2-$C$5,$E$2,-1*'TCO Calculation'!F$59+$B$5),0)</f>
        <v>31096.554492481529</v>
      </c>
      <c r="F97" s="625">
        <f>IF($C97&lt;=$E$2,PMT($D$2-$C$5,$E$2,-1*'TCO Calculation'!G$59+$B$5),0)</f>
        <v>32520.932895068669</v>
      </c>
      <c r="G97" s="625">
        <f>IF($C97&lt;=$E$2,PMT($D$2-$C$5,$E$2,-1*'TCO Calculation'!H$59+$B$5),0)</f>
        <v>29961.152878933706</v>
      </c>
      <c r="H97" s="625">
        <f>IF($C97&lt;=$E$2,PMT($D$2-$C$5,$E$2,-1*'TCO Calculation'!I$59+$B$5),0)</f>
        <v>42298.390655008036</v>
      </c>
      <c r="I97" s="625">
        <f ca="1">IF($C97&lt;=$E$2,PMT($D$2-$C$5,$E$2,-1*'TCO Calculation'!J$59+$B$5),0)</f>
        <v>42504.916133751554</v>
      </c>
      <c r="J97" s="627">
        <f ca="1">IF($C97&lt;=$E$2,PMT($D$2-$C$5,$E$2,-1*'TCO Calculation'!K$59+$B$5),0)</f>
        <v>30671.586295262445</v>
      </c>
      <c r="K97" s="452"/>
      <c r="L97" s="1157"/>
      <c r="M97" s="640">
        <f t="shared" si="49"/>
        <v>107086.61417322783</v>
      </c>
      <c r="N97" s="645">
        <f t="shared" si="49"/>
        <v>3</v>
      </c>
      <c r="O97" s="625">
        <f t="shared" si="50"/>
        <v>24177.566862906267</v>
      </c>
      <c r="P97" s="625">
        <f t="shared" si="51"/>
        <v>28029.201552102772</v>
      </c>
      <c r="Q97" s="625">
        <f t="shared" si="52"/>
        <v>29313.079781834938</v>
      </c>
      <c r="R97" s="625">
        <f t="shared" si="53"/>
        <v>27005.795544970726</v>
      </c>
      <c r="S97" s="625">
        <f t="shared" si="54"/>
        <v>38126.092628218685</v>
      </c>
      <c r="T97" s="625">
        <f t="shared" ca="1" si="55"/>
        <v>38312.246508088116</v>
      </c>
      <c r="U97" s="627">
        <f t="shared" ca="1" si="56"/>
        <v>27646.152064868827</v>
      </c>
      <c r="V97" s="452"/>
      <c r="W97" s="1157"/>
      <c r="X97" s="640">
        <f t="shared" si="57"/>
        <v>107086.61417322783</v>
      </c>
      <c r="Y97" s="645">
        <f t="shared" si="58"/>
        <v>3</v>
      </c>
      <c r="Z97" s="624">
        <f t="shared" si="75"/>
        <v>0</v>
      </c>
      <c r="AA97" s="625">
        <f t="shared" si="59"/>
        <v>3851.634689196504</v>
      </c>
      <c r="AB97" s="626">
        <f t="shared" si="60"/>
        <v>5135.5129189286708</v>
      </c>
      <c r="AC97" s="625">
        <f t="shared" si="61"/>
        <v>2828.2286820644586</v>
      </c>
      <c r="AD97" s="626">
        <f t="shared" si="62"/>
        <v>13948.525765312417</v>
      </c>
      <c r="AE97" s="625">
        <f t="shared" ca="1" si="63"/>
        <v>14134.679645181848</v>
      </c>
      <c r="AF97" s="627">
        <f t="shared" ca="1" si="64"/>
        <v>3468.5852019625599</v>
      </c>
      <c r="AG97" s="452"/>
      <c r="AH97" s="1153"/>
      <c r="AI97" s="640">
        <f t="shared" si="65"/>
        <v>107086.61417322783</v>
      </c>
      <c r="AJ97" s="645">
        <f t="shared" si="66"/>
        <v>3</v>
      </c>
      <c r="AK97" s="624">
        <f t="shared" si="67"/>
        <v>3851.634689196504</v>
      </c>
      <c r="AL97" s="625">
        <f t="shared" ca="1" si="68"/>
        <v>863.49880518160353</v>
      </c>
      <c r="AM97" s="626">
        <f t="shared" si="69"/>
        <v>1506.5796289899665</v>
      </c>
      <c r="AN97" s="625">
        <f t="shared" si="70"/>
        <v>2020.3549782137343</v>
      </c>
      <c r="AO97" s="626">
        <f t="shared" si="71"/>
        <v>0</v>
      </c>
      <c r="AP97" s="625">
        <f t="shared" si="72"/>
        <v>194.760929256493</v>
      </c>
      <c r="AQ97" s="627">
        <f t="shared" si="73"/>
        <v>1668.7521946341365</v>
      </c>
      <c r="AR97" s="627">
        <f t="shared" si="74"/>
        <v>-8366.178157417311</v>
      </c>
      <c r="AS97" s="627">
        <f t="shared" ca="1" si="76"/>
        <v>1739.4030680551259</v>
      </c>
      <c r="AT97" s="452"/>
      <c r="AU97" s="452"/>
      <c r="AV97" s="688">
        <f t="shared" si="77"/>
        <v>2053</v>
      </c>
      <c r="AW97" s="669">
        <f t="shared" si="78"/>
        <v>98897.637795275747</v>
      </c>
      <c r="AX97" s="668"/>
      <c r="AY97" s="668"/>
      <c r="AZ97" s="668"/>
      <c r="BA97" s="668">
        <f>IF('TCO Calculation'!G$3="Lookup Table", VLOOKUP($AV97, 'Cost Projection'!$B$6:$X$49, BA$69, FALSE),'TCO Calculation'!$G$8)</f>
        <v>0.115</v>
      </c>
      <c r="BB97" s="668">
        <f>IF('TCO Calculation'!H$3="Lookup Table", VLOOKUP($AV97, 'Cost Projection'!$B$6:$X$49, BB$69, FALSE),'TCO Calculation'!$H$8)</f>
        <v>0.14950000000000002</v>
      </c>
      <c r="BC97" s="668">
        <f>IF('TCO Calculation'!F$3="Lookup Table", VLOOKUP($AV97, 'Cost Projection'!$B$6:$X$49, BC$69, FALSE),'TCO Calculation'!$F$8)</f>
        <v>4</v>
      </c>
      <c r="BD97" s="668">
        <f>IF('TCO Calculation'!F$3="Lookup Table", VLOOKUP($AV97, 'Cost Projection'!$B$6:$X$49, BD$69, FALSE),'TCO Calculation'!$F$8)</f>
        <v>4</v>
      </c>
      <c r="BE97" s="668">
        <f ca="1">IF('TCO Calculation'!M$3="Lookup Table", VLOOKUP($AV97, 'Cost Projection'!$B$6:$X$49, BE$69, FALSE),'TCO Calculation'!$M$8)</f>
        <v>3.9277108433735024</v>
      </c>
      <c r="BF97" s="452"/>
      <c r="BG97" s="452"/>
      <c r="BH97" s="452"/>
      <c r="BI97" s="452"/>
      <c r="BJ97" s="452"/>
      <c r="BK97" s="452"/>
      <c r="BL97" s="452"/>
      <c r="BM97" s="452"/>
      <c r="BN97" s="452"/>
      <c r="BO97" s="452"/>
      <c r="BP97" s="452"/>
      <c r="BQ97" s="452"/>
      <c r="BR97" s="452"/>
      <c r="BS97" s="452"/>
      <c r="BT97" s="452"/>
      <c r="BU97" s="452"/>
      <c r="BV97" s="452"/>
      <c r="BW97" s="452"/>
      <c r="BX97" s="452"/>
      <c r="BY97" s="452"/>
    </row>
    <row r="98" spans="1:77">
      <c r="A98" s="1157"/>
      <c r="B98" s="640">
        <f t="shared" si="47"/>
        <v>98897.637795275747</v>
      </c>
      <c r="C98" s="645">
        <f t="shared" si="48"/>
        <v>4</v>
      </c>
      <c r="D98" s="625">
        <f>IF($C98&lt;=$E$2,PMT($D$2,$E$2,-1*'TCO Calculation'!E$59),0)</f>
        <v>26823.419284720116</v>
      </c>
      <c r="E98" s="625">
        <f>IF($C98&lt;=$E$2,PMT($D$2-$C$5,$E$2,-1*'TCO Calculation'!F$59+$B$5),0)</f>
        <v>31096.554492481529</v>
      </c>
      <c r="F98" s="625">
        <f>IF($C98&lt;=$E$2,PMT($D$2-$C$5,$E$2,-1*'TCO Calculation'!G$59+$B$5),0)</f>
        <v>32520.932895068669</v>
      </c>
      <c r="G98" s="625">
        <f>IF($C98&lt;=$E$2,PMT($D$2-$C$5,$E$2,-1*'TCO Calculation'!H$59+$B$5),0)</f>
        <v>29961.152878933706</v>
      </c>
      <c r="H98" s="625">
        <f>IF($C98&lt;=$E$2,PMT($D$2-$C$5,$E$2,-1*'TCO Calculation'!I$59+$B$5),0)</f>
        <v>42298.390655008036</v>
      </c>
      <c r="I98" s="625">
        <f ca="1">IF($C98&lt;=$E$2,PMT($D$2-$C$5,$E$2,-1*'TCO Calculation'!J$59+$B$5),0)</f>
        <v>42504.916133751554</v>
      </c>
      <c r="J98" s="627">
        <f ca="1">IF($C98&lt;=$E$2,PMT($D$2-$C$5,$E$2,-1*'TCO Calculation'!K$59+$B$5),0)</f>
        <v>30671.586295262445</v>
      </c>
      <c r="K98" s="452"/>
      <c r="L98" s="1157"/>
      <c r="M98" s="640">
        <f t="shared" si="49"/>
        <v>98897.637795275747</v>
      </c>
      <c r="N98" s="645">
        <f t="shared" si="49"/>
        <v>4</v>
      </c>
      <c r="O98" s="625">
        <f t="shared" si="50"/>
        <v>22954.18197964321</v>
      </c>
      <c r="P98" s="625">
        <f t="shared" si="51"/>
        <v>26610.923953566369</v>
      </c>
      <c r="Q98" s="625">
        <f t="shared" si="52"/>
        <v>27829.837944874092</v>
      </c>
      <c r="R98" s="625">
        <f t="shared" si="53"/>
        <v>25639.302290395204</v>
      </c>
      <c r="S98" s="625">
        <f t="shared" si="54"/>
        <v>36196.912341230818</v>
      </c>
      <c r="T98" s="625">
        <f t="shared" ca="1" si="55"/>
        <v>36373.646834778854</v>
      </c>
      <c r="U98" s="627">
        <f t="shared" ca="1" si="56"/>
        <v>26247.256770386462</v>
      </c>
      <c r="V98" s="452"/>
      <c r="W98" s="1157"/>
      <c r="X98" s="640">
        <f t="shared" si="57"/>
        <v>98897.637795275747</v>
      </c>
      <c r="Y98" s="645">
        <f t="shared" si="58"/>
        <v>4</v>
      </c>
      <c r="Z98" s="624">
        <f t="shared" si="75"/>
        <v>0</v>
      </c>
      <c r="AA98" s="625">
        <f t="shared" si="59"/>
        <v>3656.7419739231591</v>
      </c>
      <c r="AB98" s="626">
        <f t="shared" si="60"/>
        <v>4875.6559652308824</v>
      </c>
      <c r="AC98" s="625">
        <f t="shared" si="61"/>
        <v>2685.1203107519941</v>
      </c>
      <c r="AD98" s="626">
        <f t="shared" si="62"/>
        <v>13242.730361587608</v>
      </c>
      <c r="AE98" s="625">
        <f t="shared" ca="1" si="63"/>
        <v>13419.464855135644</v>
      </c>
      <c r="AF98" s="627">
        <f t="shared" ca="1" si="64"/>
        <v>3293.0747907432524</v>
      </c>
      <c r="AG98" s="452"/>
      <c r="AH98" s="1153"/>
      <c r="AI98" s="640">
        <f t="shared" si="65"/>
        <v>98897.637795275747</v>
      </c>
      <c r="AJ98" s="645">
        <f t="shared" si="66"/>
        <v>4</v>
      </c>
      <c r="AK98" s="624">
        <f t="shared" si="67"/>
        <v>3656.7419739231591</v>
      </c>
      <c r="AL98" s="625">
        <f t="shared" ca="1" si="68"/>
        <v>772.25703123232961</v>
      </c>
      <c r="AM98" s="626">
        <f t="shared" si="69"/>
        <v>1320.9672462517885</v>
      </c>
      <c r="AN98" s="625">
        <f t="shared" si="70"/>
        <v>1806.8737653697954</v>
      </c>
      <c r="AO98" s="626">
        <f t="shared" si="71"/>
        <v>0</v>
      </c>
      <c r="AP98" s="625">
        <f t="shared" si="72"/>
        <v>188.60414676083656</v>
      </c>
      <c r="AQ98" s="627">
        <f t="shared" si="73"/>
        <v>1492.423160237691</v>
      </c>
      <c r="AR98" s="627">
        <f t="shared" si="74"/>
        <v>-7335.4551658610035</v>
      </c>
      <c r="AS98" s="627">
        <f t="shared" ca="1" si="76"/>
        <v>1902.4121579145958</v>
      </c>
      <c r="AT98" s="452"/>
      <c r="AU98" s="452"/>
      <c r="AV98" s="688">
        <f t="shared" si="77"/>
        <v>2054</v>
      </c>
      <c r="AW98" s="669">
        <f t="shared" si="78"/>
        <v>86299.212598425438</v>
      </c>
      <c r="AX98" s="668"/>
      <c r="AY98" s="668"/>
      <c r="AZ98" s="668"/>
      <c r="BA98" s="668">
        <f>IF('TCO Calculation'!G$3="Lookup Table", VLOOKUP($AV98, 'Cost Projection'!$B$6:$X$49, BA$69, FALSE),'TCO Calculation'!$G$8)</f>
        <v>0.115</v>
      </c>
      <c r="BB98" s="668">
        <f>IF('TCO Calculation'!H$3="Lookup Table", VLOOKUP($AV98, 'Cost Projection'!$B$6:$X$49, BB$69, FALSE),'TCO Calculation'!$H$8)</f>
        <v>0.14950000000000002</v>
      </c>
      <c r="BC98" s="668">
        <f>IF('TCO Calculation'!F$3="Lookup Table", VLOOKUP($AV98, 'Cost Projection'!$B$6:$X$49, BC$69, FALSE),'TCO Calculation'!$F$8)</f>
        <v>4</v>
      </c>
      <c r="BD98" s="668">
        <f>IF('TCO Calculation'!F$3="Lookup Table", VLOOKUP($AV98, 'Cost Projection'!$B$6:$X$49, BD$69, FALSE),'TCO Calculation'!$F$8)</f>
        <v>4</v>
      </c>
      <c r="BE98" s="668">
        <f ca="1">IF('TCO Calculation'!M$3="Lookup Table", VLOOKUP($AV98, 'Cost Projection'!$B$6:$X$49, BE$69, FALSE),'TCO Calculation'!$M$8)</f>
        <v>3.9277108433735024</v>
      </c>
      <c r="BF98" s="452"/>
      <c r="BG98" s="452"/>
      <c r="BH98" s="452"/>
      <c r="BI98" s="452"/>
      <c r="BJ98" s="452"/>
      <c r="BK98" s="452"/>
      <c r="BL98" s="452"/>
      <c r="BM98" s="452"/>
      <c r="BN98" s="452"/>
      <c r="BO98" s="452"/>
      <c r="BP98" s="452"/>
      <c r="BQ98" s="452"/>
      <c r="BR98" s="452"/>
      <c r="BS98" s="452"/>
      <c r="BT98" s="452"/>
      <c r="BU98" s="452"/>
      <c r="BV98" s="452"/>
      <c r="BW98" s="452"/>
      <c r="BX98" s="452"/>
      <c r="BY98" s="452"/>
    </row>
    <row r="99" spans="1:77">
      <c r="A99" s="1157"/>
      <c r="B99" s="640">
        <f t="shared" si="47"/>
        <v>86299.212598425438</v>
      </c>
      <c r="C99" s="645">
        <f t="shared" si="48"/>
        <v>5</v>
      </c>
      <c r="D99" s="625">
        <f>IF($C99&lt;=$E$2,PMT($D$2,$E$2,-1*'TCO Calculation'!E$59),0)</f>
        <v>26823.419284720116</v>
      </c>
      <c r="E99" s="625">
        <f>IF($C99&lt;=$E$2,PMT($D$2-$C$5,$E$2,-1*'TCO Calculation'!F$59+$B$5),0)</f>
        <v>31096.554492481529</v>
      </c>
      <c r="F99" s="625">
        <f>IF($C99&lt;=$E$2,PMT($D$2-$C$5,$E$2,-1*'TCO Calculation'!G$59+$B$5),0)</f>
        <v>32520.932895068669</v>
      </c>
      <c r="G99" s="625">
        <f>IF($C99&lt;=$E$2,PMT($D$2-$C$5,$E$2,-1*'TCO Calculation'!H$59+$B$5),0)</f>
        <v>29961.152878933706</v>
      </c>
      <c r="H99" s="625">
        <f>IF($C99&lt;=$E$2,PMT($D$2-$C$5,$E$2,-1*'TCO Calculation'!I$59+$B$5),0)</f>
        <v>42298.390655008036</v>
      </c>
      <c r="I99" s="625">
        <f ca="1">IF($C99&lt;=$E$2,PMT($D$2-$C$5,$E$2,-1*'TCO Calculation'!J$59+$B$5),0)</f>
        <v>42504.916133751554</v>
      </c>
      <c r="J99" s="627">
        <f ca="1">IF($C99&lt;=$E$2,PMT($D$2-$C$5,$E$2,-1*'TCO Calculation'!K$59+$B$5),0)</f>
        <v>30671.586295262445</v>
      </c>
      <c r="K99" s="452"/>
      <c r="L99" s="1157"/>
      <c r="M99" s="640">
        <f t="shared" si="49"/>
        <v>86299.212598425438</v>
      </c>
      <c r="N99" s="645">
        <f t="shared" si="49"/>
        <v>5</v>
      </c>
      <c r="O99" s="625">
        <f t="shared" si="50"/>
        <v>21792.700371473267</v>
      </c>
      <c r="P99" s="625">
        <f t="shared" si="51"/>
        <v>25264.411201515915</v>
      </c>
      <c r="Q99" s="625">
        <f t="shared" si="52"/>
        <v>26421.648144863466</v>
      </c>
      <c r="R99" s="625">
        <f t="shared" si="53"/>
        <v>24341.95359450121</v>
      </c>
      <c r="S99" s="625">
        <f t="shared" si="54"/>
        <v>34365.34857676454</v>
      </c>
      <c r="T99" s="625">
        <f t="shared" ca="1" si="55"/>
        <v>34533.140304939043</v>
      </c>
      <c r="U99" s="627">
        <f t="shared" ca="1" si="56"/>
        <v>24919.145577804909</v>
      </c>
      <c r="V99" s="452"/>
      <c r="W99" s="1157"/>
      <c r="X99" s="640">
        <f t="shared" si="57"/>
        <v>86299.212598425438</v>
      </c>
      <c r="Y99" s="645">
        <f t="shared" si="58"/>
        <v>5</v>
      </c>
      <c r="Z99" s="624">
        <f t="shared" si="75"/>
        <v>0</v>
      </c>
      <c r="AA99" s="625">
        <f t="shared" si="59"/>
        <v>3471.710830042648</v>
      </c>
      <c r="AB99" s="626">
        <f t="shared" si="60"/>
        <v>4628.9477733901986</v>
      </c>
      <c r="AC99" s="625">
        <f t="shared" si="61"/>
        <v>2549.253223027943</v>
      </c>
      <c r="AD99" s="626">
        <f t="shared" si="62"/>
        <v>12572.648205291272</v>
      </c>
      <c r="AE99" s="625">
        <f t="shared" ca="1" si="63"/>
        <v>12740.439933465776</v>
      </c>
      <c r="AF99" s="627">
        <f t="shared" ca="1" si="64"/>
        <v>3126.4452063316421</v>
      </c>
      <c r="AG99" s="452"/>
      <c r="AH99" s="1153"/>
      <c r="AI99" s="640">
        <f t="shared" si="65"/>
        <v>86299.212598425438</v>
      </c>
      <c r="AJ99" s="645">
        <f t="shared" si="66"/>
        <v>5</v>
      </c>
      <c r="AK99" s="624">
        <f t="shared" si="67"/>
        <v>3471.710830042648</v>
      </c>
      <c r="AL99" s="625">
        <f t="shared" ca="1" si="68"/>
        <v>652.57763406788945</v>
      </c>
      <c r="AM99" s="626">
        <f t="shared" si="69"/>
        <v>1094.3649910320291</v>
      </c>
      <c r="AN99" s="625">
        <f t="shared" si="70"/>
        <v>1526.8561621028857</v>
      </c>
      <c r="AO99" s="626">
        <f t="shared" si="71"/>
        <v>0</v>
      </c>
      <c r="AP99" s="625">
        <f t="shared" si="72"/>
        <v>182.64199247343277</v>
      </c>
      <c r="AQ99" s="627">
        <f t="shared" si="73"/>
        <v>1261.1370768381369</v>
      </c>
      <c r="AR99" s="627">
        <f t="shared" si="74"/>
        <v>-6077.1115631985831</v>
      </c>
      <c r="AS99" s="627">
        <f t="shared" ca="1" si="76"/>
        <v>2112.1771233584386</v>
      </c>
      <c r="AT99" s="452"/>
      <c r="AU99" s="452"/>
      <c r="AV99" s="688">
        <f t="shared" si="77"/>
        <v>2055</v>
      </c>
      <c r="AW99" s="669">
        <f t="shared" si="78"/>
        <v>76850.393700787565</v>
      </c>
      <c r="AX99" s="668"/>
      <c r="AY99" s="668"/>
      <c r="AZ99" s="668"/>
      <c r="BA99" s="668">
        <f>IF('TCO Calculation'!G$3="Lookup Table", VLOOKUP($AV99, 'Cost Projection'!$B$6:$X$49, BA$69, FALSE),'TCO Calculation'!$G$8)</f>
        <v>0.115</v>
      </c>
      <c r="BB99" s="668">
        <f>IF('TCO Calculation'!H$3="Lookup Table", VLOOKUP($AV99, 'Cost Projection'!$B$6:$X$49, BB$69, FALSE),'TCO Calculation'!$H$8)</f>
        <v>0.14950000000000002</v>
      </c>
      <c r="BC99" s="668">
        <f>IF('TCO Calculation'!F$3="Lookup Table", VLOOKUP($AV99, 'Cost Projection'!$B$6:$X$49, BC$69, FALSE),'TCO Calculation'!$F$8)</f>
        <v>4</v>
      </c>
      <c r="BD99" s="668">
        <f>IF('TCO Calculation'!F$3="Lookup Table", VLOOKUP($AV99, 'Cost Projection'!$B$6:$X$49, BD$69, FALSE),'TCO Calculation'!$F$8)</f>
        <v>4</v>
      </c>
      <c r="BE99" s="668">
        <f ca="1">IF('TCO Calculation'!M$3="Lookup Table", VLOOKUP($AV99, 'Cost Projection'!$B$6:$X$49, BE$69, FALSE),'TCO Calculation'!$M$8)</f>
        <v>3.9277108433735024</v>
      </c>
      <c r="BF99" s="452"/>
      <c r="BG99" s="452"/>
      <c r="BH99" s="452"/>
      <c r="BI99" s="452"/>
      <c r="BJ99" s="452"/>
      <c r="BK99" s="452"/>
      <c r="BL99" s="452"/>
      <c r="BM99" s="452"/>
      <c r="BN99" s="452"/>
      <c r="BO99" s="452"/>
      <c r="BP99" s="452"/>
      <c r="BQ99" s="452"/>
      <c r="BR99" s="452"/>
      <c r="BS99" s="452"/>
      <c r="BT99" s="452"/>
      <c r="BU99" s="452"/>
      <c r="BV99" s="452"/>
      <c r="BW99" s="452"/>
      <c r="BX99" s="452"/>
      <c r="BY99" s="452"/>
    </row>
    <row r="100" spans="1:77">
      <c r="A100" s="1157"/>
      <c r="B100" s="640">
        <f t="shared" si="47"/>
        <v>76850.393700787565</v>
      </c>
      <c r="C100" s="645">
        <f t="shared" si="48"/>
        <v>6</v>
      </c>
      <c r="D100" s="625">
        <f>IF($C100&lt;=$E$2,PMT($D$2,$E$2,-1*'TCO Calculation'!E$59),0)</f>
        <v>0</v>
      </c>
      <c r="E100" s="625">
        <f>IF($C100&lt;=$E$2,PMT($D$2-$C$5,$E$2,-1*'TCO Calculation'!F$59+$B$5),0)</f>
        <v>0</v>
      </c>
      <c r="F100" s="625">
        <f>IF($C100&lt;=$E$2,PMT($D$2-$C$5,$E$2,-1*'TCO Calculation'!G$59+$B$5),0)</f>
        <v>0</v>
      </c>
      <c r="G100" s="625">
        <f>IF($C100&lt;=$E$2,PMT($D$2-$C$5,$E$2,-1*'TCO Calculation'!H$59+$B$5),0)</f>
        <v>0</v>
      </c>
      <c r="H100" s="625">
        <f>IF($C100&lt;=$E$2,PMT($D$2-$C$5,$E$2,-1*'TCO Calculation'!I$59+$B$5),0)</f>
        <v>0</v>
      </c>
      <c r="I100" s="625">
        <f>IF($C100&lt;=$E$2,PMT($D$2-$C$5,$E$2,-1*'TCO Calculation'!J$59+$B$5),0)</f>
        <v>0</v>
      </c>
      <c r="J100" s="627">
        <f>IF($C100&lt;=$E$2,PMT($D$2-$C$5,$E$2,-1*'TCO Calculation'!K$59+$B$5),0)</f>
        <v>0</v>
      </c>
      <c r="K100" s="452"/>
      <c r="L100" s="1157"/>
      <c r="M100" s="640">
        <f t="shared" si="49"/>
        <v>76850.393700787565</v>
      </c>
      <c r="N100" s="645">
        <f t="shared" si="49"/>
        <v>6</v>
      </c>
      <c r="O100" s="625">
        <f t="shared" si="50"/>
        <v>0</v>
      </c>
      <c r="P100" s="625">
        <f t="shared" si="51"/>
        <v>0</v>
      </c>
      <c r="Q100" s="625">
        <f t="shared" si="52"/>
        <v>0</v>
      </c>
      <c r="R100" s="625">
        <f t="shared" si="53"/>
        <v>0</v>
      </c>
      <c r="S100" s="625">
        <f t="shared" si="54"/>
        <v>0</v>
      </c>
      <c r="T100" s="625">
        <f t="shared" si="55"/>
        <v>0</v>
      </c>
      <c r="U100" s="627">
        <f t="shared" si="56"/>
        <v>0</v>
      </c>
      <c r="V100" s="452"/>
      <c r="W100" s="1157"/>
      <c r="X100" s="640">
        <f t="shared" si="57"/>
        <v>76850.393700787565</v>
      </c>
      <c r="Y100" s="645">
        <f t="shared" si="58"/>
        <v>6</v>
      </c>
      <c r="Z100" s="624">
        <f t="shared" si="75"/>
        <v>0</v>
      </c>
      <c r="AA100" s="625">
        <f t="shared" si="59"/>
        <v>0</v>
      </c>
      <c r="AB100" s="626">
        <f t="shared" si="60"/>
        <v>0</v>
      </c>
      <c r="AC100" s="625">
        <f t="shared" si="61"/>
        <v>0</v>
      </c>
      <c r="AD100" s="626">
        <f t="shared" si="62"/>
        <v>0</v>
      </c>
      <c r="AE100" s="625">
        <f t="shared" si="63"/>
        <v>0</v>
      </c>
      <c r="AF100" s="627">
        <f t="shared" si="64"/>
        <v>0</v>
      </c>
      <c r="AG100" s="452"/>
      <c r="AH100" s="1153"/>
      <c r="AI100" s="640">
        <f t="shared" si="65"/>
        <v>76850.393700787565</v>
      </c>
      <c r="AJ100" s="645">
        <f t="shared" si="66"/>
        <v>6</v>
      </c>
      <c r="AK100" s="624">
        <f t="shared" si="67"/>
        <v>0</v>
      </c>
      <c r="AL100" s="625">
        <f t="shared" ca="1" si="68"/>
        <v>562.75692472823539</v>
      </c>
      <c r="AM100" s="626">
        <f t="shared" si="69"/>
        <v>925.23207987787271</v>
      </c>
      <c r="AN100" s="625">
        <f t="shared" si="70"/>
        <v>1316.6998582700126</v>
      </c>
      <c r="AO100" s="626">
        <f t="shared" si="71"/>
        <v>0</v>
      </c>
      <c r="AP100" s="625">
        <f t="shared" si="72"/>
        <v>176.86831380736294</v>
      </c>
      <c r="AQ100" s="627">
        <f t="shared" si="73"/>
        <v>1087.554316868217</v>
      </c>
      <c r="AR100" s="627">
        <f t="shared" si="74"/>
        <v>-5137.9006248780206</v>
      </c>
      <c r="AS100" s="627">
        <f t="shared" ca="1" si="76"/>
        <v>-1068.7891313263199</v>
      </c>
      <c r="AT100" s="452"/>
      <c r="AU100" s="452"/>
      <c r="AV100" s="688">
        <f t="shared" si="77"/>
        <v>2056</v>
      </c>
      <c r="AW100" s="669">
        <f t="shared" si="78"/>
        <v>69291.338582677359</v>
      </c>
      <c r="AX100" s="668"/>
      <c r="AY100" s="668"/>
      <c r="AZ100" s="668"/>
      <c r="BA100" s="668">
        <f>IF('TCO Calculation'!G$3="Lookup Table", VLOOKUP($AV100, 'Cost Projection'!$B$6:$X$49, BA$69, FALSE),'TCO Calculation'!$G$8)</f>
        <v>0.115</v>
      </c>
      <c r="BB100" s="668">
        <f>IF('TCO Calculation'!H$3="Lookup Table", VLOOKUP($AV100, 'Cost Projection'!$B$6:$X$49, BB$69, FALSE),'TCO Calculation'!$H$8)</f>
        <v>0.14950000000000002</v>
      </c>
      <c r="BC100" s="668">
        <f>IF('TCO Calculation'!F$3="Lookup Table", VLOOKUP($AV100, 'Cost Projection'!$B$6:$X$49, BC$69, FALSE),'TCO Calculation'!$F$8)</f>
        <v>4</v>
      </c>
      <c r="BD100" s="668">
        <f>IF('TCO Calculation'!F$3="Lookup Table", VLOOKUP($AV100, 'Cost Projection'!$B$6:$X$49, BD$69, FALSE),'TCO Calculation'!$F$8)</f>
        <v>4</v>
      </c>
      <c r="BE100" s="668">
        <f ca="1">IF('TCO Calculation'!M$3="Lookup Table", VLOOKUP($AV100, 'Cost Projection'!$B$6:$X$49, BE$69, FALSE),'TCO Calculation'!$M$8)</f>
        <v>3.9277108433735024</v>
      </c>
      <c r="BF100" s="452"/>
      <c r="BG100" s="452"/>
      <c r="BH100" s="452"/>
      <c r="BI100" s="452"/>
      <c r="BJ100" s="452"/>
      <c r="BK100" s="452"/>
      <c r="BL100" s="452"/>
      <c r="BM100" s="452"/>
      <c r="BN100" s="452"/>
      <c r="BO100" s="452"/>
      <c r="BP100" s="452"/>
      <c r="BQ100" s="452"/>
      <c r="BR100" s="452"/>
      <c r="BS100" s="452"/>
      <c r="BT100" s="452"/>
      <c r="BU100" s="452"/>
      <c r="BV100" s="452"/>
      <c r="BW100" s="452"/>
      <c r="BX100" s="452"/>
      <c r="BY100" s="452"/>
    </row>
    <row r="101" spans="1:77">
      <c r="A101" s="1157"/>
      <c r="B101" s="640">
        <f t="shared" si="47"/>
        <v>69291.338582677359</v>
      </c>
      <c r="C101" s="645">
        <f t="shared" si="48"/>
        <v>7</v>
      </c>
      <c r="D101" s="625">
        <f>IF($C101&lt;=$E$2,PMT($D$2,$E$2,-1*'TCO Calculation'!E$59),0)</f>
        <v>0</v>
      </c>
      <c r="E101" s="625">
        <f>IF($C101&lt;=$E$2,PMT($D$2-$C$5,$E$2,-1*'TCO Calculation'!F$59+$B$5),0)</f>
        <v>0</v>
      </c>
      <c r="F101" s="625">
        <f>IF($C101&lt;=$E$2,PMT($D$2-$C$5,$E$2,-1*'TCO Calculation'!G$59+$B$5),0)</f>
        <v>0</v>
      </c>
      <c r="G101" s="625">
        <f>IF($C101&lt;=$E$2,PMT($D$2-$C$5,$E$2,-1*'TCO Calculation'!H$59+$B$5),0)</f>
        <v>0</v>
      </c>
      <c r="H101" s="625">
        <f>IF($C101&lt;=$E$2,PMT($D$2-$C$5,$E$2,-1*'TCO Calculation'!I$59+$B$5),0)</f>
        <v>0</v>
      </c>
      <c r="I101" s="625">
        <f>IF($C101&lt;=$E$2,PMT($D$2-$C$5,$E$2,-1*'TCO Calculation'!J$59+$B$5),0)</f>
        <v>0</v>
      </c>
      <c r="J101" s="627">
        <f>IF($C101&lt;=$E$2,PMT($D$2-$C$5,$E$2,-1*'TCO Calculation'!K$59+$B$5),0)</f>
        <v>0</v>
      </c>
      <c r="K101" s="452"/>
      <c r="L101" s="1157"/>
      <c r="M101" s="640">
        <f t="shared" si="49"/>
        <v>69291.338582677359</v>
      </c>
      <c r="N101" s="645">
        <f t="shared" si="49"/>
        <v>7</v>
      </c>
      <c r="O101" s="625">
        <f t="shared" si="50"/>
        <v>0</v>
      </c>
      <c r="P101" s="625">
        <f t="shared" si="51"/>
        <v>0</v>
      </c>
      <c r="Q101" s="625">
        <f t="shared" si="52"/>
        <v>0</v>
      </c>
      <c r="R101" s="625">
        <f t="shared" si="53"/>
        <v>0</v>
      </c>
      <c r="S101" s="625">
        <f t="shared" si="54"/>
        <v>0</v>
      </c>
      <c r="T101" s="625">
        <f t="shared" si="55"/>
        <v>0</v>
      </c>
      <c r="U101" s="627">
        <f t="shared" si="56"/>
        <v>0</v>
      </c>
      <c r="V101" s="452"/>
      <c r="W101" s="1157"/>
      <c r="X101" s="640">
        <f t="shared" si="57"/>
        <v>69291.338582677359</v>
      </c>
      <c r="Y101" s="645">
        <f t="shared" si="58"/>
        <v>7</v>
      </c>
      <c r="Z101" s="624">
        <f t="shared" si="75"/>
        <v>0</v>
      </c>
      <c r="AA101" s="625">
        <f t="shared" si="59"/>
        <v>0</v>
      </c>
      <c r="AB101" s="626">
        <f t="shared" si="60"/>
        <v>0</v>
      </c>
      <c r="AC101" s="625">
        <f t="shared" si="61"/>
        <v>0</v>
      </c>
      <c r="AD101" s="626">
        <f t="shared" si="62"/>
        <v>0</v>
      </c>
      <c r="AE101" s="625">
        <f t="shared" si="63"/>
        <v>0</v>
      </c>
      <c r="AF101" s="627">
        <f t="shared" si="64"/>
        <v>0</v>
      </c>
      <c r="AG101" s="452"/>
      <c r="AH101" s="1153"/>
      <c r="AI101" s="640">
        <f t="shared" si="65"/>
        <v>69291.338582677359</v>
      </c>
      <c r="AJ101" s="645">
        <f t="shared" si="66"/>
        <v>7</v>
      </c>
      <c r="AK101" s="624">
        <f t="shared" si="67"/>
        <v>0</v>
      </c>
      <c r="AL101" s="625">
        <f t="shared" ca="1" si="68"/>
        <v>491.36373615254161</v>
      </c>
      <c r="AM101" s="626">
        <f t="shared" si="69"/>
        <v>792.01382811447434</v>
      </c>
      <c r="AN101" s="625">
        <f t="shared" si="70"/>
        <v>1149.6589972011643</v>
      </c>
      <c r="AO101" s="626">
        <f t="shared" si="71"/>
        <v>0</v>
      </c>
      <c r="AP101" s="625">
        <f t="shared" si="72"/>
        <v>171.27715267128542</v>
      </c>
      <c r="AQ101" s="627">
        <f t="shared" si="73"/>
        <v>949.58361047845733</v>
      </c>
      <c r="AR101" s="627">
        <f t="shared" si="74"/>
        <v>-4398.1271627746873</v>
      </c>
      <c r="AS101" s="627">
        <f t="shared" ca="1" si="76"/>
        <v>-844.22983815676434</v>
      </c>
      <c r="AT101" s="452"/>
      <c r="AU101" s="452"/>
      <c r="AV101" s="688">
        <f t="shared" si="77"/>
        <v>2057</v>
      </c>
      <c r="AW101" s="669">
        <f t="shared" si="78"/>
        <v>62992.125984252147</v>
      </c>
      <c r="AX101" s="668"/>
      <c r="AY101" s="668"/>
      <c r="AZ101" s="668"/>
      <c r="BA101" s="668">
        <f>IF('TCO Calculation'!G$3="Lookup Table", VLOOKUP($AV101, 'Cost Projection'!$B$6:$X$49, BA$69, FALSE),'TCO Calculation'!$G$8)</f>
        <v>0.115</v>
      </c>
      <c r="BB101" s="668">
        <f>IF('TCO Calculation'!H$3="Lookup Table", VLOOKUP($AV101, 'Cost Projection'!$B$6:$X$49, BB$69, FALSE),'TCO Calculation'!$H$8)</f>
        <v>0.14950000000000002</v>
      </c>
      <c r="BC101" s="668">
        <f>IF('TCO Calculation'!F$3="Lookup Table", VLOOKUP($AV101, 'Cost Projection'!$B$6:$X$49, BC$69, FALSE),'TCO Calculation'!$F$8)</f>
        <v>4</v>
      </c>
      <c r="BD101" s="668">
        <f>IF('TCO Calculation'!F$3="Lookup Table", VLOOKUP($AV101, 'Cost Projection'!$B$6:$X$49, BD$69, FALSE),'TCO Calculation'!$F$8)</f>
        <v>4</v>
      </c>
      <c r="BE101" s="668">
        <f ca="1">IF('TCO Calculation'!M$3="Lookup Table", VLOOKUP($AV101, 'Cost Projection'!$B$6:$X$49, BE$69, FALSE),'TCO Calculation'!$M$8)</f>
        <v>3.9277108433735024</v>
      </c>
      <c r="BF101" s="452"/>
      <c r="BG101" s="452"/>
      <c r="BH101" s="452"/>
      <c r="BI101" s="452"/>
      <c r="BJ101" s="452"/>
      <c r="BK101" s="452"/>
      <c r="BL101" s="452"/>
      <c r="BM101" s="452"/>
      <c r="BN101" s="452"/>
      <c r="BO101" s="452"/>
      <c r="BP101" s="452"/>
      <c r="BQ101" s="452"/>
      <c r="BR101" s="452"/>
      <c r="BS101" s="452"/>
      <c r="BT101" s="452"/>
      <c r="BU101" s="452"/>
      <c r="BV101" s="452"/>
      <c r="BW101" s="452"/>
      <c r="BX101" s="452"/>
      <c r="BY101" s="452"/>
    </row>
    <row r="102" spans="1:77">
      <c r="A102" s="1157"/>
      <c r="B102" s="640">
        <f t="shared" si="47"/>
        <v>62992.125984252147</v>
      </c>
      <c r="C102" s="645">
        <f t="shared" si="48"/>
        <v>8</v>
      </c>
      <c r="D102" s="625">
        <f>IF($C102&lt;=$E$2,PMT($D$2,$E$2,-1*'TCO Calculation'!E$59),0)</f>
        <v>0</v>
      </c>
      <c r="E102" s="625">
        <f>IF($C102&lt;=$E$2,PMT($D$2-$C$5,$E$2,-1*'TCO Calculation'!F$59+$B$5),0)</f>
        <v>0</v>
      </c>
      <c r="F102" s="625">
        <f>IF($C102&lt;=$E$2,PMT($D$2-$C$5,$E$2,-1*'TCO Calculation'!G$59+$B$5),0)</f>
        <v>0</v>
      </c>
      <c r="G102" s="625">
        <f>IF($C102&lt;=$E$2,PMT($D$2-$C$5,$E$2,-1*'TCO Calculation'!H$59+$B$5),0)</f>
        <v>0</v>
      </c>
      <c r="H102" s="625">
        <f>IF($C102&lt;=$E$2,PMT($D$2-$C$5,$E$2,-1*'TCO Calculation'!I$59+$B$5),0)</f>
        <v>0</v>
      </c>
      <c r="I102" s="625">
        <f>IF($C102&lt;=$E$2,PMT($D$2-$C$5,$E$2,-1*'TCO Calculation'!J$59+$B$5),0)</f>
        <v>0</v>
      </c>
      <c r="J102" s="627">
        <f>IF($C102&lt;=$E$2,PMT($D$2-$C$5,$E$2,-1*'TCO Calculation'!K$59+$B$5),0)</f>
        <v>0</v>
      </c>
      <c r="K102" s="452"/>
      <c r="L102" s="1157"/>
      <c r="M102" s="640">
        <f t="shared" si="49"/>
        <v>62992.125984252147</v>
      </c>
      <c r="N102" s="645">
        <f t="shared" si="49"/>
        <v>8</v>
      </c>
      <c r="O102" s="625">
        <f t="shared" si="50"/>
        <v>0</v>
      </c>
      <c r="P102" s="625">
        <f t="shared" si="51"/>
        <v>0</v>
      </c>
      <c r="Q102" s="625">
        <f t="shared" si="52"/>
        <v>0</v>
      </c>
      <c r="R102" s="625">
        <f t="shared" si="53"/>
        <v>0</v>
      </c>
      <c r="S102" s="625">
        <f t="shared" si="54"/>
        <v>0</v>
      </c>
      <c r="T102" s="625">
        <f t="shared" si="55"/>
        <v>0</v>
      </c>
      <c r="U102" s="627">
        <f t="shared" si="56"/>
        <v>0</v>
      </c>
      <c r="V102" s="452"/>
      <c r="W102" s="1157"/>
      <c r="X102" s="640">
        <f t="shared" si="57"/>
        <v>62992.125984252147</v>
      </c>
      <c r="Y102" s="645">
        <f t="shared" si="58"/>
        <v>8</v>
      </c>
      <c r="Z102" s="624">
        <f t="shared" si="75"/>
        <v>0</v>
      </c>
      <c r="AA102" s="625">
        <f t="shared" si="59"/>
        <v>0</v>
      </c>
      <c r="AB102" s="626">
        <f t="shared" si="60"/>
        <v>0</v>
      </c>
      <c r="AC102" s="625">
        <f t="shared" si="61"/>
        <v>0</v>
      </c>
      <c r="AD102" s="626">
        <f t="shared" si="62"/>
        <v>0</v>
      </c>
      <c r="AE102" s="625">
        <f t="shared" si="63"/>
        <v>0</v>
      </c>
      <c r="AF102" s="627">
        <f t="shared" si="64"/>
        <v>0</v>
      </c>
      <c r="AG102" s="452"/>
      <c r="AH102" s="1153"/>
      <c r="AI102" s="640">
        <f t="shared" si="65"/>
        <v>62992.125984252147</v>
      </c>
      <c r="AJ102" s="645">
        <f t="shared" si="66"/>
        <v>8</v>
      </c>
      <c r="AK102" s="624">
        <f t="shared" si="67"/>
        <v>0</v>
      </c>
      <c r="AL102" s="625">
        <f t="shared" ca="1" si="68"/>
        <v>432.57340520480284</v>
      </c>
      <c r="AM102" s="626">
        <f t="shared" si="69"/>
        <v>683.57993491989259</v>
      </c>
      <c r="AN102" s="625">
        <f t="shared" si="70"/>
        <v>1012.1054336196739</v>
      </c>
      <c r="AO102" s="626">
        <f t="shared" si="71"/>
        <v>0</v>
      </c>
      <c r="AP102" s="625">
        <f t="shared" si="72"/>
        <v>165.86273932104041</v>
      </c>
      <c r="AQ102" s="627">
        <f t="shared" si="73"/>
        <v>835.96852125819282</v>
      </c>
      <c r="AR102" s="627">
        <f t="shared" si="74"/>
        <v>-3795.9835712166259</v>
      </c>
      <c r="AS102" s="627">
        <f t="shared" ca="1" si="76"/>
        <v>-665.89353689302334</v>
      </c>
      <c r="AT102" s="452"/>
      <c r="AU102" s="452"/>
      <c r="AV102" s="688">
        <f t="shared" si="77"/>
        <v>2058</v>
      </c>
      <c r="AW102" s="669">
        <f t="shared" si="78"/>
        <v>56062.992125984332</v>
      </c>
      <c r="AX102" s="668"/>
      <c r="AY102" s="668"/>
      <c r="AZ102" s="668"/>
      <c r="BA102" s="668">
        <f>IF('TCO Calculation'!G$3="Lookup Table", VLOOKUP($AV102, 'Cost Projection'!$B$6:$X$49, BA$69, FALSE),'TCO Calculation'!$G$8)</f>
        <v>0.115</v>
      </c>
      <c r="BB102" s="668">
        <f>IF('TCO Calculation'!H$3="Lookup Table", VLOOKUP($AV102, 'Cost Projection'!$B$6:$X$49, BB$69, FALSE),'TCO Calculation'!$H$8)</f>
        <v>0.14950000000000002</v>
      </c>
      <c r="BC102" s="668">
        <f>IF('TCO Calculation'!F$3="Lookup Table", VLOOKUP($AV102, 'Cost Projection'!$B$6:$X$49, BC$69, FALSE),'TCO Calculation'!$F$8)</f>
        <v>4</v>
      </c>
      <c r="BD102" s="668">
        <f>IF('TCO Calculation'!F$3="Lookup Table", VLOOKUP($AV102, 'Cost Projection'!$B$6:$X$49, BD$69, FALSE),'TCO Calculation'!$F$8)</f>
        <v>4</v>
      </c>
      <c r="BE102" s="668">
        <f ca="1">IF('TCO Calculation'!M$3="Lookup Table", VLOOKUP($AV102, 'Cost Projection'!$B$6:$X$49, BE$69, FALSE),'TCO Calculation'!$M$8)</f>
        <v>3.9277108433735024</v>
      </c>
      <c r="BF102" s="452"/>
      <c r="BG102" s="452"/>
      <c r="BH102" s="452"/>
      <c r="BI102" s="452"/>
      <c r="BJ102" s="452"/>
      <c r="BK102" s="452"/>
      <c r="BL102" s="452"/>
      <c r="BM102" s="452"/>
      <c r="BN102" s="452"/>
      <c r="BO102" s="452"/>
      <c r="BP102" s="452"/>
      <c r="BQ102" s="452"/>
      <c r="BR102" s="452"/>
      <c r="BS102" s="452"/>
      <c r="BT102" s="452"/>
      <c r="BU102" s="452"/>
      <c r="BV102" s="452"/>
      <c r="BW102" s="452"/>
      <c r="BX102" s="452"/>
      <c r="BY102" s="452"/>
    </row>
    <row r="103" spans="1:77">
      <c r="A103" s="1157"/>
      <c r="B103" s="640">
        <f t="shared" si="47"/>
        <v>56062.992125984332</v>
      </c>
      <c r="C103" s="645">
        <f t="shared" si="48"/>
        <v>9</v>
      </c>
      <c r="D103" s="625">
        <f>IF($C103&lt;=$E$2,PMT($D$2,$E$2,-1*'TCO Calculation'!E$59),0)</f>
        <v>0</v>
      </c>
      <c r="E103" s="625">
        <f>IF($C103&lt;=$E$2,PMT($D$2-$C$5,$E$2,-1*'TCO Calculation'!F$59+$B$5),0)</f>
        <v>0</v>
      </c>
      <c r="F103" s="625">
        <f>IF($C103&lt;=$E$2,PMT($D$2-$C$5,$E$2,-1*'TCO Calculation'!G$59+$B$5),0)</f>
        <v>0</v>
      </c>
      <c r="G103" s="625">
        <f>IF($C103&lt;=$E$2,PMT($D$2-$C$5,$E$2,-1*'TCO Calculation'!H$59+$B$5),0)</f>
        <v>0</v>
      </c>
      <c r="H103" s="625">
        <f>IF($C103&lt;=$E$2,PMT($D$2-$C$5,$E$2,-1*'TCO Calculation'!I$59+$B$5),0)</f>
        <v>0</v>
      </c>
      <c r="I103" s="625">
        <f>IF($C103&lt;=$E$2,PMT($D$2-$C$5,$E$2,-1*'TCO Calculation'!J$59+$B$5),0)</f>
        <v>0</v>
      </c>
      <c r="J103" s="627">
        <f>IF($C103&lt;=$E$2,PMT($D$2-$C$5,$E$2,-1*'TCO Calculation'!K$59+$B$5),0)</f>
        <v>0</v>
      </c>
      <c r="K103" s="452"/>
      <c r="L103" s="1157"/>
      <c r="M103" s="640">
        <f t="shared" si="49"/>
        <v>56062.992125984332</v>
      </c>
      <c r="N103" s="645">
        <f t="shared" si="49"/>
        <v>9</v>
      </c>
      <c r="O103" s="625">
        <f t="shared" si="50"/>
        <v>0</v>
      </c>
      <c r="P103" s="625">
        <f t="shared" si="51"/>
        <v>0</v>
      </c>
      <c r="Q103" s="625">
        <f t="shared" si="52"/>
        <v>0</v>
      </c>
      <c r="R103" s="625">
        <f t="shared" si="53"/>
        <v>0</v>
      </c>
      <c r="S103" s="625">
        <f t="shared" si="54"/>
        <v>0</v>
      </c>
      <c r="T103" s="625">
        <f t="shared" si="55"/>
        <v>0</v>
      </c>
      <c r="U103" s="627">
        <f t="shared" si="56"/>
        <v>0</v>
      </c>
      <c r="V103" s="452"/>
      <c r="W103" s="1157"/>
      <c r="X103" s="640">
        <f t="shared" si="57"/>
        <v>56062.992125984332</v>
      </c>
      <c r="Y103" s="645">
        <f t="shared" si="58"/>
        <v>9</v>
      </c>
      <c r="Z103" s="624">
        <f t="shared" si="75"/>
        <v>0</v>
      </c>
      <c r="AA103" s="625">
        <f t="shared" si="59"/>
        <v>0</v>
      </c>
      <c r="AB103" s="626">
        <f t="shared" si="60"/>
        <v>0</v>
      </c>
      <c r="AC103" s="625">
        <f t="shared" si="61"/>
        <v>0</v>
      </c>
      <c r="AD103" s="626">
        <f t="shared" si="62"/>
        <v>0</v>
      </c>
      <c r="AE103" s="625">
        <f t="shared" si="63"/>
        <v>0</v>
      </c>
      <c r="AF103" s="627">
        <f t="shared" si="64"/>
        <v>0</v>
      </c>
      <c r="AG103" s="452"/>
      <c r="AH103" s="1153"/>
      <c r="AI103" s="640">
        <f t="shared" si="65"/>
        <v>56062.992125984332</v>
      </c>
      <c r="AJ103" s="645">
        <f t="shared" si="66"/>
        <v>9</v>
      </c>
      <c r="AK103" s="624">
        <f t="shared" si="67"/>
        <v>0</v>
      </c>
      <c r="AL103" s="625">
        <f t="shared" ca="1" si="68"/>
        <v>372.82001630032755</v>
      </c>
      <c r="AM103" s="626">
        <f t="shared" si="69"/>
        <v>577.60180328952117</v>
      </c>
      <c r="AN103" s="625">
        <f t="shared" si="70"/>
        <v>872.29857342035848</v>
      </c>
      <c r="AO103" s="626">
        <f t="shared" si="71"/>
        <v>0</v>
      </c>
      <c r="AP103" s="625">
        <f t="shared" si="72"/>
        <v>160.61948640562332</v>
      </c>
      <c r="AQ103" s="627">
        <f t="shared" si="73"/>
        <v>720.4922770841182</v>
      </c>
      <c r="AR103" s="627">
        <f t="shared" si="74"/>
        <v>-3207.4770542366223</v>
      </c>
      <c r="AS103" s="627">
        <f t="shared" ca="1" si="76"/>
        <v>-503.64489773667356</v>
      </c>
      <c r="AT103" s="452"/>
      <c r="AU103" s="452"/>
      <c r="AV103" s="688">
        <f t="shared" si="77"/>
        <v>2059</v>
      </c>
      <c r="AW103" s="669">
        <f t="shared" si="78"/>
        <v>49763.779527559134</v>
      </c>
      <c r="AX103" s="668"/>
      <c r="AY103" s="668"/>
      <c r="AZ103" s="668"/>
      <c r="BA103" s="668">
        <f>IF('TCO Calculation'!G$3="Lookup Table", VLOOKUP($AV103, 'Cost Projection'!$B$6:$X$49, BA$69, FALSE),'TCO Calculation'!$G$8)</f>
        <v>0.115</v>
      </c>
      <c r="BB103" s="668">
        <f>IF('TCO Calculation'!H$3="Lookup Table", VLOOKUP($AV103, 'Cost Projection'!$B$6:$X$49, BB$69, FALSE),'TCO Calculation'!$H$8)</f>
        <v>0.14950000000000002</v>
      </c>
      <c r="BC103" s="668">
        <f>IF('TCO Calculation'!F$3="Lookup Table", VLOOKUP($AV103, 'Cost Projection'!$B$6:$X$49, BC$69, FALSE),'TCO Calculation'!$F$8)</f>
        <v>4</v>
      </c>
      <c r="BD103" s="668">
        <f>IF('TCO Calculation'!F$3="Lookup Table", VLOOKUP($AV103, 'Cost Projection'!$B$6:$X$49, BD$69, FALSE),'TCO Calculation'!$F$8)</f>
        <v>4</v>
      </c>
      <c r="BE103" s="668">
        <f ca="1">IF('TCO Calculation'!M$3="Lookup Table", VLOOKUP($AV103, 'Cost Projection'!$B$6:$X$49, BE$69, FALSE),'TCO Calculation'!$M$8)</f>
        <v>3.9277108433735024</v>
      </c>
      <c r="BF103" s="452"/>
      <c r="BG103" s="452"/>
      <c r="BH103" s="452"/>
      <c r="BI103" s="452"/>
      <c r="BJ103" s="452"/>
      <c r="BK103" s="452"/>
      <c r="BL103" s="452"/>
      <c r="BM103" s="452"/>
      <c r="BN103" s="452"/>
      <c r="BO103" s="452"/>
      <c r="BP103" s="452"/>
      <c r="BQ103" s="452"/>
      <c r="BR103" s="452"/>
      <c r="BS103" s="452"/>
      <c r="BT103" s="452"/>
      <c r="BU103" s="452"/>
      <c r="BV103" s="452"/>
      <c r="BW103" s="452"/>
      <c r="BX103" s="452"/>
      <c r="BY103" s="452"/>
    </row>
    <row r="104" spans="1:77">
      <c r="A104" s="1157"/>
      <c r="B104" s="640">
        <f t="shared" si="47"/>
        <v>49763.779527559134</v>
      </c>
      <c r="C104" s="645">
        <f t="shared" si="48"/>
        <v>10</v>
      </c>
      <c r="D104" s="625">
        <f>IF($C104&lt;=$E$2,PMT($D$2,$E$2,-1*'TCO Calculation'!E$59),0)</f>
        <v>0</v>
      </c>
      <c r="E104" s="625">
        <f>IF($C104&lt;=$E$2,PMT($D$2-$C$5,$E$2,-1*'TCO Calculation'!F$59+$B$5),0)</f>
        <v>0</v>
      </c>
      <c r="F104" s="625">
        <f>IF($C104&lt;=$E$2,PMT($D$2-$C$5,$E$2,-1*'TCO Calculation'!G$59+$B$5),0)</f>
        <v>0</v>
      </c>
      <c r="G104" s="625">
        <f>IF($C104&lt;=$E$2,PMT($D$2-$C$5,$E$2,-1*'TCO Calculation'!H$59+$B$5),0)</f>
        <v>0</v>
      </c>
      <c r="H104" s="625">
        <f>IF($C104&lt;=$E$2,PMT($D$2-$C$5,$E$2,-1*'TCO Calculation'!I$59+$B$5),0)</f>
        <v>0</v>
      </c>
      <c r="I104" s="625">
        <f>IF($C104&lt;=$E$2,PMT($D$2-$C$5,$E$2,-1*'TCO Calculation'!J$59+$B$5),0)</f>
        <v>0</v>
      </c>
      <c r="J104" s="627">
        <f>IF($C104&lt;=$E$2,PMT($D$2-$C$5,$E$2,-1*'TCO Calculation'!K$59+$B$5),0)</f>
        <v>0</v>
      </c>
      <c r="K104" s="452"/>
      <c r="L104" s="1157"/>
      <c r="M104" s="640">
        <f t="shared" si="49"/>
        <v>49763.779527559134</v>
      </c>
      <c r="N104" s="645">
        <f t="shared" si="49"/>
        <v>10</v>
      </c>
      <c r="O104" s="625">
        <f t="shared" si="50"/>
        <v>0</v>
      </c>
      <c r="P104" s="625">
        <f t="shared" si="51"/>
        <v>0</v>
      </c>
      <c r="Q104" s="625">
        <f t="shared" si="52"/>
        <v>0</v>
      </c>
      <c r="R104" s="625">
        <f t="shared" si="53"/>
        <v>0</v>
      </c>
      <c r="S104" s="625">
        <f t="shared" si="54"/>
        <v>0</v>
      </c>
      <c r="T104" s="625">
        <f t="shared" si="55"/>
        <v>0</v>
      </c>
      <c r="U104" s="627">
        <f t="shared" si="56"/>
        <v>0</v>
      </c>
      <c r="V104" s="452"/>
      <c r="W104" s="1157"/>
      <c r="X104" s="640">
        <f t="shared" si="57"/>
        <v>49763.779527559134</v>
      </c>
      <c r="Y104" s="645">
        <f t="shared" si="58"/>
        <v>10</v>
      </c>
      <c r="Z104" s="624">
        <f t="shared" si="75"/>
        <v>0</v>
      </c>
      <c r="AA104" s="625">
        <f t="shared" si="59"/>
        <v>0</v>
      </c>
      <c r="AB104" s="626">
        <f t="shared" si="60"/>
        <v>0</v>
      </c>
      <c r="AC104" s="625">
        <f t="shared" si="61"/>
        <v>0</v>
      </c>
      <c r="AD104" s="626">
        <f t="shared" si="62"/>
        <v>0</v>
      </c>
      <c r="AE104" s="625">
        <f t="shared" si="63"/>
        <v>0</v>
      </c>
      <c r="AF104" s="627">
        <f t="shared" si="64"/>
        <v>0</v>
      </c>
      <c r="AG104" s="452"/>
      <c r="AH104" s="1153"/>
      <c r="AI104" s="640">
        <f t="shared" si="65"/>
        <v>49763.779527559134</v>
      </c>
      <c r="AJ104" s="645">
        <f t="shared" si="66"/>
        <v>10</v>
      </c>
      <c r="AK104" s="624">
        <f t="shared" si="67"/>
        <v>0</v>
      </c>
      <c r="AL104" s="625">
        <f t="shared" ca="1" si="68"/>
        <v>320.46876365908065</v>
      </c>
      <c r="AM104" s="626">
        <f t="shared" si="69"/>
        <v>486.7599664202545</v>
      </c>
      <c r="AN104" s="625">
        <f t="shared" si="70"/>
        <v>749.81072137611227</v>
      </c>
      <c r="AO104" s="626">
        <f t="shared" si="71"/>
        <v>0</v>
      </c>
      <c r="AP104" s="625">
        <f t="shared" si="72"/>
        <v>155.54198320136902</v>
      </c>
      <c r="AQ104" s="627">
        <f t="shared" si="73"/>
        <v>619.32101058936951</v>
      </c>
      <c r="AR104" s="627">
        <f t="shared" si="74"/>
        <v>-2703.02380346166</v>
      </c>
      <c r="AS104" s="627">
        <f t="shared" ca="1" si="76"/>
        <v>-371.12135821547417</v>
      </c>
      <c r="AT104" s="452"/>
      <c r="AU104" s="452"/>
      <c r="AV104" s="688">
        <f t="shared" si="77"/>
        <v>2060</v>
      </c>
      <c r="AW104" s="669">
        <f t="shared" si="78"/>
        <v>44724.409448818951</v>
      </c>
      <c r="AX104" s="668"/>
      <c r="AY104" s="668"/>
      <c r="AZ104" s="668"/>
      <c r="BA104" s="668">
        <f>IF('TCO Calculation'!G$3="Lookup Table", VLOOKUP($AV104, 'Cost Projection'!$B$6:$X$49, BA$69, FALSE),'TCO Calculation'!$G$8)</f>
        <v>0.115</v>
      </c>
      <c r="BB104" s="668">
        <f>IF('TCO Calculation'!H$3="Lookup Table", VLOOKUP($AV104, 'Cost Projection'!$B$6:$X$49, BB$69, FALSE),'TCO Calculation'!$H$8)</f>
        <v>0.14950000000000002</v>
      </c>
      <c r="BC104" s="668">
        <f>IF('TCO Calculation'!F$3="Lookup Table", VLOOKUP($AV104, 'Cost Projection'!$B$6:$X$49, BC$69, FALSE),'TCO Calculation'!$F$8)</f>
        <v>4</v>
      </c>
      <c r="BD104" s="668">
        <f>IF('TCO Calculation'!F$3="Lookup Table", VLOOKUP($AV104, 'Cost Projection'!$B$6:$X$49, BD$69, FALSE),'TCO Calculation'!$F$8)</f>
        <v>4</v>
      </c>
      <c r="BE104" s="668">
        <f ca="1">IF('TCO Calculation'!M$3="Lookup Table", VLOOKUP($AV104, 'Cost Projection'!$B$6:$X$49, BE$69, FALSE),'TCO Calculation'!$M$8)</f>
        <v>3.9277108433735024</v>
      </c>
      <c r="BF104" s="452"/>
      <c r="BG104" s="452"/>
      <c r="BH104" s="452"/>
      <c r="BI104" s="452"/>
      <c r="BJ104" s="452"/>
      <c r="BK104" s="452"/>
      <c r="BL104" s="452"/>
      <c r="BM104" s="452"/>
      <c r="BN104" s="452"/>
      <c r="BO104" s="452"/>
      <c r="BP104" s="452"/>
      <c r="BQ104" s="452"/>
      <c r="BR104" s="452"/>
      <c r="BS104" s="452"/>
      <c r="BT104" s="452"/>
      <c r="BU104" s="452"/>
      <c r="BV104" s="452"/>
      <c r="BW104" s="452"/>
      <c r="BX104" s="452"/>
      <c r="BY104" s="452"/>
    </row>
    <row r="105" spans="1:77">
      <c r="A105" s="1157"/>
      <c r="B105" s="640">
        <f t="shared" si="47"/>
        <v>44724.409448818951</v>
      </c>
      <c r="C105" s="645">
        <f t="shared" si="48"/>
        <v>11</v>
      </c>
      <c r="D105" s="625">
        <f>IF($C105&lt;=$E$2,PMT($D$2,$E$2,-1*'TCO Calculation'!E$59),0)</f>
        <v>0</v>
      </c>
      <c r="E105" s="625">
        <f>IF($C105&lt;=$E$2,PMT($D$2-$C$5,$E$2,-1*'TCO Calculation'!F$59+$B$5),0)</f>
        <v>0</v>
      </c>
      <c r="F105" s="625">
        <f>IF($C105&lt;=$E$2,PMT($D$2-$C$5,$E$2,-1*'TCO Calculation'!G$59+$B$5),0)</f>
        <v>0</v>
      </c>
      <c r="G105" s="625">
        <f>IF($C105&lt;=$E$2,PMT($D$2-$C$5,$E$2,-1*'TCO Calculation'!H$59+$B$5),0)</f>
        <v>0</v>
      </c>
      <c r="H105" s="625">
        <f>IF($C105&lt;=$E$2,PMT($D$2-$C$5,$E$2,-1*'TCO Calculation'!I$59+$B$5),0)</f>
        <v>0</v>
      </c>
      <c r="I105" s="625">
        <f>IF($C105&lt;=$E$2,PMT($D$2-$C$5,$E$2,-1*'TCO Calculation'!J$59+$B$5),0)</f>
        <v>0</v>
      </c>
      <c r="J105" s="627">
        <f>IF($C105&lt;=$E$2,PMT($D$2-$C$5,$E$2,-1*'TCO Calculation'!K$59+$B$5),0)</f>
        <v>0</v>
      </c>
      <c r="K105" s="452"/>
      <c r="L105" s="1157"/>
      <c r="M105" s="640">
        <f t="shared" si="49"/>
        <v>44724.409448818951</v>
      </c>
      <c r="N105" s="645">
        <f t="shared" si="49"/>
        <v>11</v>
      </c>
      <c r="O105" s="625">
        <f t="shared" si="50"/>
        <v>0</v>
      </c>
      <c r="P105" s="625">
        <f t="shared" si="51"/>
        <v>0</v>
      </c>
      <c r="Q105" s="625">
        <f t="shared" si="52"/>
        <v>0</v>
      </c>
      <c r="R105" s="625">
        <f t="shared" si="53"/>
        <v>0</v>
      </c>
      <c r="S105" s="625">
        <f t="shared" si="54"/>
        <v>0</v>
      </c>
      <c r="T105" s="625">
        <f t="shared" si="55"/>
        <v>0</v>
      </c>
      <c r="U105" s="627">
        <f t="shared" si="56"/>
        <v>0</v>
      </c>
      <c r="V105" s="452"/>
      <c r="W105" s="1157"/>
      <c r="X105" s="640">
        <f t="shared" si="57"/>
        <v>44724.409448818951</v>
      </c>
      <c r="Y105" s="645">
        <f t="shared" si="58"/>
        <v>11</v>
      </c>
      <c r="Z105" s="624">
        <f t="shared" si="75"/>
        <v>0</v>
      </c>
      <c r="AA105" s="625">
        <f t="shared" si="59"/>
        <v>0</v>
      </c>
      <c r="AB105" s="626">
        <f t="shared" si="60"/>
        <v>0</v>
      </c>
      <c r="AC105" s="625">
        <f t="shared" si="61"/>
        <v>0</v>
      </c>
      <c r="AD105" s="626">
        <f t="shared" si="62"/>
        <v>0</v>
      </c>
      <c r="AE105" s="625">
        <f t="shared" si="63"/>
        <v>0</v>
      </c>
      <c r="AF105" s="627">
        <f t="shared" si="64"/>
        <v>0</v>
      </c>
      <c r="AG105" s="452"/>
      <c r="AH105" s="1153"/>
      <c r="AI105" s="640">
        <f t="shared" si="65"/>
        <v>44724.409448818951</v>
      </c>
      <c r="AJ105" s="645">
        <f t="shared" si="66"/>
        <v>11</v>
      </c>
      <c r="AK105" s="624">
        <f t="shared" si="67"/>
        <v>0</v>
      </c>
      <c r="AL105" s="625">
        <f t="shared" ca="1" si="68"/>
        <v>278.9114615476301</v>
      </c>
      <c r="AM105" s="626">
        <f t="shared" si="69"/>
        <v>415.33194633514745</v>
      </c>
      <c r="AN105" s="625">
        <f t="shared" si="70"/>
        <v>652.577810689746</v>
      </c>
      <c r="AO105" s="626">
        <f t="shared" si="71"/>
        <v>0</v>
      </c>
      <c r="AP105" s="625">
        <f t="shared" si="72"/>
        <v>150.62499002840696</v>
      </c>
      <c r="AQ105" s="627">
        <f t="shared" si="73"/>
        <v>539.00956292387207</v>
      </c>
      <c r="AR105" s="627">
        <f t="shared" si="74"/>
        <v>-2306.3773003729302</v>
      </c>
      <c r="AS105" s="627">
        <f t="shared" ca="1" si="76"/>
        <v>-269.92152884812776</v>
      </c>
      <c r="AT105" s="452"/>
      <c r="AU105" s="452"/>
      <c r="AV105" s="688">
        <f t="shared" si="77"/>
        <v>2061</v>
      </c>
      <c r="AW105" s="669">
        <f t="shared" si="78"/>
        <v>39685.039370078855</v>
      </c>
      <c r="AX105" s="668"/>
      <c r="AY105" s="668"/>
      <c r="AZ105" s="668"/>
      <c r="BA105" s="668">
        <f>IF('TCO Calculation'!G$3="Lookup Table", VLOOKUP($AV105, 'Cost Projection'!$B$6:$X$49, BA$69, FALSE),'TCO Calculation'!$G$8)</f>
        <v>0.115</v>
      </c>
      <c r="BB105" s="668">
        <f>IF('TCO Calculation'!H$3="Lookup Table", VLOOKUP($AV105, 'Cost Projection'!$B$6:$X$49, BB$69, FALSE),'TCO Calculation'!$H$8)</f>
        <v>0.14950000000000002</v>
      </c>
      <c r="BC105" s="668">
        <f>IF('TCO Calculation'!F$3="Lookup Table", VLOOKUP($AV105, 'Cost Projection'!$B$6:$X$49, BC$69, FALSE),'TCO Calculation'!$F$8)</f>
        <v>4</v>
      </c>
      <c r="BD105" s="668">
        <f>IF('TCO Calculation'!F$3="Lookup Table", VLOOKUP($AV105, 'Cost Projection'!$B$6:$X$49, BD$69, FALSE),'TCO Calculation'!$F$8)</f>
        <v>4</v>
      </c>
      <c r="BE105" s="668">
        <f ca="1">IF('TCO Calculation'!M$3="Lookup Table", VLOOKUP($AV105, 'Cost Projection'!$B$6:$X$49, BE$69, FALSE),'TCO Calculation'!$M$8)</f>
        <v>3.9277108433735024</v>
      </c>
      <c r="BF105" s="452"/>
      <c r="BG105" s="452"/>
      <c r="BH105" s="452"/>
      <c r="BI105" s="452"/>
      <c r="BJ105" s="452"/>
      <c r="BK105" s="452"/>
      <c r="BL105" s="452"/>
      <c r="BM105" s="452"/>
      <c r="BN105" s="452"/>
      <c r="BO105" s="452"/>
      <c r="BP105" s="452"/>
      <c r="BQ105" s="452"/>
      <c r="BR105" s="452"/>
      <c r="BS105" s="452"/>
      <c r="BT105" s="452"/>
      <c r="BU105" s="452"/>
      <c r="BV105" s="452"/>
      <c r="BW105" s="452"/>
      <c r="BX105" s="452"/>
      <c r="BY105" s="452"/>
    </row>
    <row r="106" spans="1:77">
      <c r="A106" s="1157"/>
      <c r="B106" s="640">
        <f t="shared" si="47"/>
        <v>39685.039370078855</v>
      </c>
      <c r="C106" s="645">
        <f t="shared" si="48"/>
        <v>12</v>
      </c>
      <c r="D106" s="625">
        <f>IF($C106&lt;=$E$2,PMT($D$2,$E$2,-1*'TCO Calculation'!E$59),0)</f>
        <v>0</v>
      </c>
      <c r="E106" s="625">
        <f>IF($C106&lt;=$E$2,PMT($D$2-$C$5,$E$2,-1*'TCO Calculation'!F$59+$B$5),0)</f>
        <v>0</v>
      </c>
      <c r="F106" s="625">
        <f>IF($C106&lt;=$E$2,PMT($D$2-$C$5,$E$2,-1*'TCO Calculation'!G$59+$B$5),0)</f>
        <v>0</v>
      </c>
      <c r="G106" s="625">
        <f>IF($C106&lt;=$E$2,PMT($D$2-$C$5,$E$2,-1*'TCO Calculation'!H$59+$B$5),0)</f>
        <v>0</v>
      </c>
      <c r="H106" s="625">
        <f>IF($C106&lt;=$E$2,PMT($D$2-$C$5,$E$2,-1*'TCO Calculation'!I$59+$B$5),0)</f>
        <v>0</v>
      </c>
      <c r="I106" s="625">
        <f>IF($C106&lt;=$E$2,PMT($D$2-$C$5,$E$2,-1*'TCO Calculation'!J$59+$B$5),0)</f>
        <v>0</v>
      </c>
      <c r="J106" s="627">
        <f>IF($C106&lt;=$E$2,PMT($D$2-$C$5,$E$2,-1*'TCO Calculation'!K$59+$B$5),0)</f>
        <v>0</v>
      </c>
      <c r="K106" s="452"/>
      <c r="L106" s="1157"/>
      <c r="M106" s="640">
        <f t="shared" si="49"/>
        <v>39685.039370078855</v>
      </c>
      <c r="N106" s="645">
        <f t="shared" si="49"/>
        <v>12</v>
      </c>
      <c r="O106" s="625">
        <f t="shared" si="50"/>
        <v>0</v>
      </c>
      <c r="P106" s="625">
        <f t="shared" si="51"/>
        <v>0</v>
      </c>
      <c r="Q106" s="625">
        <f t="shared" si="52"/>
        <v>0</v>
      </c>
      <c r="R106" s="625">
        <f t="shared" si="53"/>
        <v>0</v>
      </c>
      <c r="S106" s="625">
        <f t="shared" si="54"/>
        <v>0</v>
      </c>
      <c r="T106" s="625">
        <f t="shared" si="55"/>
        <v>0</v>
      </c>
      <c r="U106" s="627">
        <f t="shared" si="56"/>
        <v>0</v>
      </c>
      <c r="V106" s="452"/>
      <c r="W106" s="1157"/>
      <c r="X106" s="640">
        <f t="shared" si="57"/>
        <v>39685.039370078855</v>
      </c>
      <c r="Y106" s="645">
        <f t="shared" si="58"/>
        <v>12</v>
      </c>
      <c r="Z106" s="624">
        <f t="shared" si="75"/>
        <v>0</v>
      </c>
      <c r="AA106" s="625">
        <f t="shared" si="59"/>
        <v>0</v>
      </c>
      <c r="AB106" s="626">
        <f t="shared" si="60"/>
        <v>0</v>
      </c>
      <c r="AC106" s="625">
        <f t="shared" si="61"/>
        <v>0</v>
      </c>
      <c r="AD106" s="626">
        <f t="shared" si="62"/>
        <v>0</v>
      </c>
      <c r="AE106" s="625">
        <f t="shared" si="63"/>
        <v>0</v>
      </c>
      <c r="AF106" s="627">
        <f t="shared" si="64"/>
        <v>0</v>
      </c>
      <c r="AG106" s="452"/>
      <c r="AH106" s="1153"/>
      <c r="AI106" s="640">
        <f t="shared" si="65"/>
        <v>39685.039370078855</v>
      </c>
      <c r="AJ106" s="645">
        <f t="shared" si="66"/>
        <v>12</v>
      </c>
      <c r="AK106" s="624">
        <f t="shared" si="67"/>
        <v>0</v>
      </c>
      <c r="AL106" s="625">
        <f t="shared" ca="1" si="68"/>
        <v>239.66132792657208</v>
      </c>
      <c r="AM106" s="626">
        <f t="shared" si="69"/>
        <v>349.88616113503025</v>
      </c>
      <c r="AN106" s="625">
        <f t="shared" si="70"/>
        <v>560.74305379025418</v>
      </c>
      <c r="AO106" s="626">
        <f t="shared" si="71"/>
        <v>0</v>
      </c>
      <c r="AP106" s="625">
        <f t="shared" si="72"/>
        <v>145.8634328436292</v>
      </c>
      <c r="AQ106" s="627">
        <f t="shared" si="73"/>
        <v>463.15682725500807</v>
      </c>
      <c r="AR106" s="627">
        <f t="shared" si="74"/>
        <v>-1942.9507093713519</v>
      </c>
      <c r="AS106" s="627">
        <f t="shared" ca="1" si="76"/>
        <v>-183.6399064208581</v>
      </c>
      <c r="AT106" s="452"/>
      <c r="AU106" s="452"/>
      <c r="AV106" s="688">
        <f t="shared" si="77"/>
        <v>2062</v>
      </c>
      <c r="AW106" s="669">
        <f t="shared" si="78"/>
        <v>34960.629921259933</v>
      </c>
      <c r="AX106" s="668"/>
      <c r="AY106" s="668"/>
      <c r="AZ106" s="668"/>
      <c r="BA106" s="668">
        <f>IF('TCO Calculation'!G$3="Lookup Table", VLOOKUP($AV106, 'Cost Projection'!$B$6:$X$49, BA$69, FALSE),'TCO Calculation'!$G$8)</f>
        <v>0.115</v>
      </c>
      <c r="BB106" s="668">
        <f>IF('TCO Calculation'!H$3="Lookup Table", VLOOKUP($AV106, 'Cost Projection'!$B$6:$X$49, BB$69, FALSE),'TCO Calculation'!$H$8)</f>
        <v>0.14950000000000002</v>
      </c>
      <c r="BC106" s="668">
        <f>IF('TCO Calculation'!F$3="Lookup Table", VLOOKUP($AV106, 'Cost Projection'!$B$6:$X$49, BC$69, FALSE),'TCO Calculation'!$F$8)</f>
        <v>4</v>
      </c>
      <c r="BD106" s="668">
        <f>IF('TCO Calculation'!F$3="Lookup Table", VLOOKUP($AV106, 'Cost Projection'!$B$6:$X$49, BD$69, FALSE),'TCO Calculation'!$F$8)</f>
        <v>4</v>
      </c>
      <c r="BE106" s="668">
        <f ca="1">IF('TCO Calculation'!M$3="Lookup Table", VLOOKUP($AV106, 'Cost Projection'!$B$6:$X$49, BE$69, FALSE),'TCO Calculation'!$M$8)</f>
        <v>3.9277108433735024</v>
      </c>
      <c r="BF106" s="452"/>
      <c r="BG106" s="452"/>
      <c r="BH106" s="452"/>
      <c r="BI106" s="452"/>
      <c r="BJ106" s="452"/>
      <c r="BK106" s="452"/>
      <c r="BL106" s="452"/>
      <c r="BM106" s="452"/>
      <c r="BN106" s="452"/>
      <c r="BO106" s="452"/>
      <c r="BP106" s="452"/>
      <c r="BQ106" s="452"/>
      <c r="BR106" s="452"/>
      <c r="BS106" s="452"/>
      <c r="BT106" s="452"/>
      <c r="BU106" s="452"/>
      <c r="BV106" s="452"/>
      <c r="BW106" s="452"/>
      <c r="BX106" s="452"/>
      <c r="BY106" s="452"/>
    </row>
    <row r="107" spans="1:77">
      <c r="A107" s="1157"/>
      <c r="B107" s="640">
        <f t="shared" si="47"/>
        <v>34960.629921259933</v>
      </c>
      <c r="C107" s="645">
        <f t="shared" si="48"/>
        <v>13</v>
      </c>
      <c r="D107" s="625">
        <f>IF($C107&lt;=$E$2,PMT($D$2,$E$2,-1*'TCO Calculation'!E$59),0)</f>
        <v>0</v>
      </c>
      <c r="E107" s="625">
        <f>IF($C107&lt;=$E$2,PMT($D$2-$C$5,$E$2,-1*'TCO Calculation'!F$59+$B$5),0)</f>
        <v>0</v>
      </c>
      <c r="F107" s="625">
        <f>IF($C107&lt;=$E$2,PMT($D$2-$C$5,$E$2,-1*'TCO Calculation'!G$59+$B$5),0)</f>
        <v>0</v>
      </c>
      <c r="G107" s="625">
        <f>IF($C107&lt;=$E$2,PMT($D$2-$C$5,$E$2,-1*'TCO Calculation'!H$59+$B$5),0)</f>
        <v>0</v>
      </c>
      <c r="H107" s="625">
        <f>IF($C107&lt;=$E$2,PMT($D$2-$C$5,$E$2,-1*'TCO Calculation'!I$59+$B$5),0)</f>
        <v>0</v>
      </c>
      <c r="I107" s="625">
        <f>IF($C107&lt;=$E$2,PMT($D$2-$C$5,$E$2,-1*'TCO Calculation'!J$59+$B$5),0)</f>
        <v>0</v>
      </c>
      <c r="J107" s="627">
        <f>IF($C107&lt;=$E$2,PMT($D$2-$C$5,$E$2,-1*'TCO Calculation'!K$59+$B$5),0)</f>
        <v>0</v>
      </c>
      <c r="K107" s="452"/>
      <c r="L107" s="1157"/>
      <c r="M107" s="640">
        <f t="shared" si="49"/>
        <v>34960.629921259933</v>
      </c>
      <c r="N107" s="645">
        <f t="shared" si="49"/>
        <v>13</v>
      </c>
      <c r="O107" s="625">
        <f t="shared" si="50"/>
        <v>0</v>
      </c>
      <c r="P107" s="625">
        <f t="shared" si="51"/>
        <v>0</v>
      </c>
      <c r="Q107" s="625">
        <f t="shared" si="52"/>
        <v>0</v>
      </c>
      <c r="R107" s="625">
        <f t="shared" si="53"/>
        <v>0</v>
      </c>
      <c r="S107" s="625">
        <f t="shared" si="54"/>
        <v>0</v>
      </c>
      <c r="T107" s="625">
        <f t="shared" si="55"/>
        <v>0</v>
      </c>
      <c r="U107" s="627">
        <f t="shared" si="56"/>
        <v>0</v>
      </c>
      <c r="V107" s="452"/>
      <c r="W107" s="1157"/>
      <c r="X107" s="640">
        <f t="shared" si="57"/>
        <v>34960.629921259933</v>
      </c>
      <c r="Y107" s="645">
        <f t="shared" si="58"/>
        <v>13</v>
      </c>
      <c r="Z107" s="624">
        <f t="shared" si="75"/>
        <v>0</v>
      </c>
      <c r="AA107" s="625">
        <f t="shared" si="59"/>
        <v>0</v>
      </c>
      <c r="AB107" s="626">
        <f t="shared" si="60"/>
        <v>0</v>
      </c>
      <c r="AC107" s="625">
        <f t="shared" si="61"/>
        <v>0</v>
      </c>
      <c r="AD107" s="626">
        <f t="shared" si="62"/>
        <v>0</v>
      </c>
      <c r="AE107" s="625">
        <f t="shared" si="63"/>
        <v>0</v>
      </c>
      <c r="AF107" s="627">
        <f t="shared" si="64"/>
        <v>0</v>
      </c>
      <c r="AG107" s="452"/>
      <c r="AH107" s="1153"/>
      <c r="AI107" s="640">
        <f t="shared" si="65"/>
        <v>34960.629921259933</v>
      </c>
      <c r="AJ107" s="645">
        <f t="shared" si="66"/>
        <v>13</v>
      </c>
      <c r="AK107" s="624">
        <f t="shared" si="67"/>
        <v>0</v>
      </c>
      <c r="AL107" s="625">
        <f t="shared" ca="1" si="68"/>
        <v>204.4559690248052</v>
      </c>
      <c r="AM107" s="626">
        <f t="shared" si="69"/>
        <v>292.63645455045508</v>
      </c>
      <c r="AN107" s="625">
        <f t="shared" si="70"/>
        <v>478.37198194837902</v>
      </c>
      <c r="AO107" s="626">
        <f t="shared" si="71"/>
        <v>0</v>
      </c>
      <c r="AP107" s="625">
        <f t="shared" si="72"/>
        <v>141.25239800457666</v>
      </c>
      <c r="AQ107" s="627">
        <f t="shared" si="73"/>
        <v>395.12080962803424</v>
      </c>
      <c r="AR107" s="627">
        <f t="shared" si="74"/>
        <v>-1625.0377125870227</v>
      </c>
      <c r="AS107" s="627">
        <f t="shared" ca="1" si="76"/>
        <v>-113.20009943077253</v>
      </c>
      <c r="AT107" s="452"/>
      <c r="AU107" s="452"/>
      <c r="AV107" s="688">
        <f t="shared" si="77"/>
        <v>2063</v>
      </c>
      <c r="AW107" s="669">
        <f t="shared" si="78"/>
        <v>31496.062992126026</v>
      </c>
      <c r="AX107" s="668"/>
      <c r="AY107" s="668"/>
      <c r="AZ107" s="668"/>
      <c r="BA107" s="668">
        <f>IF('TCO Calculation'!G$3="Lookup Table", VLOOKUP($AV107, 'Cost Projection'!$B$6:$X$49, BA$69, FALSE),'TCO Calculation'!$G$8)</f>
        <v>0.115</v>
      </c>
      <c r="BB107" s="668">
        <f>IF('TCO Calculation'!H$3="Lookup Table", VLOOKUP($AV107, 'Cost Projection'!$B$6:$X$49, BB$69, FALSE),'TCO Calculation'!$H$8)</f>
        <v>0.14950000000000002</v>
      </c>
      <c r="BC107" s="668">
        <f>IF('TCO Calculation'!F$3="Lookup Table", VLOOKUP($AV107, 'Cost Projection'!$B$6:$X$49, BC$69, FALSE),'TCO Calculation'!$F$8)</f>
        <v>4</v>
      </c>
      <c r="BD107" s="668">
        <f>IF('TCO Calculation'!F$3="Lookup Table", VLOOKUP($AV107, 'Cost Projection'!$B$6:$X$49, BD$69, FALSE),'TCO Calculation'!$F$8)</f>
        <v>4</v>
      </c>
      <c r="BE107" s="668">
        <f ca="1">IF('TCO Calculation'!M$3="Lookup Table", VLOOKUP($AV107, 'Cost Projection'!$B$6:$X$49, BE$69, FALSE),'TCO Calculation'!$M$8)</f>
        <v>3.9277108433735024</v>
      </c>
      <c r="BF107" s="452"/>
      <c r="BG107" s="452"/>
      <c r="BH107" s="452"/>
      <c r="BI107" s="452"/>
      <c r="BJ107" s="452"/>
      <c r="BK107" s="452"/>
      <c r="BL107" s="452"/>
      <c r="BM107" s="452"/>
      <c r="BN107" s="452"/>
      <c r="BO107" s="452"/>
      <c r="BP107" s="452"/>
      <c r="BQ107" s="452"/>
      <c r="BR107" s="452"/>
      <c r="BS107" s="452"/>
      <c r="BT107" s="452"/>
      <c r="BU107" s="452"/>
      <c r="BV107" s="452"/>
      <c r="BW107" s="452"/>
      <c r="BX107" s="452"/>
      <c r="BY107" s="452"/>
    </row>
    <row r="108" spans="1:77" ht="15" thickBot="1">
      <c r="A108" s="1157"/>
      <c r="B108" s="640">
        <f t="shared" si="47"/>
        <v>31496.062992126026</v>
      </c>
      <c r="C108" s="645">
        <f t="shared" si="48"/>
        <v>14</v>
      </c>
      <c r="D108" s="625">
        <f>IF($C108&lt;=$E$2,PMT($D$2,$E$2,-1*'TCO Calculation'!E$59),0)</f>
        <v>0</v>
      </c>
      <c r="E108" s="625">
        <f>IF($C108&lt;=$E$2,PMT($D$2-$C$5,$E$2,-1*'TCO Calculation'!F$59+$B$5),0)</f>
        <v>0</v>
      </c>
      <c r="F108" s="625">
        <f>IF($C108&lt;=$E$2,PMT($D$2-$C$5,$E$2,-1*'TCO Calculation'!G$59+$B$5),0)</f>
        <v>0</v>
      </c>
      <c r="G108" s="625">
        <f>IF($C108&lt;=$E$2,PMT($D$2-$C$5,$E$2,-1*'TCO Calculation'!H$59+$B$5),0)</f>
        <v>0</v>
      </c>
      <c r="H108" s="625">
        <f>IF($C108&lt;=$E$2,PMT($D$2-$C$5,$E$2,-1*'TCO Calculation'!I$59+$B$5),0)</f>
        <v>0</v>
      </c>
      <c r="I108" s="625">
        <f>IF($C108&lt;=$E$2,PMT($D$2-$C$5,$E$2,-1*'TCO Calculation'!J$59+$B$5),0)</f>
        <v>0</v>
      </c>
      <c r="J108" s="627">
        <f>IF($C108&lt;=$E$2,PMT($D$2-$C$5,$E$2,-1*'TCO Calculation'!K$59+$B$5),0)</f>
        <v>0</v>
      </c>
      <c r="K108" s="452"/>
      <c r="L108" s="1157"/>
      <c r="M108" s="640">
        <f t="shared" si="49"/>
        <v>31496.062992126026</v>
      </c>
      <c r="N108" s="645">
        <f t="shared" si="49"/>
        <v>14</v>
      </c>
      <c r="O108" s="625">
        <f t="shared" si="50"/>
        <v>0</v>
      </c>
      <c r="P108" s="625">
        <f t="shared" si="51"/>
        <v>0</v>
      </c>
      <c r="Q108" s="625">
        <f t="shared" si="52"/>
        <v>0</v>
      </c>
      <c r="R108" s="625">
        <f t="shared" si="53"/>
        <v>0</v>
      </c>
      <c r="S108" s="625">
        <f t="shared" si="54"/>
        <v>0</v>
      </c>
      <c r="T108" s="625">
        <f t="shared" si="55"/>
        <v>0</v>
      </c>
      <c r="U108" s="627">
        <f t="shared" si="56"/>
        <v>0</v>
      </c>
      <c r="V108" s="452"/>
      <c r="W108" s="1157"/>
      <c r="X108" s="640">
        <f t="shared" si="57"/>
        <v>31496.062992126026</v>
      </c>
      <c r="Y108" s="645">
        <f t="shared" si="58"/>
        <v>14</v>
      </c>
      <c r="Z108" s="624">
        <f t="shared" si="75"/>
        <v>0</v>
      </c>
      <c r="AA108" s="625">
        <f t="shared" si="59"/>
        <v>0</v>
      </c>
      <c r="AB108" s="626">
        <f t="shared" si="60"/>
        <v>0</v>
      </c>
      <c r="AC108" s="625">
        <f t="shared" si="61"/>
        <v>0</v>
      </c>
      <c r="AD108" s="626">
        <f t="shared" si="62"/>
        <v>0</v>
      </c>
      <c r="AE108" s="625">
        <f t="shared" si="63"/>
        <v>0</v>
      </c>
      <c r="AF108" s="627">
        <f t="shared" si="64"/>
        <v>0</v>
      </c>
      <c r="AG108" s="452"/>
      <c r="AH108" s="1153"/>
      <c r="AI108" s="640">
        <f t="shared" si="65"/>
        <v>31496.062992126026</v>
      </c>
      <c r="AJ108" s="645">
        <f t="shared" si="66"/>
        <v>14</v>
      </c>
      <c r="AK108" s="624">
        <f t="shared" si="67"/>
        <v>0</v>
      </c>
      <c r="AL108" s="625">
        <f t="shared" ca="1" si="68"/>
        <v>178.37180804683976</v>
      </c>
      <c r="AM108" s="626">
        <f t="shared" si="69"/>
        <v>250.29644139657813</v>
      </c>
      <c r="AN108" s="625">
        <f t="shared" si="70"/>
        <v>417.34206022975422</v>
      </c>
      <c r="AO108" s="626">
        <f t="shared" si="71"/>
        <v>0</v>
      </c>
      <c r="AP108" s="625">
        <f t="shared" si="72"/>
        <v>136.78712719885561</v>
      </c>
      <c r="AQ108" s="627">
        <f t="shared" si="73"/>
        <v>344.71193747213732</v>
      </c>
      <c r="AR108" s="627">
        <f t="shared" si="74"/>
        <v>-1389.919643540647</v>
      </c>
      <c r="AS108" s="627">
        <f t="shared" ca="1" si="76"/>
        <v>-62.410269196481977</v>
      </c>
      <c r="AT108" s="452"/>
      <c r="AU108" s="452"/>
      <c r="AV108" s="688">
        <f t="shared" si="77"/>
        <v>2064</v>
      </c>
      <c r="AW108" s="671">
        <f t="shared" si="78"/>
        <v>27716.53543307096</v>
      </c>
      <c r="AX108" s="670"/>
      <c r="AY108" s="670"/>
      <c r="AZ108" s="670"/>
      <c r="BA108" s="670">
        <f>IF('TCO Calculation'!G$3="Lookup Table", VLOOKUP($AV108, 'Cost Projection'!$B$6:$X$49, BA$69, FALSE),'TCO Calculation'!$G$8)</f>
        <v>0.115</v>
      </c>
      <c r="BB108" s="670">
        <f>IF('TCO Calculation'!H$3="Lookup Table", VLOOKUP($AV108, 'Cost Projection'!$B$6:$X$49, BB$69, FALSE),'TCO Calculation'!$H$8)</f>
        <v>0.14950000000000002</v>
      </c>
      <c r="BC108" s="670">
        <f>IF('TCO Calculation'!F$3="Lookup Table", VLOOKUP($AV108, 'Cost Projection'!$B$6:$X$49, BC$69, FALSE),'TCO Calculation'!$F$8)</f>
        <v>4</v>
      </c>
      <c r="BD108" s="670">
        <f>IF('TCO Calculation'!F$3="Lookup Table", VLOOKUP($AV108, 'Cost Projection'!$B$6:$X$49, BD$69, FALSE),'TCO Calculation'!$F$8)</f>
        <v>4</v>
      </c>
      <c r="BE108" s="670">
        <f ca="1">IF('TCO Calculation'!M$3="Lookup Table", VLOOKUP($AV108, 'Cost Projection'!$B$6:$X$49, BE$69, FALSE),'TCO Calculation'!$M$8)</f>
        <v>3.9277108433735024</v>
      </c>
      <c r="BF108" s="452"/>
      <c r="BG108" s="452"/>
      <c r="BH108" s="452"/>
      <c r="BI108" s="452"/>
      <c r="BJ108" s="452"/>
      <c r="BK108" s="452"/>
      <c r="BL108" s="452"/>
      <c r="BM108" s="452"/>
      <c r="BN108" s="452"/>
      <c r="BO108" s="452"/>
      <c r="BP108" s="452"/>
      <c r="BQ108" s="452"/>
      <c r="BR108" s="452"/>
      <c r="BS108" s="452"/>
      <c r="BT108" s="452"/>
      <c r="BU108" s="452"/>
      <c r="BV108" s="452"/>
      <c r="BW108" s="452"/>
      <c r="BX108" s="452"/>
      <c r="BY108" s="452"/>
    </row>
    <row r="109" spans="1:77" ht="15" thickBot="1">
      <c r="A109" s="1157"/>
      <c r="B109" s="640">
        <f t="shared" si="47"/>
        <v>27716.53543307096</v>
      </c>
      <c r="C109" s="646">
        <f t="shared" si="48"/>
        <v>15</v>
      </c>
      <c r="D109" s="633">
        <f>IF($C109&lt;=$E$2,PMT($D$2,$E$2,-1*'TCO Calculation'!E$59),0)</f>
        <v>0</v>
      </c>
      <c r="E109" s="633">
        <f>IF($C109&lt;=$E$2,PMT($D$2-$C$5,$E$2,-1*'TCO Calculation'!F$59+$B$5),0)</f>
        <v>0</v>
      </c>
      <c r="F109" s="633">
        <f>IF($C109&lt;=$E$2,PMT($D$2-$C$5,$E$2,-1*'TCO Calculation'!G$59+$B$5),0)</f>
        <v>0</v>
      </c>
      <c r="G109" s="633">
        <f>IF($C109&lt;=$E$2,PMT($D$2-$C$5,$E$2,-1*'TCO Calculation'!H$59+$B$5),0)</f>
        <v>0</v>
      </c>
      <c r="H109" s="633">
        <f>IF($C109&lt;=$E$2,PMT($D$2-$C$5,$E$2,-1*'TCO Calculation'!I$59+$B$5),0)</f>
        <v>0</v>
      </c>
      <c r="I109" s="633">
        <f>IF($C109&lt;=$E$2,PMT($D$2-$C$5,$E$2,-1*'TCO Calculation'!J$59+$B$5),0)</f>
        <v>0</v>
      </c>
      <c r="J109" s="635">
        <f>IF($C109&lt;=$E$2,PMT($D$2-$C$5,$E$2,-1*'TCO Calculation'!K$59+$B$5),0)</f>
        <v>0</v>
      </c>
      <c r="K109" s="452"/>
      <c r="L109" s="1157"/>
      <c r="M109" s="640">
        <f t="shared" si="49"/>
        <v>27716.53543307096</v>
      </c>
      <c r="N109" s="646">
        <f t="shared" si="49"/>
        <v>15</v>
      </c>
      <c r="O109" s="633">
        <f t="shared" si="50"/>
        <v>0</v>
      </c>
      <c r="P109" s="633">
        <f t="shared" si="51"/>
        <v>0</v>
      </c>
      <c r="Q109" s="633">
        <f t="shared" si="52"/>
        <v>0</v>
      </c>
      <c r="R109" s="633">
        <f t="shared" si="53"/>
        <v>0</v>
      </c>
      <c r="S109" s="633">
        <f t="shared" si="54"/>
        <v>0</v>
      </c>
      <c r="T109" s="633">
        <f t="shared" si="55"/>
        <v>0</v>
      </c>
      <c r="U109" s="635">
        <f t="shared" si="56"/>
        <v>0</v>
      </c>
      <c r="V109" s="452"/>
      <c r="W109" s="1157"/>
      <c r="X109" s="640">
        <f t="shared" si="57"/>
        <v>27716.53543307096</v>
      </c>
      <c r="Y109" s="646">
        <f t="shared" si="58"/>
        <v>15</v>
      </c>
      <c r="Z109" s="624">
        <f t="shared" si="75"/>
        <v>0</v>
      </c>
      <c r="AA109" s="625">
        <f t="shared" si="59"/>
        <v>0</v>
      </c>
      <c r="AB109" s="626">
        <f t="shared" si="60"/>
        <v>0</v>
      </c>
      <c r="AC109" s="625">
        <f t="shared" si="61"/>
        <v>0</v>
      </c>
      <c r="AD109" s="626">
        <f t="shared" si="62"/>
        <v>0</v>
      </c>
      <c r="AE109" s="625">
        <f t="shared" si="63"/>
        <v>0</v>
      </c>
      <c r="AF109" s="627">
        <f t="shared" si="64"/>
        <v>0</v>
      </c>
      <c r="AG109" s="452"/>
      <c r="AH109" s="1153"/>
      <c r="AI109" s="640">
        <f t="shared" si="65"/>
        <v>27716.53543307096</v>
      </c>
      <c r="AJ109" s="646">
        <f t="shared" si="66"/>
        <v>15</v>
      </c>
      <c r="AK109" s="624">
        <f t="shared" si="67"/>
        <v>0</v>
      </c>
      <c r="AL109" s="625">
        <f t="shared" ca="1" si="68"/>
        <v>152.00514423676032</v>
      </c>
      <c r="AM109" s="626">
        <f t="shared" si="69"/>
        <v>209.11566848648235</v>
      </c>
      <c r="AN109" s="625">
        <f t="shared" si="70"/>
        <v>355.65115785915941</v>
      </c>
      <c r="AO109" s="626">
        <f t="shared" si="71"/>
        <v>0</v>
      </c>
      <c r="AP109" s="625">
        <f t="shared" si="72"/>
        <v>132.46301253384536</v>
      </c>
      <c r="AQ109" s="627">
        <f t="shared" si="73"/>
        <v>293.7571152601966</v>
      </c>
      <c r="AR109" s="627">
        <f t="shared" si="74"/>
        <v>-1161.2389444281935</v>
      </c>
      <c r="AS109" s="627">
        <f t="shared" ca="1" si="76"/>
        <v>-18.246846051749344</v>
      </c>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c r="BS109" s="452"/>
      <c r="BT109" s="452"/>
      <c r="BU109" s="452"/>
      <c r="BV109" s="452"/>
      <c r="BW109" s="452"/>
      <c r="BX109" s="452"/>
      <c r="BY109" s="452"/>
    </row>
    <row r="110" spans="1:77" ht="15" thickBot="1">
      <c r="A110" s="1158"/>
      <c r="B110" s="1150" t="s">
        <v>110</v>
      </c>
      <c r="C110" s="1151"/>
      <c r="D110" s="637">
        <f>SUM(D94:D109)</f>
        <v>147675.89642360058</v>
      </c>
      <c r="E110" s="637">
        <f t="shared" ref="E110:J110" si="79">SUM(E94:E109)</f>
        <v>171201.57246240764</v>
      </c>
      <c r="F110" s="637">
        <f t="shared" si="79"/>
        <v>179043.46447534332</v>
      </c>
      <c r="G110" s="637">
        <f t="shared" si="79"/>
        <v>164950.63743799072</v>
      </c>
      <c r="H110" s="637">
        <f t="shared" si="79"/>
        <v>232873.09835298421</v>
      </c>
      <c r="I110" s="637">
        <f t="shared" ca="1" si="79"/>
        <v>234010.12100039655</v>
      </c>
      <c r="J110" s="639">
        <f t="shared" ca="1" si="79"/>
        <v>168861.91699903429</v>
      </c>
      <c r="K110" s="452"/>
      <c r="L110" s="1158"/>
      <c r="M110" s="1150" t="s">
        <v>110</v>
      </c>
      <c r="N110" s="1151"/>
      <c r="O110" s="637">
        <f>SUM(O94:O109)</f>
        <v>134772.82276765615</v>
      </c>
      <c r="P110" s="637">
        <f t="shared" ref="P110:U110" si="80">SUM(P94:P109)</f>
        <v>156242.96003482855</v>
      </c>
      <c r="Q110" s="637">
        <f t="shared" si="80"/>
        <v>163399.67245721936</v>
      </c>
      <c r="R110" s="637">
        <f t="shared" si="80"/>
        <v>150538.1958953827</v>
      </c>
      <c r="S110" s="637">
        <f t="shared" si="80"/>
        <v>212525.98136703076</v>
      </c>
      <c r="T110" s="637">
        <f t="shared" ca="1" si="80"/>
        <v>213563.65749058002</v>
      </c>
      <c r="U110" s="639">
        <f t="shared" ca="1" si="80"/>
        <v>154107.73025976686</v>
      </c>
      <c r="V110" s="452"/>
      <c r="W110" s="1158"/>
      <c r="X110" s="1150" t="s">
        <v>110</v>
      </c>
      <c r="Y110" s="1151"/>
      <c r="Z110" s="636">
        <f t="shared" si="75"/>
        <v>0</v>
      </c>
      <c r="AA110" s="637">
        <f t="shared" si="59"/>
        <v>21470.137267172395</v>
      </c>
      <c r="AB110" s="638">
        <f t="shared" si="60"/>
        <v>28626.849689563212</v>
      </c>
      <c r="AC110" s="637">
        <f t="shared" si="61"/>
        <v>15765.373127726547</v>
      </c>
      <c r="AD110" s="638">
        <f t="shared" si="62"/>
        <v>77753.158599374612</v>
      </c>
      <c r="AE110" s="637">
        <f t="shared" ca="1" si="63"/>
        <v>78790.834722923872</v>
      </c>
      <c r="AF110" s="639">
        <f t="shared" ca="1" si="64"/>
        <v>19334.907492110709</v>
      </c>
      <c r="AG110" s="452"/>
      <c r="AH110" s="1154"/>
      <c r="AI110" s="1150" t="s">
        <v>110</v>
      </c>
      <c r="AJ110" s="1151"/>
      <c r="AK110" s="636">
        <f t="shared" si="67"/>
        <v>21470.137267172395</v>
      </c>
      <c r="AL110" s="637">
        <f t="shared" ca="1" si="68"/>
        <v>7332.662794536911</v>
      </c>
      <c r="AM110" s="638">
        <f t="shared" si="69"/>
        <v>12158.215108383969</v>
      </c>
      <c r="AN110" s="637">
        <f t="shared" si="70"/>
        <v>17156.45892224439</v>
      </c>
      <c r="AO110" s="638">
        <f t="shared" si="71"/>
        <v>0</v>
      </c>
      <c r="AP110" s="637">
        <f t="shared" si="72"/>
        <v>2511.9703978987527</v>
      </c>
      <c r="AQ110" s="639">
        <f t="shared" si="73"/>
        <v>14170.716922210595</v>
      </c>
      <c r="AR110" s="639">
        <f t="shared" si="74"/>
        <v>-67515.710232413127</v>
      </c>
      <c r="AS110" s="639">
        <f t="shared" ca="1" si="76"/>
        <v>7284.4511800338951</v>
      </c>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c r="BS110" s="452"/>
      <c r="BT110" s="452"/>
      <c r="BU110" s="452"/>
      <c r="BV110" s="452"/>
      <c r="BW110" s="452"/>
      <c r="BX110" s="452"/>
      <c r="BY110" s="452"/>
    </row>
    <row r="111" spans="1:77" ht="15" thickBot="1">
      <c r="A111" s="452"/>
      <c r="B111" s="452"/>
      <c r="C111" s="452"/>
      <c r="D111" s="452"/>
      <c r="E111" s="452"/>
      <c r="F111" s="452"/>
      <c r="G111" s="452"/>
      <c r="H111" s="452"/>
      <c r="I111" s="452"/>
      <c r="J111" s="452"/>
      <c r="K111" s="452"/>
      <c r="L111" s="452"/>
      <c r="M111" s="452"/>
      <c r="N111" s="452"/>
      <c r="O111" s="452"/>
      <c r="P111" s="452"/>
      <c r="Q111" s="452"/>
      <c r="R111" s="452"/>
      <c r="S111" s="452"/>
      <c r="T111" s="452"/>
      <c r="U111" s="452"/>
      <c r="V111" s="452"/>
      <c r="W111" s="452"/>
      <c r="X111" s="452"/>
      <c r="Y111" s="452"/>
      <c r="Z111" s="452"/>
      <c r="AA111" s="452"/>
      <c r="AB111" s="452"/>
      <c r="AC111" s="452"/>
      <c r="AD111" s="452"/>
      <c r="AE111" s="452"/>
      <c r="AF111" s="452"/>
      <c r="AG111" s="452"/>
      <c r="AH111" s="452"/>
      <c r="AI111" s="452"/>
      <c r="AJ111" s="452"/>
      <c r="AK111" s="452"/>
      <c r="AL111" s="452"/>
      <c r="AM111" s="452"/>
      <c r="AN111" s="452"/>
      <c r="AO111" s="452"/>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c r="BS111" s="452"/>
      <c r="BT111" s="452"/>
      <c r="BU111" s="452"/>
      <c r="BV111" s="452"/>
      <c r="BW111" s="452"/>
      <c r="BX111" s="452"/>
      <c r="BY111" s="452"/>
    </row>
    <row r="112" spans="1:77" ht="42.5" thickBot="1">
      <c r="A112" s="1156" t="s">
        <v>509</v>
      </c>
      <c r="B112" s="643" t="s">
        <v>487</v>
      </c>
      <c r="C112" s="644" t="s">
        <v>506</v>
      </c>
      <c r="D112" s="352" t="s">
        <v>454</v>
      </c>
      <c r="E112" s="609" t="s">
        <v>455</v>
      </c>
      <c r="F112" s="735" t="str">
        <f>F$51</f>
        <v>Mobile Carbon Capture  90%</v>
      </c>
      <c r="G112" s="622" t="str">
        <f>$G$51</f>
        <v>BEV 250 mile</v>
      </c>
      <c r="H112" s="736" t="s">
        <v>445</v>
      </c>
      <c r="I112" s="974" t="s">
        <v>414</v>
      </c>
      <c r="J112" s="623" t="s">
        <v>413</v>
      </c>
      <c r="K112" s="452"/>
      <c r="L112" s="1156" t="s">
        <v>509</v>
      </c>
      <c r="M112" s="643" t="s">
        <v>487</v>
      </c>
      <c r="N112" s="644" t="s">
        <v>506</v>
      </c>
      <c r="O112" s="352" t="s">
        <v>454</v>
      </c>
      <c r="P112" s="609" t="s">
        <v>455</v>
      </c>
      <c r="Q112" s="735" t="str">
        <f>Q$51</f>
        <v>Mobile Carbon Capture  90%</v>
      </c>
      <c r="R112" s="622" t="str">
        <f>$G$51</f>
        <v>BEV 250 mile</v>
      </c>
      <c r="S112" s="736" t="s">
        <v>445</v>
      </c>
      <c r="T112" s="974" t="s">
        <v>414</v>
      </c>
      <c r="U112" s="623" t="s">
        <v>413</v>
      </c>
      <c r="V112" s="452"/>
      <c r="W112" s="1152" t="s">
        <v>509</v>
      </c>
      <c r="X112" s="643" t="s">
        <v>487</v>
      </c>
      <c r="Y112" s="644" t="s">
        <v>506</v>
      </c>
      <c r="Z112" s="352" t="s">
        <v>454</v>
      </c>
      <c r="AA112" s="609" t="s">
        <v>552</v>
      </c>
      <c r="AB112" s="354" t="s">
        <v>553</v>
      </c>
      <c r="AC112" s="355" t="s">
        <v>523</v>
      </c>
      <c r="AD112" s="355" t="s">
        <v>445</v>
      </c>
      <c r="AE112" s="973" t="s">
        <v>414</v>
      </c>
      <c r="AF112" s="357" t="s">
        <v>413</v>
      </c>
      <c r="AG112" s="452"/>
      <c r="AH112" s="1152" t="s">
        <v>555</v>
      </c>
      <c r="AI112" s="643" t="s">
        <v>487</v>
      </c>
      <c r="AJ112" s="644" t="s">
        <v>506</v>
      </c>
      <c r="AK112" s="750" t="s">
        <v>558</v>
      </c>
      <c r="AL112" s="751" t="s">
        <v>559</v>
      </c>
      <c r="AM112" s="752" t="s">
        <v>560</v>
      </c>
      <c r="AN112" s="755" t="s">
        <v>561</v>
      </c>
      <c r="AO112" s="755" t="s">
        <v>562</v>
      </c>
      <c r="AP112" s="753" t="s">
        <v>563</v>
      </c>
      <c r="AQ112" s="754" t="s">
        <v>565</v>
      </c>
      <c r="AR112" s="754" t="s">
        <v>564</v>
      </c>
      <c r="AS112" s="756" t="s">
        <v>557</v>
      </c>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c r="BS112" s="452"/>
      <c r="BT112" s="452"/>
      <c r="BU112" s="452"/>
      <c r="BV112" s="452"/>
      <c r="BW112" s="452"/>
      <c r="BX112" s="452"/>
      <c r="BY112" s="452"/>
    </row>
    <row r="113" spans="1:77" ht="42.65" customHeight="1" thickBot="1">
      <c r="A113" s="1157"/>
      <c r="B113" s="640">
        <f t="shared" ref="B113:B128" si="81">M52</f>
        <v>0</v>
      </c>
      <c r="C113" s="645">
        <f t="shared" ref="C113:C128" si="82">N52</f>
        <v>0</v>
      </c>
      <c r="D113" s="626">
        <v>0</v>
      </c>
      <c r="E113" s="629">
        <v>0</v>
      </c>
      <c r="F113" s="626">
        <v>1</v>
      </c>
      <c r="G113" s="625">
        <v>0</v>
      </c>
      <c r="H113" s="626">
        <v>0</v>
      </c>
      <c r="I113" s="625">
        <v>0</v>
      </c>
      <c r="J113" s="627">
        <v>0</v>
      </c>
      <c r="K113" s="452"/>
      <c r="L113" s="1157"/>
      <c r="M113" s="640">
        <f t="shared" ref="M113:N128" si="83">M52</f>
        <v>0</v>
      </c>
      <c r="N113" s="645">
        <f t="shared" si="83"/>
        <v>0</v>
      </c>
      <c r="O113" s="633">
        <f t="shared" ref="O113:O128" si="84">D113*(1-$B$2)^MAX(0,($N113-1))</f>
        <v>0</v>
      </c>
      <c r="P113" s="633">
        <f t="shared" ref="P113:P128" si="85">E113*(1-$B$2)^MAX(0,($N113-1))</f>
        <v>0</v>
      </c>
      <c r="Q113" s="633">
        <f t="shared" ref="Q113:Q128" si="86">F113*(1-$B$2)^MAX(0,($N113-1))</f>
        <v>1</v>
      </c>
      <c r="R113" s="633">
        <f t="shared" ref="R113:R128" si="87">G113*(1-$B$2)^MAX(0,($N113-1))</f>
        <v>0</v>
      </c>
      <c r="S113" s="633">
        <f t="shared" ref="S113:S128" si="88">H113*(1-$B$2)^MAX(0,($N113-1))</f>
        <v>0</v>
      </c>
      <c r="T113" s="633">
        <f t="shared" ref="T113:T128" si="89">I113*(1-$B$2)^MAX(0,($N113-1))</f>
        <v>0</v>
      </c>
      <c r="U113" s="635">
        <f t="shared" ref="U113:U128" si="90">J113*(1-$B$2)^MAX(0,($N113-1))</f>
        <v>0</v>
      </c>
      <c r="V113" s="452"/>
      <c r="W113" s="1153"/>
      <c r="X113" s="640">
        <f t="shared" ref="X113:X128" si="91">M113</f>
        <v>0</v>
      </c>
      <c r="Y113" s="645">
        <f t="shared" ref="Y113:Y128" si="92">N113</f>
        <v>0</v>
      </c>
      <c r="Z113" s="624">
        <f>O113-$O113</f>
        <v>0</v>
      </c>
      <c r="AA113" s="629">
        <f t="shared" ref="AA113:AA129" si="93">P113-$O113</f>
        <v>0</v>
      </c>
      <c r="AB113" s="626">
        <f t="shared" ref="AB113:AB129" si="94">Q113-$O113</f>
        <v>1</v>
      </c>
      <c r="AC113" s="625">
        <f t="shared" ref="AC113:AC129" si="95">R113-$O113</f>
        <v>0</v>
      </c>
      <c r="AD113" s="626">
        <f t="shared" ref="AD113:AD129" si="96">S113-$O113</f>
        <v>0</v>
      </c>
      <c r="AE113" s="625">
        <f t="shared" ref="AE113:AE129" si="97">T113-$O113</f>
        <v>0</v>
      </c>
      <c r="AF113" s="627">
        <f t="shared" ref="AF113:AF129" si="98">U113-$O113</f>
        <v>0</v>
      </c>
      <c r="AG113" s="452"/>
      <c r="AH113" s="1153"/>
      <c r="AI113" s="640">
        <f t="shared" ref="AI113:AJ128" si="99">AI94</f>
        <v>0</v>
      </c>
      <c r="AJ113" s="645">
        <f t="shared" si="99"/>
        <v>0</v>
      </c>
      <c r="AK113" s="624">
        <f>AK94</f>
        <v>2160</v>
      </c>
      <c r="AL113" s="629">
        <f t="shared" ref="AL113:AS113" si="100">AL94</f>
        <v>0</v>
      </c>
      <c r="AM113" s="626">
        <f t="shared" si="100"/>
        <v>0</v>
      </c>
      <c r="AN113" s="625">
        <f t="shared" si="100"/>
        <v>0</v>
      </c>
      <c r="AO113" s="626">
        <f t="shared" si="100"/>
        <v>0</v>
      </c>
      <c r="AP113" s="625">
        <f t="shared" si="100"/>
        <v>0</v>
      </c>
      <c r="AQ113" s="627">
        <f t="shared" si="100"/>
        <v>0</v>
      </c>
      <c r="AR113" s="627">
        <f t="shared" si="100"/>
        <v>0</v>
      </c>
      <c r="AS113" s="627">
        <f t="shared" si="100"/>
        <v>2160</v>
      </c>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c r="BS113" s="452"/>
      <c r="BT113" s="452"/>
      <c r="BU113" s="452"/>
      <c r="BV113" s="452"/>
      <c r="BW113" s="452"/>
      <c r="BX113" s="452"/>
      <c r="BY113" s="452"/>
    </row>
    <row r="114" spans="1:77">
      <c r="A114" s="1157"/>
      <c r="B114" s="640">
        <f t="shared" si="81"/>
        <v>101417.32283464503</v>
      </c>
      <c r="C114" s="645">
        <f t="shared" si="82"/>
        <v>1</v>
      </c>
      <c r="D114" s="630">
        <f t="shared" ref="D114:D128" ca="1" si="101">AX52*(1+$A$2)^($C114-1)*1.04</f>
        <v>25354.288597300409</v>
      </c>
      <c r="E114" s="629">
        <f t="shared" ref="E114:E128" ca="1" si="102">AY52*(1+$A$2)^($C114-1)*1.04</f>
        <v>26226.335607264409</v>
      </c>
      <c r="F114" s="630">
        <f t="shared" ref="F114:F128" ca="1" si="103">AZ52*(1+$A$2)^($C114-1)*1.04</f>
        <v>31399.985687734312</v>
      </c>
      <c r="G114" s="629">
        <f>BA52*(1+$A$2)^($C114-1)</f>
        <v>31452.144580599164</v>
      </c>
      <c r="H114" s="630">
        <f t="shared" ref="H114:J128" si="104">BB52*(1+$A$2)^($C114-1)</f>
        <v>29606.867549761588</v>
      </c>
      <c r="I114" s="629">
        <f t="shared" si="104"/>
        <v>41866.702721870352</v>
      </c>
      <c r="J114" s="631">
        <f t="shared" si="104"/>
        <v>47327.576989940397</v>
      </c>
      <c r="K114" s="452"/>
      <c r="L114" s="1157"/>
      <c r="M114" s="640">
        <f t="shared" si="83"/>
        <v>101417.32283464503</v>
      </c>
      <c r="N114" s="645">
        <f t="shared" si="83"/>
        <v>1</v>
      </c>
      <c r="O114" s="629">
        <f t="shared" ca="1" si="84"/>
        <v>25354.288597300409</v>
      </c>
      <c r="P114" s="629">
        <f t="shared" ca="1" si="85"/>
        <v>26226.335607264409</v>
      </c>
      <c r="Q114" s="629">
        <f t="shared" ca="1" si="86"/>
        <v>31399.985687734312</v>
      </c>
      <c r="R114" s="629">
        <f t="shared" si="87"/>
        <v>31452.144580599164</v>
      </c>
      <c r="S114" s="629">
        <f t="shared" si="88"/>
        <v>29606.867549761588</v>
      </c>
      <c r="T114" s="629">
        <f t="shared" si="89"/>
        <v>41866.702721870352</v>
      </c>
      <c r="U114" s="631">
        <f t="shared" si="90"/>
        <v>47327.576989940397</v>
      </c>
      <c r="V114" s="452"/>
      <c r="W114" s="1153"/>
      <c r="X114" s="640">
        <f t="shared" si="91"/>
        <v>101417.32283464503</v>
      </c>
      <c r="Y114" s="645">
        <f t="shared" si="92"/>
        <v>1</v>
      </c>
      <c r="Z114" s="628">
        <f t="shared" ref="Z114:Z129" ca="1" si="105">O114-$O114</f>
        <v>0</v>
      </c>
      <c r="AA114" s="629">
        <f t="shared" ca="1" si="93"/>
        <v>872.04700996400061</v>
      </c>
      <c r="AB114" s="630">
        <f t="shared" ca="1" si="94"/>
        <v>6045.6970904339032</v>
      </c>
      <c r="AC114" s="629">
        <f t="shared" ca="1" si="95"/>
        <v>6097.8559832987557</v>
      </c>
      <c r="AD114" s="630">
        <f t="shared" ca="1" si="96"/>
        <v>4252.5789524611791</v>
      </c>
      <c r="AE114" s="629">
        <f t="shared" ca="1" si="97"/>
        <v>16512.414124569943</v>
      </c>
      <c r="AF114" s="631">
        <f t="shared" ca="1" si="98"/>
        <v>21973.288392639988</v>
      </c>
      <c r="AG114" s="452"/>
      <c r="AH114" s="1153"/>
      <c r="AI114" s="640">
        <f t="shared" si="99"/>
        <v>101417.32283464503</v>
      </c>
      <c r="AJ114" s="645">
        <f t="shared" si="99"/>
        <v>1</v>
      </c>
      <c r="AK114" s="628">
        <f>AK113+AK95</f>
        <v>6433.1352077614138</v>
      </c>
      <c r="AL114" s="629">
        <f t="shared" ref="AL114:AS128" ca="1" si="106">AL113+AL95</f>
        <v>872.04700996400061</v>
      </c>
      <c r="AM114" s="630">
        <f t="shared" si="106"/>
        <v>1582.9623692178043</v>
      </c>
      <c r="AN114" s="629">
        <f t="shared" si="106"/>
        <v>2040.3554784845965</v>
      </c>
      <c r="AO114" s="630">
        <f t="shared" si="106"/>
        <v>0</v>
      </c>
      <c r="AP114" s="629">
        <f t="shared" si="106"/>
        <v>207.68400000000111</v>
      </c>
      <c r="AQ114" s="631">
        <f t="shared" si="106"/>
        <v>1685.2720038165251</v>
      </c>
      <c r="AR114" s="631">
        <f t="shared" si="106"/>
        <v>-8790.3386867391073</v>
      </c>
      <c r="AS114" s="631">
        <f t="shared" ca="1" si="106"/>
        <v>4031.1173825052338</v>
      </c>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c r="BS114" s="452"/>
      <c r="BT114" s="452"/>
      <c r="BU114" s="452"/>
      <c r="BV114" s="452"/>
      <c r="BW114" s="452"/>
      <c r="BX114" s="452"/>
      <c r="BY114" s="452"/>
    </row>
    <row r="115" spans="1:77">
      <c r="A115" s="1157"/>
      <c r="B115" s="640">
        <f t="shared" si="81"/>
        <v>112755.90551181062</v>
      </c>
      <c r="C115" s="645">
        <f t="shared" si="82"/>
        <v>2</v>
      </c>
      <c r="D115" s="626">
        <f t="shared" ca="1" si="101"/>
        <v>28752.242328032258</v>
      </c>
      <c r="E115" s="625">
        <f t="shared" ca="1" si="102"/>
        <v>29741.176135977774</v>
      </c>
      <c r="F115" s="626">
        <f t="shared" ca="1" si="103"/>
        <v>35608.288134065937</v>
      </c>
      <c r="G115" s="625">
        <f t="shared" ref="G115:G128" si="107">BA53*(1+$A$2)^($C115-1)</f>
        <v>35667.90408401125</v>
      </c>
      <c r="H115" s="626">
        <f t="shared" si="104"/>
        <v>33575.291162953326</v>
      </c>
      <c r="I115" s="625">
        <f t="shared" si="104"/>
        <v>47478.401136391978</v>
      </c>
      <c r="J115" s="627">
        <f t="shared" si="104"/>
        <v>53671.23606722572</v>
      </c>
      <c r="K115" s="452"/>
      <c r="L115" s="1157"/>
      <c r="M115" s="640">
        <f t="shared" si="83"/>
        <v>112755.90551181062</v>
      </c>
      <c r="N115" s="645">
        <f t="shared" si="83"/>
        <v>2</v>
      </c>
      <c r="O115" s="625">
        <f t="shared" ca="1" si="84"/>
        <v>27297.378866233827</v>
      </c>
      <c r="P115" s="625">
        <f t="shared" ca="1" si="85"/>
        <v>28236.272623497298</v>
      </c>
      <c r="Q115" s="625">
        <f t="shared" ca="1" si="86"/>
        <v>33806.508754482202</v>
      </c>
      <c r="R115" s="625">
        <f t="shared" si="87"/>
        <v>33863.108137360279</v>
      </c>
      <c r="S115" s="625">
        <f t="shared" si="88"/>
        <v>31876.381430107889</v>
      </c>
      <c r="T115" s="625">
        <f t="shared" si="89"/>
        <v>45075.994038890545</v>
      </c>
      <c r="U115" s="627">
        <f t="shared" si="90"/>
        <v>50955.471522224099</v>
      </c>
      <c r="V115" s="452"/>
      <c r="W115" s="1153"/>
      <c r="X115" s="640">
        <f t="shared" si="91"/>
        <v>112755.90551181062</v>
      </c>
      <c r="Y115" s="645">
        <f t="shared" si="92"/>
        <v>2</v>
      </c>
      <c r="Z115" s="624">
        <f t="shared" ca="1" si="105"/>
        <v>0</v>
      </c>
      <c r="AA115" s="625">
        <f t="shared" ca="1" si="93"/>
        <v>938.89375726347134</v>
      </c>
      <c r="AB115" s="626">
        <f t="shared" ca="1" si="94"/>
        <v>6509.1298882483752</v>
      </c>
      <c r="AC115" s="625">
        <f t="shared" ca="1" si="95"/>
        <v>6565.7292711264527</v>
      </c>
      <c r="AD115" s="626">
        <f t="shared" ca="1" si="96"/>
        <v>4579.0025638740626</v>
      </c>
      <c r="AE115" s="625">
        <f t="shared" ca="1" si="97"/>
        <v>17778.615172656719</v>
      </c>
      <c r="AF115" s="627">
        <f t="shared" ca="1" si="98"/>
        <v>23658.092655990273</v>
      </c>
      <c r="AG115" s="452"/>
      <c r="AH115" s="1153"/>
      <c r="AI115" s="640">
        <f t="shared" si="99"/>
        <v>112755.90551181062</v>
      </c>
      <c r="AJ115" s="645">
        <f t="shared" si="99"/>
        <v>2</v>
      </c>
      <c r="AK115" s="624">
        <f t="shared" ref="AK115:AK128" si="108">AK114+AK96</f>
        <v>10490.049774010102</v>
      </c>
      <c r="AL115" s="625">
        <f t="shared" ca="1" si="106"/>
        <v>1810.940767227472</v>
      </c>
      <c r="AM115" s="626">
        <f t="shared" si="106"/>
        <v>3253.8489575844774</v>
      </c>
      <c r="AN115" s="625">
        <f t="shared" si="106"/>
        <v>4237.1143681533867</v>
      </c>
      <c r="AO115" s="626">
        <f t="shared" si="106"/>
        <v>0</v>
      </c>
      <c r="AP115" s="625">
        <f t="shared" si="106"/>
        <v>408.80269339200186</v>
      </c>
      <c r="AQ115" s="627">
        <f t="shared" si="106"/>
        <v>3499.7285016830265</v>
      </c>
      <c r="AR115" s="627">
        <f t="shared" si="106"/>
        <v>-18068.928819068504</v>
      </c>
      <c r="AS115" s="627">
        <f t="shared" ca="1" si="106"/>
        <v>5631.556242981962</v>
      </c>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c r="BS115" s="452"/>
      <c r="BT115" s="452"/>
      <c r="BU115" s="452"/>
      <c r="BV115" s="452"/>
      <c r="BW115" s="452"/>
      <c r="BX115" s="452"/>
      <c r="BY115" s="452"/>
    </row>
    <row r="116" spans="1:77">
      <c r="A116" s="1157"/>
      <c r="B116" s="640">
        <f t="shared" si="81"/>
        <v>107086.61417322783</v>
      </c>
      <c r="C116" s="645">
        <f t="shared" si="82"/>
        <v>3</v>
      </c>
      <c r="D116" s="626">
        <f t="shared" ca="1" si="101"/>
        <v>27852.944515612122</v>
      </c>
      <c r="E116" s="625">
        <f t="shared" ca="1" si="102"/>
        <v>28810.939612247614</v>
      </c>
      <c r="F116" s="626">
        <f t="shared" ca="1" si="103"/>
        <v>34494.499503133025</v>
      </c>
      <c r="G116" s="625">
        <f t="shared" si="107"/>
        <v>34552.036693673428</v>
      </c>
      <c r="H116" s="626">
        <f t="shared" si="104"/>
        <v>32524.890992492175</v>
      </c>
      <c r="I116" s="625">
        <f t="shared" si="104"/>
        <v>45993.043335476868</v>
      </c>
      <c r="J116" s="627">
        <f t="shared" si="104"/>
        <v>51992.135944452115</v>
      </c>
      <c r="K116" s="452"/>
      <c r="L116" s="1157"/>
      <c r="M116" s="640">
        <f t="shared" si="83"/>
        <v>107086.61417322783</v>
      </c>
      <c r="N116" s="645">
        <f t="shared" si="83"/>
        <v>3</v>
      </c>
      <c r="O116" s="625">
        <f t="shared" ca="1" si="84"/>
        <v>25105.54009565217</v>
      </c>
      <c r="P116" s="625">
        <f t="shared" ca="1" si="85"/>
        <v>25969.038900833773</v>
      </c>
      <c r="Q116" s="625">
        <f t="shared" ca="1" si="86"/>
        <v>31091.974490163808</v>
      </c>
      <c r="R116" s="625">
        <f t="shared" si="87"/>
        <v>31143.836232942693</v>
      </c>
      <c r="S116" s="625">
        <f t="shared" si="88"/>
        <v>29316.647453953508</v>
      </c>
      <c r="T116" s="625">
        <f t="shared" si="89"/>
        <v>41456.306098361034</v>
      </c>
      <c r="U116" s="627">
        <f t="shared" si="90"/>
        <v>46863.6503720603</v>
      </c>
      <c r="V116" s="452"/>
      <c r="W116" s="1153"/>
      <c r="X116" s="640">
        <f t="shared" si="91"/>
        <v>107086.61417322783</v>
      </c>
      <c r="Y116" s="645">
        <f t="shared" si="92"/>
        <v>3</v>
      </c>
      <c r="Z116" s="624">
        <f t="shared" ca="1" si="105"/>
        <v>0</v>
      </c>
      <c r="AA116" s="625">
        <f t="shared" ca="1" si="93"/>
        <v>863.49880518160353</v>
      </c>
      <c r="AB116" s="626">
        <f t="shared" ca="1" si="94"/>
        <v>5986.4343945116379</v>
      </c>
      <c r="AC116" s="625">
        <f t="shared" ca="1" si="95"/>
        <v>6038.2961372905229</v>
      </c>
      <c r="AD116" s="626">
        <f t="shared" ca="1" si="96"/>
        <v>4211.1073583013385</v>
      </c>
      <c r="AE116" s="625">
        <f t="shared" ca="1" si="97"/>
        <v>16350.766002708864</v>
      </c>
      <c r="AF116" s="627">
        <f t="shared" ca="1" si="98"/>
        <v>21758.11027640813</v>
      </c>
      <c r="AG116" s="452"/>
      <c r="AH116" s="1153"/>
      <c r="AI116" s="640">
        <f t="shared" si="99"/>
        <v>107086.61417322783</v>
      </c>
      <c r="AJ116" s="645">
        <f t="shared" si="99"/>
        <v>3</v>
      </c>
      <c r="AK116" s="624">
        <f t="shared" si="108"/>
        <v>14341.684463206606</v>
      </c>
      <c r="AL116" s="625">
        <f t="shared" ca="1" si="106"/>
        <v>2674.4395724090755</v>
      </c>
      <c r="AM116" s="626">
        <f t="shared" si="106"/>
        <v>4760.4285865744441</v>
      </c>
      <c r="AN116" s="625">
        <f t="shared" si="106"/>
        <v>6257.469346367121</v>
      </c>
      <c r="AO116" s="626">
        <f t="shared" si="106"/>
        <v>0</v>
      </c>
      <c r="AP116" s="625">
        <f t="shared" si="106"/>
        <v>603.56362264849486</v>
      </c>
      <c r="AQ116" s="627">
        <f t="shared" si="106"/>
        <v>5168.4806963171632</v>
      </c>
      <c r="AR116" s="627">
        <f t="shared" si="106"/>
        <v>-26435.106976485815</v>
      </c>
      <c r="AS116" s="627">
        <f t="shared" ca="1" si="106"/>
        <v>7370.9593110370879</v>
      </c>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c r="BS116" s="452"/>
      <c r="BT116" s="452"/>
      <c r="BU116" s="452"/>
      <c r="BV116" s="452"/>
      <c r="BW116" s="452"/>
      <c r="BX116" s="452"/>
      <c r="BY116" s="452"/>
    </row>
    <row r="117" spans="1:77">
      <c r="A117" s="1157"/>
      <c r="B117" s="640">
        <f t="shared" si="81"/>
        <v>98897.637795275747</v>
      </c>
      <c r="C117" s="645">
        <f t="shared" si="82"/>
        <v>4</v>
      </c>
      <c r="D117" s="626">
        <f t="shared" ca="1" si="101"/>
        <v>26237.80522169291</v>
      </c>
      <c r="E117" s="625">
        <f t="shared" ca="1" si="102"/>
        <v>27140.236602723544</v>
      </c>
      <c r="F117" s="626">
        <f t="shared" ca="1" si="103"/>
        <v>32494.150019937628</v>
      </c>
      <c r="G117" s="625">
        <f t="shared" si="107"/>
        <v>32548.018565440572</v>
      </c>
      <c r="H117" s="626">
        <f t="shared" si="104"/>
        <v>30638.44731492782</v>
      </c>
      <c r="I117" s="625">
        <f t="shared" si="104"/>
        <v>43325.446822019476</v>
      </c>
      <c r="J117" s="627">
        <f t="shared" si="104"/>
        <v>48976.592059674207</v>
      </c>
      <c r="K117" s="452"/>
      <c r="L117" s="1157"/>
      <c r="M117" s="640">
        <f t="shared" si="83"/>
        <v>98897.637795275747</v>
      </c>
      <c r="N117" s="645">
        <f t="shared" si="83"/>
        <v>4</v>
      </c>
      <c r="O117" s="625">
        <f t="shared" ca="1" si="84"/>
        <v>22453.04185168711</v>
      </c>
      <c r="P117" s="625">
        <f t="shared" ca="1" si="85"/>
        <v>23225.29888291944</v>
      </c>
      <c r="Q117" s="625">
        <f t="shared" ca="1" si="86"/>
        <v>27806.918458615819</v>
      </c>
      <c r="R117" s="625">
        <f t="shared" si="87"/>
        <v>27853.01654862173</v>
      </c>
      <c r="S117" s="625">
        <f t="shared" si="88"/>
        <v>26218.898037402181</v>
      </c>
      <c r="T117" s="625">
        <f t="shared" si="89"/>
        <v>37075.81722321672</v>
      </c>
      <c r="U117" s="627">
        <f t="shared" si="90"/>
        <v>41911.793382766744</v>
      </c>
      <c r="V117" s="452"/>
      <c r="W117" s="1153"/>
      <c r="X117" s="640">
        <f t="shared" si="91"/>
        <v>98897.637795275747</v>
      </c>
      <c r="Y117" s="645">
        <f t="shared" si="92"/>
        <v>4</v>
      </c>
      <c r="Z117" s="624">
        <f t="shared" ca="1" si="105"/>
        <v>0</v>
      </c>
      <c r="AA117" s="625">
        <f t="shared" ca="1" si="93"/>
        <v>772.25703123232961</v>
      </c>
      <c r="AB117" s="626">
        <f t="shared" ca="1" si="94"/>
        <v>5353.8766069287085</v>
      </c>
      <c r="AC117" s="625">
        <f t="shared" ca="1" si="95"/>
        <v>5399.9746969346197</v>
      </c>
      <c r="AD117" s="626">
        <f t="shared" ca="1" si="96"/>
        <v>3765.8561857150708</v>
      </c>
      <c r="AE117" s="625">
        <f t="shared" ca="1" si="97"/>
        <v>14622.775371529609</v>
      </c>
      <c r="AF117" s="627">
        <f t="shared" ca="1" si="98"/>
        <v>19458.751531079633</v>
      </c>
      <c r="AG117" s="452"/>
      <c r="AH117" s="1153"/>
      <c r="AI117" s="640">
        <f t="shared" si="99"/>
        <v>98897.637795275747</v>
      </c>
      <c r="AJ117" s="645">
        <f t="shared" si="99"/>
        <v>4</v>
      </c>
      <c r="AK117" s="624">
        <f t="shared" si="108"/>
        <v>17998.426437129765</v>
      </c>
      <c r="AL117" s="625">
        <f t="shared" ca="1" si="106"/>
        <v>3446.6966036414051</v>
      </c>
      <c r="AM117" s="626">
        <f t="shared" si="106"/>
        <v>6081.3958328262324</v>
      </c>
      <c r="AN117" s="625">
        <f t="shared" si="106"/>
        <v>8064.3431117369164</v>
      </c>
      <c r="AO117" s="626">
        <f t="shared" si="106"/>
        <v>0</v>
      </c>
      <c r="AP117" s="625">
        <f t="shared" si="106"/>
        <v>792.16776940933141</v>
      </c>
      <c r="AQ117" s="627">
        <f t="shared" si="106"/>
        <v>6660.9038565548544</v>
      </c>
      <c r="AR117" s="627">
        <f t="shared" si="106"/>
        <v>-33770.562142346818</v>
      </c>
      <c r="AS117" s="627">
        <f t="shared" ca="1" si="106"/>
        <v>9273.3714689516837</v>
      </c>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c r="BS117" s="452"/>
      <c r="BT117" s="452"/>
      <c r="BU117" s="452"/>
      <c r="BV117" s="452"/>
      <c r="BW117" s="452"/>
      <c r="BX117" s="452"/>
      <c r="BY117" s="452"/>
    </row>
    <row r="118" spans="1:77">
      <c r="A118" s="1157"/>
      <c r="B118" s="640">
        <f t="shared" si="81"/>
        <v>86299.212598425438</v>
      </c>
      <c r="C118" s="645">
        <f t="shared" si="82"/>
        <v>5</v>
      </c>
      <c r="D118" s="626">
        <f t="shared" ca="1" si="101"/>
        <v>23353.881098563299</v>
      </c>
      <c r="E118" s="625">
        <f t="shared" ca="1" si="102"/>
        <v>24157.102507386364</v>
      </c>
      <c r="F118" s="626">
        <f t="shared" ca="1" si="103"/>
        <v>28922.426462300366</v>
      </c>
      <c r="G118" s="625">
        <f t="shared" si="107"/>
        <v>28969.809645443765</v>
      </c>
      <c r="H118" s="626">
        <f t="shared" si="104"/>
        <v>27270.16960374534</v>
      </c>
      <c r="I118" s="625">
        <f t="shared" si="104"/>
        <v>38562.407254197511</v>
      </c>
      <c r="J118" s="627">
        <f t="shared" si="104"/>
        <v>43592.286461266762</v>
      </c>
      <c r="K118" s="452"/>
      <c r="L118" s="1157"/>
      <c r="M118" s="640">
        <f t="shared" si="83"/>
        <v>86299.212598425438</v>
      </c>
      <c r="N118" s="645">
        <f t="shared" si="83"/>
        <v>5</v>
      </c>
      <c r="O118" s="625">
        <f t="shared" ca="1" si="84"/>
        <v>18973.872342290138</v>
      </c>
      <c r="P118" s="625">
        <f t="shared" ca="1" si="85"/>
        <v>19626.449976358028</v>
      </c>
      <c r="Q118" s="625">
        <f t="shared" ca="1" si="86"/>
        <v>23498.03979941993</v>
      </c>
      <c r="R118" s="625">
        <f t="shared" si="87"/>
        <v>23536.536290189062</v>
      </c>
      <c r="S118" s="625">
        <f t="shared" si="88"/>
        <v>22155.662890905784</v>
      </c>
      <c r="T118" s="625">
        <f t="shared" si="89"/>
        <v>31330.04700009193</v>
      </c>
      <c r="U118" s="627">
        <f t="shared" si="90"/>
        <v>35416.574869669144</v>
      </c>
      <c r="V118" s="452"/>
      <c r="W118" s="1153"/>
      <c r="X118" s="640">
        <f t="shared" si="91"/>
        <v>86299.212598425438</v>
      </c>
      <c r="Y118" s="645">
        <f t="shared" si="92"/>
        <v>5</v>
      </c>
      <c r="Z118" s="624">
        <f t="shared" ca="1" si="105"/>
        <v>0</v>
      </c>
      <c r="AA118" s="625">
        <f t="shared" ca="1" si="93"/>
        <v>652.57763406788945</v>
      </c>
      <c r="AB118" s="626">
        <f t="shared" ca="1" si="94"/>
        <v>4524.1674571297917</v>
      </c>
      <c r="AC118" s="625">
        <f t="shared" ca="1" si="95"/>
        <v>4562.6639478989237</v>
      </c>
      <c r="AD118" s="626">
        <f t="shared" ca="1" si="96"/>
        <v>3181.7905486156451</v>
      </c>
      <c r="AE118" s="625">
        <f t="shared" ca="1" si="97"/>
        <v>12356.174657801792</v>
      </c>
      <c r="AF118" s="627">
        <f t="shared" ca="1" si="98"/>
        <v>16442.702527379006</v>
      </c>
      <c r="AG118" s="452"/>
      <c r="AH118" s="1153"/>
      <c r="AI118" s="640">
        <f t="shared" si="99"/>
        <v>86299.212598425438</v>
      </c>
      <c r="AJ118" s="645">
        <f t="shared" si="99"/>
        <v>5</v>
      </c>
      <c r="AK118" s="624">
        <f t="shared" si="108"/>
        <v>21470.137267172413</v>
      </c>
      <c r="AL118" s="625">
        <f t="shared" ca="1" si="106"/>
        <v>4099.2742377092945</v>
      </c>
      <c r="AM118" s="626">
        <f t="shared" si="106"/>
        <v>7175.7608238582616</v>
      </c>
      <c r="AN118" s="625">
        <f t="shared" si="106"/>
        <v>9591.1992738398021</v>
      </c>
      <c r="AO118" s="626">
        <f t="shared" si="106"/>
        <v>0</v>
      </c>
      <c r="AP118" s="625">
        <f t="shared" si="106"/>
        <v>974.80976188276418</v>
      </c>
      <c r="AQ118" s="627">
        <f t="shared" si="106"/>
        <v>7922.0409333929911</v>
      </c>
      <c r="AR118" s="627">
        <f t="shared" si="106"/>
        <v>-39847.6737055454</v>
      </c>
      <c r="AS118" s="627">
        <f t="shared" ca="1" si="106"/>
        <v>11385.548592310122</v>
      </c>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c r="BS118" s="452"/>
      <c r="BT118" s="452"/>
      <c r="BU118" s="452"/>
      <c r="BV118" s="452"/>
      <c r="BW118" s="452"/>
      <c r="BX118" s="452"/>
      <c r="BY118" s="452"/>
    </row>
    <row r="119" spans="1:77">
      <c r="A119" s="1157"/>
      <c r="B119" s="640">
        <f t="shared" si="81"/>
        <v>76850.393700787565</v>
      </c>
      <c r="C119" s="645">
        <f t="shared" si="82"/>
        <v>6</v>
      </c>
      <c r="D119" s="626">
        <f t="shared" ca="1" si="101"/>
        <v>21213.318346448472</v>
      </c>
      <c r="E119" s="625">
        <f t="shared" ca="1" si="102"/>
        <v>21942.901354579441</v>
      </c>
      <c r="F119" s="626">
        <f t="shared" ca="1" si="103"/>
        <v>26271.345974648764</v>
      </c>
      <c r="G119" s="625">
        <f t="shared" si="107"/>
        <v>26313.891330503793</v>
      </c>
      <c r="H119" s="626">
        <f t="shared" si="104"/>
        <v>24770.072302847213</v>
      </c>
      <c r="I119" s="625">
        <f t="shared" si="104"/>
        <v>35027.050793520699</v>
      </c>
      <c r="J119" s="627">
        <f t="shared" si="104"/>
        <v>39595.796549197315</v>
      </c>
      <c r="K119" s="452"/>
      <c r="L119" s="1157"/>
      <c r="M119" s="640">
        <f t="shared" si="83"/>
        <v>76850.393700787565</v>
      </c>
      <c r="N119" s="645">
        <f t="shared" si="83"/>
        <v>6</v>
      </c>
      <c r="O119" s="625">
        <f t="shared" ca="1" si="84"/>
        <v>16362.691651099141</v>
      </c>
      <c r="P119" s="625">
        <f t="shared" ca="1" si="85"/>
        <v>16925.448575827377</v>
      </c>
      <c r="Q119" s="625">
        <f t="shared" ca="1" si="86"/>
        <v>20264.15322779951</v>
      </c>
      <c r="R119" s="625">
        <f t="shared" si="87"/>
        <v>20296.970183999983</v>
      </c>
      <c r="S119" s="625">
        <f t="shared" si="88"/>
        <v>19106.160038124173</v>
      </c>
      <c r="T119" s="625">
        <f t="shared" si="89"/>
        <v>27017.782989982854</v>
      </c>
      <c r="U119" s="627">
        <f t="shared" si="90"/>
        <v>30541.841640850183</v>
      </c>
      <c r="V119" s="452"/>
      <c r="W119" s="1153"/>
      <c r="X119" s="640">
        <f t="shared" si="91"/>
        <v>76850.393700787565</v>
      </c>
      <c r="Y119" s="645">
        <f t="shared" si="92"/>
        <v>6</v>
      </c>
      <c r="Z119" s="624">
        <f t="shared" ca="1" si="105"/>
        <v>0</v>
      </c>
      <c r="AA119" s="625">
        <f t="shared" ca="1" si="93"/>
        <v>562.75692472823539</v>
      </c>
      <c r="AB119" s="626">
        <f t="shared" ca="1" si="94"/>
        <v>3901.4615767003688</v>
      </c>
      <c r="AC119" s="625">
        <f t="shared" ca="1" si="95"/>
        <v>3934.278532900842</v>
      </c>
      <c r="AD119" s="626">
        <f t="shared" ca="1" si="96"/>
        <v>2743.4683870250319</v>
      </c>
      <c r="AE119" s="625">
        <f t="shared" ca="1" si="97"/>
        <v>10655.091338883713</v>
      </c>
      <c r="AF119" s="627">
        <f t="shared" ca="1" si="98"/>
        <v>14179.149989751042</v>
      </c>
      <c r="AG119" s="452"/>
      <c r="AH119" s="1153"/>
      <c r="AI119" s="640">
        <f t="shared" si="99"/>
        <v>76850.393700787565</v>
      </c>
      <c r="AJ119" s="645">
        <f t="shared" si="99"/>
        <v>6</v>
      </c>
      <c r="AK119" s="624">
        <f t="shared" si="108"/>
        <v>21470.137267172413</v>
      </c>
      <c r="AL119" s="625">
        <f t="shared" ca="1" si="106"/>
        <v>4662.0311624375299</v>
      </c>
      <c r="AM119" s="626">
        <f t="shared" si="106"/>
        <v>8100.9929037361344</v>
      </c>
      <c r="AN119" s="625">
        <f t="shared" si="106"/>
        <v>10907.899132109815</v>
      </c>
      <c r="AO119" s="626">
        <f t="shared" si="106"/>
        <v>0</v>
      </c>
      <c r="AP119" s="625">
        <f t="shared" si="106"/>
        <v>1151.6780756901271</v>
      </c>
      <c r="AQ119" s="627">
        <f t="shared" si="106"/>
        <v>9009.595250261209</v>
      </c>
      <c r="AR119" s="627">
        <f t="shared" si="106"/>
        <v>-44985.57433042342</v>
      </c>
      <c r="AS119" s="627">
        <f t="shared" ca="1" si="106"/>
        <v>10316.759460983802</v>
      </c>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c r="BS119" s="452"/>
      <c r="BT119" s="452"/>
      <c r="BU119" s="452"/>
      <c r="BV119" s="452"/>
      <c r="BW119" s="452"/>
      <c r="BX119" s="452"/>
      <c r="BY119" s="452"/>
    </row>
    <row r="120" spans="1:77">
      <c r="A120" s="1157"/>
      <c r="B120" s="640">
        <f t="shared" si="81"/>
        <v>69291.338582677359</v>
      </c>
      <c r="C120" s="645">
        <f t="shared" si="82"/>
        <v>7</v>
      </c>
      <c r="D120" s="626">
        <f t="shared" ca="1" si="101"/>
        <v>19509.750168123221</v>
      </c>
      <c r="E120" s="625">
        <f t="shared" ca="1" si="102"/>
        <v>20180.727328060064</v>
      </c>
      <c r="F120" s="626">
        <f t="shared" ca="1" si="103"/>
        <v>24161.477216353334</v>
      </c>
      <c r="G120" s="625">
        <f t="shared" si="107"/>
        <v>24200.152518709248</v>
      </c>
      <c r="H120" s="626">
        <f t="shared" si="104"/>
        <v>22780.345183438192</v>
      </c>
      <c r="I120" s="625">
        <f t="shared" si="104"/>
        <v>32213.402451090373</v>
      </c>
      <c r="J120" s="627">
        <f t="shared" si="104"/>
        <v>36415.15059688477</v>
      </c>
      <c r="K120" s="452"/>
      <c r="L120" s="1157"/>
      <c r="M120" s="640">
        <f t="shared" si="83"/>
        <v>69291.338582677359</v>
      </c>
      <c r="N120" s="645">
        <f t="shared" si="83"/>
        <v>7</v>
      </c>
      <c r="O120" s="625">
        <f t="shared" ca="1" si="84"/>
        <v>14287.198292880836</v>
      </c>
      <c r="P120" s="625">
        <f t="shared" ca="1" si="85"/>
        <v>14778.562029033377</v>
      </c>
      <c r="Q120" s="625">
        <f t="shared" ca="1" si="86"/>
        <v>17693.707662283701</v>
      </c>
      <c r="R120" s="625">
        <f t="shared" si="87"/>
        <v>17722.029999014539</v>
      </c>
      <c r="S120" s="625">
        <f t="shared" si="88"/>
        <v>16682.28993254009</v>
      </c>
      <c r="T120" s="625">
        <f t="shared" si="89"/>
        <v>23590.2184569786</v>
      </c>
      <c r="U120" s="627">
        <f t="shared" si="90"/>
        <v>26667.203473106245</v>
      </c>
      <c r="V120" s="452"/>
      <c r="W120" s="1153"/>
      <c r="X120" s="640">
        <f t="shared" si="91"/>
        <v>69291.338582677359</v>
      </c>
      <c r="Y120" s="645">
        <f t="shared" si="92"/>
        <v>7</v>
      </c>
      <c r="Z120" s="624">
        <f t="shared" ca="1" si="105"/>
        <v>0</v>
      </c>
      <c r="AA120" s="625">
        <f t="shared" ca="1" si="93"/>
        <v>491.36373615254161</v>
      </c>
      <c r="AB120" s="626">
        <f t="shared" ca="1" si="94"/>
        <v>3406.5093694028656</v>
      </c>
      <c r="AC120" s="625">
        <f t="shared" ca="1" si="95"/>
        <v>3434.8317061337038</v>
      </c>
      <c r="AD120" s="626">
        <f t="shared" ca="1" si="96"/>
        <v>2395.0916396592547</v>
      </c>
      <c r="AE120" s="625">
        <f t="shared" ca="1" si="97"/>
        <v>9303.0201640977648</v>
      </c>
      <c r="AF120" s="627">
        <f t="shared" ca="1" si="98"/>
        <v>12380.005180225409</v>
      </c>
      <c r="AG120" s="452"/>
      <c r="AH120" s="1153"/>
      <c r="AI120" s="640">
        <f t="shared" si="99"/>
        <v>69291.338582677359</v>
      </c>
      <c r="AJ120" s="645">
        <f t="shared" si="99"/>
        <v>7</v>
      </c>
      <c r="AK120" s="624">
        <f t="shared" si="108"/>
        <v>21470.137267172413</v>
      </c>
      <c r="AL120" s="625">
        <f t="shared" ca="1" si="106"/>
        <v>5153.3948985900715</v>
      </c>
      <c r="AM120" s="626">
        <f t="shared" si="106"/>
        <v>8893.006731850608</v>
      </c>
      <c r="AN120" s="625">
        <f t="shared" si="106"/>
        <v>12057.558129310979</v>
      </c>
      <c r="AO120" s="626">
        <f t="shared" si="106"/>
        <v>0</v>
      </c>
      <c r="AP120" s="625">
        <f t="shared" si="106"/>
        <v>1322.9552283614125</v>
      </c>
      <c r="AQ120" s="627">
        <f t="shared" si="106"/>
        <v>9959.1788607396666</v>
      </c>
      <c r="AR120" s="627">
        <f t="shared" si="106"/>
        <v>-49383.70149319811</v>
      </c>
      <c r="AS120" s="627">
        <f t="shared" ca="1" si="106"/>
        <v>9472.5296228270381</v>
      </c>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c r="BS120" s="452"/>
      <c r="BT120" s="452"/>
      <c r="BU120" s="452"/>
      <c r="BV120" s="452"/>
      <c r="BW120" s="452"/>
      <c r="BX120" s="452"/>
      <c r="BY120" s="452"/>
    </row>
    <row r="121" spans="1:77">
      <c r="A121" s="1157"/>
      <c r="B121" s="640">
        <f t="shared" si="81"/>
        <v>62992.125984252147</v>
      </c>
      <c r="C121" s="645">
        <f t="shared" si="82"/>
        <v>8</v>
      </c>
      <c r="D121" s="626">
        <f t="shared" ca="1" si="101"/>
        <v>18091.28580801958</v>
      </c>
      <c r="E121" s="625">
        <f t="shared" ca="1" si="102"/>
        <v>18713.464629051919</v>
      </c>
      <c r="F121" s="626">
        <f t="shared" ca="1" si="103"/>
        <v>22404.705434560219</v>
      </c>
      <c r="G121" s="625">
        <f t="shared" si="107"/>
        <v>22440.141426439481</v>
      </c>
      <c r="H121" s="626">
        <f t="shared" si="104"/>
        <v>21123.592806460867</v>
      </c>
      <c r="I121" s="625">
        <f t="shared" si="104"/>
        <v>29870.609545556519</v>
      </c>
      <c r="J121" s="627">
        <f t="shared" si="104"/>
        <v>33766.776008020417</v>
      </c>
      <c r="K121" s="452"/>
      <c r="L121" s="1157"/>
      <c r="M121" s="640">
        <f t="shared" si="83"/>
        <v>62992.125984252147</v>
      </c>
      <c r="N121" s="645">
        <f t="shared" si="83"/>
        <v>8</v>
      </c>
      <c r="O121" s="625">
        <f t="shared" ca="1" si="84"/>
        <v>12578.070551362558</v>
      </c>
      <c r="P121" s="625">
        <f t="shared" ca="1" si="85"/>
        <v>13010.643956567361</v>
      </c>
      <c r="Q121" s="625">
        <f t="shared" ca="1" si="86"/>
        <v>15577.000365196462</v>
      </c>
      <c r="R121" s="625">
        <f t="shared" si="87"/>
        <v>15601.637442441535</v>
      </c>
      <c r="S121" s="625">
        <f t="shared" si="88"/>
        <v>14686.299439266029</v>
      </c>
      <c r="T121" s="625">
        <f t="shared" si="89"/>
        <v>20767.713155560534</v>
      </c>
      <c r="U121" s="627">
        <f t="shared" si="90"/>
        <v>23476.545306285821</v>
      </c>
      <c r="V121" s="452"/>
      <c r="W121" s="1153"/>
      <c r="X121" s="640">
        <f t="shared" si="91"/>
        <v>62992.125984252147</v>
      </c>
      <c r="Y121" s="645">
        <f t="shared" si="92"/>
        <v>8</v>
      </c>
      <c r="Z121" s="624">
        <f t="shared" ca="1" si="105"/>
        <v>0</v>
      </c>
      <c r="AA121" s="625">
        <f t="shared" ca="1" si="93"/>
        <v>432.57340520480284</v>
      </c>
      <c r="AB121" s="626">
        <f t="shared" ca="1" si="94"/>
        <v>2998.9298138339036</v>
      </c>
      <c r="AC121" s="625">
        <f t="shared" ca="1" si="95"/>
        <v>3023.5668910789773</v>
      </c>
      <c r="AD121" s="626">
        <f t="shared" ca="1" si="96"/>
        <v>2108.2288879034713</v>
      </c>
      <c r="AE121" s="625">
        <f t="shared" ca="1" si="97"/>
        <v>8189.6426041979757</v>
      </c>
      <c r="AF121" s="627">
        <f t="shared" ca="1" si="98"/>
        <v>10898.474754923263</v>
      </c>
      <c r="AG121" s="452"/>
      <c r="AH121" s="1153"/>
      <c r="AI121" s="640">
        <f t="shared" si="99"/>
        <v>62992.125984252147</v>
      </c>
      <c r="AJ121" s="645">
        <f t="shared" si="99"/>
        <v>8</v>
      </c>
      <c r="AK121" s="624">
        <f t="shared" si="108"/>
        <v>21470.137267172413</v>
      </c>
      <c r="AL121" s="625">
        <f t="shared" ca="1" si="106"/>
        <v>5585.9683037948744</v>
      </c>
      <c r="AM121" s="626">
        <f t="shared" si="106"/>
        <v>9576.5866667705013</v>
      </c>
      <c r="AN121" s="625">
        <f t="shared" si="106"/>
        <v>13069.663562930653</v>
      </c>
      <c r="AO121" s="626">
        <f t="shared" si="106"/>
        <v>0</v>
      </c>
      <c r="AP121" s="625">
        <f t="shared" si="106"/>
        <v>1488.8179676824529</v>
      </c>
      <c r="AQ121" s="627">
        <f t="shared" si="106"/>
        <v>10795.14738199786</v>
      </c>
      <c r="AR121" s="627">
        <f t="shared" si="106"/>
        <v>-53179.685064414734</v>
      </c>
      <c r="AS121" s="627">
        <f t="shared" ca="1" si="106"/>
        <v>8806.6360859340148</v>
      </c>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c r="BS121" s="452"/>
      <c r="BT121" s="452"/>
      <c r="BU121" s="452"/>
      <c r="BV121" s="452"/>
      <c r="BW121" s="452"/>
      <c r="BX121" s="452"/>
      <c r="BY121" s="452"/>
    </row>
    <row r="122" spans="1:77">
      <c r="A122" s="1157"/>
      <c r="B122" s="640">
        <f t="shared" si="81"/>
        <v>56062.992125984332</v>
      </c>
      <c r="C122" s="645">
        <f t="shared" si="82"/>
        <v>9</v>
      </c>
      <c r="D122" s="626">
        <f t="shared" ca="1" si="101"/>
        <v>16423.795718370984</v>
      </c>
      <c r="E122" s="625">
        <f t="shared" ca="1" si="102"/>
        <v>16988.609652104144</v>
      </c>
      <c r="F122" s="626">
        <f t="shared" ca="1" si="103"/>
        <v>20339.518055344572</v>
      </c>
      <c r="G122" s="625">
        <f t="shared" si="107"/>
        <v>20371.160386921732</v>
      </c>
      <c r="H122" s="626">
        <f t="shared" si="104"/>
        <v>19175.997549705149</v>
      </c>
      <c r="I122" s="625">
        <f t="shared" si="104"/>
        <v>27116.539345456171</v>
      </c>
      <c r="J122" s="627">
        <f t="shared" si="104"/>
        <v>30653.479260080898</v>
      </c>
      <c r="K122" s="452"/>
      <c r="L122" s="1157"/>
      <c r="M122" s="640">
        <f t="shared" si="83"/>
        <v>56062.992125984332</v>
      </c>
      <c r="N122" s="645">
        <f t="shared" si="83"/>
        <v>9</v>
      </c>
      <c r="O122" s="625">
        <f t="shared" ca="1" si="84"/>
        <v>10840.950305466667</v>
      </c>
      <c r="P122" s="625">
        <f t="shared" ca="1" si="85"/>
        <v>11213.770321766995</v>
      </c>
      <c r="Q122" s="625">
        <f t="shared" ca="1" si="86"/>
        <v>13425.623909124162</v>
      </c>
      <c r="R122" s="625">
        <f t="shared" si="87"/>
        <v>13446.510246853837</v>
      </c>
      <c r="S122" s="625">
        <f t="shared" si="88"/>
        <v>12657.61216583882</v>
      </c>
      <c r="T122" s="625">
        <f t="shared" si="89"/>
        <v>17898.971744485367</v>
      </c>
      <c r="U122" s="627">
        <f t="shared" si="90"/>
        <v>20233.620232896505</v>
      </c>
      <c r="V122" s="452"/>
      <c r="W122" s="1153"/>
      <c r="X122" s="640">
        <f t="shared" si="91"/>
        <v>56062.992125984332</v>
      </c>
      <c r="Y122" s="645">
        <f t="shared" si="92"/>
        <v>9</v>
      </c>
      <c r="Z122" s="624">
        <f t="shared" ca="1" si="105"/>
        <v>0</v>
      </c>
      <c r="AA122" s="625">
        <f t="shared" ca="1" si="93"/>
        <v>372.82001630032755</v>
      </c>
      <c r="AB122" s="626">
        <f t="shared" ca="1" si="94"/>
        <v>2584.6736036574948</v>
      </c>
      <c r="AC122" s="625">
        <f t="shared" ca="1" si="95"/>
        <v>2605.5599413871696</v>
      </c>
      <c r="AD122" s="626">
        <f t="shared" ca="1" si="96"/>
        <v>1816.6618603721527</v>
      </c>
      <c r="AE122" s="625">
        <f t="shared" ca="1" si="97"/>
        <v>7058.0214390186993</v>
      </c>
      <c r="AF122" s="627">
        <f t="shared" ca="1" si="98"/>
        <v>9392.6699274298371</v>
      </c>
      <c r="AG122" s="452"/>
      <c r="AH122" s="1153"/>
      <c r="AI122" s="640">
        <f t="shared" si="99"/>
        <v>56062.992125984332</v>
      </c>
      <c r="AJ122" s="645">
        <f t="shared" si="99"/>
        <v>9</v>
      </c>
      <c r="AK122" s="624">
        <f t="shared" si="108"/>
        <v>21470.137267172413</v>
      </c>
      <c r="AL122" s="625">
        <f t="shared" ca="1" si="106"/>
        <v>5958.7883200952019</v>
      </c>
      <c r="AM122" s="626">
        <f t="shared" si="106"/>
        <v>10154.188470060022</v>
      </c>
      <c r="AN122" s="625">
        <f t="shared" si="106"/>
        <v>13941.962136351012</v>
      </c>
      <c r="AO122" s="626">
        <f t="shared" si="106"/>
        <v>0</v>
      </c>
      <c r="AP122" s="625">
        <f t="shared" si="106"/>
        <v>1649.4374540880763</v>
      </c>
      <c r="AQ122" s="627">
        <f t="shared" si="106"/>
        <v>11515.639659081979</v>
      </c>
      <c r="AR122" s="627">
        <f t="shared" si="106"/>
        <v>-56387.162118651358</v>
      </c>
      <c r="AS122" s="627">
        <f t="shared" ca="1" si="106"/>
        <v>8302.9911881973421</v>
      </c>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c r="BS122" s="452"/>
      <c r="BT122" s="452"/>
      <c r="BU122" s="452"/>
      <c r="BV122" s="452"/>
      <c r="BW122" s="452"/>
      <c r="BX122" s="452"/>
      <c r="BY122" s="452"/>
    </row>
    <row r="123" spans="1:77">
      <c r="A123" s="1157"/>
      <c r="B123" s="640">
        <f t="shared" si="81"/>
        <v>49763.779527559134</v>
      </c>
      <c r="C123" s="645">
        <f t="shared" si="82"/>
        <v>10</v>
      </c>
      <c r="D123" s="626">
        <f t="shared" ca="1" si="101"/>
        <v>14870.542430988275</v>
      </c>
      <c r="E123" s="625">
        <f t="shared" ca="1" si="102"/>
        <v>15381.92115885589</v>
      </c>
      <c r="F123" s="626">
        <f t="shared" ca="1" si="103"/>
        <v>18415.811036756051</v>
      </c>
      <c r="G123" s="625">
        <f t="shared" si="107"/>
        <v>18443.91128065341</v>
      </c>
      <c r="H123" s="626">
        <f t="shared" si="104"/>
        <v>17361.818905115069</v>
      </c>
      <c r="I123" s="625">
        <f t="shared" si="104"/>
        <v>24551.131915245605</v>
      </c>
      <c r="J123" s="627">
        <f t="shared" si="104"/>
        <v>27753.453469408076</v>
      </c>
      <c r="K123" s="452"/>
      <c r="L123" s="1157"/>
      <c r="M123" s="640">
        <f t="shared" si="83"/>
        <v>49763.779527559134</v>
      </c>
      <c r="N123" s="645">
        <f t="shared" si="83"/>
        <v>10</v>
      </c>
      <c r="O123" s="625">
        <f t="shared" ca="1" si="84"/>
        <v>9319.011699353292</v>
      </c>
      <c r="P123" s="625">
        <f t="shared" ca="1" si="85"/>
        <v>9639.4804630123726</v>
      </c>
      <c r="Q123" s="625">
        <f t="shared" ca="1" si="86"/>
        <v>11540.74636490605</v>
      </c>
      <c r="R123" s="625">
        <f t="shared" si="87"/>
        <v>11558.356112690939</v>
      </c>
      <c r="S123" s="625">
        <f t="shared" si="88"/>
        <v>10880.234816563301</v>
      </c>
      <c r="T123" s="625">
        <f t="shared" si="89"/>
        <v>15385.604567710083</v>
      </c>
      <c r="U123" s="627">
        <f t="shared" si="90"/>
        <v>17392.422554802703</v>
      </c>
      <c r="V123" s="452"/>
      <c r="W123" s="1153"/>
      <c r="X123" s="640">
        <f t="shared" si="91"/>
        <v>49763.779527559134</v>
      </c>
      <c r="Y123" s="645">
        <f t="shared" si="92"/>
        <v>10</v>
      </c>
      <c r="Z123" s="624">
        <f t="shared" ca="1" si="105"/>
        <v>0</v>
      </c>
      <c r="AA123" s="625">
        <f t="shared" ca="1" si="93"/>
        <v>320.46876365908065</v>
      </c>
      <c r="AB123" s="626">
        <f t="shared" ca="1" si="94"/>
        <v>2221.7346655527581</v>
      </c>
      <c r="AC123" s="625">
        <f t="shared" ca="1" si="95"/>
        <v>2239.344413337647</v>
      </c>
      <c r="AD123" s="626">
        <f t="shared" ca="1" si="96"/>
        <v>1561.2231172100091</v>
      </c>
      <c r="AE123" s="625">
        <f t="shared" ca="1" si="97"/>
        <v>6066.5928683567909</v>
      </c>
      <c r="AF123" s="627">
        <f t="shared" ca="1" si="98"/>
        <v>8073.4108554494105</v>
      </c>
      <c r="AG123" s="452"/>
      <c r="AH123" s="1153"/>
      <c r="AI123" s="640">
        <f t="shared" si="99"/>
        <v>49763.779527559134</v>
      </c>
      <c r="AJ123" s="645">
        <f t="shared" si="99"/>
        <v>10</v>
      </c>
      <c r="AK123" s="624">
        <f t="shared" si="108"/>
        <v>21470.137267172413</v>
      </c>
      <c r="AL123" s="625">
        <f t="shared" ca="1" si="106"/>
        <v>6279.2570837542826</v>
      </c>
      <c r="AM123" s="626">
        <f t="shared" si="106"/>
        <v>10640.948436480277</v>
      </c>
      <c r="AN123" s="625">
        <f t="shared" si="106"/>
        <v>14691.772857727125</v>
      </c>
      <c r="AO123" s="626">
        <f t="shared" si="106"/>
        <v>0</v>
      </c>
      <c r="AP123" s="625">
        <f t="shared" si="106"/>
        <v>1804.9794372894453</v>
      </c>
      <c r="AQ123" s="627">
        <f t="shared" si="106"/>
        <v>12134.960669671349</v>
      </c>
      <c r="AR123" s="627">
        <f t="shared" si="106"/>
        <v>-59090.185922113022</v>
      </c>
      <c r="AS123" s="627">
        <f t="shared" ca="1" si="106"/>
        <v>7931.869829981868</v>
      </c>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c r="BS123" s="452"/>
      <c r="BT123" s="452"/>
      <c r="BU123" s="452"/>
      <c r="BV123" s="452"/>
      <c r="BW123" s="452"/>
      <c r="BX123" s="452"/>
      <c r="BY123" s="452"/>
    </row>
    <row r="124" spans="1:77">
      <c r="A124" s="1157"/>
      <c r="B124" s="640">
        <f t="shared" si="81"/>
        <v>44724.409448818951</v>
      </c>
      <c r="C124" s="645">
        <f t="shared" si="82"/>
        <v>11</v>
      </c>
      <c r="D124" s="626">
        <f t="shared" ca="1" si="101"/>
        <v>13632.462250979926</v>
      </c>
      <c r="E124" s="625">
        <f t="shared" ca="1" si="102"/>
        <v>14101.247662020091</v>
      </c>
      <c r="F124" s="626">
        <f t="shared" ca="1" si="103"/>
        <v>16882.441395659705</v>
      </c>
      <c r="G124" s="625">
        <f t="shared" si="107"/>
        <v>16907.696898036957</v>
      </c>
      <c r="H124" s="626">
        <f t="shared" si="104"/>
        <v>15915.73322922067</v>
      </c>
      <c r="I124" s="625">
        <f t="shared" si="104"/>
        <v>22506.240168380835</v>
      </c>
      <c r="J124" s="627">
        <f t="shared" si="104"/>
        <v>25441.836712082684</v>
      </c>
      <c r="K124" s="452"/>
      <c r="L124" s="1157"/>
      <c r="M124" s="640">
        <f t="shared" si="83"/>
        <v>44724.409448818951</v>
      </c>
      <c r="N124" s="645">
        <f t="shared" si="83"/>
        <v>11</v>
      </c>
      <c r="O124" s="625">
        <f t="shared" ca="1" si="84"/>
        <v>8110.8538819010573</v>
      </c>
      <c r="P124" s="625">
        <f t="shared" ca="1" si="85"/>
        <v>8389.7653434486874</v>
      </c>
      <c r="Q124" s="625">
        <f t="shared" ca="1" si="86"/>
        <v>10044.481533048864</v>
      </c>
      <c r="R124" s="625">
        <f t="shared" si="87"/>
        <v>10059.507702622976</v>
      </c>
      <c r="S124" s="625">
        <f t="shared" si="88"/>
        <v>9469.3228757150519</v>
      </c>
      <c r="T124" s="625">
        <f t="shared" si="89"/>
        <v>13390.451561572272</v>
      </c>
      <c r="U124" s="627">
        <f t="shared" si="90"/>
        <v>15137.03220003822</v>
      </c>
      <c r="V124" s="452"/>
      <c r="W124" s="1153"/>
      <c r="X124" s="640">
        <f t="shared" si="91"/>
        <v>44724.409448818951</v>
      </c>
      <c r="Y124" s="645">
        <f t="shared" si="92"/>
        <v>11</v>
      </c>
      <c r="Z124" s="624">
        <f t="shared" ca="1" si="105"/>
        <v>0</v>
      </c>
      <c r="AA124" s="625">
        <f t="shared" ca="1" si="93"/>
        <v>278.9114615476301</v>
      </c>
      <c r="AB124" s="626">
        <f t="shared" ca="1" si="94"/>
        <v>1933.6276511478063</v>
      </c>
      <c r="AC124" s="625">
        <f t="shared" ca="1" si="95"/>
        <v>1948.6538207219182</v>
      </c>
      <c r="AD124" s="626">
        <f t="shared" ca="1" si="96"/>
        <v>1358.4689938139945</v>
      </c>
      <c r="AE124" s="625">
        <f t="shared" ca="1" si="97"/>
        <v>5279.5976796712148</v>
      </c>
      <c r="AF124" s="627">
        <f t="shared" ca="1" si="98"/>
        <v>7026.1783181371629</v>
      </c>
      <c r="AG124" s="452"/>
      <c r="AH124" s="1153"/>
      <c r="AI124" s="640">
        <f t="shared" si="99"/>
        <v>44724.409448818951</v>
      </c>
      <c r="AJ124" s="645">
        <f t="shared" si="99"/>
        <v>11</v>
      </c>
      <c r="AK124" s="624">
        <f t="shared" si="108"/>
        <v>21470.137267172413</v>
      </c>
      <c r="AL124" s="625">
        <f t="shared" ca="1" si="106"/>
        <v>6558.1685453019127</v>
      </c>
      <c r="AM124" s="626">
        <f t="shared" si="106"/>
        <v>11056.280382815425</v>
      </c>
      <c r="AN124" s="625">
        <f t="shared" si="106"/>
        <v>15344.350668416871</v>
      </c>
      <c r="AO124" s="626">
        <f t="shared" si="106"/>
        <v>0</v>
      </c>
      <c r="AP124" s="625">
        <f t="shared" si="106"/>
        <v>1955.6044273178522</v>
      </c>
      <c r="AQ124" s="627">
        <f t="shared" si="106"/>
        <v>12673.97023259522</v>
      </c>
      <c r="AR124" s="627">
        <f t="shared" si="106"/>
        <v>-61396.563222485951</v>
      </c>
      <c r="AS124" s="627">
        <f t="shared" ca="1" si="106"/>
        <v>7661.9483011337397</v>
      </c>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c r="BS124" s="452"/>
      <c r="BT124" s="452"/>
      <c r="BU124" s="452"/>
      <c r="BV124" s="452"/>
      <c r="BW124" s="452"/>
      <c r="BX124" s="452"/>
      <c r="BY124" s="452"/>
    </row>
    <row r="125" spans="1:77">
      <c r="A125" s="1157"/>
      <c r="B125" s="640">
        <f t="shared" si="81"/>
        <v>39685.039370078855</v>
      </c>
      <c r="C125" s="645">
        <f t="shared" si="82"/>
        <v>12</v>
      </c>
      <c r="D125" s="626">
        <f t="shared" ca="1" si="101"/>
        <v>12338.910646798877</v>
      </c>
      <c r="E125" s="625">
        <f t="shared" ca="1" si="102"/>
        <v>12763.194456847339</v>
      </c>
      <c r="F125" s="626">
        <f t="shared" ca="1" si="103"/>
        <v>15280.370644504832</v>
      </c>
      <c r="G125" s="625">
        <f t="shared" si="107"/>
        <v>15302.65637560361</v>
      </c>
      <c r="H125" s="626">
        <f t="shared" si="104"/>
        <v>14404.859398728477</v>
      </c>
      <c r="I125" s="625">
        <f t="shared" si="104"/>
        <v>20369.73229887542</v>
      </c>
      <c r="J125" s="627">
        <f t="shared" si="104"/>
        <v>23026.653903076563</v>
      </c>
      <c r="K125" s="452"/>
      <c r="L125" s="1157"/>
      <c r="M125" s="640">
        <f t="shared" si="83"/>
        <v>39685.039370078855</v>
      </c>
      <c r="N125" s="645">
        <f t="shared" si="83"/>
        <v>12</v>
      </c>
      <c r="O125" s="625">
        <f t="shared" ca="1" si="84"/>
        <v>6969.7679730965201</v>
      </c>
      <c r="P125" s="625">
        <f t="shared" ca="1" si="85"/>
        <v>7209.4293010230922</v>
      </c>
      <c r="Q125" s="625">
        <f t="shared" ca="1" si="86"/>
        <v>8631.2836670669803</v>
      </c>
      <c r="R125" s="625">
        <f t="shared" si="87"/>
        <v>8643.8720048315954</v>
      </c>
      <c r="S125" s="625">
        <f t="shared" si="88"/>
        <v>8136.7416109997394</v>
      </c>
      <c r="T125" s="625">
        <f t="shared" si="89"/>
        <v>11506.064989139377</v>
      </c>
      <c r="U125" s="627">
        <f t="shared" si="90"/>
        <v>13006.856074679295</v>
      </c>
      <c r="V125" s="452"/>
      <c r="W125" s="1153"/>
      <c r="X125" s="640">
        <f t="shared" si="91"/>
        <v>39685.039370078855</v>
      </c>
      <c r="Y125" s="645">
        <f t="shared" si="92"/>
        <v>12</v>
      </c>
      <c r="Z125" s="624">
        <f t="shared" ca="1" si="105"/>
        <v>0</v>
      </c>
      <c r="AA125" s="625">
        <f t="shared" ca="1" si="93"/>
        <v>239.66132792657208</v>
      </c>
      <c r="AB125" s="626">
        <f t="shared" ca="1" si="94"/>
        <v>1661.5156939704602</v>
      </c>
      <c r="AC125" s="625">
        <f t="shared" ca="1" si="95"/>
        <v>1674.1040317350753</v>
      </c>
      <c r="AD125" s="626">
        <f t="shared" ca="1" si="96"/>
        <v>1166.9736379032192</v>
      </c>
      <c r="AE125" s="625">
        <f t="shared" ca="1" si="97"/>
        <v>4536.2970160428567</v>
      </c>
      <c r="AF125" s="627">
        <f t="shared" ca="1" si="98"/>
        <v>6037.0881015827754</v>
      </c>
      <c r="AG125" s="452"/>
      <c r="AH125" s="1153"/>
      <c r="AI125" s="640">
        <f t="shared" si="99"/>
        <v>39685.039370078855</v>
      </c>
      <c r="AJ125" s="645">
        <f t="shared" si="99"/>
        <v>12</v>
      </c>
      <c r="AK125" s="624">
        <f t="shared" si="108"/>
        <v>21470.137267172413</v>
      </c>
      <c r="AL125" s="625">
        <f t="shared" ca="1" si="106"/>
        <v>6797.8298732284848</v>
      </c>
      <c r="AM125" s="626">
        <f t="shared" si="106"/>
        <v>11406.166543950454</v>
      </c>
      <c r="AN125" s="625">
        <f t="shared" si="106"/>
        <v>15905.093722207126</v>
      </c>
      <c r="AO125" s="626">
        <f t="shared" si="106"/>
        <v>0</v>
      </c>
      <c r="AP125" s="625">
        <f t="shared" si="106"/>
        <v>2101.4678601614814</v>
      </c>
      <c r="AQ125" s="627">
        <f t="shared" si="106"/>
        <v>13137.127059850229</v>
      </c>
      <c r="AR125" s="627">
        <f t="shared" si="106"/>
        <v>-63339.513931857306</v>
      </c>
      <c r="AS125" s="627">
        <f t="shared" ca="1" si="106"/>
        <v>7478.3083947128816</v>
      </c>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c r="BS125" s="452"/>
      <c r="BT125" s="452"/>
      <c r="BU125" s="452"/>
      <c r="BV125" s="452"/>
      <c r="BW125" s="452"/>
      <c r="BX125" s="452"/>
      <c r="BY125" s="452"/>
    </row>
    <row r="126" spans="1:77">
      <c r="A126" s="1157"/>
      <c r="B126" s="640">
        <f t="shared" si="81"/>
        <v>34960.629921259933</v>
      </c>
      <c r="C126" s="645">
        <f t="shared" si="82"/>
        <v>13</v>
      </c>
      <c r="D126" s="626">
        <f t="shared" ca="1" si="101"/>
        <v>11088.009297686713</v>
      </c>
      <c r="E126" s="625">
        <f t="shared" ca="1" si="102"/>
        <v>11469.258607001688</v>
      </c>
      <c r="F126" s="626">
        <f t="shared" ca="1" si="103"/>
        <v>13731.12120991106</v>
      </c>
      <c r="G126" s="625">
        <f t="shared" si="107"/>
        <v>13750.529800363813</v>
      </c>
      <c r="H126" s="626">
        <f t="shared" si="104"/>
        <v>12943.795088286015</v>
      </c>
      <c r="I126" s="625">
        <f t="shared" si="104"/>
        <v>18303.659451418054</v>
      </c>
      <c r="J126" s="627">
        <f t="shared" si="104"/>
        <v>20691.093292907368</v>
      </c>
      <c r="K126" s="452"/>
      <c r="L126" s="1157"/>
      <c r="M126" s="640">
        <f t="shared" si="83"/>
        <v>34960.629921259933</v>
      </c>
      <c r="N126" s="645">
        <f t="shared" si="83"/>
        <v>13</v>
      </c>
      <c r="O126" s="625">
        <f t="shared" ca="1" si="84"/>
        <v>5946.2656852754099</v>
      </c>
      <c r="P126" s="625">
        <f t="shared" ca="1" si="85"/>
        <v>6150.7216543002151</v>
      </c>
      <c r="Q126" s="625">
        <f t="shared" ca="1" si="86"/>
        <v>7363.710895145613</v>
      </c>
      <c r="R126" s="625">
        <f t="shared" si="87"/>
        <v>7374.1193131321352</v>
      </c>
      <c r="S126" s="625">
        <f t="shared" si="88"/>
        <v>6941.4844905270038</v>
      </c>
      <c r="T126" s="625">
        <f t="shared" si="89"/>
        <v>9815.8667790476175</v>
      </c>
      <c r="U126" s="627">
        <f t="shared" si="90"/>
        <v>11096.197228488612</v>
      </c>
      <c r="V126" s="452"/>
      <c r="W126" s="1153"/>
      <c r="X126" s="640">
        <f t="shared" si="91"/>
        <v>34960.629921259933</v>
      </c>
      <c r="Y126" s="645">
        <f t="shared" si="92"/>
        <v>13</v>
      </c>
      <c r="Z126" s="624">
        <f t="shared" ca="1" si="105"/>
        <v>0</v>
      </c>
      <c r="AA126" s="625">
        <f t="shared" ca="1" si="93"/>
        <v>204.4559690248052</v>
      </c>
      <c r="AB126" s="626">
        <f t="shared" ca="1" si="94"/>
        <v>1417.4452098702031</v>
      </c>
      <c r="AC126" s="625">
        <f t="shared" ca="1" si="95"/>
        <v>1427.8536278567253</v>
      </c>
      <c r="AD126" s="626">
        <f t="shared" ca="1" si="96"/>
        <v>995.21880525159395</v>
      </c>
      <c r="AE126" s="625">
        <f t="shared" ca="1" si="97"/>
        <v>3869.6010937722076</v>
      </c>
      <c r="AF126" s="627">
        <f t="shared" ca="1" si="98"/>
        <v>5149.9315432132025</v>
      </c>
      <c r="AG126" s="452"/>
      <c r="AH126" s="1153"/>
      <c r="AI126" s="640">
        <f t="shared" si="99"/>
        <v>34960.629921259933</v>
      </c>
      <c r="AJ126" s="645">
        <f t="shared" si="99"/>
        <v>13</v>
      </c>
      <c r="AK126" s="624">
        <f t="shared" si="108"/>
        <v>21470.137267172413</v>
      </c>
      <c r="AL126" s="625">
        <f t="shared" ca="1" si="106"/>
        <v>7002.28584225329</v>
      </c>
      <c r="AM126" s="626">
        <f t="shared" si="106"/>
        <v>11698.802998500909</v>
      </c>
      <c r="AN126" s="625">
        <f t="shared" si="106"/>
        <v>16383.465704155506</v>
      </c>
      <c r="AO126" s="626">
        <f t="shared" si="106"/>
        <v>0</v>
      </c>
      <c r="AP126" s="625">
        <f t="shared" si="106"/>
        <v>2242.7202581660581</v>
      </c>
      <c r="AQ126" s="627">
        <f t="shared" si="106"/>
        <v>13532.247869478262</v>
      </c>
      <c r="AR126" s="627">
        <f t="shared" si="106"/>
        <v>-64964.551644444327</v>
      </c>
      <c r="AS126" s="627">
        <f t="shared" ca="1" si="106"/>
        <v>7365.1082952821089</v>
      </c>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c r="BS126" s="452"/>
      <c r="BT126" s="452"/>
      <c r="BU126" s="452"/>
      <c r="BV126" s="452"/>
      <c r="BW126" s="452"/>
      <c r="BX126" s="452"/>
      <c r="BY126" s="452"/>
    </row>
    <row r="127" spans="1:77">
      <c r="A127" s="1157"/>
      <c r="B127" s="640">
        <f t="shared" si="81"/>
        <v>31496.062992126026</v>
      </c>
      <c r="C127" s="645">
        <f t="shared" si="82"/>
        <v>14</v>
      </c>
      <c r="D127" s="626">
        <f t="shared" ca="1" si="101"/>
        <v>10189.505171228422</v>
      </c>
      <c r="E127" s="625">
        <f t="shared" ca="1" si="102"/>
        <v>10539.842374382722</v>
      </c>
      <c r="F127" s="626">
        <f t="shared" ca="1" si="103"/>
        <v>12618.310712191334</v>
      </c>
      <c r="G127" s="625">
        <f t="shared" si="107"/>
        <v>12635.621978712677</v>
      </c>
      <c r="H127" s="626">
        <f t="shared" si="104"/>
        <v>11894.29818923578</v>
      </c>
      <c r="I127" s="625">
        <f t="shared" si="104"/>
        <v>16819.578955357105</v>
      </c>
      <c r="J127" s="627">
        <f t="shared" si="104"/>
        <v>19013.437079968906</v>
      </c>
      <c r="K127" s="452"/>
      <c r="L127" s="1157"/>
      <c r="M127" s="640">
        <f t="shared" si="83"/>
        <v>31496.062992126026</v>
      </c>
      <c r="N127" s="645">
        <f t="shared" si="83"/>
        <v>14</v>
      </c>
      <c r="O127" s="625">
        <f t="shared" ca="1" si="84"/>
        <v>5187.9173668408357</v>
      </c>
      <c r="P127" s="625">
        <f t="shared" ca="1" si="85"/>
        <v>5366.2891748876755</v>
      </c>
      <c r="Q127" s="625">
        <f t="shared" ca="1" si="86"/>
        <v>6424.5272153955975</v>
      </c>
      <c r="R127" s="625">
        <f t="shared" si="87"/>
        <v>6433.3411291940492</v>
      </c>
      <c r="S127" s="625">
        <f t="shared" si="88"/>
        <v>6055.9011556868963</v>
      </c>
      <c r="T127" s="625">
        <f t="shared" si="89"/>
        <v>8563.5744129985142</v>
      </c>
      <c r="U127" s="627">
        <f t="shared" si="90"/>
        <v>9680.5623799113673</v>
      </c>
      <c r="V127" s="452"/>
      <c r="W127" s="1153"/>
      <c r="X127" s="640">
        <f t="shared" si="91"/>
        <v>31496.062992126026</v>
      </c>
      <c r="Y127" s="645">
        <f t="shared" si="92"/>
        <v>14</v>
      </c>
      <c r="Z127" s="624">
        <f t="shared" ca="1" si="105"/>
        <v>0</v>
      </c>
      <c r="AA127" s="625">
        <f t="shared" ca="1" si="93"/>
        <v>178.37180804683976</v>
      </c>
      <c r="AB127" s="626">
        <f t="shared" ca="1" si="94"/>
        <v>1236.6098485547618</v>
      </c>
      <c r="AC127" s="625">
        <f t="shared" ca="1" si="95"/>
        <v>1245.4237623532135</v>
      </c>
      <c r="AD127" s="626">
        <f t="shared" ca="1" si="96"/>
        <v>867.98378884606063</v>
      </c>
      <c r="AE127" s="625">
        <f t="shared" ca="1" si="97"/>
        <v>3375.6570461576785</v>
      </c>
      <c r="AF127" s="627">
        <f t="shared" ca="1" si="98"/>
        <v>4492.6450130705316</v>
      </c>
      <c r="AG127" s="452"/>
      <c r="AH127" s="1153"/>
      <c r="AI127" s="640">
        <f t="shared" si="99"/>
        <v>31496.062992126026</v>
      </c>
      <c r="AJ127" s="645">
        <f t="shared" si="99"/>
        <v>14</v>
      </c>
      <c r="AK127" s="624">
        <f t="shared" si="108"/>
        <v>21470.137267172413</v>
      </c>
      <c r="AL127" s="625">
        <f t="shared" ca="1" si="106"/>
        <v>7180.6576503001297</v>
      </c>
      <c r="AM127" s="626">
        <f t="shared" si="106"/>
        <v>11949.099439897487</v>
      </c>
      <c r="AN127" s="625">
        <f t="shared" si="106"/>
        <v>16800.807764385259</v>
      </c>
      <c r="AO127" s="626">
        <f t="shared" si="106"/>
        <v>0</v>
      </c>
      <c r="AP127" s="625">
        <f t="shared" si="106"/>
        <v>2379.5073853649137</v>
      </c>
      <c r="AQ127" s="627">
        <f t="shared" si="106"/>
        <v>13876.959806950399</v>
      </c>
      <c r="AR127" s="627">
        <f t="shared" si="106"/>
        <v>-66354.471287984969</v>
      </c>
      <c r="AS127" s="627">
        <f t="shared" ca="1" si="106"/>
        <v>7302.6980260856271</v>
      </c>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c r="BS127" s="452"/>
      <c r="BT127" s="452"/>
      <c r="BU127" s="452"/>
      <c r="BV127" s="452"/>
      <c r="BW127" s="452"/>
      <c r="BX127" s="452"/>
      <c r="BY127" s="452"/>
    </row>
    <row r="128" spans="1:77" ht="15" thickBot="1">
      <c r="A128" s="1158"/>
      <c r="B128" s="672">
        <f t="shared" si="81"/>
        <v>27716.53543307096</v>
      </c>
      <c r="C128" s="646">
        <f t="shared" si="82"/>
        <v>15</v>
      </c>
      <c r="D128" s="634">
        <f t="shared" ca="1" si="101"/>
        <v>9146.746621569102</v>
      </c>
      <c r="E128" s="633">
        <f t="shared" ca="1" si="102"/>
        <v>9461.2092951204031</v>
      </c>
      <c r="F128" s="634">
        <f t="shared" ca="1" si="103"/>
        <v>11326.842475137419</v>
      </c>
      <c r="G128" s="633">
        <f t="shared" si="107"/>
        <v>11341.734288092523</v>
      </c>
      <c r="H128" s="634">
        <f t="shared" si="104"/>
        <v>10676.32205465806</v>
      </c>
      <c r="I128" s="633">
        <f t="shared" si="104"/>
        <v>15097.254070328572</v>
      </c>
      <c r="J128" s="635">
        <f t="shared" si="104"/>
        <v>17066.461122980127</v>
      </c>
      <c r="K128" s="452"/>
      <c r="L128" s="1158"/>
      <c r="M128" s="672">
        <f t="shared" si="83"/>
        <v>27716.53543307096</v>
      </c>
      <c r="N128" s="646">
        <f t="shared" si="83"/>
        <v>15</v>
      </c>
      <c r="O128" s="633">
        <f t="shared" ca="1" si="84"/>
        <v>4421.3595330953995</v>
      </c>
      <c r="P128" s="633">
        <f t="shared" ca="1" si="85"/>
        <v>4573.3646773321598</v>
      </c>
      <c r="Q128" s="633">
        <f t="shared" ca="1" si="86"/>
        <v>5475.1754945549819</v>
      </c>
      <c r="R128" s="633">
        <f t="shared" si="87"/>
        <v>5482.3739074878222</v>
      </c>
      <c r="S128" s="633">
        <f t="shared" si="88"/>
        <v>5160.7265673509346</v>
      </c>
      <c r="T128" s="633">
        <f t="shared" si="89"/>
        <v>7297.7191748162459</v>
      </c>
      <c r="U128" s="635">
        <f t="shared" si="90"/>
        <v>8249.5955889227134</v>
      </c>
      <c r="V128" s="452"/>
      <c r="W128" s="1153"/>
      <c r="X128" s="640">
        <f t="shared" si="91"/>
        <v>27716.53543307096</v>
      </c>
      <c r="Y128" s="646">
        <f t="shared" si="92"/>
        <v>15</v>
      </c>
      <c r="Z128" s="624">
        <f t="shared" ca="1" si="105"/>
        <v>0</v>
      </c>
      <c r="AA128" s="625">
        <f t="shared" ca="1" si="93"/>
        <v>152.00514423676032</v>
      </c>
      <c r="AB128" s="626">
        <f t="shared" ca="1" si="94"/>
        <v>1053.8159614595825</v>
      </c>
      <c r="AC128" s="625">
        <f t="shared" ca="1" si="95"/>
        <v>1061.0143743924227</v>
      </c>
      <c r="AD128" s="626">
        <f t="shared" ca="1" si="96"/>
        <v>739.36703425553515</v>
      </c>
      <c r="AE128" s="625">
        <f t="shared" ca="1" si="97"/>
        <v>2876.3596417208464</v>
      </c>
      <c r="AF128" s="627">
        <f t="shared" ca="1" si="98"/>
        <v>3828.236055827314</v>
      </c>
      <c r="AG128" s="452"/>
      <c r="AH128" s="1153"/>
      <c r="AI128" s="640">
        <f t="shared" si="99"/>
        <v>27716.53543307096</v>
      </c>
      <c r="AJ128" s="646">
        <f t="shared" si="99"/>
        <v>15</v>
      </c>
      <c r="AK128" s="624">
        <f t="shared" si="108"/>
        <v>21470.137267172413</v>
      </c>
      <c r="AL128" s="625">
        <f t="shared" ca="1" si="106"/>
        <v>7332.66279453689</v>
      </c>
      <c r="AM128" s="626">
        <f t="shared" si="106"/>
        <v>12158.215108383969</v>
      </c>
      <c r="AN128" s="625">
        <f t="shared" si="106"/>
        <v>17156.458922244419</v>
      </c>
      <c r="AO128" s="626">
        <f t="shared" si="106"/>
        <v>0</v>
      </c>
      <c r="AP128" s="625">
        <f t="shared" si="106"/>
        <v>2511.9703978987591</v>
      </c>
      <c r="AQ128" s="627">
        <f t="shared" si="106"/>
        <v>14170.716922210595</v>
      </c>
      <c r="AR128" s="627">
        <f t="shared" si="106"/>
        <v>-67515.710232413156</v>
      </c>
      <c r="AS128" s="627">
        <f t="shared" ca="1" si="106"/>
        <v>7284.4511800338778</v>
      </c>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c r="BS128" s="452"/>
      <c r="BT128" s="452"/>
      <c r="BU128" s="452"/>
      <c r="BV128" s="452"/>
      <c r="BW128" s="452"/>
      <c r="BX128" s="452"/>
      <c r="BY128" s="452"/>
    </row>
    <row r="129" spans="1:77" ht="15" thickBot="1">
      <c r="A129" s="452"/>
      <c r="B129" s="452"/>
      <c r="C129" s="452"/>
      <c r="D129" s="637">
        <f ca="1">SUM(D113:D128)</f>
        <v>278055.48822141456</v>
      </c>
      <c r="E129" s="637">
        <f t="shared" ref="E129:J129" ca="1" si="109">SUM(E113:E128)</f>
        <v>287618.16698362335</v>
      </c>
      <c r="F129" s="637">
        <f t="shared" ca="1" si="109"/>
        <v>344352.29396223865</v>
      </c>
      <c r="G129" s="637">
        <f t="shared" si="109"/>
        <v>344897.40985320543</v>
      </c>
      <c r="H129" s="637">
        <f t="shared" si="109"/>
        <v>324662.50133157568</v>
      </c>
      <c r="I129" s="637">
        <f t="shared" si="109"/>
        <v>459101.2002651855</v>
      </c>
      <c r="J129" s="637">
        <f t="shared" si="109"/>
        <v>518983.96551716625</v>
      </c>
      <c r="K129" s="452"/>
      <c r="L129" s="452"/>
      <c r="M129" s="452"/>
      <c r="N129" s="452"/>
      <c r="O129" s="637">
        <f ca="1">SUM(O113:O128)</f>
        <v>213208.20869353539</v>
      </c>
      <c r="P129" s="637">
        <f t="shared" ref="P129" ca="1" si="110">SUM(P113:P128)</f>
        <v>220540.8714880723</v>
      </c>
      <c r="Q129" s="637">
        <f t="shared" ref="Q129" ca="1" si="111">SUM(Q113:Q128)</f>
        <v>264044.83752493805</v>
      </c>
      <c r="R129" s="637">
        <f t="shared" ref="R129" si="112">SUM(R113:R128)</f>
        <v>264467.35983198235</v>
      </c>
      <c r="S129" s="637">
        <f t="shared" ref="S129" si="113">SUM(S113:S128)</f>
        <v>248951.23045474305</v>
      </c>
      <c r="T129" s="637">
        <f t="shared" ref="T129" si="114">SUM(T113:T128)</f>
        <v>352038.83491472201</v>
      </c>
      <c r="U129" s="637">
        <f t="shared" ref="U129" si="115">SUM(U113:U128)</f>
        <v>397956.94381664245</v>
      </c>
      <c r="V129" s="452"/>
      <c r="W129" s="1154"/>
      <c r="X129" s="1150" t="s">
        <v>110</v>
      </c>
      <c r="Y129" s="1151"/>
      <c r="Z129" s="636">
        <f t="shared" ca="1" si="105"/>
        <v>0</v>
      </c>
      <c r="AA129" s="637">
        <f t="shared" ca="1" si="93"/>
        <v>7332.662794536911</v>
      </c>
      <c r="AB129" s="638">
        <f t="shared" ca="1" si="94"/>
        <v>50836.628831402661</v>
      </c>
      <c r="AC129" s="637">
        <f t="shared" ca="1" si="95"/>
        <v>51259.151138446963</v>
      </c>
      <c r="AD129" s="638">
        <f t="shared" ca="1" si="96"/>
        <v>35743.021761207667</v>
      </c>
      <c r="AE129" s="637">
        <f t="shared" ca="1" si="97"/>
        <v>138830.62622118663</v>
      </c>
      <c r="AF129" s="639">
        <f t="shared" ca="1" si="98"/>
        <v>184748.73512310706</v>
      </c>
      <c r="AG129" s="452"/>
      <c r="AH129" s="1154"/>
      <c r="AI129" s="1150" t="s">
        <v>110</v>
      </c>
      <c r="AJ129" s="1151"/>
      <c r="AK129" s="636">
        <f>AK128</f>
        <v>21470.137267172413</v>
      </c>
      <c r="AL129" s="637">
        <f t="shared" ref="AL129:AS129" ca="1" si="116">AL128</f>
        <v>7332.66279453689</v>
      </c>
      <c r="AM129" s="638">
        <f t="shared" si="116"/>
        <v>12158.215108383969</v>
      </c>
      <c r="AN129" s="637">
        <f t="shared" si="116"/>
        <v>17156.458922244419</v>
      </c>
      <c r="AO129" s="638">
        <f t="shared" si="116"/>
        <v>0</v>
      </c>
      <c r="AP129" s="637">
        <f t="shared" si="116"/>
        <v>2511.9703978987591</v>
      </c>
      <c r="AQ129" s="639">
        <f t="shared" si="116"/>
        <v>14170.716922210595</v>
      </c>
      <c r="AR129" s="639">
        <f t="shared" si="116"/>
        <v>-67515.710232413156</v>
      </c>
      <c r="AS129" s="639">
        <f t="shared" ca="1" si="116"/>
        <v>7284.4511800338778</v>
      </c>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c r="BS129" s="452"/>
      <c r="BT129" s="452"/>
      <c r="BU129" s="452"/>
      <c r="BV129" s="452"/>
      <c r="BW129" s="452"/>
      <c r="BX129" s="452"/>
      <c r="BY129" s="452"/>
    </row>
    <row r="130" spans="1:77" ht="15" thickBot="1">
      <c r="A130" s="452"/>
      <c r="B130" s="452"/>
      <c r="C130" s="452"/>
      <c r="D130" s="452"/>
      <c r="E130" s="452"/>
      <c r="F130" s="452"/>
      <c r="G130" s="452"/>
      <c r="H130" s="452"/>
      <c r="I130" s="452"/>
      <c r="J130" s="452"/>
      <c r="K130" s="452"/>
      <c r="L130" s="452"/>
      <c r="M130" s="452"/>
      <c r="N130" s="452"/>
      <c r="O130" s="452"/>
      <c r="P130" s="452"/>
      <c r="Q130" s="452"/>
      <c r="R130" s="452"/>
      <c r="S130" s="452"/>
      <c r="T130" s="452"/>
      <c r="U130" s="452"/>
      <c r="V130" s="452"/>
      <c r="W130" s="452"/>
      <c r="X130" s="452"/>
      <c r="Y130" s="452"/>
      <c r="Z130" s="452"/>
      <c r="AA130" s="452"/>
      <c r="AB130" s="452"/>
      <c r="AC130" s="452"/>
      <c r="AD130" s="452"/>
      <c r="AE130" s="452"/>
      <c r="AF130" s="452"/>
      <c r="AG130" s="452"/>
      <c r="AH130" s="452"/>
      <c r="AI130" s="452"/>
      <c r="AJ130" s="452"/>
      <c r="AK130" s="452"/>
      <c r="AL130" s="452"/>
      <c r="AM130" s="452"/>
      <c r="AN130" s="452"/>
      <c r="AO130" s="452"/>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c r="BS130" s="452"/>
      <c r="BT130" s="452"/>
      <c r="BU130" s="452"/>
      <c r="BV130" s="452"/>
      <c r="BW130" s="452"/>
      <c r="BX130" s="452"/>
      <c r="BY130" s="452"/>
    </row>
    <row r="131" spans="1:77" ht="42.5" thickBot="1">
      <c r="A131" s="1156" t="s">
        <v>510</v>
      </c>
      <c r="B131" s="643" t="s">
        <v>487</v>
      </c>
      <c r="C131" s="644" t="s">
        <v>506</v>
      </c>
      <c r="D131" s="352" t="s">
        <v>454</v>
      </c>
      <c r="E131" s="609" t="s">
        <v>455</v>
      </c>
      <c r="F131" s="735" t="str">
        <f>F$51</f>
        <v>Mobile Carbon Capture  90%</v>
      </c>
      <c r="G131" s="622" t="str">
        <f>$G$51</f>
        <v>BEV 250 mile</v>
      </c>
      <c r="H131" s="736" t="s">
        <v>445</v>
      </c>
      <c r="I131" s="974" t="s">
        <v>414</v>
      </c>
      <c r="J131" s="623" t="s">
        <v>413</v>
      </c>
      <c r="K131" s="452"/>
      <c r="L131" s="1156" t="s">
        <v>510</v>
      </c>
      <c r="M131" s="643" t="s">
        <v>487</v>
      </c>
      <c r="N131" s="644" t="s">
        <v>506</v>
      </c>
      <c r="O131" s="352" t="s">
        <v>454</v>
      </c>
      <c r="P131" s="609" t="s">
        <v>455</v>
      </c>
      <c r="Q131" s="735" t="str">
        <f>Q$51</f>
        <v>Mobile Carbon Capture  90%</v>
      </c>
      <c r="R131" s="622" t="str">
        <f>$G$51</f>
        <v>BEV 250 mile</v>
      </c>
      <c r="S131" s="736" t="s">
        <v>445</v>
      </c>
      <c r="T131" s="974" t="s">
        <v>414</v>
      </c>
      <c r="U131" s="623" t="s">
        <v>413</v>
      </c>
      <c r="V131" s="452"/>
      <c r="W131" s="1152" t="s">
        <v>510</v>
      </c>
      <c r="X131" s="643" t="s">
        <v>487</v>
      </c>
      <c r="Y131" s="644" t="s">
        <v>506</v>
      </c>
      <c r="Z131" s="352" t="s">
        <v>454</v>
      </c>
      <c r="AA131" s="609" t="s">
        <v>552</v>
      </c>
      <c r="AB131" s="354" t="s">
        <v>553</v>
      </c>
      <c r="AC131" s="355" t="s">
        <v>523</v>
      </c>
      <c r="AD131" s="355" t="s">
        <v>445</v>
      </c>
      <c r="AE131" s="973" t="s">
        <v>414</v>
      </c>
      <c r="AF131" s="357" t="s">
        <v>413</v>
      </c>
      <c r="AG131" s="452"/>
      <c r="AH131" s="452"/>
      <c r="AI131" s="452"/>
      <c r="AJ131" s="452"/>
      <c r="AK131" s="452"/>
      <c r="AL131" s="452"/>
      <c r="AM131" s="452"/>
      <c r="AN131" s="452"/>
      <c r="AO131" s="452"/>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c r="BS131" s="452"/>
      <c r="BT131" s="452"/>
      <c r="BU131" s="452"/>
      <c r="BV131" s="452"/>
      <c r="BW131" s="452"/>
      <c r="BX131" s="452"/>
    </row>
    <row r="132" spans="1:77" ht="15" thickBot="1">
      <c r="A132" s="1157"/>
      <c r="B132" s="640">
        <f t="shared" ref="B132:B147" si="117">M52</f>
        <v>0</v>
      </c>
      <c r="C132" s="645">
        <f t="shared" ref="C132:C147" si="118">N52</f>
        <v>0</v>
      </c>
      <c r="D132" s="624">
        <v>0</v>
      </c>
      <c r="E132" s="629">
        <v>0</v>
      </c>
      <c r="F132" s="626">
        <v>0</v>
      </c>
      <c r="G132" s="625">
        <f>$F$2*'TCO Calculation'!H86</f>
        <v>5958.3461692274768</v>
      </c>
      <c r="H132" s="626">
        <f>$F$2*'TCO Calculation'!I86</f>
        <v>6047.721361765889</v>
      </c>
      <c r="I132" s="625">
        <f>$F$2*'TCO Calculation'!J86</f>
        <v>0</v>
      </c>
      <c r="J132" s="627">
        <f>$F$2*'TCO Calculation'!K86</f>
        <v>0</v>
      </c>
      <c r="K132" s="452"/>
      <c r="L132" s="1157"/>
      <c r="M132" s="640">
        <f t="shared" ref="M132:N147" si="119">M52</f>
        <v>0</v>
      </c>
      <c r="N132" s="645">
        <f t="shared" si="119"/>
        <v>0</v>
      </c>
      <c r="O132" s="633">
        <f t="shared" ref="O132:O147" si="120">D132*(1-$B$2)^MAX(0,($N132-1))</f>
        <v>0</v>
      </c>
      <c r="P132" s="633">
        <f t="shared" ref="P132:P147" si="121">E132*(1-$B$2)^MAX(0,($N132-1))</f>
        <v>0</v>
      </c>
      <c r="Q132" s="633">
        <f t="shared" ref="Q132:Q147" si="122">F132*(1-$B$2)^MAX(0,($N132-1))</f>
        <v>0</v>
      </c>
      <c r="R132" s="633">
        <f t="shared" ref="R132:R147" si="123">G132*(1-$B$2)^MAX(0,($N132-1))</f>
        <v>5958.3461692274768</v>
      </c>
      <c r="S132" s="633">
        <f t="shared" ref="S132:S147" si="124">H132*(1-$B$2)^MAX(0,($N132-1))</f>
        <v>6047.721361765889</v>
      </c>
      <c r="T132" s="633">
        <f t="shared" ref="T132:T147" si="125">I132*(1-$B$2)^MAX(0,($N132-1))</f>
        <v>0</v>
      </c>
      <c r="U132" s="635">
        <f t="shared" ref="U132:U147" si="126">J132*(1-$B$2)^MAX(0,($N132-1))</f>
        <v>0</v>
      </c>
      <c r="V132" s="452"/>
      <c r="W132" s="1153"/>
      <c r="X132" s="640">
        <f t="shared" ref="X132:X147" si="127">M132</f>
        <v>0</v>
      </c>
      <c r="Y132" s="645">
        <f t="shared" ref="Y132:Y147" si="128">N132</f>
        <v>0</v>
      </c>
      <c r="Z132" s="624">
        <f>O132-$O132</f>
        <v>0</v>
      </c>
      <c r="AA132" s="629">
        <f t="shared" ref="AA132:AA148" si="129">P132-$O132</f>
        <v>0</v>
      </c>
      <c r="AB132" s="626">
        <f t="shared" ref="AB132:AB148" si="130">Q132-$O132</f>
        <v>0</v>
      </c>
      <c r="AC132" s="625">
        <f t="shared" ref="AC132:AC148" si="131">R132-$O132</f>
        <v>5958.3461692274768</v>
      </c>
      <c r="AD132" s="626">
        <f t="shared" ref="AD132:AD148" si="132">S132-$O132</f>
        <v>6047.721361765889</v>
      </c>
      <c r="AE132" s="625">
        <f t="shared" ref="AE132:AE148" si="133">T132-$O132</f>
        <v>0</v>
      </c>
      <c r="AF132" s="627">
        <f t="shared" ref="AF132:AF148" si="134">U132-$O132</f>
        <v>0</v>
      </c>
      <c r="AG132" s="452"/>
      <c r="AH132" s="452"/>
      <c r="AI132" s="452"/>
      <c r="AJ132" s="452"/>
      <c r="AK132" s="452"/>
      <c r="AL132" s="452"/>
      <c r="AM132" s="452"/>
      <c r="AN132" s="452"/>
      <c r="AO132" s="452"/>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c r="BS132" s="452"/>
      <c r="BT132" s="452"/>
      <c r="BU132" s="452"/>
      <c r="BV132" s="452"/>
      <c r="BW132" s="452"/>
      <c r="BX132" s="452"/>
    </row>
    <row r="133" spans="1:77">
      <c r="A133" s="1157"/>
      <c r="B133" s="640">
        <f t="shared" si="117"/>
        <v>101417.32283464503</v>
      </c>
      <c r="C133" s="645">
        <f t="shared" si="118"/>
        <v>1</v>
      </c>
      <c r="D133" s="628">
        <f>IF($C95&lt;=$E$2,PMT($D$2,$E$2,-1*'TCO Calculation'!E$86),0)</f>
        <v>0</v>
      </c>
      <c r="E133" s="629">
        <f>$B133/'TCO Calculation'!F$65*IF('TCO Calculation'!$L$3="Lookup Table",VLOOKUP('TCO Calculation'!$B$8+$C132,'Cost Projection'!$B$6:$Y$49,24,FALSE),'TCO Calculation'!$L$2)*VLOOKUP('TCO Calculation'!F$12, 'GHG FE &amp; Fuel '!$L$27:$N$36, 3, FALSE)*'TCO Calculation'!F$140/1000000</f>
        <v>1582.9623692178043</v>
      </c>
      <c r="F133" s="629">
        <f>$B133/'TCO Calculation'!G$65*IF('TCO Calculation'!$L$3="Lookup Table",VLOOKUP('TCO Calculation'!$B$8+$C132,'Cost Projection'!$B$6:$Y$49,24,FALSE),'TCO Calculation'!$L$2)*VLOOKUP('TCO Calculation'!G$12, 'GHG FE &amp; Fuel '!$L$27:$N$36, 3, FALSE)*'TCO Calculation'!G$140/1000000</f>
        <v>3411.5055203960596</v>
      </c>
      <c r="G133" s="629">
        <f>IF($C95&lt;=$E$2,PMT($D$2,$E$2,-1*'TCO Calculation'!H$86),0)</f>
        <v>11787.416109146425</v>
      </c>
      <c r="H133" s="630">
        <f>IF($C95&lt;=$E$2,PMT($D$2,$E$2,-1*'TCO Calculation'!I$86),0)</f>
        <v>11964.22735078362</v>
      </c>
      <c r="I133" s="629">
        <f>IF($C95&lt;=$E$2,PMT($D$2,$E$2,-1*'TCO Calculation'!J$86),0)</f>
        <v>0</v>
      </c>
      <c r="J133" s="631">
        <f>IF($C95&lt;=$E$2,PMT($D$2,$E$2,-1*'TCO Calculation'!K$86),0)</f>
        <v>0</v>
      </c>
      <c r="K133" s="452"/>
      <c r="L133" s="1157"/>
      <c r="M133" s="640">
        <f t="shared" si="119"/>
        <v>101417.32283464503</v>
      </c>
      <c r="N133" s="645">
        <f t="shared" si="119"/>
        <v>1</v>
      </c>
      <c r="O133" s="629">
        <f t="shared" si="120"/>
        <v>0</v>
      </c>
      <c r="P133" s="629">
        <f t="shared" si="121"/>
        <v>1582.9623692178043</v>
      </c>
      <c r="Q133" s="629">
        <f t="shared" si="122"/>
        <v>3411.5055203960596</v>
      </c>
      <c r="R133" s="629">
        <f t="shared" si="123"/>
        <v>11787.416109146425</v>
      </c>
      <c r="S133" s="629">
        <f t="shared" si="124"/>
        <v>11964.22735078362</v>
      </c>
      <c r="T133" s="629">
        <f t="shared" si="125"/>
        <v>0</v>
      </c>
      <c r="U133" s="631">
        <f t="shared" si="126"/>
        <v>0</v>
      </c>
      <c r="V133" s="452"/>
      <c r="W133" s="1153"/>
      <c r="X133" s="640">
        <f t="shared" si="127"/>
        <v>101417.32283464503</v>
      </c>
      <c r="Y133" s="645">
        <f t="shared" si="128"/>
        <v>1</v>
      </c>
      <c r="Z133" s="628">
        <f t="shared" ref="Z133:Z148" si="135">O133-$O133</f>
        <v>0</v>
      </c>
      <c r="AA133" s="629">
        <f t="shared" si="129"/>
        <v>1582.9623692178043</v>
      </c>
      <c r="AB133" s="630">
        <f t="shared" si="130"/>
        <v>3411.5055203960596</v>
      </c>
      <c r="AC133" s="629">
        <f t="shared" si="131"/>
        <v>11787.416109146425</v>
      </c>
      <c r="AD133" s="630">
        <f t="shared" si="132"/>
        <v>11964.22735078362</v>
      </c>
      <c r="AE133" s="629">
        <f t="shared" si="133"/>
        <v>0</v>
      </c>
      <c r="AF133" s="631">
        <f t="shared" si="134"/>
        <v>0</v>
      </c>
      <c r="AG133" s="452"/>
      <c r="AH133" s="452"/>
      <c r="AI133" s="452"/>
      <c r="AJ133" s="452"/>
      <c r="AK133" s="452"/>
      <c r="AL133" s="452"/>
      <c r="AM133" s="452"/>
      <c r="AN133" s="452"/>
      <c r="AO133" s="452"/>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c r="BS133" s="452"/>
      <c r="BT133" s="452"/>
      <c r="BU133" s="452"/>
      <c r="BV133" s="452"/>
      <c r="BW133" s="452"/>
      <c r="BX133" s="452"/>
    </row>
    <row r="134" spans="1:77">
      <c r="A134" s="1157"/>
      <c r="B134" s="640">
        <f t="shared" si="117"/>
        <v>112755.90551181062</v>
      </c>
      <c r="C134" s="645">
        <f t="shared" si="118"/>
        <v>2</v>
      </c>
      <c r="D134" s="624">
        <f>IF($C96&lt;=$E$2,PMT($D$2,$E$2,-1*'TCO Calculation'!E$86),0)</f>
        <v>0</v>
      </c>
      <c r="E134" s="625">
        <f>$B134/'TCO Calculation'!F$65*IF('TCO Calculation'!$L$3="Lookup Table",VLOOKUP('TCO Calculation'!$B$8+$C133,'Cost Projection'!$B$6:$Y$49,24,FALSE),'TCO Calculation'!$L$2)*VLOOKUP('TCO Calculation'!F$12, 'GHG FE &amp; Fuel '!$L$27:$N$36, 3, FALSE)*'TCO Calculation'!F$140/1000000</f>
        <v>1759.9395285092405</v>
      </c>
      <c r="F134" s="625">
        <f>$B134/'TCO Calculation'!G$65*IF('TCO Calculation'!$L$3="Lookup Table",VLOOKUP('TCO Calculation'!$B$8+$C133,'Cost Projection'!$B$6:$Y$49,24,FALSE),'TCO Calculation'!$L$2)*VLOOKUP('TCO Calculation'!G$12, 'GHG FE &amp; Fuel '!$L$27:$N$36, 3, FALSE)*'TCO Calculation'!G$140/1000000</f>
        <v>3792.9160754714039</v>
      </c>
      <c r="G134" s="625">
        <f>IF($C96&lt;=$E$2,PMT($D$2,$E$2,-1*'TCO Calculation'!H$86),0)</f>
        <v>11787.416109146425</v>
      </c>
      <c r="H134" s="626">
        <f>IF($C96&lt;=$E$2,PMT($D$2,$E$2,-1*'TCO Calculation'!I$86),0)</f>
        <v>11964.22735078362</v>
      </c>
      <c r="I134" s="625">
        <f>IF($C96&lt;=$E$2,PMT($D$2,$E$2,-1*'TCO Calculation'!J$86),0)</f>
        <v>0</v>
      </c>
      <c r="J134" s="627">
        <f>IF($C96&lt;=$E$2,PMT($D$2,$E$2,-1*'TCO Calculation'!K$86),0)</f>
        <v>0</v>
      </c>
      <c r="K134" s="452"/>
      <c r="L134" s="1157"/>
      <c r="M134" s="640">
        <f t="shared" si="119"/>
        <v>112755.90551181062</v>
      </c>
      <c r="N134" s="645">
        <f t="shared" si="119"/>
        <v>2</v>
      </c>
      <c r="O134" s="625">
        <f t="shared" si="120"/>
        <v>0</v>
      </c>
      <c r="P134" s="625">
        <f t="shared" si="121"/>
        <v>1670.8865883666731</v>
      </c>
      <c r="Q134" s="625">
        <f t="shared" si="122"/>
        <v>3600.994522052551</v>
      </c>
      <c r="R134" s="625">
        <f t="shared" si="123"/>
        <v>11190.972854023616</v>
      </c>
      <c r="S134" s="625">
        <f t="shared" si="124"/>
        <v>11358.83744683397</v>
      </c>
      <c r="T134" s="625">
        <f t="shared" si="125"/>
        <v>0</v>
      </c>
      <c r="U134" s="627">
        <f t="shared" si="126"/>
        <v>0</v>
      </c>
      <c r="V134" s="452"/>
      <c r="W134" s="1153"/>
      <c r="X134" s="640">
        <f t="shared" si="127"/>
        <v>112755.90551181062</v>
      </c>
      <c r="Y134" s="645">
        <f t="shared" si="128"/>
        <v>2</v>
      </c>
      <c r="Z134" s="624">
        <f t="shared" si="135"/>
        <v>0</v>
      </c>
      <c r="AA134" s="625">
        <f t="shared" si="129"/>
        <v>1670.8865883666731</v>
      </c>
      <c r="AB134" s="626">
        <f t="shared" si="130"/>
        <v>3600.994522052551</v>
      </c>
      <c r="AC134" s="625">
        <f t="shared" si="131"/>
        <v>11190.972854023616</v>
      </c>
      <c r="AD134" s="626">
        <f t="shared" si="132"/>
        <v>11358.83744683397</v>
      </c>
      <c r="AE134" s="625">
        <f t="shared" si="133"/>
        <v>0</v>
      </c>
      <c r="AF134" s="627">
        <f t="shared" si="134"/>
        <v>0</v>
      </c>
      <c r="AG134" s="452"/>
      <c r="AH134" s="452"/>
      <c r="AI134" s="452"/>
      <c r="AJ134" s="452"/>
      <c r="AK134" s="452"/>
      <c r="AL134" s="452"/>
      <c r="AM134" s="452"/>
      <c r="AN134" s="452"/>
      <c r="AO134" s="452"/>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c r="BS134" s="452"/>
      <c r="BT134" s="452"/>
      <c r="BU134" s="452"/>
      <c r="BV134" s="452"/>
      <c r="BW134" s="452"/>
      <c r="BX134" s="452"/>
    </row>
    <row r="135" spans="1:77">
      <c r="A135" s="1157"/>
      <c r="B135" s="640">
        <f t="shared" si="117"/>
        <v>107086.61417322783</v>
      </c>
      <c r="C135" s="645">
        <f t="shared" si="118"/>
        <v>3</v>
      </c>
      <c r="D135" s="624">
        <f>IF($C97&lt;=$E$2,PMT($D$2,$E$2,-1*'TCO Calculation'!E$86),0)</f>
        <v>0</v>
      </c>
      <c r="E135" s="625">
        <f>$B135/'TCO Calculation'!F$65*IF('TCO Calculation'!$L$3="Lookup Table",VLOOKUP('TCO Calculation'!$B$8+$C134,'Cost Projection'!$B$6:$Y$49,24,FALSE),'TCO Calculation'!$L$2)*VLOOKUP('TCO Calculation'!F$12, 'GHG FE &amp; Fuel '!$L$27:$N$36, 3, FALSE)*'TCO Calculation'!F$140/1000000</f>
        <v>1671.4509488635226</v>
      </c>
      <c r="F135" s="625">
        <f>$B135/'TCO Calculation'!G$65*IF('TCO Calculation'!$L$3="Lookup Table",VLOOKUP('TCO Calculation'!$B$8+$C134,'Cost Projection'!$B$6:$Y$49,24,FALSE),'TCO Calculation'!$L$2)*VLOOKUP('TCO Calculation'!G$12, 'GHG FE &amp; Fuel '!$L$27:$N$36, 3, FALSE)*'TCO Calculation'!G$140/1000000</f>
        <v>3602.2107979337325</v>
      </c>
      <c r="G135" s="625">
        <f>IF($C97&lt;=$E$2,PMT($D$2,$E$2,-1*'TCO Calculation'!H$86),0)</f>
        <v>11787.416109146425</v>
      </c>
      <c r="H135" s="626">
        <f>IF($C97&lt;=$E$2,PMT($D$2,$E$2,-1*'TCO Calculation'!I$86),0)</f>
        <v>11964.22735078362</v>
      </c>
      <c r="I135" s="625">
        <f>IF($C97&lt;=$E$2,PMT($D$2,$E$2,-1*'TCO Calculation'!J$86),0)</f>
        <v>0</v>
      </c>
      <c r="J135" s="627">
        <f>IF($C97&lt;=$E$2,PMT($D$2,$E$2,-1*'TCO Calculation'!K$86),0)</f>
        <v>0</v>
      </c>
      <c r="K135" s="452"/>
      <c r="L135" s="1157"/>
      <c r="M135" s="640">
        <f t="shared" si="119"/>
        <v>107086.61417322783</v>
      </c>
      <c r="N135" s="645">
        <f t="shared" si="119"/>
        <v>3</v>
      </c>
      <c r="O135" s="625">
        <f t="shared" si="120"/>
        <v>0</v>
      </c>
      <c r="P135" s="625">
        <f t="shared" si="121"/>
        <v>1506.5796289899665</v>
      </c>
      <c r="Q135" s="625">
        <f t="shared" si="122"/>
        <v>3246.8900216214365</v>
      </c>
      <c r="R135" s="625">
        <f t="shared" si="123"/>
        <v>10624.709627610022</v>
      </c>
      <c r="S135" s="625">
        <f t="shared" si="124"/>
        <v>10784.08027202417</v>
      </c>
      <c r="T135" s="625">
        <f t="shared" si="125"/>
        <v>0</v>
      </c>
      <c r="U135" s="627">
        <f t="shared" si="126"/>
        <v>0</v>
      </c>
      <c r="V135" s="452"/>
      <c r="W135" s="1153"/>
      <c r="X135" s="640">
        <f t="shared" si="127"/>
        <v>107086.61417322783</v>
      </c>
      <c r="Y135" s="645">
        <f t="shared" si="128"/>
        <v>3</v>
      </c>
      <c r="Z135" s="624">
        <f t="shared" si="135"/>
        <v>0</v>
      </c>
      <c r="AA135" s="625">
        <f t="shared" si="129"/>
        <v>1506.5796289899665</v>
      </c>
      <c r="AB135" s="626">
        <f t="shared" si="130"/>
        <v>3246.8900216214365</v>
      </c>
      <c r="AC135" s="625">
        <f t="shared" si="131"/>
        <v>10624.709627610022</v>
      </c>
      <c r="AD135" s="626">
        <f t="shared" si="132"/>
        <v>10784.08027202417</v>
      </c>
      <c r="AE135" s="625">
        <f t="shared" si="133"/>
        <v>0</v>
      </c>
      <c r="AF135" s="627">
        <f t="shared" si="134"/>
        <v>0</v>
      </c>
      <c r="AG135" s="452"/>
      <c r="AH135" s="452"/>
      <c r="AI135" s="452"/>
      <c r="AJ135" s="452"/>
      <c r="AK135" s="452"/>
      <c r="AL135" s="452"/>
      <c r="AM135" s="452"/>
      <c r="AN135" s="452"/>
      <c r="AO135" s="452"/>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c r="BS135" s="452"/>
      <c r="BT135" s="452"/>
      <c r="BU135" s="452"/>
      <c r="BV135" s="452"/>
      <c r="BW135" s="452"/>
      <c r="BX135" s="452"/>
    </row>
    <row r="136" spans="1:77">
      <c r="A136" s="1157"/>
      <c r="B136" s="640">
        <f t="shared" si="117"/>
        <v>98897.637795275747</v>
      </c>
      <c r="C136" s="645">
        <f t="shared" si="118"/>
        <v>4</v>
      </c>
      <c r="D136" s="624">
        <f>IF($C98&lt;=$E$2,PMT($D$2,$E$2,-1*'TCO Calculation'!E$86),0)</f>
        <v>0</v>
      </c>
      <c r="E136" s="625">
        <f>$B136/'TCO Calculation'!F$65*IF('TCO Calculation'!$L$3="Lookup Table",VLOOKUP('TCO Calculation'!$B$8+$C135,'Cost Projection'!$B$6:$Y$49,24,FALSE),'TCO Calculation'!$L$2)*VLOOKUP('TCO Calculation'!F$12, 'GHG FE &amp; Fuel '!$L$27:$N$36, 3, FALSE)*'TCO Calculation'!F$140/1000000</f>
        <v>1543.6341115974983</v>
      </c>
      <c r="F136" s="625">
        <f>$B136/'TCO Calculation'!G$65*IF('TCO Calculation'!$L$3="Lookup Table",VLOOKUP('TCO Calculation'!$B$8+$C135,'Cost Projection'!$B$6:$Y$49,24,FALSE),'TCO Calculation'!$L$2)*VLOOKUP('TCO Calculation'!G$12, 'GHG FE &amp; Fuel '!$L$27:$N$36, 3, FALSE)*'TCO Calculation'!G$140/1000000</f>
        <v>3326.7476192682325</v>
      </c>
      <c r="G136" s="625">
        <f>IF($C98&lt;=$E$2,PMT($D$2,$E$2,-1*'TCO Calculation'!H$86),0)</f>
        <v>11787.416109146425</v>
      </c>
      <c r="H136" s="626">
        <f>IF($C98&lt;=$E$2,PMT($D$2,$E$2,-1*'TCO Calculation'!I$86),0)</f>
        <v>11964.22735078362</v>
      </c>
      <c r="I136" s="625">
        <f>IF($C98&lt;=$E$2,PMT($D$2,$E$2,-1*'TCO Calculation'!J$86),0)</f>
        <v>0</v>
      </c>
      <c r="J136" s="627">
        <f>IF($C98&lt;=$E$2,PMT($D$2,$E$2,-1*'TCO Calculation'!K$86),0)</f>
        <v>0</v>
      </c>
      <c r="K136" s="452"/>
      <c r="L136" s="1157"/>
      <c r="M136" s="640">
        <f t="shared" si="119"/>
        <v>98897.637795275747</v>
      </c>
      <c r="N136" s="645">
        <f t="shared" si="119"/>
        <v>4</v>
      </c>
      <c r="O136" s="625">
        <f t="shared" si="120"/>
        <v>0</v>
      </c>
      <c r="P136" s="625">
        <f t="shared" si="121"/>
        <v>1320.9672462517885</v>
      </c>
      <c r="Q136" s="625">
        <f t="shared" si="122"/>
        <v>2846.8693510870794</v>
      </c>
      <c r="R136" s="625">
        <f t="shared" si="123"/>
        <v>10087.099320452955</v>
      </c>
      <c r="S136" s="625">
        <f t="shared" si="124"/>
        <v>10238.405810259748</v>
      </c>
      <c r="T136" s="625">
        <f t="shared" si="125"/>
        <v>0</v>
      </c>
      <c r="U136" s="627">
        <f t="shared" si="126"/>
        <v>0</v>
      </c>
      <c r="V136" s="452"/>
      <c r="W136" s="1153"/>
      <c r="X136" s="640">
        <f t="shared" si="127"/>
        <v>98897.637795275747</v>
      </c>
      <c r="Y136" s="645">
        <f t="shared" si="128"/>
        <v>4</v>
      </c>
      <c r="Z136" s="624">
        <f t="shared" si="135"/>
        <v>0</v>
      </c>
      <c r="AA136" s="625">
        <f t="shared" si="129"/>
        <v>1320.9672462517885</v>
      </c>
      <c r="AB136" s="626">
        <f t="shared" si="130"/>
        <v>2846.8693510870794</v>
      </c>
      <c r="AC136" s="625">
        <f t="shared" si="131"/>
        <v>10087.099320452955</v>
      </c>
      <c r="AD136" s="626">
        <f t="shared" si="132"/>
        <v>10238.405810259748</v>
      </c>
      <c r="AE136" s="625">
        <f t="shared" si="133"/>
        <v>0</v>
      </c>
      <c r="AF136" s="627">
        <f t="shared" si="134"/>
        <v>0</v>
      </c>
      <c r="AG136" s="452"/>
      <c r="AH136" s="452"/>
      <c r="AI136" s="452"/>
      <c r="AJ136" s="452"/>
      <c r="AK136" s="452"/>
      <c r="AL136" s="452"/>
      <c r="AM136" s="452"/>
      <c r="AN136" s="452"/>
      <c r="AO136" s="452"/>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c r="BS136" s="452"/>
      <c r="BT136" s="452"/>
      <c r="BU136" s="452"/>
      <c r="BV136" s="452"/>
      <c r="BW136" s="452"/>
      <c r="BX136" s="452"/>
    </row>
    <row r="137" spans="1:77">
      <c r="A137" s="1157"/>
      <c r="B137" s="640">
        <f t="shared" si="117"/>
        <v>86299.212598425438</v>
      </c>
      <c r="C137" s="645">
        <f t="shared" si="118"/>
        <v>5</v>
      </c>
      <c r="D137" s="624">
        <f>IF($C99&lt;=$E$2,PMT($D$2,$E$2,-1*'TCO Calculation'!E$86),0)</f>
        <v>0</v>
      </c>
      <c r="E137" s="625">
        <f>$B137/'TCO Calculation'!F$65*IF('TCO Calculation'!$L$3="Lookup Table",VLOOKUP('TCO Calculation'!$B$8+$C136,'Cost Projection'!$B$6:$Y$49,24,FALSE),'TCO Calculation'!$L$2)*VLOOKUP('TCO Calculation'!F$12, 'GHG FE &amp; Fuel '!$L$27:$N$36, 3, FALSE)*'TCO Calculation'!F$140/1000000</f>
        <v>1346.9928234959075</v>
      </c>
      <c r="F137" s="625">
        <f>$B137/'TCO Calculation'!G$65*IF('TCO Calculation'!$L$3="Lookup Table",VLOOKUP('TCO Calculation'!$B$8+$C136,'Cost Projection'!$B$6:$Y$49,24,FALSE),'TCO Calculation'!$L$2)*VLOOKUP('TCO Calculation'!G$12, 'GHG FE &amp; Fuel '!$L$27:$N$36, 3, FALSE)*'TCO Calculation'!G$140/1000000</f>
        <v>2902.9581136289717</v>
      </c>
      <c r="G137" s="625">
        <f>IF($C99&lt;=$E$2,PMT($D$2,$E$2,-1*'TCO Calculation'!H$86),0)</f>
        <v>11787.416109146425</v>
      </c>
      <c r="H137" s="626">
        <f>IF($C99&lt;=$E$2,PMT($D$2,$E$2,-1*'TCO Calculation'!I$86),0)</f>
        <v>11964.22735078362</v>
      </c>
      <c r="I137" s="625">
        <f>IF($C99&lt;=$E$2,PMT($D$2,$E$2,-1*'TCO Calculation'!J$86),0)</f>
        <v>0</v>
      </c>
      <c r="J137" s="627">
        <f>IF($C99&lt;=$E$2,PMT($D$2,$E$2,-1*'TCO Calculation'!K$86),0)</f>
        <v>0</v>
      </c>
      <c r="K137" s="452"/>
      <c r="L137" s="1157"/>
      <c r="M137" s="640">
        <f t="shared" si="119"/>
        <v>86299.212598425438</v>
      </c>
      <c r="N137" s="645">
        <f t="shared" si="119"/>
        <v>5</v>
      </c>
      <c r="O137" s="625">
        <f t="shared" si="120"/>
        <v>0</v>
      </c>
      <c r="P137" s="625">
        <f t="shared" si="121"/>
        <v>1094.3649910320291</v>
      </c>
      <c r="Q137" s="625">
        <f t="shared" si="122"/>
        <v>2358.5097667727687</v>
      </c>
      <c r="R137" s="625">
        <f t="shared" si="123"/>
        <v>9576.6920948380357</v>
      </c>
      <c r="S137" s="625">
        <f t="shared" si="124"/>
        <v>9720.3424762606046</v>
      </c>
      <c r="T137" s="625">
        <f t="shared" si="125"/>
        <v>0</v>
      </c>
      <c r="U137" s="627">
        <f t="shared" si="126"/>
        <v>0</v>
      </c>
      <c r="V137" s="452"/>
      <c r="W137" s="1153"/>
      <c r="X137" s="640">
        <f t="shared" si="127"/>
        <v>86299.212598425438</v>
      </c>
      <c r="Y137" s="645">
        <f t="shared" si="128"/>
        <v>5</v>
      </c>
      <c r="Z137" s="624">
        <f t="shared" si="135"/>
        <v>0</v>
      </c>
      <c r="AA137" s="625">
        <f t="shared" si="129"/>
        <v>1094.3649910320291</v>
      </c>
      <c r="AB137" s="626">
        <f t="shared" si="130"/>
        <v>2358.5097667727687</v>
      </c>
      <c r="AC137" s="625">
        <f t="shared" si="131"/>
        <v>9576.6920948380357</v>
      </c>
      <c r="AD137" s="626">
        <f t="shared" si="132"/>
        <v>9720.3424762606046</v>
      </c>
      <c r="AE137" s="625">
        <f t="shared" si="133"/>
        <v>0</v>
      </c>
      <c r="AF137" s="627">
        <f t="shared" si="134"/>
        <v>0</v>
      </c>
      <c r="AG137" s="452"/>
      <c r="AH137" s="452"/>
      <c r="AI137" s="452"/>
      <c r="AJ137" s="452"/>
      <c r="AK137" s="452"/>
      <c r="AL137" s="452"/>
      <c r="AM137" s="452"/>
      <c r="AN137" s="452"/>
      <c r="AO137" s="452"/>
      <c r="AP137" s="452"/>
      <c r="AQ137" s="452"/>
      <c r="AR137" s="452"/>
      <c r="AS137" s="452"/>
      <c r="AT137" s="452"/>
      <c r="AU137" s="452"/>
      <c r="AV137" s="452"/>
      <c r="AW137" s="452"/>
      <c r="AX137" s="452"/>
      <c r="AY137" s="452"/>
      <c r="AZ137" s="452"/>
      <c r="BA137" s="452"/>
      <c r="BB137" s="452"/>
      <c r="BC137" s="452"/>
      <c r="BD137" s="452"/>
      <c r="BE137" s="452"/>
      <c r="BF137" s="452"/>
      <c r="BG137" s="452"/>
      <c r="BH137" s="452"/>
      <c r="BI137" s="452"/>
      <c r="BJ137" s="452"/>
      <c r="BK137" s="452"/>
      <c r="BL137" s="452"/>
      <c r="BM137" s="452"/>
      <c r="BN137" s="452"/>
      <c r="BO137" s="452"/>
      <c r="BP137" s="452"/>
      <c r="BQ137" s="452"/>
      <c r="BR137" s="452"/>
      <c r="BS137" s="452"/>
      <c r="BT137" s="452"/>
      <c r="BU137" s="452"/>
      <c r="BV137" s="452"/>
      <c r="BW137" s="452"/>
      <c r="BX137" s="452"/>
    </row>
    <row r="138" spans="1:77">
      <c r="A138" s="1157"/>
      <c r="B138" s="640">
        <f t="shared" si="117"/>
        <v>76850.393700787565</v>
      </c>
      <c r="C138" s="645">
        <f t="shared" si="118"/>
        <v>6</v>
      </c>
      <c r="D138" s="624">
        <f>IF($C100&lt;=$E$2,PMT($D$2,$E$2,-1*'TCO Calculation'!E$86),0)</f>
        <v>0</v>
      </c>
      <c r="E138" s="625">
        <f>$B138/'TCO Calculation'!F$65*IF('TCO Calculation'!$L$3="Lookup Table",VLOOKUP('TCO Calculation'!$B$8+$C137,'Cost Projection'!$B$6:$Y$49,24,FALSE),'TCO Calculation'!$L$2)*VLOOKUP('TCO Calculation'!F$12, 'GHG FE &amp; Fuel '!$L$27:$N$36, 3, FALSE)*'TCO Calculation'!F$140/1000000</f>
        <v>1199.5118574197127</v>
      </c>
      <c r="F138" s="625">
        <f>$B138/'TCO Calculation'!G$65*IF('TCO Calculation'!$L$3="Lookup Table",VLOOKUP('TCO Calculation'!$B$8+$C137,'Cost Projection'!$B$6:$Y$49,24,FALSE),'TCO Calculation'!$L$2)*VLOOKUP('TCO Calculation'!G$12, 'GHG FE &amp; Fuel '!$L$27:$N$36, 3, FALSE)*'TCO Calculation'!G$140/1000000</f>
        <v>2585.1159843995192</v>
      </c>
      <c r="G138" s="625">
        <f>IF($C100&lt;=$E$2,PMT($D$2,$E$2,-1*'TCO Calculation'!H$86),0)</f>
        <v>0</v>
      </c>
      <c r="H138" s="626">
        <f>IF($C100&lt;=$E$2,PMT($D$2,$E$2,-1*'TCO Calculation'!I$86),0)</f>
        <v>0</v>
      </c>
      <c r="I138" s="625">
        <f>IF($C100&lt;=$E$2,PMT($D$2,$E$2,-1*'TCO Calculation'!J$86),0)</f>
        <v>0</v>
      </c>
      <c r="J138" s="627">
        <f>IF($C100&lt;=$E$2,PMT($D$2,$E$2,-1*'TCO Calculation'!K$86),0)</f>
        <v>0</v>
      </c>
      <c r="K138" s="452"/>
      <c r="L138" s="1157"/>
      <c r="M138" s="640">
        <f t="shared" si="119"/>
        <v>76850.393700787565</v>
      </c>
      <c r="N138" s="645">
        <f t="shared" si="119"/>
        <v>6</v>
      </c>
      <c r="O138" s="625">
        <f t="shared" si="120"/>
        <v>0</v>
      </c>
      <c r="P138" s="625">
        <f t="shared" si="121"/>
        <v>925.23207987787271</v>
      </c>
      <c r="Q138" s="625">
        <f t="shared" si="122"/>
        <v>1994.0046646279984</v>
      </c>
      <c r="R138" s="625">
        <f t="shared" si="123"/>
        <v>0</v>
      </c>
      <c r="S138" s="625">
        <f t="shared" si="124"/>
        <v>0</v>
      </c>
      <c r="T138" s="625">
        <f t="shared" si="125"/>
        <v>0</v>
      </c>
      <c r="U138" s="627">
        <f t="shared" si="126"/>
        <v>0</v>
      </c>
      <c r="V138" s="452"/>
      <c r="W138" s="1153"/>
      <c r="X138" s="640">
        <f t="shared" si="127"/>
        <v>76850.393700787565</v>
      </c>
      <c r="Y138" s="645">
        <f t="shared" si="128"/>
        <v>6</v>
      </c>
      <c r="Z138" s="624">
        <f t="shared" si="135"/>
        <v>0</v>
      </c>
      <c r="AA138" s="625">
        <f t="shared" si="129"/>
        <v>925.23207987787271</v>
      </c>
      <c r="AB138" s="626">
        <f t="shared" si="130"/>
        <v>1994.0046646279984</v>
      </c>
      <c r="AC138" s="625">
        <f t="shared" si="131"/>
        <v>0</v>
      </c>
      <c r="AD138" s="626">
        <f t="shared" si="132"/>
        <v>0</v>
      </c>
      <c r="AE138" s="625">
        <f t="shared" si="133"/>
        <v>0</v>
      </c>
      <c r="AF138" s="627">
        <f t="shared" si="134"/>
        <v>0</v>
      </c>
      <c r="AG138" s="452"/>
      <c r="AH138" s="452"/>
      <c r="AI138" s="452"/>
      <c r="AJ138" s="452"/>
      <c r="AK138" s="452"/>
      <c r="AL138" s="452"/>
      <c r="AM138" s="452"/>
      <c r="AN138" s="452"/>
      <c r="AO138" s="452"/>
      <c r="AP138" s="452"/>
      <c r="AQ138" s="452"/>
      <c r="AR138" s="452"/>
      <c r="AS138" s="452"/>
      <c r="AT138" s="452"/>
      <c r="AU138" s="452"/>
      <c r="AV138" s="452"/>
      <c r="AW138" s="452"/>
      <c r="AX138" s="452"/>
      <c r="AY138" s="452"/>
      <c r="AZ138" s="452"/>
      <c r="BA138" s="452"/>
      <c r="BB138" s="452"/>
      <c r="BC138" s="452"/>
      <c r="BD138" s="452"/>
      <c r="BE138" s="452"/>
      <c r="BF138" s="452"/>
      <c r="BG138" s="452"/>
      <c r="BH138" s="452"/>
      <c r="BI138" s="452"/>
      <c r="BJ138" s="452"/>
      <c r="BK138" s="452"/>
      <c r="BL138" s="452"/>
      <c r="BM138" s="452"/>
      <c r="BN138" s="452"/>
      <c r="BO138" s="452"/>
      <c r="BP138" s="452"/>
      <c r="BQ138" s="452"/>
      <c r="BR138" s="452"/>
      <c r="BS138" s="452"/>
      <c r="BT138" s="452"/>
      <c r="BU138" s="452"/>
      <c r="BV138" s="452"/>
      <c r="BW138" s="452"/>
      <c r="BX138" s="452"/>
    </row>
    <row r="139" spans="1:77">
      <c r="A139" s="1157"/>
      <c r="B139" s="640">
        <f t="shared" si="117"/>
        <v>69291.338582677359</v>
      </c>
      <c r="C139" s="645">
        <f t="shared" si="118"/>
        <v>7</v>
      </c>
      <c r="D139" s="624">
        <f>IF($C101&lt;=$E$2,PMT($D$2,$E$2,-1*'TCO Calculation'!E$86),0)</f>
        <v>0</v>
      </c>
      <c r="E139" s="625">
        <f>$B139/'TCO Calculation'!F$65*IF('TCO Calculation'!$L$3="Lookup Table",VLOOKUP('TCO Calculation'!$B$8+$C138,'Cost Projection'!$B$6:$Y$49,24,FALSE),'TCO Calculation'!$L$2)*VLOOKUP('TCO Calculation'!F$12, 'GHG FE &amp; Fuel '!$L$27:$N$36, 3, FALSE)*'TCO Calculation'!F$140/1000000</f>
        <v>1081.5270845587584</v>
      </c>
      <c r="F139" s="625">
        <f>$B139/'TCO Calculation'!G$65*IF('TCO Calculation'!$L$3="Lookup Table",VLOOKUP('TCO Calculation'!$B$8+$C138,'Cost Projection'!$B$6:$Y$49,24,FALSE),'TCO Calculation'!$L$2)*VLOOKUP('TCO Calculation'!G$12, 'GHG FE &amp; Fuel '!$L$27:$N$36, 3, FALSE)*'TCO Calculation'!G$140/1000000</f>
        <v>2330.8422810159623</v>
      </c>
      <c r="G139" s="625">
        <f>IF($C101&lt;=$E$2,PMT($D$2,$E$2,-1*'TCO Calculation'!H$86),0)</f>
        <v>0</v>
      </c>
      <c r="H139" s="626">
        <f>IF($C101&lt;=$E$2,PMT($D$2,$E$2,-1*'TCO Calculation'!I$86),0)</f>
        <v>0</v>
      </c>
      <c r="I139" s="625">
        <f>IF($C101&lt;=$E$2,PMT($D$2,$E$2,-1*'TCO Calculation'!J$86),0)</f>
        <v>0</v>
      </c>
      <c r="J139" s="627">
        <f>IF($C101&lt;=$E$2,PMT($D$2,$E$2,-1*'TCO Calculation'!K$86),0)</f>
        <v>0</v>
      </c>
      <c r="K139" s="452"/>
      <c r="L139" s="1157"/>
      <c r="M139" s="640">
        <f t="shared" si="119"/>
        <v>69291.338582677359</v>
      </c>
      <c r="N139" s="645">
        <f t="shared" si="119"/>
        <v>7</v>
      </c>
      <c r="O139" s="625">
        <f t="shared" si="120"/>
        <v>0</v>
      </c>
      <c r="P139" s="625">
        <f t="shared" si="121"/>
        <v>792.01382811447434</v>
      </c>
      <c r="Q139" s="625">
        <f t="shared" si="122"/>
        <v>1706.900681522628</v>
      </c>
      <c r="R139" s="625">
        <f t="shared" si="123"/>
        <v>0</v>
      </c>
      <c r="S139" s="625">
        <f t="shared" si="124"/>
        <v>0</v>
      </c>
      <c r="T139" s="625">
        <f t="shared" si="125"/>
        <v>0</v>
      </c>
      <c r="U139" s="627">
        <f t="shared" si="126"/>
        <v>0</v>
      </c>
      <c r="V139" s="452"/>
      <c r="W139" s="1153"/>
      <c r="X139" s="640">
        <f t="shared" si="127"/>
        <v>69291.338582677359</v>
      </c>
      <c r="Y139" s="645">
        <f t="shared" si="128"/>
        <v>7</v>
      </c>
      <c r="Z139" s="624">
        <f t="shared" si="135"/>
        <v>0</v>
      </c>
      <c r="AA139" s="625">
        <f t="shared" si="129"/>
        <v>792.01382811447434</v>
      </c>
      <c r="AB139" s="626">
        <f t="shared" si="130"/>
        <v>1706.900681522628</v>
      </c>
      <c r="AC139" s="625">
        <f t="shared" si="131"/>
        <v>0</v>
      </c>
      <c r="AD139" s="626">
        <f t="shared" si="132"/>
        <v>0</v>
      </c>
      <c r="AE139" s="625">
        <f t="shared" si="133"/>
        <v>0</v>
      </c>
      <c r="AF139" s="627">
        <f t="shared" si="134"/>
        <v>0</v>
      </c>
      <c r="AG139" s="452"/>
      <c r="AH139" s="452"/>
      <c r="AI139" s="452"/>
      <c r="AJ139" s="452"/>
      <c r="AK139" s="452"/>
      <c r="AL139" s="452"/>
      <c r="AM139" s="452"/>
      <c r="AN139" s="452"/>
      <c r="AO139" s="452"/>
      <c r="AP139" s="452"/>
      <c r="AQ139" s="452"/>
      <c r="AR139" s="452"/>
      <c r="AS139" s="452"/>
      <c r="AT139" s="452"/>
      <c r="AU139" s="452"/>
      <c r="AV139" s="452"/>
      <c r="AW139" s="452"/>
      <c r="AX139" s="452"/>
      <c r="AY139" s="452"/>
      <c r="AZ139" s="452"/>
      <c r="BA139" s="452"/>
      <c r="BB139" s="452"/>
      <c r="BC139" s="452"/>
      <c r="BD139" s="452"/>
      <c r="BE139" s="452"/>
      <c r="BF139" s="452"/>
      <c r="BG139" s="452"/>
      <c r="BH139" s="452"/>
      <c r="BI139" s="452"/>
      <c r="BJ139" s="452"/>
      <c r="BK139" s="452"/>
      <c r="BL139" s="452"/>
      <c r="BM139" s="452"/>
      <c r="BN139" s="452"/>
      <c r="BO139" s="452"/>
      <c r="BP139" s="452"/>
      <c r="BQ139" s="452"/>
      <c r="BR139" s="452"/>
      <c r="BS139" s="452"/>
      <c r="BT139" s="452"/>
      <c r="BU139" s="452"/>
      <c r="BV139" s="452"/>
      <c r="BW139" s="452"/>
      <c r="BX139" s="452"/>
    </row>
    <row r="140" spans="1:77">
      <c r="A140" s="1157"/>
      <c r="B140" s="640">
        <f t="shared" si="117"/>
        <v>62992.125984252147</v>
      </c>
      <c r="C140" s="645">
        <f t="shared" si="118"/>
        <v>8</v>
      </c>
      <c r="D140" s="624">
        <f>IF($C102&lt;=$E$2,PMT($D$2,$E$2,-1*'TCO Calculation'!E$86),0)</f>
        <v>0</v>
      </c>
      <c r="E140" s="625">
        <f>$B140/'TCO Calculation'!F$65*IF('TCO Calculation'!$L$3="Lookup Table",VLOOKUP('TCO Calculation'!$B$8+$C139,'Cost Projection'!$B$6:$Y$49,24,FALSE),'TCO Calculation'!$L$2)*VLOOKUP('TCO Calculation'!F$12, 'GHG FE &amp; Fuel '!$L$27:$N$36, 3, FALSE)*'TCO Calculation'!F$140/1000000</f>
        <v>983.20644050796204</v>
      </c>
      <c r="F140" s="625">
        <f>$B140/'TCO Calculation'!G$65*IF('TCO Calculation'!$L$3="Lookup Table",VLOOKUP('TCO Calculation'!$B$8+$C139,'Cost Projection'!$B$6:$Y$49,24,FALSE),'TCO Calculation'!$L$2)*VLOOKUP('TCO Calculation'!G$12, 'GHG FE &amp; Fuel '!$L$27:$N$36, 3, FALSE)*'TCO Calculation'!G$140/1000000</f>
        <v>2118.9475281963287</v>
      </c>
      <c r="G140" s="625">
        <f>IF($C102&lt;=$E$2,PMT($D$2,$E$2,-1*'TCO Calculation'!H$86),0)</f>
        <v>0</v>
      </c>
      <c r="H140" s="626">
        <f>IF($C102&lt;=$E$2,PMT($D$2,$E$2,-1*'TCO Calculation'!I$86),0)</f>
        <v>0</v>
      </c>
      <c r="I140" s="625">
        <f>IF($C102&lt;=$E$2,PMT($D$2,$E$2,-1*'TCO Calculation'!J$86),0)</f>
        <v>0</v>
      </c>
      <c r="J140" s="627">
        <f>IF($C102&lt;=$E$2,PMT($D$2,$E$2,-1*'TCO Calculation'!K$86),0)</f>
        <v>0</v>
      </c>
      <c r="K140" s="452"/>
      <c r="L140" s="1157"/>
      <c r="M140" s="640">
        <f t="shared" si="119"/>
        <v>62992.125984252147</v>
      </c>
      <c r="N140" s="645">
        <f t="shared" si="119"/>
        <v>8</v>
      </c>
      <c r="O140" s="625">
        <f t="shared" si="120"/>
        <v>0</v>
      </c>
      <c r="P140" s="625">
        <f t="shared" si="121"/>
        <v>683.57993491989259</v>
      </c>
      <c r="Q140" s="625">
        <f t="shared" si="122"/>
        <v>1473.210460943257</v>
      </c>
      <c r="R140" s="625">
        <f t="shared" si="123"/>
        <v>0</v>
      </c>
      <c r="S140" s="625">
        <f t="shared" si="124"/>
        <v>0</v>
      </c>
      <c r="T140" s="625">
        <f t="shared" si="125"/>
        <v>0</v>
      </c>
      <c r="U140" s="627">
        <f t="shared" si="126"/>
        <v>0</v>
      </c>
      <c r="V140" s="452"/>
      <c r="W140" s="1153"/>
      <c r="X140" s="640">
        <f t="shared" si="127"/>
        <v>62992.125984252147</v>
      </c>
      <c r="Y140" s="645">
        <f t="shared" si="128"/>
        <v>8</v>
      </c>
      <c r="Z140" s="624">
        <f t="shared" si="135"/>
        <v>0</v>
      </c>
      <c r="AA140" s="625">
        <f t="shared" si="129"/>
        <v>683.57993491989259</v>
      </c>
      <c r="AB140" s="626">
        <f t="shared" si="130"/>
        <v>1473.210460943257</v>
      </c>
      <c r="AC140" s="625">
        <f t="shared" si="131"/>
        <v>0</v>
      </c>
      <c r="AD140" s="626">
        <f t="shared" si="132"/>
        <v>0</v>
      </c>
      <c r="AE140" s="625">
        <f t="shared" si="133"/>
        <v>0</v>
      </c>
      <c r="AF140" s="627">
        <f t="shared" si="134"/>
        <v>0</v>
      </c>
      <c r="AG140" s="452"/>
      <c r="AH140" s="452"/>
      <c r="AI140" s="452"/>
      <c r="AJ140" s="452"/>
      <c r="AK140" s="452"/>
      <c r="AL140" s="452"/>
      <c r="AM140" s="452"/>
      <c r="AN140" s="452"/>
      <c r="AO140" s="452"/>
      <c r="AP140" s="452"/>
      <c r="AQ140" s="452"/>
      <c r="AR140" s="452"/>
      <c r="AS140" s="452"/>
      <c r="AT140" s="452"/>
      <c r="AU140" s="452"/>
      <c r="AV140" s="452"/>
      <c r="AW140" s="452"/>
      <c r="AX140" s="452"/>
      <c r="AY140" s="452"/>
      <c r="AZ140" s="452"/>
      <c r="BA140" s="452"/>
      <c r="BB140" s="452"/>
      <c r="BC140" s="452"/>
      <c r="BD140" s="452"/>
      <c r="BE140" s="452"/>
      <c r="BF140" s="452"/>
      <c r="BG140" s="452"/>
      <c r="BH140" s="452"/>
      <c r="BI140" s="452"/>
      <c r="BJ140" s="452"/>
      <c r="BK140" s="452"/>
      <c r="BL140" s="452"/>
      <c r="BM140" s="452"/>
      <c r="BN140" s="452"/>
      <c r="BO140" s="452"/>
      <c r="BP140" s="452"/>
      <c r="BQ140" s="452"/>
      <c r="BR140" s="452"/>
      <c r="BS140" s="452"/>
      <c r="BT140" s="452"/>
      <c r="BU140" s="452"/>
      <c r="BV140" s="452"/>
      <c r="BW140" s="452"/>
      <c r="BX140" s="452"/>
    </row>
    <row r="141" spans="1:77">
      <c r="A141" s="1157"/>
      <c r="B141" s="640">
        <f t="shared" si="117"/>
        <v>56062.992125984332</v>
      </c>
      <c r="C141" s="645">
        <f t="shared" si="118"/>
        <v>9</v>
      </c>
      <c r="D141" s="624">
        <f>IF($C103&lt;=$E$2,PMT($D$2,$E$2,-1*'TCO Calculation'!E$86),0)</f>
        <v>0</v>
      </c>
      <c r="E141" s="625">
        <f>$B141/'TCO Calculation'!F$65*IF('TCO Calculation'!$L$3="Lookup Table",VLOOKUP('TCO Calculation'!$B$8+$C140,'Cost Projection'!$B$6:$Y$49,24,FALSE),'TCO Calculation'!$L$2)*VLOOKUP('TCO Calculation'!F$12, 'GHG FE &amp; Fuel '!$L$27:$N$36, 3, FALSE)*'TCO Calculation'!F$140/1000000</f>
        <v>875.05373205208491</v>
      </c>
      <c r="F141" s="625">
        <f>$B141/'TCO Calculation'!G$65*IF('TCO Calculation'!$L$3="Lookup Table",VLOOKUP('TCO Calculation'!$B$8+$C140,'Cost Projection'!$B$6:$Y$49,24,FALSE),'TCO Calculation'!$L$2)*VLOOKUP('TCO Calculation'!G$12, 'GHG FE &amp; Fuel '!$L$27:$N$36, 3, FALSE)*'TCO Calculation'!G$140/1000000</f>
        <v>1885.8633000947304</v>
      </c>
      <c r="G141" s="625">
        <f>IF($C103&lt;=$E$2,PMT($D$2,$E$2,-1*'TCO Calculation'!H$86),0)</f>
        <v>0</v>
      </c>
      <c r="H141" s="626">
        <f>IF($C103&lt;=$E$2,PMT($D$2,$E$2,-1*'TCO Calculation'!I$86),0)</f>
        <v>0</v>
      </c>
      <c r="I141" s="625">
        <f>IF($C103&lt;=$E$2,PMT($D$2,$E$2,-1*'TCO Calculation'!J$86),0)</f>
        <v>0</v>
      </c>
      <c r="J141" s="627">
        <f>IF($C103&lt;=$E$2,PMT($D$2,$E$2,-1*'TCO Calculation'!K$86),0)</f>
        <v>0</v>
      </c>
      <c r="K141" s="452"/>
      <c r="L141" s="1157"/>
      <c r="M141" s="640">
        <f t="shared" si="119"/>
        <v>56062.992125984332</v>
      </c>
      <c r="N141" s="645">
        <f t="shared" si="119"/>
        <v>9</v>
      </c>
      <c r="O141" s="625">
        <f t="shared" si="120"/>
        <v>0</v>
      </c>
      <c r="P141" s="625">
        <f t="shared" si="121"/>
        <v>577.60180328952117</v>
      </c>
      <c r="Q141" s="625">
        <f t="shared" si="122"/>
        <v>1244.8127503413787</v>
      </c>
      <c r="R141" s="625">
        <f t="shared" si="123"/>
        <v>0</v>
      </c>
      <c r="S141" s="625">
        <f t="shared" si="124"/>
        <v>0</v>
      </c>
      <c r="T141" s="625">
        <f t="shared" si="125"/>
        <v>0</v>
      </c>
      <c r="U141" s="627">
        <f t="shared" si="126"/>
        <v>0</v>
      </c>
      <c r="V141" s="452"/>
      <c r="W141" s="1153"/>
      <c r="X141" s="640">
        <f t="shared" si="127"/>
        <v>56062.992125984332</v>
      </c>
      <c r="Y141" s="645">
        <f t="shared" si="128"/>
        <v>9</v>
      </c>
      <c r="Z141" s="624">
        <f t="shared" si="135"/>
        <v>0</v>
      </c>
      <c r="AA141" s="625">
        <f t="shared" si="129"/>
        <v>577.60180328952117</v>
      </c>
      <c r="AB141" s="626">
        <f t="shared" si="130"/>
        <v>1244.8127503413787</v>
      </c>
      <c r="AC141" s="625">
        <f t="shared" si="131"/>
        <v>0</v>
      </c>
      <c r="AD141" s="626">
        <f t="shared" si="132"/>
        <v>0</v>
      </c>
      <c r="AE141" s="625">
        <f t="shared" si="133"/>
        <v>0</v>
      </c>
      <c r="AF141" s="627">
        <f t="shared" si="134"/>
        <v>0</v>
      </c>
      <c r="AG141" s="452"/>
      <c r="AH141" s="452"/>
      <c r="AI141" s="452"/>
      <c r="AJ141" s="452"/>
      <c r="AK141" s="452"/>
      <c r="AL141" s="452"/>
      <c r="AM141" s="452"/>
      <c r="AN141" s="452"/>
      <c r="AO141" s="452"/>
      <c r="AP141" s="452"/>
      <c r="AQ141" s="452"/>
      <c r="AR141" s="452"/>
      <c r="AS141" s="452"/>
      <c r="AT141" s="452"/>
      <c r="AU141" s="452"/>
      <c r="AV141" s="452"/>
      <c r="AW141" s="452"/>
      <c r="AX141" s="452"/>
      <c r="AY141" s="452"/>
      <c r="AZ141" s="452"/>
      <c r="BA141" s="452"/>
      <c r="BB141" s="452"/>
      <c r="BC141" s="452"/>
      <c r="BD141" s="452"/>
      <c r="BE141" s="452"/>
      <c r="BF141" s="452"/>
      <c r="BG141" s="452"/>
      <c r="BH141" s="452"/>
      <c r="BI141" s="452"/>
      <c r="BJ141" s="452"/>
      <c r="BK141" s="452"/>
      <c r="BL141" s="452"/>
      <c r="BM141" s="452"/>
      <c r="BN141" s="452"/>
      <c r="BO141" s="452"/>
      <c r="BP141" s="452"/>
      <c r="BQ141" s="452"/>
      <c r="BR141" s="452"/>
      <c r="BS141" s="452"/>
      <c r="BT141" s="452"/>
      <c r="BU141" s="452"/>
      <c r="BV141" s="452"/>
      <c r="BW141" s="452"/>
      <c r="BX141" s="452"/>
    </row>
    <row r="142" spans="1:77">
      <c r="A142" s="1157"/>
      <c r="B142" s="640">
        <f t="shared" si="117"/>
        <v>49763.779527559134</v>
      </c>
      <c r="C142" s="645">
        <f t="shared" si="118"/>
        <v>10</v>
      </c>
      <c r="D142" s="624">
        <f>IF($C104&lt;=$E$2,PMT($D$2,$E$2,-1*'TCO Calculation'!E$86),0)</f>
        <v>0</v>
      </c>
      <c r="E142" s="625">
        <f>$B142/'TCO Calculation'!F$65*IF('TCO Calculation'!$L$3="Lookup Table",VLOOKUP('TCO Calculation'!$B$8+$C141,'Cost Projection'!$B$6:$Y$49,24,FALSE),'TCO Calculation'!$L$2)*VLOOKUP('TCO Calculation'!F$12, 'GHG FE &amp; Fuel '!$L$27:$N$36, 3, FALSE)*'TCO Calculation'!F$140/1000000</f>
        <v>776.73308800128905</v>
      </c>
      <c r="F142" s="625">
        <f>$B142/'TCO Calculation'!G$65*IF('TCO Calculation'!$L$3="Lookup Table",VLOOKUP('TCO Calculation'!$B$8+$C141,'Cost Projection'!$B$6:$Y$49,24,FALSE),'TCO Calculation'!$L$2)*VLOOKUP('TCO Calculation'!G$12, 'GHG FE &amp; Fuel '!$L$27:$N$36, 3, FALSE)*'TCO Calculation'!G$140/1000000</f>
        <v>1673.9685472750982</v>
      </c>
      <c r="G142" s="625">
        <f>IF($C104&lt;=$E$2,PMT($D$2,$E$2,-1*'TCO Calculation'!H$86),0)</f>
        <v>0</v>
      </c>
      <c r="H142" s="626">
        <f>IF($C104&lt;=$E$2,PMT($D$2,$E$2,-1*'TCO Calculation'!I$86),0)</f>
        <v>0</v>
      </c>
      <c r="I142" s="625">
        <f>IF($C104&lt;=$E$2,PMT($D$2,$E$2,-1*'TCO Calculation'!J$86),0)</f>
        <v>0</v>
      </c>
      <c r="J142" s="627">
        <f>IF($C104&lt;=$E$2,PMT($D$2,$E$2,-1*'TCO Calculation'!K$86),0)</f>
        <v>0</v>
      </c>
      <c r="K142" s="452"/>
      <c r="L142" s="1157"/>
      <c r="M142" s="640">
        <f t="shared" si="119"/>
        <v>49763.779527559134</v>
      </c>
      <c r="N142" s="645">
        <f t="shared" si="119"/>
        <v>10</v>
      </c>
      <c r="O142" s="625">
        <f t="shared" si="120"/>
        <v>0</v>
      </c>
      <c r="P142" s="625">
        <f t="shared" si="121"/>
        <v>486.7599664202545</v>
      </c>
      <c r="Q142" s="625">
        <f t="shared" si="122"/>
        <v>1049.0358740309475</v>
      </c>
      <c r="R142" s="625">
        <f t="shared" si="123"/>
        <v>0</v>
      </c>
      <c r="S142" s="625">
        <f t="shared" si="124"/>
        <v>0</v>
      </c>
      <c r="T142" s="625">
        <f t="shared" si="125"/>
        <v>0</v>
      </c>
      <c r="U142" s="627">
        <f t="shared" si="126"/>
        <v>0</v>
      </c>
      <c r="V142" s="452"/>
      <c r="W142" s="1153"/>
      <c r="X142" s="640">
        <f t="shared" si="127"/>
        <v>49763.779527559134</v>
      </c>
      <c r="Y142" s="645">
        <f t="shared" si="128"/>
        <v>10</v>
      </c>
      <c r="Z142" s="624">
        <f t="shared" si="135"/>
        <v>0</v>
      </c>
      <c r="AA142" s="625">
        <f t="shared" si="129"/>
        <v>486.7599664202545</v>
      </c>
      <c r="AB142" s="626">
        <f t="shared" si="130"/>
        <v>1049.0358740309475</v>
      </c>
      <c r="AC142" s="625">
        <f t="shared" si="131"/>
        <v>0</v>
      </c>
      <c r="AD142" s="626">
        <f t="shared" si="132"/>
        <v>0</v>
      </c>
      <c r="AE142" s="625">
        <f t="shared" si="133"/>
        <v>0</v>
      </c>
      <c r="AF142" s="627">
        <f t="shared" si="134"/>
        <v>0</v>
      </c>
      <c r="AG142" s="452"/>
      <c r="AH142" s="452"/>
      <c r="AI142" s="452"/>
      <c r="AJ142" s="452"/>
      <c r="AK142" s="452"/>
      <c r="AL142" s="452"/>
      <c r="AM142" s="452"/>
      <c r="AN142" s="452"/>
      <c r="AO142" s="452"/>
      <c r="AP142" s="452"/>
      <c r="AQ142" s="452"/>
      <c r="AR142" s="452"/>
      <c r="AS142" s="452"/>
      <c r="AT142" s="452"/>
      <c r="AU142" s="452"/>
      <c r="AV142" s="452"/>
      <c r="AW142" s="452"/>
      <c r="AX142" s="452"/>
      <c r="AY142" s="452"/>
      <c r="AZ142" s="452"/>
      <c r="BA142" s="452"/>
      <c r="BB142" s="452"/>
      <c r="BC142" s="452"/>
      <c r="BD142" s="452"/>
      <c r="BE142" s="452"/>
      <c r="BF142" s="452"/>
      <c r="BG142" s="452"/>
      <c r="BH142" s="452"/>
      <c r="BI142" s="452"/>
      <c r="BJ142" s="452"/>
      <c r="BK142" s="452"/>
      <c r="BL142" s="452"/>
      <c r="BM142" s="452"/>
      <c r="BN142" s="452"/>
      <c r="BO142" s="452"/>
      <c r="BP142" s="452"/>
      <c r="BQ142" s="452"/>
      <c r="BR142" s="452"/>
      <c r="BS142" s="452"/>
      <c r="BT142" s="452"/>
      <c r="BU142" s="452"/>
      <c r="BV142" s="452"/>
      <c r="BW142" s="452"/>
      <c r="BX142" s="452"/>
    </row>
    <row r="143" spans="1:77">
      <c r="A143" s="1157"/>
      <c r="B143" s="640">
        <f t="shared" si="117"/>
        <v>44724.409448818951</v>
      </c>
      <c r="C143" s="645">
        <f t="shared" si="118"/>
        <v>11</v>
      </c>
      <c r="D143" s="624">
        <f>IF($C105&lt;=$E$2,PMT($D$2,$E$2,-1*'TCO Calculation'!E$86),0)</f>
        <v>0</v>
      </c>
      <c r="E143" s="625">
        <f>$B143/'TCO Calculation'!F$65*IF('TCO Calculation'!$L$3="Lookup Table",VLOOKUP('TCO Calculation'!$B$8+$C142,'Cost Projection'!$B$6:$Y$49,24,FALSE),'TCO Calculation'!$L$2)*VLOOKUP('TCO Calculation'!F$12, 'GHG FE &amp; Fuel '!$L$27:$N$36, 3, FALSE)*'TCO Calculation'!F$140/1000000</f>
        <v>698.07657276065174</v>
      </c>
      <c r="F143" s="625">
        <f>$B143/'TCO Calculation'!G$65*IF('TCO Calculation'!$L$3="Lookup Table",VLOOKUP('TCO Calculation'!$B$8+$C142,'Cost Projection'!$B$6:$Y$49,24,FALSE),'TCO Calculation'!$L$2)*VLOOKUP('TCO Calculation'!G$12, 'GHG FE &amp; Fuel '!$L$27:$N$36, 3, FALSE)*'TCO Calculation'!G$140/1000000</f>
        <v>1504.4527450193914</v>
      </c>
      <c r="G143" s="625">
        <f>IF($C105&lt;=$E$2,PMT($D$2,$E$2,-1*'TCO Calculation'!H$86),0)</f>
        <v>0</v>
      </c>
      <c r="H143" s="626">
        <f>IF($C105&lt;=$E$2,PMT($D$2,$E$2,-1*'TCO Calculation'!I$86),0)</f>
        <v>0</v>
      </c>
      <c r="I143" s="625">
        <f>IF($C105&lt;=$E$2,PMT($D$2,$E$2,-1*'TCO Calculation'!J$86),0)</f>
        <v>0</v>
      </c>
      <c r="J143" s="627">
        <f>IF($C105&lt;=$E$2,PMT($D$2,$E$2,-1*'TCO Calculation'!K$86),0)</f>
        <v>0</v>
      </c>
      <c r="K143" s="452"/>
      <c r="L143" s="1157"/>
      <c r="M143" s="640">
        <f t="shared" si="119"/>
        <v>44724.409448818951</v>
      </c>
      <c r="N143" s="645">
        <f t="shared" si="119"/>
        <v>11</v>
      </c>
      <c r="O143" s="625">
        <f t="shared" si="120"/>
        <v>0</v>
      </c>
      <c r="P143" s="625">
        <f t="shared" si="121"/>
        <v>415.33194633514745</v>
      </c>
      <c r="Q143" s="625">
        <f t="shared" si="122"/>
        <v>895.09849082472988</v>
      </c>
      <c r="R143" s="625">
        <f t="shared" si="123"/>
        <v>0</v>
      </c>
      <c r="S143" s="625">
        <f t="shared" si="124"/>
        <v>0</v>
      </c>
      <c r="T143" s="625">
        <f t="shared" si="125"/>
        <v>0</v>
      </c>
      <c r="U143" s="627">
        <f t="shared" si="126"/>
        <v>0</v>
      </c>
      <c r="V143" s="452"/>
      <c r="W143" s="1153"/>
      <c r="X143" s="640">
        <f t="shared" si="127"/>
        <v>44724.409448818951</v>
      </c>
      <c r="Y143" s="645">
        <f t="shared" si="128"/>
        <v>11</v>
      </c>
      <c r="Z143" s="624">
        <f t="shared" si="135"/>
        <v>0</v>
      </c>
      <c r="AA143" s="625">
        <f t="shared" si="129"/>
        <v>415.33194633514745</v>
      </c>
      <c r="AB143" s="626">
        <f t="shared" si="130"/>
        <v>895.09849082472988</v>
      </c>
      <c r="AC143" s="625">
        <f t="shared" si="131"/>
        <v>0</v>
      </c>
      <c r="AD143" s="626">
        <f t="shared" si="132"/>
        <v>0</v>
      </c>
      <c r="AE143" s="625">
        <f t="shared" si="133"/>
        <v>0</v>
      </c>
      <c r="AF143" s="627">
        <f t="shared" si="134"/>
        <v>0</v>
      </c>
      <c r="AG143" s="452"/>
      <c r="AH143" s="452"/>
      <c r="AI143" s="452"/>
      <c r="AJ143" s="452"/>
      <c r="AK143" s="452"/>
      <c r="AL143" s="452"/>
      <c r="AM143" s="452"/>
      <c r="AN143" s="452"/>
      <c r="AO143" s="452"/>
      <c r="AP143" s="452"/>
      <c r="AQ143" s="452"/>
      <c r="AR143" s="452"/>
      <c r="AS143" s="452"/>
      <c r="AT143" s="452"/>
      <c r="AU143" s="452"/>
      <c r="AV143" s="452"/>
      <c r="AW143" s="452"/>
      <c r="AX143" s="452"/>
      <c r="AY143" s="452"/>
      <c r="AZ143" s="452"/>
      <c r="BA143" s="452"/>
      <c r="BB143" s="452"/>
      <c r="BC143" s="452"/>
      <c r="BD143" s="452"/>
      <c r="BE143" s="452"/>
      <c r="BF143" s="452"/>
      <c r="BG143" s="452"/>
      <c r="BH143" s="452"/>
      <c r="BI143" s="452"/>
      <c r="BJ143" s="452"/>
      <c r="BK143" s="452"/>
      <c r="BL143" s="452"/>
      <c r="BM143" s="452"/>
      <c r="BN143" s="452"/>
      <c r="BO143" s="452"/>
      <c r="BP143" s="452"/>
      <c r="BQ143" s="452"/>
      <c r="BR143" s="452"/>
      <c r="BS143" s="452"/>
      <c r="BT143" s="452"/>
      <c r="BU143" s="452"/>
      <c r="BV143" s="452"/>
      <c r="BW143" s="452"/>
      <c r="BX143" s="452"/>
    </row>
    <row r="144" spans="1:77">
      <c r="A144" s="1157"/>
      <c r="B144" s="640">
        <f t="shared" si="117"/>
        <v>39685.039370078855</v>
      </c>
      <c r="C144" s="645">
        <f t="shared" si="118"/>
        <v>12</v>
      </c>
      <c r="D144" s="624">
        <f>IF($C106&lt;=$E$2,PMT($D$2,$E$2,-1*'TCO Calculation'!E$86),0)</f>
        <v>0</v>
      </c>
      <c r="E144" s="625">
        <f>$B144/'TCO Calculation'!F$65*IF('TCO Calculation'!$L$3="Lookup Table",VLOOKUP('TCO Calculation'!$B$8+$C143,'Cost Projection'!$B$6:$Y$49,24,FALSE),'TCO Calculation'!$L$2)*VLOOKUP('TCO Calculation'!F$12, 'GHG FE &amp; Fuel '!$L$27:$N$36, 3, FALSE)*'TCO Calculation'!F$140/1000000</f>
        <v>619.42005752001603</v>
      </c>
      <c r="F144" s="625">
        <f>$B144/'TCO Calculation'!G$65*IF('TCO Calculation'!$L$3="Lookup Table",VLOOKUP('TCO Calculation'!$B$8+$C143,'Cost Projection'!$B$6:$Y$49,24,FALSE),'TCO Calculation'!$L$2)*VLOOKUP('TCO Calculation'!G$12, 'GHG FE &amp; Fuel '!$L$27:$N$36, 3, FALSE)*'TCO Calculation'!G$140/1000000</f>
        <v>1334.9369427636875</v>
      </c>
      <c r="G144" s="625">
        <f>IF($C106&lt;=$E$2,PMT($D$2,$E$2,-1*'TCO Calculation'!H$86),0)</f>
        <v>0</v>
      </c>
      <c r="H144" s="626">
        <f>IF($C106&lt;=$E$2,PMT($D$2,$E$2,-1*'TCO Calculation'!I$86),0)</f>
        <v>0</v>
      </c>
      <c r="I144" s="625">
        <f>IF($C106&lt;=$E$2,PMT($D$2,$E$2,-1*'TCO Calculation'!J$86),0)</f>
        <v>0</v>
      </c>
      <c r="J144" s="627">
        <f>IF($C106&lt;=$E$2,PMT($D$2,$E$2,-1*'TCO Calculation'!K$86),0)</f>
        <v>0</v>
      </c>
      <c r="K144" s="452"/>
      <c r="L144" s="1157"/>
      <c r="M144" s="640">
        <f t="shared" si="119"/>
        <v>39685.039370078855</v>
      </c>
      <c r="N144" s="645">
        <f t="shared" si="119"/>
        <v>12</v>
      </c>
      <c r="O144" s="625">
        <f t="shared" si="120"/>
        <v>0</v>
      </c>
      <c r="P144" s="625">
        <f t="shared" si="121"/>
        <v>349.88616113503025</v>
      </c>
      <c r="Q144" s="625">
        <f t="shared" si="122"/>
        <v>754.05366130854918</v>
      </c>
      <c r="R144" s="625">
        <f t="shared" si="123"/>
        <v>0</v>
      </c>
      <c r="S144" s="625">
        <f t="shared" si="124"/>
        <v>0</v>
      </c>
      <c r="T144" s="625">
        <f t="shared" si="125"/>
        <v>0</v>
      </c>
      <c r="U144" s="627">
        <f t="shared" si="126"/>
        <v>0</v>
      </c>
      <c r="V144" s="452"/>
      <c r="W144" s="1153"/>
      <c r="X144" s="640">
        <f t="shared" si="127"/>
        <v>39685.039370078855</v>
      </c>
      <c r="Y144" s="645">
        <f t="shared" si="128"/>
        <v>12</v>
      </c>
      <c r="Z144" s="624">
        <f t="shared" si="135"/>
        <v>0</v>
      </c>
      <c r="AA144" s="625">
        <f t="shared" si="129"/>
        <v>349.88616113503025</v>
      </c>
      <c r="AB144" s="626">
        <f t="shared" si="130"/>
        <v>754.05366130854918</v>
      </c>
      <c r="AC144" s="625">
        <f t="shared" si="131"/>
        <v>0</v>
      </c>
      <c r="AD144" s="626">
        <f t="shared" si="132"/>
        <v>0</v>
      </c>
      <c r="AE144" s="625">
        <f t="shared" si="133"/>
        <v>0</v>
      </c>
      <c r="AF144" s="627">
        <f t="shared" si="134"/>
        <v>0</v>
      </c>
      <c r="AG144" s="452"/>
      <c r="AH144" s="452"/>
      <c r="AI144" s="452"/>
      <c r="AJ144" s="452"/>
      <c r="AK144" s="452"/>
      <c r="AL144" s="452"/>
      <c r="AM144" s="452"/>
      <c r="AN144" s="452"/>
      <c r="AO144" s="452"/>
      <c r="AP144" s="452"/>
      <c r="AQ144" s="452"/>
      <c r="AR144" s="452"/>
      <c r="AS144" s="452"/>
      <c r="AT144" s="452"/>
      <c r="AU144" s="452"/>
      <c r="AV144" s="452"/>
      <c r="AW144" s="452"/>
      <c r="AX144" s="452"/>
      <c r="AY144" s="452"/>
      <c r="AZ144" s="452"/>
      <c r="BA144" s="452"/>
      <c r="BB144" s="452"/>
      <c r="BC144" s="452"/>
      <c r="BD144" s="452"/>
      <c r="BE144" s="452"/>
      <c r="BF144" s="452"/>
      <c r="BG144" s="452"/>
      <c r="BH144" s="452"/>
      <c r="BI144" s="452"/>
      <c r="BJ144" s="452"/>
      <c r="BK144" s="452"/>
      <c r="BL144" s="452"/>
      <c r="BM144" s="452"/>
      <c r="BN144" s="452"/>
      <c r="BO144" s="452"/>
      <c r="BP144" s="452"/>
      <c r="BQ144" s="452"/>
      <c r="BR144" s="452"/>
      <c r="BS144" s="452"/>
      <c r="BT144" s="452"/>
      <c r="BU144" s="452"/>
      <c r="BV144" s="452"/>
      <c r="BW144" s="452"/>
      <c r="BX144" s="452"/>
    </row>
    <row r="145" spans="1:77">
      <c r="A145" s="1157"/>
      <c r="B145" s="640">
        <f t="shared" si="117"/>
        <v>34960.629921259933</v>
      </c>
      <c r="C145" s="645">
        <f t="shared" si="118"/>
        <v>13</v>
      </c>
      <c r="D145" s="624">
        <f>IF($C107&lt;=$E$2,PMT($D$2,$E$2,-1*'TCO Calculation'!E$86),0)</f>
        <v>0</v>
      </c>
      <c r="E145" s="625">
        <f>$B145/'TCO Calculation'!F$65*IF('TCO Calculation'!$L$3="Lookup Table",VLOOKUP('TCO Calculation'!$B$8+$C144,'Cost Projection'!$B$6:$Y$49,24,FALSE),'TCO Calculation'!$L$2)*VLOOKUP('TCO Calculation'!F$12, 'GHG FE &amp; Fuel '!$L$27:$N$36, 3, FALSE)*'TCO Calculation'!F$140/1000000</f>
        <v>545.67957448191885</v>
      </c>
      <c r="F145" s="625">
        <f>$B145/'TCO Calculation'!G$65*IF('TCO Calculation'!$L$3="Lookup Table",VLOOKUP('TCO Calculation'!$B$8+$C144,'Cost Projection'!$B$6:$Y$49,24,FALSE),'TCO Calculation'!$L$2)*VLOOKUP('TCO Calculation'!G$12, 'GHG FE &amp; Fuel '!$L$27:$N$36, 3, FALSE)*'TCO Calculation'!G$140/1000000</f>
        <v>1176.0158781489624</v>
      </c>
      <c r="G145" s="625">
        <f>IF($C107&lt;=$E$2,PMT($D$2,$E$2,-1*'TCO Calculation'!H$86),0)</f>
        <v>0</v>
      </c>
      <c r="H145" s="626">
        <f>IF($C107&lt;=$E$2,PMT($D$2,$E$2,-1*'TCO Calculation'!I$86),0)</f>
        <v>0</v>
      </c>
      <c r="I145" s="625">
        <f>IF($C107&lt;=$E$2,PMT($D$2,$E$2,-1*'TCO Calculation'!J$86),0)</f>
        <v>0</v>
      </c>
      <c r="J145" s="627">
        <f>IF($C107&lt;=$E$2,PMT($D$2,$E$2,-1*'TCO Calculation'!K$86),0)</f>
        <v>0</v>
      </c>
      <c r="K145" s="452"/>
      <c r="L145" s="1157"/>
      <c r="M145" s="640">
        <f t="shared" si="119"/>
        <v>34960.629921259933</v>
      </c>
      <c r="N145" s="645">
        <f t="shared" si="119"/>
        <v>13</v>
      </c>
      <c r="O145" s="625">
        <f t="shared" si="120"/>
        <v>0</v>
      </c>
      <c r="P145" s="625">
        <f t="shared" si="121"/>
        <v>292.63645455045508</v>
      </c>
      <c r="Q145" s="625">
        <f t="shared" si="122"/>
        <v>630.67252865986768</v>
      </c>
      <c r="R145" s="625">
        <f t="shared" si="123"/>
        <v>0</v>
      </c>
      <c r="S145" s="625">
        <f t="shared" si="124"/>
        <v>0</v>
      </c>
      <c r="T145" s="625">
        <f t="shared" si="125"/>
        <v>0</v>
      </c>
      <c r="U145" s="627">
        <f t="shared" si="126"/>
        <v>0</v>
      </c>
      <c r="V145" s="452"/>
      <c r="W145" s="1153"/>
      <c r="X145" s="640">
        <f t="shared" si="127"/>
        <v>34960.629921259933</v>
      </c>
      <c r="Y145" s="645">
        <f t="shared" si="128"/>
        <v>13</v>
      </c>
      <c r="Z145" s="624">
        <f t="shared" si="135"/>
        <v>0</v>
      </c>
      <c r="AA145" s="625">
        <f t="shared" si="129"/>
        <v>292.63645455045508</v>
      </c>
      <c r="AB145" s="626">
        <f t="shared" si="130"/>
        <v>630.67252865986768</v>
      </c>
      <c r="AC145" s="625">
        <f t="shared" si="131"/>
        <v>0</v>
      </c>
      <c r="AD145" s="626">
        <f t="shared" si="132"/>
        <v>0</v>
      </c>
      <c r="AE145" s="625">
        <f t="shared" si="133"/>
        <v>0</v>
      </c>
      <c r="AF145" s="627">
        <f t="shared" si="134"/>
        <v>0</v>
      </c>
      <c r="AG145" s="452"/>
      <c r="AH145" s="452"/>
      <c r="AI145" s="452"/>
      <c r="AJ145" s="452"/>
      <c r="AK145" s="452"/>
      <c r="AL145" s="452"/>
      <c r="AM145" s="452"/>
      <c r="AN145" s="452"/>
      <c r="AO145" s="452"/>
      <c r="AP145" s="452"/>
      <c r="AQ145" s="452"/>
      <c r="AR145" s="452"/>
      <c r="AS145" s="452"/>
      <c r="AT145" s="452"/>
      <c r="AU145" s="452"/>
      <c r="AV145" s="452"/>
      <c r="AW145" s="452"/>
      <c r="AX145" s="452"/>
      <c r="AY145" s="452"/>
      <c r="AZ145" s="452"/>
      <c r="BA145" s="452"/>
      <c r="BB145" s="452"/>
      <c r="BC145" s="452"/>
      <c r="BD145" s="452"/>
      <c r="BE145" s="452"/>
      <c r="BF145" s="452"/>
      <c r="BG145" s="452"/>
      <c r="BH145" s="452"/>
      <c r="BI145" s="452"/>
      <c r="BJ145" s="452"/>
      <c r="BK145" s="452"/>
      <c r="BL145" s="452"/>
      <c r="BM145" s="452"/>
      <c r="BN145" s="452"/>
      <c r="BO145" s="452"/>
      <c r="BP145" s="452"/>
      <c r="BQ145" s="452"/>
      <c r="BR145" s="452"/>
      <c r="BS145" s="452"/>
      <c r="BT145" s="452"/>
      <c r="BU145" s="452"/>
      <c r="BV145" s="452"/>
      <c r="BW145" s="452"/>
      <c r="BX145" s="452"/>
    </row>
    <row r="146" spans="1:77">
      <c r="A146" s="1157"/>
      <c r="B146" s="640">
        <f t="shared" si="117"/>
        <v>31496.062992126026</v>
      </c>
      <c r="C146" s="645">
        <f t="shared" si="118"/>
        <v>14</v>
      </c>
      <c r="D146" s="624">
        <f>IF($C108&lt;=$E$2,PMT($D$2,$E$2,-1*'TCO Calculation'!E$86),0)</f>
        <v>0</v>
      </c>
      <c r="E146" s="625">
        <f>$B146/'TCO Calculation'!F$65*IF('TCO Calculation'!$L$3="Lookup Table",VLOOKUP('TCO Calculation'!$B$8+$C145,'Cost Projection'!$B$6:$Y$49,24,FALSE),'TCO Calculation'!$L$2)*VLOOKUP('TCO Calculation'!F$12, 'GHG FE &amp; Fuel '!$L$27:$N$36, 3, FALSE)*'TCO Calculation'!F$140/1000000</f>
        <v>491.60322025398023</v>
      </c>
      <c r="F146" s="625">
        <f>$B146/'TCO Calculation'!G$65*IF('TCO Calculation'!$L$3="Lookup Table",VLOOKUP('TCO Calculation'!$B$8+$C145,'Cost Projection'!$B$6:$Y$49,24,FALSE),'TCO Calculation'!$L$2)*VLOOKUP('TCO Calculation'!G$12, 'GHG FE &amp; Fuel '!$L$27:$N$36, 3, FALSE)*'TCO Calculation'!G$140/1000000</f>
        <v>1059.4737640981632</v>
      </c>
      <c r="G146" s="625">
        <f>IF($C108&lt;=$E$2,PMT($D$2,$E$2,-1*'TCO Calculation'!H$86),0)</f>
        <v>0</v>
      </c>
      <c r="H146" s="626">
        <f>IF($C108&lt;=$E$2,PMT($D$2,$E$2,-1*'TCO Calculation'!I$86),0)</f>
        <v>0</v>
      </c>
      <c r="I146" s="625">
        <f>IF($C108&lt;=$E$2,PMT($D$2,$E$2,-1*'TCO Calculation'!J$86),0)</f>
        <v>0</v>
      </c>
      <c r="J146" s="627">
        <f>IF($C108&lt;=$E$2,PMT($D$2,$E$2,-1*'TCO Calculation'!K$86),0)</f>
        <v>0</v>
      </c>
      <c r="K146" s="452"/>
      <c r="L146" s="1157"/>
      <c r="M146" s="640">
        <f t="shared" si="119"/>
        <v>31496.062992126026</v>
      </c>
      <c r="N146" s="645">
        <f t="shared" si="119"/>
        <v>14</v>
      </c>
      <c r="O146" s="625">
        <f t="shared" si="120"/>
        <v>0</v>
      </c>
      <c r="P146" s="625">
        <f t="shared" si="121"/>
        <v>250.29644139657813</v>
      </c>
      <c r="Q146" s="625">
        <f t="shared" si="122"/>
        <v>539.4238727114215</v>
      </c>
      <c r="R146" s="625">
        <f t="shared" si="123"/>
        <v>0</v>
      </c>
      <c r="S146" s="625">
        <f t="shared" si="124"/>
        <v>0</v>
      </c>
      <c r="T146" s="625">
        <f t="shared" si="125"/>
        <v>0</v>
      </c>
      <c r="U146" s="627">
        <f t="shared" si="126"/>
        <v>0</v>
      </c>
      <c r="V146" s="452"/>
      <c r="W146" s="1153"/>
      <c r="X146" s="640">
        <f t="shared" si="127"/>
        <v>31496.062992126026</v>
      </c>
      <c r="Y146" s="645">
        <f t="shared" si="128"/>
        <v>14</v>
      </c>
      <c r="Z146" s="624">
        <f t="shared" si="135"/>
        <v>0</v>
      </c>
      <c r="AA146" s="625">
        <f t="shared" si="129"/>
        <v>250.29644139657813</v>
      </c>
      <c r="AB146" s="626">
        <f t="shared" si="130"/>
        <v>539.4238727114215</v>
      </c>
      <c r="AC146" s="625">
        <f t="shared" si="131"/>
        <v>0</v>
      </c>
      <c r="AD146" s="626">
        <f t="shared" si="132"/>
        <v>0</v>
      </c>
      <c r="AE146" s="625">
        <f t="shared" si="133"/>
        <v>0</v>
      </c>
      <c r="AF146" s="627">
        <f t="shared" si="134"/>
        <v>0</v>
      </c>
      <c r="AG146" s="452"/>
      <c r="AH146" s="452"/>
      <c r="AI146" s="452"/>
      <c r="AJ146" s="452"/>
      <c r="AK146" s="452"/>
      <c r="AL146" s="452"/>
      <c r="AM146" s="452"/>
      <c r="AN146" s="452"/>
      <c r="AO146" s="452"/>
      <c r="AP146" s="452"/>
      <c r="AQ146" s="452"/>
      <c r="AR146" s="452"/>
      <c r="AS146" s="452"/>
      <c r="AT146" s="452"/>
      <c r="AU146" s="452"/>
      <c r="AV146" s="452"/>
      <c r="AW146" s="452"/>
      <c r="AX146" s="452"/>
      <c r="AY146" s="452"/>
      <c r="AZ146" s="452"/>
      <c r="BA146" s="452"/>
      <c r="BB146" s="452"/>
      <c r="BC146" s="452"/>
      <c r="BD146" s="452"/>
      <c r="BE146" s="452"/>
      <c r="BF146" s="452"/>
      <c r="BG146" s="452"/>
      <c r="BH146" s="452"/>
      <c r="BI146" s="452"/>
      <c r="BJ146" s="452"/>
      <c r="BK146" s="452"/>
      <c r="BL146" s="452"/>
      <c r="BM146" s="452"/>
      <c r="BN146" s="452"/>
      <c r="BO146" s="452"/>
      <c r="BP146" s="452"/>
      <c r="BQ146" s="452"/>
      <c r="BR146" s="452"/>
      <c r="BS146" s="452"/>
      <c r="BT146" s="452"/>
      <c r="BU146" s="452"/>
      <c r="BV146" s="452"/>
      <c r="BW146" s="452"/>
      <c r="BX146" s="452"/>
    </row>
    <row r="147" spans="1:77" ht="15" thickBot="1">
      <c r="A147" s="1158"/>
      <c r="B147" s="672">
        <f t="shared" si="117"/>
        <v>27716.53543307096</v>
      </c>
      <c r="C147" s="646">
        <f t="shared" si="118"/>
        <v>15</v>
      </c>
      <c r="D147" s="632">
        <f>IF($C109&lt;=$E$2,PMT($D$2,$E$2,-1*'TCO Calculation'!E$86),0)</f>
        <v>0</v>
      </c>
      <c r="E147" s="633">
        <f>$B147/'TCO Calculation'!F$65*IF('TCO Calculation'!$L$3="Lookup Table",VLOOKUP('TCO Calculation'!$B$8+$C146,'Cost Projection'!$B$6:$Y$49,24,FALSE),'TCO Calculation'!$L$2)*VLOOKUP('TCO Calculation'!F$12, 'GHG FE &amp; Fuel '!$L$27:$N$36, 3, FALSE)*'TCO Calculation'!F$140/1000000</f>
        <v>432.61083382350347</v>
      </c>
      <c r="F147" s="633">
        <f>$B147/'TCO Calculation'!G$65*IF('TCO Calculation'!$L$3="Lookup Table",VLOOKUP('TCO Calculation'!$B$8+$C146,'Cost Projection'!$B$6:$Y$49,24,FALSE),'TCO Calculation'!$L$2)*VLOOKUP('TCO Calculation'!G$12, 'GHG FE &amp; Fuel '!$L$27:$N$36, 3, FALSE)*'TCO Calculation'!G$140/1000000</f>
        <v>932.33691240638541</v>
      </c>
      <c r="G147" s="633">
        <f>IF($C109&lt;=$E$2,PMT($D$2,$E$2,-1*'TCO Calculation'!H$86),0)</f>
        <v>0</v>
      </c>
      <c r="H147" s="634">
        <f>IF($C109&lt;=$E$2,PMT($D$2,$E$2,-1*'TCO Calculation'!I$86),0)</f>
        <v>0</v>
      </c>
      <c r="I147" s="633">
        <f>IF($C109&lt;=$E$2,PMT($D$2,$E$2,-1*'TCO Calculation'!J$86),0)</f>
        <v>0</v>
      </c>
      <c r="J147" s="635">
        <f>IF($C109&lt;=$E$2,PMT($D$2,$E$2,-1*'TCO Calculation'!K$86),0)</f>
        <v>0</v>
      </c>
      <c r="K147" s="452"/>
      <c r="L147" s="1158"/>
      <c r="M147" s="672">
        <f t="shared" si="119"/>
        <v>27716.53543307096</v>
      </c>
      <c r="N147" s="646">
        <f t="shared" si="119"/>
        <v>15</v>
      </c>
      <c r="O147" s="633">
        <f t="shared" si="120"/>
        <v>0</v>
      </c>
      <c r="P147" s="633">
        <f t="shared" si="121"/>
        <v>209.11566848648235</v>
      </c>
      <c r="Q147" s="633">
        <f t="shared" si="122"/>
        <v>450.67354178195762</v>
      </c>
      <c r="R147" s="633">
        <f t="shared" si="123"/>
        <v>0</v>
      </c>
      <c r="S147" s="633">
        <f t="shared" si="124"/>
        <v>0</v>
      </c>
      <c r="T147" s="633">
        <f t="shared" si="125"/>
        <v>0</v>
      </c>
      <c r="U147" s="635">
        <f t="shared" si="126"/>
        <v>0</v>
      </c>
      <c r="V147" s="452"/>
      <c r="W147" s="1153"/>
      <c r="X147" s="640">
        <f t="shared" si="127"/>
        <v>27716.53543307096</v>
      </c>
      <c r="Y147" s="646">
        <f t="shared" si="128"/>
        <v>15</v>
      </c>
      <c r="Z147" s="624">
        <f t="shared" si="135"/>
        <v>0</v>
      </c>
      <c r="AA147" s="625">
        <f t="shared" si="129"/>
        <v>209.11566848648235</v>
      </c>
      <c r="AB147" s="626">
        <f t="shared" si="130"/>
        <v>450.67354178195762</v>
      </c>
      <c r="AC147" s="625">
        <f t="shared" si="131"/>
        <v>0</v>
      </c>
      <c r="AD147" s="626">
        <f t="shared" si="132"/>
        <v>0</v>
      </c>
      <c r="AE147" s="625">
        <f t="shared" si="133"/>
        <v>0</v>
      </c>
      <c r="AF147" s="627">
        <f t="shared" si="134"/>
        <v>0</v>
      </c>
      <c r="AG147" s="452"/>
      <c r="AH147" s="452"/>
      <c r="AI147" s="452"/>
      <c r="AJ147" s="452"/>
      <c r="AK147" s="452"/>
      <c r="AL147" s="452"/>
      <c r="AM147" s="452"/>
      <c r="AN147" s="452"/>
      <c r="AO147" s="452"/>
      <c r="AP147" s="452"/>
      <c r="AQ147" s="452"/>
      <c r="AR147" s="452"/>
      <c r="AS147" s="452"/>
      <c r="AT147" s="452"/>
      <c r="AU147" s="452"/>
      <c r="AV147" s="452"/>
      <c r="AW147" s="452"/>
      <c r="AX147" s="452"/>
      <c r="AY147" s="452"/>
      <c r="AZ147" s="452"/>
      <c r="BA147" s="452"/>
      <c r="BB147" s="452"/>
      <c r="BC147" s="452"/>
      <c r="BD147" s="452"/>
      <c r="BE147" s="452"/>
      <c r="BF147" s="452"/>
      <c r="BG147" s="452"/>
      <c r="BH147" s="452"/>
      <c r="BI147" s="452"/>
      <c r="BJ147" s="452"/>
      <c r="BK147" s="452"/>
      <c r="BL147" s="452"/>
      <c r="BM147" s="452"/>
      <c r="BN147" s="452"/>
      <c r="BO147" s="452"/>
      <c r="BP147" s="452"/>
      <c r="BQ147" s="452"/>
      <c r="BR147" s="452"/>
      <c r="BS147" s="452"/>
      <c r="BT147" s="452"/>
      <c r="BU147" s="452"/>
      <c r="BV147" s="452"/>
      <c r="BW147" s="452"/>
      <c r="BX147" s="452"/>
    </row>
    <row r="148" spans="1:77" ht="15" thickBot="1">
      <c r="A148" s="452"/>
      <c r="B148" s="452"/>
      <c r="C148" s="452"/>
      <c r="D148" s="636">
        <f>SUM(D132:D147)</f>
        <v>0</v>
      </c>
      <c r="E148" s="637">
        <f t="shared" ref="E148:J148" si="136">SUM(E132:E147)</f>
        <v>15608.402243063851</v>
      </c>
      <c r="F148" s="638">
        <f t="shared" ref="F148" si="137">SUM(F132:F147)</f>
        <v>33638.292010116624</v>
      </c>
      <c r="G148" s="637">
        <f t="shared" si="136"/>
        <v>64895.426714959605</v>
      </c>
      <c r="H148" s="638">
        <f t="shared" si="136"/>
        <v>65868.858115683994</v>
      </c>
      <c r="I148" s="637">
        <f t="shared" si="136"/>
        <v>0</v>
      </c>
      <c r="J148" s="639">
        <f t="shared" si="136"/>
        <v>0</v>
      </c>
      <c r="K148" s="452"/>
      <c r="L148" s="452"/>
      <c r="M148" s="452"/>
      <c r="N148" s="452"/>
      <c r="O148" s="636">
        <f>SUM(O132:O147)</f>
        <v>0</v>
      </c>
      <c r="P148" s="637">
        <f t="shared" ref="P148:U148" si="138">SUM(P132:P147)</f>
        <v>12158.215108383969</v>
      </c>
      <c r="Q148" s="638">
        <f t="shared" si="138"/>
        <v>26202.655708682632</v>
      </c>
      <c r="R148" s="637">
        <f t="shared" si="138"/>
        <v>59225.236175298523</v>
      </c>
      <c r="S148" s="638">
        <f t="shared" si="138"/>
        <v>60113.614717927994</v>
      </c>
      <c r="T148" s="637">
        <f t="shared" si="138"/>
        <v>0</v>
      </c>
      <c r="U148" s="639">
        <f t="shared" si="138"/>
        <v>0</v>
      </c>
      <c r="V148" s="452"/>
      <c r="W148" s="1154"/>
      <c r="X148" s="1150" t="s">
        <v>110</v>
      </c>
      <c r="Y148" s="1151"/>
      <c r="Z148" s="636">
        <f t="shared" si="135"/>
        <v>0</v>
      </c>
      <c r="AA148" s="637">
        <f t="shared" si="129"/>
        <v>12158.215108383969</v>
      </c>
      <c r="AB148" s="638">
        <f t="shared" si="130"/>
        <v>26202.655708682632</v>
      </c>
      <c r="AC148" s="637">
        <f t="shared" si="131"/>
        <v>59225.236175298523</v>
      </c>
      <c r="AD148" s="638">
        <f t="shared" si="132"/>
        <v>60113.614717927994</v>
      </c>
      <c r="AE148" s="637">
        <f t="shared" si="133"/>
        <v>0</v>
      </c>
      <c r="AF148" s="639">
        <f t="shared" si="134"/>
        <v>0</v>
      </c>
      <c r="AG148" s="452"/>
      <c r="AH148" s="452"/>
      <c r="AI148" s="452"/>
      <c r="AJ148" s="452"/>
      <c r="AK148" s="452"/>
      <c r="AL148" s="452"/>
      <c r="AM148" s="452"/>
      <c r="AN148" s="452"/>
      <c r="AO148" s="452"/>
      <c r="AP148" s="452"/>
      <c r="AQ148" s="452"/>
      <c r="AR148" s="452"/>
      <c r="AS148" s="452"/>
      <c r="AT148" s="452"/>
      <c r="AU148" s="452"/>
      <c r="AV148" s="452"/>
      <c r="AW148" s="452"/>
      <c r="AX148" s="452"/>
      <c r="AY148" s="452"/>
      <c r="AZ148" s="452"/>
      <c r="BA148" s="452"/>
      <c r="BB148" s="452"/>
      <c r="BC148" s="452"/>
      <c r="BD148" s="452"/>
      <c r="BE148" s="452"/>
      <c r="BF148" s="452"/>
      <c r="BG148" s="452"/>
      <c r="BH148" s="452"/>
      <c r="BI148" s="452"/>
      <c r="BJ148" s="452"/>
      <c r="BK148" s="452"/>
      <c r="BL148" s="452"/>
      <c r="BM148" s="452"/>
      <c r="BN148" s="452"/>
      <c r="BO148" s="452"/>
      <c r="BP148" s="452"/>
      <c r="BQ148" s="452"/>
      <c r="BR148" s="452"/>
      <c r="BS148" s="452"/>
      <c r="BT148" s="452"/>
      <c r="BU148" s="452"/>
      <c r="BV148" s="452"/>
      <c r="BW148" s="452"/>
      <c r="BX148" s="452"/>
      <c r="BY148" s="452"/>
    </row>
    <row r="149" spans="1:77" ht="14.5" customHeight="1" thickBot="1">
      <c r="A149" s="452"/>
      <c r="B149" s="452"/>
      <c r="C149" s="452"/>
      <c r="D149" s="452"/>
      <c r="E149" s="452"/>
      <c r="F149" s="452"/>
      <c r="G149" s="452"/>
      <c r="H149" s="452"/>
      <c r="I149" s="452"/>
      <c r="J149" s="452"/>
      <c r="K149" s="452"/>
      <c r="L149" s="452"/>
      <c r="M149" s="452"/>
      <c r="N149" s="452"/>
      <c r="O149" s="452"/>
      <c r="P149" s="452"/>
      <c r="Q149" s="452"/>
      <c r="R149" s="452"/>
      <c r="S149" s="452"/>
      <c r="T149" s="452"/>
      <c r="U149" s="452"/>
      <c r="V149" s="452"/>
      <c r="W149" s="452"/>
      <c r="X149" s="452"/>
      <c r="Y149" s="452"/>
      <c r="Z149" s="452"/>
      <c r="AA149" s="452"/>
      <c r="AB149" s="452"/>
      <c r="AC149" s="452"/>
      <c r="AD149" s="452"/>
      <c r="AE149" s="452"/>
      <c r="AF149" s="452"/>
      <c r="AG149" s="452"/>
      <c r="AH149" s="452"/>
      <c r="AI149" s="452"/>
      <c r="AJ149" s="452"/>
      <c r="AK149" s="452"/>
      <c r="AL149" s="452"/>
      <c r="AM149" s="452"/>
      <c r="AN149" s="452"/>
      <c r="AO149" s="452"/>
      <c r="AP149" s="452"/>
      <c r="AQ149" s="452"/>
      <c r="AR149" s="452"/>
      <c r="AS149" s="452"/>
      <c r="AT149" s="452"/>
      <c r="AU149" s="452"/>
      <c r="AV149" s="452"/>
      <c r="AW149" s="452"/>
      <c r="AX149" s="452"/>
      <c r="AY149" s="452"/>
      <c r="AZ149" s="452"/>
      <c r="BA149" s="452"/>
      <c r="BB149" s="452"/>
      <c r="BC149" s="452"/>
      <c r="BD149" s="452"/>
      <c r="BE149" s="452"/>
      <c r="BF149" s="452"/>
      <c r="BG149" s="452"/>
      <c r="BH149" s="452"/>
      <c r="BI149" s="452"/>
      <c r="BJ149" s="452"/>
      <c r="BK149" s="452"/>
      <c r="BL149" s="452"/>
      <c r="BM149" s="452"/>
      <c r="BN149" s="452"/>
      <c r="BO149" s="452"/>
      <c r="BP149" s="452"/>
      <c r="BQ149" s="452"/>
      <c r="BR149" s="452"/>
      <c r="BS149" s="452"/>
      <c r="BT149" s="452"/>
      <c r="BU149" s="452"/>
      <c r="BV149" s="452"/>
      <c r="BW149" s="452"/>
      <c r="BX149" s="452"/>
      <c r="BY149" s="452"/>
    </row>
    <row r="150" spans="1:77" ht="42.5" thickBot="1">
      <c r="A150" s="1156" t="s">
        <v>511</v>
      </c>
      <c r="B150" s="643" t="s">
        <v>487</v>
      </c>
      <c r="C150" s="644" t="s">
        <v>506</v>
      </c>
      <c r="D150" s="352" t="s">
        <v>454</v>
      </c>
      <c r="E150" s="609" t="s">
        <v>455</v>
      </c>
      <c r="F150" s="354" t="str">
        <f>F$51</f>
        <v>Mobile Carbon Capture  90%</v>
      </c>
      <c r="G150" s="355" t="str">
        <f>$G$51</f>
        <v>BEV 250 mile</v>
      </c>
      <c r="H150" s="355" t="s">
        <v>445</v>
      </c>
      <c r="I150" s="973" t="s">
        <v>414</v>
      </c>
      <c r="J150" s="357" t="s">
        <v>413</v>
      </c>
      <c r="K150" s="452"/>
      <c r="L150" s="1156" t="s">
        <v>511</v>
      </c>
      <c r="M150" s="643" t="s">
        <v>487</v>
      </c>
      <c r="N150" s="644" t="s">
        <v>506</v>
      </c>
      <c r="O150" s="352" t="s">
        <v>454</v>
      </c>
      <c r="P150" s="609" t="s">
        <v>455</v>
      </c>
      <c r="Q150" s="354" t="str">
        <f>Q$51</f>
        <v>Mobile Carbon Capture  90%</v>
      </c>
      <c r="R150" s="355" t="str">
        <f>$G$51</f>
        <v>BEV 250 mile</v>
      </c>
      <c r="S150" s="355" t="s">
        <v>445</v>
      </c>
      <c r="T150" s="973" t="s">
        <v>414</v>
      </c>
      <c r="U150" s="357" t="s">
        <v>413</v>
      </c>
      <c r="V150" s="452"/>
      <c r="W150" s="1152" t="s">
        <v>511</v>
      </c>
      <c r="X150" s="643" t="s">
        <v>487</v>
      </c>
      <c r="Y150" s="644" t="s">
        <v>506</v>
      </c>
      <c r="Z150" s="352" t="s">
        <v>454</v>
      </c>
      <c r="AA150" s="609" t="s">
        <v>552</v>
      </c>
      <c r="AB150" s="354" t="s">
        <v>553</v>
      </c>
      <c r="AC150" s="355" t="s">
        <v>523</v>
      </c>
      <c r="AD150" s="355" t="s">
        <v>445</v>
      </c>
      <c r="AE150" s="973" t="s">
        <v>414</v>
      </c>
      <c r="AF150" s="357" t="s">
        <v>413</v>
      </c>
      <c r="AG150" s="452"/>
      <c r="AH150" s="452"/>
      <c r="AI150" s="452"/>
      <c r="AJ150" s="452"/>
      <c r="AK150" s="452"/>
      <c r="AL150" s="452"/>
      <c r="AM150" s="452"/>
      <c r="AN150" s="452"/>
      <c r="AO150" s="452"/>
      <c r="AP150" s="452"/>
      <c r="AQ150" s="452"/>
      <c r="AR150" s="452"/>
      <c r="AS150" s="452"/>
      <c r="AT150" s="452"/>
      <c r="AU150" s="647" t="s">
        <v>514</v>
      </c>
      <c r="AV150" s="678" t="s">
        <v>495</v>
      </c>
      <c r="AW150" s="679" t="s">
        <v>501</v>
      </c>
      <c r="AX150" s="684" t="s">
        <v>496</v>
      </c>
      <c r="AY150" s="675" t="s">
        <v>502</v>
      </c>
      <c r="AZ150" s="452"/>
      <c r="BA150" s="452"/>
      <c r="BB150" s="452"/>
      <c r="BC150" s="452"/>
      <c r="BD150" s="452"/>
      <c r="BE150" s="452"/>
      <c r="BF150" s="452"/>
      <c r="BG150" s="452"/>
      <c r="BH150" s="452"/>
      <c r="BI150" s="452"/>
      <c r="BJ150" s="452"/>
      <c r="BK150" s="452"/>
      <c r="BL150" s="452"/>
      <c r="BM150" s="452"/>
      <c r="BN150" s="452"/>
      <c r="BO150" s="452"/>
      <c r="BP150" s="452"/>
      <c r="BQ150" s="452"/>
      <c r="BR150" s="452"/>
      <c r="BS150" s="452"/>
      <c r="BT150" s="452"/>
      <c r="BU150" s="452"/>
      <c r="BV150" s="452"/>
      <c r="BW150" s="452"/>
      <c r="BX150" s="452"/>
      <c r="BY150" s="452"/>
    </row>
    <row r="151" spans="1:77" ht="15" thickBot="1">
      <c r="A151" s="1157"/>
      <c r="B151" s="640">
        <f t="shared" ref="B151:B166" si="139">M52</f>
        <v>0</v>
      </c>
      <c r="C151" s="742">
        <f t="shared" ref="C151:C166" si="140">N52</f>
        <v>0</v>
      </c>
      <c r="D151" s="624">
        <v>0</v>
      </c>
      <c r="E151" s="629">
        <v>0</v>
      </c>
      <c r="F151" s="626">
        <v>0</v>
      </c>
      <c r="G151" s="626">
        <v>0</v>
      </c>
      <c r="H151" s="626">
        <v>0</v>
      </c>
      <c r="I151" s="626">
        <v>0</v>
      </c>
      <c r="J151" s="627">
        <v>0</v>
      </c>
      <c r="K151" s="452"/>
      <c r="L151" s="1157"/>
      <c r="M151" s="640">
        <f t="shared" ref="M151:N166" si="141">M52</f>
        <v>0</v>
      </c>
      <c r="N151" s="742">
        <f t="shared" si="141"/>
        <v>0</v>
      </c>
      <c r="O151" s="633">
        <f t="shared" ref="O151:O166" si="142">D151*(1-$B$2)^MAX(0,($N151-1))</f>
        <v>0</v>
      </c>
      <c r="P151" s="633">
        <f t="shared" ref="P151:P166" si="143">E151*(1-$B$2)^MAX(0,($N151-1))</f>
        <v>0</v>
      </c>
      <c r="Q151" s="633">
        <f t="shared" ref="Q151:Q166" si="144">F151*(1-$B$2)^MAX(0,($N151-1))</f>
        <v>0</v>
      </c>
      <c r="R151" s="633">
        <f t="shared" ref="R151:R166" si="145">G151*(1-$B$2)^MAX(0,($N151-1))</f>
        <v>0</v>
      </c>
      <c r="S151" s="633">
        <f t="shared" ref="S151:S166" si="146">H151*(1-$B$2)^MAX(0,($N151-1))</f>
        <v>0</v>
      </c>
      <c r="T151" s="633">
        <f t="shared" ref="T151:T166" si="147">I151*(1-$B$2)^MAX(0,($N151-1))</f>
        <v>0</v>
      </c>
      <c r="U151" s="635">
        <f t="shared" ref="U151:U166" si="148">J151*(1-$B$2)^MAX(0,($N151-1))</f>
        <v>0</v>
      </c>
      <c r="V151" s="452"/>
      <c r="W151" s="1153"/>
      <c r="X151" s="640">
        <f t="shared" ref="X151:X166" si="149">M151</f>
        <v>0</v>
      </c>
      <c r="Y151" s="645">
        <f t="shared" ref="Y151:Y166" si="150">N151</f>
        <v>0</v>
      </c>
      <c r="Z151" s="624">
        <f>O151-$O151</f>
        <v>0</v>
      </c>
      <c r="AA151" s="629">
        <f t="shared" ref="AA151:AA167" si="151">P151-$O151</f>
        <v>0</v>
      </c>
      <c r="AB151" s="626">
        <f t="shared" ref="AB151:AB167" si="152">Q151-$O151</f>
        <v>0</v>
      </c>
      <c r="AC151" s="625">
        <f t="shared" ref="AC151:AC167" si="153">R151-$O151</f>
        <v>0</v>
      </c>
      <c r="AD151" s="626">
        <f t="shared" ref="AD151:AD167" si="154">S151-$O151</f>
        <v>0</v>
      </c>
      <c r="AE151" s="625">
        <f t="shared" ref="AE151:AE167" si="155">T151-$O151</f>
        <v>0</v>
      </c>
      <c r="AF151" s="627">
        <f t="shared" ref="AF151:AF167" si="156">U151-$O151</f>
        <v>0</v>
      </c>
      <c r="AG151" s="452"/>
      <c r="AH151" s="452"/>
      <c r="AI151" s="452"/>
      <c r="AJ151" s="452"/>
      <c r="AK151" s="452"/>
      <c r="AL151" s="452"/>
      <c r="AM151" s="452"/>
      <c r="AN151" s="452"/>
      <c r="AO151" s="452"/>
      <c r="AP151" s="452"/>
      <c r="AQ151" s="452"/>
      <c r="AR151" s="452"/>
      <c r="AS151" s="452"/>
      <c r="AT151" s="452"/>
      <c r="AU151" s="659" t="s">
        <v>497</v>
      </c>
      <c r="AV151" s="680">
        <f>FLOOR(VLOOKUP($H$2, 'Cost Projection'!$B$5:$U$49, 17, FALSE),1)</f>
        <v>15</v>
      </c>
      <c r="AW151" s="681" t="e">
        <f>VLOOKUP(FLOOR($H$2+AV151,1),'Cost Projection'!$B$6:$I$44,IF(H105="LFP",8,7),FALSE)</f>
        <v>#N/A</v>
      </c>
      <c r="AX151" s="685">
        <f>FLOOR(VLOOKUP($H$2, 'Cost Projection'!$B$5:$U$49, 18, FALSE),1)</f>
        <v>15</v>
      </c>
      <c r="AY151" s="676" t="e">
        <f>VLOOKUP(FLOOR($H$2+AX151,1), 'Cost Projection'!B6:N44, 10, FALSE)</f>
        <v>#N/A</v>
      </c>
      <c r="AZ151" s="452"/>
      <c r="BA151" s="452"/>
      <c r="BB151" s="452"/>
      <c r="BC151" s="452"/>
      <c r="BD151" s="452"/>
      <c r="BE151" s="452"/>
      <c r="BF151" s="452"/>
      <c r="BG151" s="452"/>
      <c r="BH151" s="452"/>
      <c r="BI151" s="452"/>
      <c r="BJ151" s="452"/>
      <c r="BK151" s="452"/>
      <c r="BL151" s="452"/>
      <c r="BM151" s="452"/>
      <c r="BN151" s="452"/>
      <c r="BO151" s="452"/>
      <c r="BP151" s="452"/>
      <c r="BQ151" s="452"/>
      <c r="BR151" s="452"/>
      <c r="BS151" s="452"/>
      <c r="BT151" s="452"/>
      <c r="BU151" s="452"/>
      <c r="BV151" s="452"/>
      <c r="BW151" s="452"/>
      <c r="BX151" s="452"/>
    </row>
    <row r="152" spans="1:77">
      <c r="A152" s="1157"/>
      <c r="B152" s="640">
        <f t="shared" si="139"/>
        <v>101417.32283464503</v>
      </c>
      <c r="C152" s="742">
        <f t="shared" si="140"/>
        <v>1</v>
      </c>
      <c r="D152" s="628">
        <f>$B152*'TCO Calculation'!E$110*'TCO Calculation'!E$112*(1+$A$2)^($C95-1)</f>
        <v>14210.392440944792</v>
      </c>
      <c r="E152" s="629">
        <f>$B152*'TCO Calculation'!F$110*'TCO Calculation'!F$112*(1+$A$2)^($C95-1)</f>
        <v>16250.747919429388</v>
      </c>
      <c r="F152" s="630">
        <f>$B152*'TCO Calculation'!G$110*'TCO Calculation'!G$112*(1+$A$2)^($C95-1)</f>
        <v>16949.841784693963</v>
      </c>
      <c r="G152" s="630">
        <f>$B152*'TCO Calculation'!H$110*'TCO Calculation'!H$112*(1+$A$2)^($C95-1)</f>
        <v>10705.653165354264</v>
      </c>
      <c r="H152" s="630">
        <f>$B152*'TCO Calculation'!I$110*'TCO Calculation'!I$112*(1+$A$2)^($C95-1)</f>
        <v>11969.715431810948</v>
      </c>
      <c r="I152" s="630">
        <f>$B152*'TCO Calculation'!J$110*'TCO Calculation'!J$112*(1+$A$2)^($C95-1)</f>
        <v>13055.808022456449</v>
      </c>
      <c r="J152" s="631">
        <f>$B152*'TCO Calculation'!K$110*'TCO Calculation'!K$112*(1+$A$2)^($C95-1)</f>
        <v>14468.093858267626</v>
      </c>
      <c r="K152" s="452"/>
      <c r="L152" s="1157"/>
      <c r="M152" s="640">
        <f t="shared" si="141"/>
        <v>101417.32283464503</v>
      </c>
      <c r="N152" s="742">
        <f t="shared" si="141"/>
        <v>1</v>
      </c>
      <c r="O152" s="629">
        <f t="shared" si="142"/>
        <v>14210.392440944792</v>
      </c>
      <c r="P152" s="629">
        <f t="shared" si="143"/>
        <v>16250.747919429388</v>
      </c>
      <c r="Q152" s="629">
        <f t="shared" si="144"/>
        <v>16949.841784693963</v>
      </c>
      <c r="R152" s="629">
        <f t="shared" si="145"/>
        <v>10705.653165354264</v>
      </c>
      <c r="S152" s="629">
        <f t="shared" si="146"/>
        <v>11969.715431810948</v>
      </c>
      <c r="T152" s="629">
        <f t="shared" si="147"/>
        <v>13055.808022456449</v>
      </c>
      <c r="U152" s="631">
        <f t="shared" si="148"/>
        <v>14468.093858267626</v>
      </c>
      <c r="V152" s="452"/>
      <c r="W152" s="1153"/>
      <c r="X152" s="640">
        <f t="shared" si="149"/>
        <v>101417.32283464503</v>
      </c>
      <c r="Y152" s="645">
        <f t="shared" si="150"/>
        <v>1</v>
      </c>
      <c r="Z152" s="628">
        <f t="shared" ref="Z152:Z167" si="157">O152-$O152</f>
        <v>0</v>
      </c>
      <c r="AA152" s="629">
        <f t="shared" si="151"/>
        <v>2040.3554784845965</v>
      </c>
      <c r="AB152" s="630">
        <f t="shared" si="152"/>
        <v>2739.449343749171</v>
      </c>
      <c r="AC152" s="629">
        <f t="shared" si="153"/>
        <v>-3504.7392755905275</v>
      </c>
      <c r="AD152" s="630">
        <f t="shared" si="154"/>
        <v>-2240.677009133844</v>
      </c>
      <c r="AE152" s="629">
        <f t="shared" si="155"/>
        <v>-1154.5844184883426</v>
      </c>
      <c r="AF152" s="631">
        <f t="shared" si="156"/>
        <v>257.70141732283446</v>
      </c>
      <c r="AG152" s="452"/>
      <c r="AH152" s="452"/>
      <c r="AI152" s="452"/>
      <c r="AJ152" s="452"/>
      <c r="AK152" s="452"/>
      <c r="AL152" s="452"/>
      <c r="AM152" s="452"/>
      <c r="AN152" s="452"/>
      <c r="AO152" s="452"/>
      <c r="AP152" s="452"/>
      <c r="AQ152" s="452"/>
      <c r="AR152" s="452"/>
      <c r="AS152" s="452"/>
      <c r="AT152" s="452"/>
      <c r="AU152" s="659" t="s">
        <v>498</v>
      </c>
      <c r="AV152" s="680">
        <f>AV151+ROUND(VLOOKUP(FLOOR($H$2+AV151,1),'Cost Projection'!$B$5:$U$49,17,FALSE),1)</f>
        <v>30</v>
      </c>
      <c r="AW152" s="681" t="e">
        <f>VLOOKUP(FLOOR($H$2+AV152,1),'Cost Projection'!$B$6:$I$44,IF(H106="LFP",8,7),FALSE)</f>
        <v>#N/A</v>
      </c>
      <c r="AX152" s="685">
        <f>AX151+ROUND(VLOOKUP(FLOOR($H$2+AX151,1),'Cost Projection'!$B$5:$U$49,18,FALSE),1)</f>
        <v>30</v>
      </c>
      <c r="AY152" s="676" t="e">
        <f>VLOOKUP(FLOOR($H$2+AX152,1), 'Cost Projection'!B7:N45, 10, FALSE)</f>
        <v>#N/A</v>
      </c>
      <c r="AZ152" s="452"/>
      <c r="BA152" s="452"/>
      <c r="BB152" s="452"/>
      <c r="BC152" s="452"/>
      <c r="BD152" s="452"/>
      <c r="BE152" s="452"/>
      <c r="BF152" s="452"/>
      <c r="BG152" s="452"/>
      <c r="BH152" s="452"/>
      <c r="BI152" s="452"/>
      <c r="BJ152" s="452"/>
      <c r="BK152" s="452"/>
      <c r="BL152" s="452"/>
      <c r="BM152" s="452"/>
      <c r="BN152" s="452"/>
      <c r="BO152" s="452"/>
      <c r="BP152" s="452"/>
      <c r="BQ152" s="452"/>
      <c r="BR152" s="452"/>
      <c r="BS152" s="452"/>
      <c r="BT152" s="452"/>
      <c r="BU152" s="452"/>
      <c r="BV152" s="452"/>
      <c r="BW152" s="452"/>
      <c r="BX152" s="452"/>
    </row>
    <row r="153" spans="1:77">
      <c r="A153" s="1157"/>
      <c r="B153" s="640">
        <f t="shared" si="139"/>
        <v>112755.90551181062</v>
      </c>
      <c r="C153" s="742">
        <f t="shared" si="140"/>
        <v>2</v>
      </c>
      <c r="D153" s="624">
        <f>$B153*'TCO Calculation'!E$110*'TCO Calculation'!E$112*(1+$A$2)^($C96-1)</f>
        <v>16115.114607873958</v>
      </c>
      <c r="E153" s="625">
        <f>$B153*'TCO Calculation'!F$110*'TCO Calculation'!F$112*(1+$A$2)^($C96-1)</f>
        <v>18428.953758567859</v>
      </c>
      <c r="F153" s="626">
        <f>$B153*'TCO Calculation'!G$110*'TCO Calculation'!G$112*(1+$A$2)^($C96-1)</f>
        <v>19221.752254965417</v>
      </c>
      <c r="G153" s="626">
        <f>$B153*'TCO Calculation'!H$110*'TCO Calculation'!H$112*(1+$A$2)^($C96-1)</f>
        <v>12140.609657952713</v>
      </c>
      <c r="H153" s="626">
        <f>$B153*'TCO Calculation'!I$110*'TCO Calculation'!I$112*(1+$A$2)^($C96-1)</f>
        <v>13574.103376025148</v>
      </c>
      <c r="I153" s="626">
        <f>$B153*'TCO Calculation'!J$110*'TCO Calculation'!J$112*(1+$A$2)^($C96-1)</f>
        <v>14805.772849317422</v>
      </c>
      <c r="J153" s="627">
        <f>$B153*'TCO Calculation'!K$110*'TCO Calculation'!K$112*(1+$A$2)^($C96-1)</f>
        <v>16407.357618897579</v>
      </c>
      <c r="K153" s="452"/>
      <c r="L153" s="1157"/>
      <c r="M153" s="640">
        <f t="shared" si="141"/>
        <v>112755.90551181062</v>
      </c>
      <c r="N153" s="742">
        <f t="shared" si="141"/>
        <v>2</v>
      </c>
      <c r="O153" s="625">
        <f t="shared" si="142"/>
        <v>15299.689808715537</v>
      </c>
      <c r="P153" s="625">
        <f t="shared" si="143"/>
        <v>17496.448698384327</v>
      </c>
      <c r="Q153" s="625">
        <f t="shared" si="144"/>
        <v>18249.131590864166</v>
      </c>
      <c r="R153" s="625">
        <f t="shared" si="145"/>
        <v>11526.294809260306</v>
      </c>
      <c r="S153" s="625">
        <f t="shared" si="146"/>
        <v>12887.253745198277</v>
      </c>
      <c r="T153" s="625">
        <f t="shared" si="147"/>
        <v>14056.60074314196</v>
      </c>
      <c r="U153" s="627">
        <f t="shared" si="148"/>
        <v>15577.145323381361</v>
      </c>
      <c r="V153" s="452"/>
      <c r="W153" s="1153"/>
      <c r="X153" s="640">
        <f t="shared" si="149"/>
        <v>112755.90551181062</v>
      </c>
      <c r="Y153" s="645">
        <f t="shared" si="150"/>
        <v>2</v>
      </c>
      <c r="Z153" s="624">
        <f t="shared" si="157"/>
        <v>0</v>
      </c>
      <c r="AA153" s="625">
        <f t="shared" si="151"/>
        <v>2196.7588896687903</v>
      </c>
      <c r="AB153" s="626">
        <f t="shared" si="152"/>
        <v>2949.4417821486295</v>
      </c>
      <c r="AC153" s="625">
        <f t="shared" si="153"/>
        <v>-3773.3949994552313</v>
      </c>
      <c r="AD153" s="626">
        <f t="shared" si="154"/>
        <v>-2412.4360635172598</v>
      </c>
      <c r="AE153" s="625">
        <f t="shared" si="155"/>
        <v>-1243.0890655735766</v>
      </c>
      <c r="AF153" s="627">
        <f t="shared" si="156"/>
        <v>277.45551466582401</v>
      </c>
      <c r="AG153" s="452"/>
      <c r="AH153" s="452"/>
      <c r="AI153" s="452"/>
      <c r="AJ153" s="452"/>
      <c r="AK153" s="452"/>
      <c r="AL153" s="452"/>
      <c r="AM153" s="452"/>
      <c r="AN153" s="452"/>
      <c r="AO153" s="452"/>
      <c r="AP153" s="452"/>
      <c r="AQ153" s="452"/>
      <c r="AR153" s="452"/>
      <c r="AS153" s="452"/>
      <c r="AT153" s="452"/>
      <c r="AU153" s="659" t="s">
        <v>499</v>
      </c>
      <c r="AV153" s="680" t="e">
        <f>AV152+ROUND(VLOOKUP(FLOOR($H$2+AV152-1,1),'Cost Projection'!$B$5:$U$49,17,FALSE),1)</f>
        <v>#N/A</v>
      </c>
      <c r="AW153" s="681" t="e">
        <f>VLOOKUP(FLOOR($H$2+AV153,1),'Cost Projection'!$B$6:$I$44,IF(H107="LFP",8,7),FALSE)</f>
        <v>#N/A</v>
      </c>
      <c r="AX153" s="685" t="e">
        <f>AX152+ROUND(VLOOKUP(FLOOR($H$2+AX152-1,1),'Cost Projection'!$B$5:$U$49,18,FALSE),1)</f>
        <v>#N/A</v>
      </c>
      <c r="AY153" s="676" t="e">
        <f>VLOOKUP(FLOOR($H$2+AX153,1), 'Cost Projection'!B8:N46, 10, FALSE)</f>
        <v>#N/A</v>
      </c>
      <c r="AZ153" s="452"/>
      <c r="BA153" s="452"/>
      <c r="BB153" s="452"/>
      <c r="BC153" s="452"/>
      <c r="BD153" s="452"/>
      <c r="BE153" s="452"/>
      <c r="BF153" s="452"/>
      <c r="BG153" s="452"/>
      <c r="BH153" s="452"/>
      <c r="BI153" s="452"/>
      <c r="BJ153" s="452"/>
      <c r="BK153" s="452"/>
      <c r="BL153" s="452"/>
      <c r="BM153" s="452"/>
      <c r="BN153" s="452"/>
      <c r="BO153" s="452"/>
      <c r="BP153" s="452"/>
      <c r="BQ153" s="452"/>
      <c r="BR153" s="452"/>
      <c r="BS153" s="452"/>
      <c r="BT153" s="452"/>
      <c r="BU153" s="452"/>
      <c r="BV153" s="452"/>
      <c r="BW153" s="452"/>
      <c r="BX153" s="452"/>
    </row>
    <row r="154" spans="1:77" ht="15" thickBot="1">
      <c r="A154" s="1157"/>
      <c r="B154" s="640">
        <f t="shared" si="139"/>
        <v>107086.61417322783</v>
      </c>
      <c r="C154" s="742">
        <f t="shared" si="140"/>
        <v>3</v>
      </c>
      <c r="D154" s="624">
        <f>$B154*'TCO Calculation'!E$110*'TCO Calculation'!E$112*(1+$A$2)^($C97-1)</f>
        <v>15610.954597795198</v>
      </c>
      <c r="E154" s="625">
        <f>$B154*'TCO Calculation'!F$110*'TCO Calculation'!F$112*(1+$A$2)^($C97-1)</f>
        <v>17852.405484556777</v>
      </c>
      <c r="F154" s="626">
        <f>$B154*'TCO Calculation'!G$110*'TCO Calculation'!G$112*(1+$A$2)^($C97-1)</f>
        <v>18620.401346430164</v>
      </c>
      <c r="G154" s="626">
        <f>$B154*'TCO Calculation'!H$110*'TCO Calculation'!H$112*(1+$A$2)^($C97-1)</f>
        <v>11760.791702173172</v>
      </c>
      <c r="H154" s="626">
        <f>$B154*'TCO Calculation'!I$110*'TCO Calculation'!I$112*(1+$A$2)^($C97-1)</f>
        <v>13149.43868940088</v>
      </c>
      <c r="I154" s="626">
        <f>$B154*'TCO Calculation'!J$110*'TCO Calculation'!J$112*(1+$A$2)^($C97-1)</f>
        <v>14342.57548643373</v>
      </c>
      <c r="J154" s="627">
        <f>$B154*'TCO Calculation'!K$110*'TCO Calculation'!K$112*(1+$A$2)^($C97-1)</f>
        <v>15894.054810708585</v>
      </c>
      <c r="K154" s="452"/>
      <c r="L154" s="1157"/>
      <c r="M154" s="640">
        <f t="shared" si="141"/>
        <v>107086.61417322783</v>
      </c>
      <c r="N154" s="742">
        <f t="shared" si="141"/>
        <v>3</v>
      </c>
      <c r="O154" s="625">
        <f t="shared" si="142"/>
        <v>14071.095656212337</v>
      </c>
      <c r="P154" s="625">
        <f t="shared" si="143"/>
        <v>16091.450634426072</v>
      </c>
      <c r="Q154" s="625">
        <f t="shared" si="144"/>
        <v>16783.691660962781</v>
      </c>
      <c r="R154" s="625">
        <f t="shared" si="145"/>
        <v>10600.711442555825</v>
      </c>
      <c r="S154" s="625">
        <f t="shared" si="146"/>
        <v>11852.382790876307</v>
      </c>
      <c r="T154" s="625">
        <f t="shared" si="147"/>
        <v>12927.829003779083</v>
      </c>
      <c r="U154" s="627">
        <f t="shared" si="148"/>
        <v>14326.270966040023</v>
      </c>
      <c r="V154" s="452"/>
      <c r="W154" s="1153"/>
      <c r="X154" s="640">
        <f t="shared" si="149"/>
        <v>107086.61417322783</v>
      </c>
      <c r="Y154" s="645">
        <f t="shared" si="150"/>
        <v>3</v>
      </c>
      <c r="Z154" s="624">
        <f t="shared" si="157"/>
        <v>0</v>
      </c>
      <c r="AA154" s="625">
        <f t="shared" si="151"/>
        <v>2020.3549782137343</v>
      </c>
      <c r="AB154" s="626">
        <f t="shared" si="152"/>
        <v>2712.5960047504432</v>
      </c>
      <c r="AC154" s="625">
        <f t="shared" si="153"/>
        <v>-3470.3842136565127</v>
      </c>
      <c r="AD154" s="626">
        <f t="shared" si="154"/>
        <v>-2218.7128653360305</v>
      </c>
      <c r="AE154" s="625">
        <f t="shared" si="155"/>
        <v>-1143.2666524332544</v>
      </c>
      <c r="AF154" s="627">
        <f t="shared" si="156"/>
        <v>255.17530982768585</v>
      </c>
      <c r="AG154" s="452"/>
      <c r="AH154" s="452"/>
      <c r="AI154" s="452"/>
      <c r="AJ154" s="452"/>
      <c r="AK154" s="452"/>
      <c r="AL154" s="452"/>
      <c r="AM154" s="452"/>
      <c r="AN154" s="452"/>
      <c r="AO154" s="452"/>
      <c r="AP154" s="452"/>
      <c r="AQ154" s="452"/>
      <c r="AR154" s="452"/>
      <c r="AS154" s="452"/>
      <c r="AT154" s="452"/>
      <c r="AU154" s="660" t="s">
        <v>500</v>
      </c>
      <c r="AV154" s="682" t="e">
        <f>AV153+ROUND(VLOOKUP(FLOOR($H$2+AV153-1,1),'Cost Projection'!$B$5:$U$49,17,FALSE),1)</f>
        <v>#N/A</v>
      </c>
      <c r="AW154" s="683" t="e">
        <f>VLOOKUP(FLOOR($H$2+AV154,1),'Cost Projection'!$B$6:$I$44,IF(H108="LFP",8,7),FALSE)</f>
        <v>#N/A</v>
      </c>
      <c r="AX154" s="686" t="e">
        <f>AX153+ROUND(VLOOKUP(FLOOR($H$2+AX153-1,1),'Cost Projection'!$B$5:$U$49,18,FALSE),1)</f>
        <v>#N/A</v>
      </c>
      <c r="AY154" s="677" t="e">
        <f>VLOOKUP(FLOOR($H$2+AX154,1), 'Cost Projection'!B9:N47, 10, FALSE)</f>
        <v>#N/A</v>
      </c>
      <c r="AZ154" s="452"/>
      <c r="BA154" s="452"/>
      <c r="BB154" s="452"/>
      <c r="BC154" s="452"/>
      <c r="BD154" s="452"/>
      <c r="BE154" s="452"/>
      <c r="BF154" s="452"/>
      <c r="BG154" s="452"/>
      <c r="BH154" s="452"/>
      <c r="BI154" s="452"/>
      <c r="BJ154" s="452"/>
      <c r="BK154" s="452"/>
      <c r="BL154" s="452"/>
      <c r="BM154" s="452"/>
      <c r="BN154" s="452"/>
      <c r="BO154" s="452"/>
      <c r="BP154" s="452"/>
      <c r="BQ154" s="452"/>
      <c r="BR154" s="452"/>
      <c r="BS154" s="452"/>
      <c r="BT154" s="452"/>
      <c r="BU154" s="452"/>
      <c r="BV154" s="452"/>
      <c r="BW154" s="452"/>
      <c r="BX154" s="452"/>
    </row>
    <row r="155" spans="1:77">
      <c r="A155" s="1157"/>
      <c r="B155" s="640">
        <f t="shared" si="139"/>
        <v>98897.637795275747</v>
      </c>
      <c r="C155" s="742">
        <f t="shared" si="140"/>
        <v>4</v>
      </c>
      <c r="D155" s="624">
        <f>$B155*'TCO Calculation'!E$110*'TCO Calculation'!E$112*(1+$A$2)^($C98-1)</f>
        <v>14705.519231123171</v>
      </c>
      <c r="E155" s="625">
        <f>$B155*'TCO Calculation'!F$110*'TCO Calculation'!F$112*(1+$A$2)^($C98-1)</f>
        <v>16816.96596645259</v>
      </c>
      <c r="F155" s="626">
        <f>$B155*'TCO Calculation'!G$110*'TCO Calculation'!G$112*(1+$A$2)^($C98-1)</f>
        <v>17540.418068337323</v>
      </c>
      <c r="G155" s="626">
        <f>$B155*'TCO Calculation'!H$110*'TCO Calculation'!H$112*(1+$A$2)^($C98-1)</f>
        <v>11078.665783447199</v>
      </c>
      <c r="H155" s="626">
        <f>$B155*'TCO Calculation'!I$110*'TCO Calculation'!I$112*(1+$A$2)^($C98-1)</f>
        <v>12386.771245415708</v>
      </c>
      <c r="I155" s="626">
        <f>$B155*'TCO Calculation'!J$110*'TCO Calculation'!J$112*(1+$A$2)^($C98-1)</f>
        <v>13510.70610822066</v>
      </c>
      <c r="J155" s="627">
        <f>$B155*'TCO Calculation'!K$110*'TCO Calculation'!K$112*(1+$A$2)^($C98-1)</f>
        <v>14972.199631687581</v>
      </c>
      <c r="K155" s="452"/>
      <c r="L155" s="1157"/>
      <c r="M155" s="640">
        <f t="shared" si="141"/>
        <v>98897.637795275747</v>
      </c>
      <c r="N155" s="742">
        <f t="shared" si="141"/>
        <v>4</v>
      </c>
      <c r="O155" s="625">
        <f t="shared" si="142"/>
        <v>12584.270519479609</v>
      </c>
      <c r="P155" s="625">
        <f t="shared" si="143"/>
        <v>14391.144284849404</v>
      </c>
      <c r="Q155" s="625">
        <f t="shared" si="144"/>
        <v>15010.239524868908</v>
      </c>
      <c r="R155" s="625">
        <f t="shared" si="145"/>
        <v>9480.5851478359345</v>
      </c>
      <c r="S155" s="625">
        <f t="shared" si="146"/>
        <v>10599.99839280187</v>
      </c>
      <c r="T155" s="625">
        <f t="shared" si="147"/>
        <v>11561.807366529039</v>
      </c>
      <c r="U155" s="627">
        <f t="shared" si="148"/>
        <v>12812.482679159291</v>
      </c>
      <c r="V155" s="452"/>
      <c r="W155" s="1153"/>
      <c r="X155" s="640">
        <f t="shared" si="149"/>
        <v>98897.637795275747</v>
      </c>
      <c r="Y155" s="645">
        <f t="shared" si="150"/>
        <v>4</v>
      </c>
      <c r="Z155" s="624">
        <f t="shared" si="157"/>
        <v>0</v>
      </c>
      <c r="AA155" s="625">
        <f t="shared" si="151"/>
        <v>1806.8737653697954</v>
      </c>
      <c r="AB155" s="626">
        <f t="shared" si="152"/>
        <v>2425.9690053892991</v>
      </c>
      <c r="AC155" s="625">
        <f t="shared" si="153"/>
        <v>-3103.6853716436744</v>
      </c>
      <c r="AD155" s="626">
        <f t="shared" si="154"/>
        <v>-1984.2721266777389</v>
      </c>
      <c r="AE155" s="625">
        <f t="shared" si="155"/>
        <v>-1022.4631529505696</v>
      </c>
      <c r="AF155" s="627">
        <f t="shared" si="156"/>
        <v>228.21215967968237</v>
      </c>
      <c r="AG155" s="452"/>
      <c r="AH155" s="452"/>
      <c r="AI155" s="452"/>
      <c r="AJ155" s="452"/>
      <c r="AK155" s="452"/>
      <c r="AL155" s="452"/>
      <c r="AM155" s="452"/>
      <c r="AN155" s="452"/>
      <c r="AO155" s="452"/>
      <c r="AP155" s="452"/>
      <c r="AQ155" s="452"/>
      <c r="AR155" s="452"/>
      <c r="AS155" s="452"/>
      <c r="AT155" s="452"/>
      <c r="AU155" s="452" t="s">
        <v>515</v>
      </c>
      <c r="AV155" s="452"/>
      <c r="AW155" s="452"/>
      <c r="AX155" s="452"/>
      <c r="AY155" s="452"/>
      <c r="AZ155" s="452"/>
      <c r="BA155" s="452"/>
      <c r="BB155" s="452"/>
      <c r="BC155" s="452"/>
      <c r="BD155" s="452"/>
      <c r="BE155" s="452"/>
      <c r="BF155" s="452"/>
      <c r="BG155" s="452"/>
      <c r="BH155" s="452"/>
      <c r="BI155" s="452"/>
      <c r="BJ155" s="452"/>
      <c r="BK155" s="452"/>
      <c r="BL155" s="452"/>
      <c r="BM155" s="452"/>
      <c r="BN155" s="452"/>
      <c r="BO155" s="452"/>
      <c r="BP155" s="452"/>
      <c r="BQ155" s="452"/>
      <c r="BR155" s="452"/>
      <c r="BS155" s="452"/>
      <c r="BT155" s="452"/>
      <c r="BU155" s="452"/>
      <c r="BV155" s="452"/>
      <c r="BW155" s="452"/>
      <c r="BX155" s="452"/>
    </row>
    <row r="156" spans="1:77">
      <c r="A156" s="1157"/>
      <c r="B156" s="640">
        <f t="shared" si="139"/>
        <v>86299.212598425438</v>
      </c>
      <c r="C156" s="742">
        <f t="shared" si="140"/>
        <v>5</v>
      </c>
      <c r="D156" s="624">
        <f>$B156*'TCO Calculation'!E$110*'TCO Calculation'!E$112*(1+$A$2)^($C99-1)</f>
        <v>13088.848772975505</v>
      </c>
      <c r="E156" s="625">
        <f>$B156*'TCO Calculation'!F$110*'TCO Calculation'!F$112*(1+$A$2)^($C99-1)</f>
        <v>14968.170854471897</v>
      </c>
      <c r="F156" s="626">
        <f>$B156*'TCO Calculation'!G$110*'TCO Calculation'!G$112*(1+$A$2)^($C99-1)</f>
        <v>15612.089304901025</v>
      </c>
      <c r="G156" s="626">
        <f>$B156*'TCO Calculation'!H$110*'TCO Calculation'!H$112*(1+$A$2)^($C99-1)</f>
        <v>9860.7181947701483</v>
      </c>
      <c r="H156" s="626">
        <f>$B156*'TCO Calculation'!I$110*'TCO Calculation'!I$112*(1+$A$2)^($C99-1)</f>
        <v>11025.015374741357</v>
      </c>
      <c r="I156" s="626">
        <f>$B156*'TCO Calculation'!J$110*'TCO Calculation'!J$112*(1+$A$2)^($C99-1)</f>
        <v>12025.388990845589</v>
      </c>
      <c r="J156" s="627">
        <f>$B156*'TCO Calculation'!K$110*'TCO Calculation'!K$112*(1+$A$2)^($C99-1)</f>
        <v>13326.211315490607</v>
      </c>
      <c r="K156" s="452"/>
      <c r="L156" s="1157"/>
      <c r="M156" s="640">
        <f t="shared" si="141"/>
        <v>86299.212598425438</v>
      </c>
      <c r="N156" s="742">
        <f t="shared" si="141"/>
        <v>5</v>
      </c>
      <c r="O156" s="625">
        <f t="shared" si="142"/>
        <v>10634.041711433398</v>
      </c>
      <c r="P156" s="625">
        <f t="shared" si="143"/>
        <v>12160.897873536283</v>
      </c>
      <c r="Q156" s="625">
        <f t="shared" si="144"/>
        <v>12684.049739631859</v>
      </c>
      <c r="R156" s="625">
        <f t="shared" si="145"/>
        <v>8011.3454136912751</v>
      </c>
      <c r="S156" s="625">
        <f t="shared" si="146"/>
        <v>8957.279238053392</v>
      </c>
      <c r="T156" s="625">
        <f t="shared" si="147"/>
        <v>9770.0332812228826</v>
      </c>
      <c r="U156" s="627">
        <f t="shared" si="148"/>
        <v>10826.887027443849</v>
      </c>
      <c r="V156" s="452"/>
      <c r="W156" s="1153"/>
      <c r="X156" s="640">
        <f t="shared" si="149"/>
        <v>86299.212598425438</v>
      </c>
      <c r="Y156" s="645">
        <f t="shared" si="150"/>
        <v>5</v>
      </c>
      <c r="Z156" s="624">
        <f t="shared" si="157"/>
        <v>0</v>
      </c>
      <c r="AA156" s="625">
        <f t="shared" si="151"/>
        <v>1526.8561621028857</v>
      </c>
      <c r="AB156" s="626">
        <f t="shared" si="152"/>
        <v>2050.008028198461</v>
      </c>
      <c r="AC156" s="625">
        <f t="shared" si="153"/>
        <v>-2622.6962977421226</v>
      </c>
      <c r="AD156" s="626">
        <f t="shared" si="154"/>
        <v>-1676.7624733800058</v>
      </c>
      <c r="AE156" s="625">
        <f t="shared" si="155"/>
        <v>-864.00843021051514</v>
      </c>
      <c r="AF156" s="627">
        <f t="shared" si="156"/>
        <v>192.84531601045092</v>
      </c>
      <c r="AG156" s="452"/>
      <c r="AH156" s="452"/>
      <c r="AI156" s="452"/>
      <c r="AJ156" s="452"/>
      <c r="AK156" s="452"/>
      <c r="AL156" s="452"/>
      <c r="AM156" s="452"/>
      <c r="AN156" s="452"/>
      <c r="AO156" s="452"/>
      <c r="AP156" s="452"/>
      <c r="AQ156" s="452"/>
      <c r="AR156" s="452"/>
      <c r="AS156" s="452"/>
      <c r="AT156" s="452"/>
      <c r="AU156" s="452"/>
      <c r="AV156" s="452"/>
      <c r="AW156" s="452"/>
      <c r="AX156" s="452"/>
      <c r="AY156" s="452"/>
      <c r="AZ156" s="452"/>
      <c r="BA156" s="452"/>
      <c r="BB156" s="452"/>
      <c r="BC156" s="452"/>
      <c r="BD156" s="452"/>
      <c r="BE156" s="452"/>
      <c r="BF156" s="452"/>
      <c r="BG156" s="452"/>
      <c r="BH156" s="452"/>
      <c r="BI156" s="452"/>
      <c r="BJ156" s="452"/>
      <c r="BK156" s="452"/>
      <c r="BL156" s="452"/>
      <c r="BM156" s="452"/>
      <c r="BN156" s="452"/>
      <c r="BO156" s="452"/>
      <c r="BP156" s="452"/>
      <c r="BQ156" s="452"/>
      <c r="BR156" s="452"/>
      <c r="BS156" s="452"/>
      <c r="BT156" s="452"/>
      <c r="BU156" s="452"/>
      <c r="BV156" s="452"/>
      <c r="BW156" s="452"/>
      <c r="BX156" s="452"/>
    </row>
    <row r="157" spans="1:77">
      <c r="A157" s="1157"/>
      <c r="B157" s="640">
        <f t="shared" si="139"/>
        <v>76850.393700787565</v>
      </c>
      <c r="C157" s="742">
        <f t="shared" si="140"/>
        <v>6</v>
      </c>
      <c r="D157" s="624">
        <f>$B157*'TCO Calculation'!E$110*'TCO Calculation'!E$112*(1+$A$2)^($C100-1)</f>
        <v>11888.878403715848</v>
      </c>
      <c r="E157" s="625">
        <f>$B157*'TCO Calculation'!F$110*'TCO Calculation'!F$112*(1+$A$2)^($C100-1)</f>
        <v>13595.906431609357</v>
      </c>
      <c r="F157" s="626">
        <f>$B157*'TCO Calculation'!G$110*'TCO Calculation'!G$112*(1+$A$2)^($C100-1)</f>
        <v>14180.791190524687</v>
      </c>
      <c r="G157" s="626">
        <f>$B157*'TCO Calculation'!H$110*'TCO Calculation'!H$112*(1+$A$2)^($C100-1)</f>
        <v>8956.6990668408507</v>
      </c>
      <c r="H157" s="626">
        <f>$B157*'TCO Calculation'!I$110*'TCO Calculation'!I$112*(1+$A$2)^($C100-1)</f>
        <v>10014.254841115429</v>
      </c>
      <c r="I157" s="626">
        <f>$B157*'TCO Calculation'!J$110*'TCO Calculation'!J$112*(1+$A$2)^($C100-1)</f>
        <v>10922.915372414776</v>
      </c>
      <c r="J157" s="627">
        <f>$B157*'TCO Calculation'!K$110*'TCO Calculation'!K$112*(1+$A$2)^($C100-1)</f>
        <v>12104.479825544891</v>
      </c>
      <c r="K157" s="452"/>
      <c r="L157" s="1157"/>
      <c r="M157" s="640">
        <f t="shared" si="141"/>
        <v>76850.393700787565</v>
      </c>
      <c r="N157" s="742">
        <f t="shared" si="141"/>
        <v>6</v>
      </c>
      <c r="O157" s="625">
        <f t="shared" si="142"/>
        <v>9170.3734522035793</v>
      </c>
      <c r="P157" s="625">
        <f t="shared" si="143"/>
        <v>10487.073310473592</v>
      </c>
      <c r="Q157" s="625">
        <f t="shared" si="144"/>
        <v>10938.218614817797</v>
      </c>
      <c r="R157" s="625">
        <f t="shared" si="145"/>
        <v>6908.6647665823848</v>
      </c>
      <c r="S157" s="625">
        <f t="shared" si="146"/>
        <v>7724.4003698333236</v>
      </c>
      <c r="T157" s="625">
        <f t="shared" si="147"/>
        <v>8425.2870414211447</v>
      </c>
      <c r="U157" s="627">
        <f t="shared" si="148"/>
        <v>9336.6755614404319</v>
      </c>
      <c r="V157" s="452"/>
      <c r="W157" s="1153"/>
      <c r="X157" s="640">
        <f t="shared" si="149"/>
        <v>76850.393700787565</v>
      </c>
      <c r="Y157" s="645">
        <f t="shared" si="150"/>
        <v>6</v>
      </c>
      <c r="Z157" s="624">
        <f t="shared" si="157"/>
        <v>0</v>
      </c>
      <c r="AA157" s="625">
        <f t="shared" si="151"/>
        <v>1316.6998582700126</v>
      </c>
      <c r="AB157" s="626">
        <f t="shared" si="152"/>
        <v>1767.8451626142178</v>
      </c>
      <c r="AC157" s="625">
        <f t="shared" si="153"/>
        <v>-2261.7086856211945</v>
      </c>
      <c r="AD157" s="626">
        <f t="shared" si="154"/>
        <v>-1445.9730823702557</v>
      </c>
      <c r="AE157" s="625">
        <f t="shared" si="155"/>
        <v>-745.08641078243454</v>
      </c>
      <c r="AF157" s="627">
        <f t="shared" si="156"/>
        <v>166.30210923685263</v>
      </c>
      <c r="AG157" s="452"/>
      <c r="AH157" s="452"/>
      <c r="AI157" s="452"/>
      <c r="AJ157" s="452"/>
      <c r="AK157" s="452"/>
      <c r="AL157" s="452"/>
      <c r="AM157" s="452"/>
      <c r="AN157" s="452"/>
      <c r="AO157" s="452"/>
      <c r="AP157" s="452"/>
      <c r="AQ157" s="452"/>
      <c r="AR157" s="452"/>
      <c r="AS157" s="452"/>
      <c r="AT157" s="452"/>
      <c r="AU157" s="452"/>
      <c r="AV157" s="452"/>
      <c r="AW157" s="452"/>
      <c r="AX157" s="452"/>
      <c r="AY157" s="452"/>
      <c r="AZ157" s="452"/>
      <c r="BA157" s="452"/>
      <c r="BB157" s="452"/>
      <c r="BC157" s="452"/>
      <c r="BD157" s="452"/>
      <c r="BE157" s="452"/>
      <c r="BF157" s="452"/>
      <c r="BG157" s="452"/>
      <c r="BH157" s="452"/>
      <c r="BI157" s="452"/>
      <c r="BJ157" s="452"/>
      <c r="BK157" s="452"/>
      <c r="BL157" s="452"/>
      <c r="BM157" s="452"/>
      <c r="BN157" s="452"/>
      <c r="BO157" s="452"/>
      <c r="BP157" s="452"/>
      <c r="BQ157" s="452"/>
      <c r="BR157" s="452"/>
      <c r="BS157" s="452"/>
      <c r="BT157" s="452"/>
      <c r="BU157" s="452"/>
      <c r="BV157" s="452"/>
      <c r="BW157" s="452"/>
      <c r="BX157" s="452"/>
    </row>
    <row r="158" spans="1:77">
      <c r="A158" s="1157"/>
      <c r="B158" s="640">
        <f t="shared" si="139"/>
        <v>69291.338582677359</v>
      </c>
      <c r="C158" s="742">
        <f t="shared" si="140"/>
        <v>7</v>
      </c>
      <c r="D158" s="624">
        <f>$B158*'TCO Calculation'!E$110*'TCO Calculation'!E$112*(1+$A$2)^($C101-1)</f>
        <v>10933.870138499335</v>
      </c>
      <c r="E158" s="625">
        <f>$B158*'TCO Calculation'!F$110*'TCO Calculation'!F$112*(1+$A$2)^($C101-1)</f>
        <v>12503.776242840744</v>
      </c>
      <c r="F158" s="626">
        <f>$B158*'TCO Calculation'!G$110*'TCO Calculation'!G$112*(1+$A$2)^($C101-1)</f>
        <v>13041.678455548124</v>
      </c>
      <c r="G158" s="626">
        <f>$B158*'TCO Calculation'!H$110*'TCO Calculation'!H$112*(1+$A$2)^($C101-1)</f>
        <v>8237.2265188487218</v>
      </c>
      <c r="H158" s="626">
        <f>$B158*'TCO Calculation'!I$110*'TCO Calculation'!I$112*(1+$A$2)^($C101-1)</f>
        <v>9209.8310915832117</v>
      </c>
      <c r="I158" s="626">
        <f>$B158*'TCO Calculation'!J$110*'TCO Calculation'!J$112*(1+$A$2)^($C101-1)</f>
        <v>10045.50085889294</v>
      </c>
      <c r="J158" s="627">
        <f>$B158*'TCO Calculation'!K$110*'TCO Calculation'!K$112*(1+$A$2)^($C101-1)</f>
        <v>11132.152757591293</v>
      </c>
      <c r="K158" s="452"/>
      <c r="L158" s="1157"/>
      <c r="M158" s="640">
        <f t="shared" si="141"/>
        <v>69291.338582677359</v>
      </c>
      <c r="N158" s="742">
        <f t="shared" si="141"/>
        <v>7</v>
      </c>
      <c r="O158" s="625">
        <f t="shared" si="142"/>
        <v>8006.9898092588337</v>
      </c>
      <c r="P158" s="625">
        <f t="shared" si="143"/>
        <v>9156.648806459998</v>
      </c>
      <c r="Q158" s="625">
        <f t="shared" si="144"/>
        <v>9550.5603383301677</v>
      </c>
      <c r="R158" s="625">
        <f t="shared" si="145"/>
        <v>6032.2089029338576</v>
      </c>
      <c r="S158" s="625">
        <f t="shared" si="146"/>
        <v>6744.4576130134201</v>
      </c>
      <c r="T158" s="625">
        <f t="shared" si="147"/>
        <v>7356.4275034545235</v>
      </c>
      <c r="U158" s="627">
        <f t="shared" si="148"/>
        <v>8152.1942876650837</v>
      </c>
      <c r="V158" s="452"/>
      <c r="W158" s="1153"/>
      <c r="X158" s="640">
        <f t="shared" si="149"/>
        <v>69291.338582677359</v>
      </c>
      <c r="Y158" s="645">
        <f t="shared" si="150"/>
        <v>7</v>
      </c>
      <c r="Z158" s="624">
        <f t="shared" si="157"/>
        <v>0</v>
      </c>
      <c r="AA158" s="625">
        <f t="shared" si="151"/>
        <v>1149.6589972011643</v>
      </c>
      <c r="AB158" s="626">
        <f t="shared" si="152"/>
        <v>1543.570529071334</v>
      </c>
      <c r="AC158" s="625">
        <f t="shared" si="153"/>
        <v>-1974.7809063249761</v>
      </c>
      <c r="AD158" s="626">
        <f t="shared" si="154"/>
        <v>-1262.5321962454136</v>
      </c>
      <c r="AE158" s="625">
        <f t="shared" si="155"/>
        <v>-650.5623058043102</v>
      </c>
      <c r="AF158" s="627">
        <f t="shared" si="156"/>
        <v>145.20447840625002</v>
      </c>
      <c r="AG158" s="452"/>
      <c r="AH158" s="452"/>
      <c r="AI158" s="452"/>
      <c r="AJ158" s="452"/>
      <c r="AK158" s="452"/>
      <c r="AL158" s="452"/>
      <c r="AM158" s="452"/>
      <c r="AN158" s="452"/>
      <c r="AO158" s="452"/>
      <c r="AP158" s="452"/>
      <c r="AQ158" s="452"/>
      <c r="AR158" s="452"/>
      <c r="AS158" s="452"/>
      <c r="AT158" s="452"/>
      <c r="AU158" s="452"/>
      <c r="AV158" s="452"/>
      <c r="AW158" s="452"/>
      <c r="AX158" s="452"/>
      <c r="AY158" s="452"/>
      <c r="AZ158" s="452"/>
      <c r="BA158" s="452"/>
      <c r="BB158" s="452"/>
      <c r="BC158" s="452"/>
      <c r="BD158" s="452"/>
      <c r="BE158" s="452"/>
      <c r="BF158" s="452"/>
      <c r="BG158" s="452"/>
      <c r="BH158" s="452"/>
      <c r="BI158" s="452"/>
      <c r="BJ158" s="452"/>
      <c r="BK158" s="452"/>
      <c r="BL158" s="452"/>
      <c r="BM158" s="452"/>
      <c r="BN158" s="452"/>
      <c r="BO158" s="452"/>
      <c r="BP158" s="452"/>
      <c r="BQ158" s="452"/>
      <c r="BR158" s="452"/>
      <c r="BS158" s="452"/>
      <c r="BT158" s="452"/>
      <c r="BU158" s="452"/>
      <c r="BV158" s="452"/>
      <c r="BW158" s="452"/>
      <c r="BX158" s="452"/>
    </row>
    <row r="159" spans="1:77">
      <c r="A159" s="1157"/>
      <c r="B159" s="640">
        <f t="shared" si="139"/>
        <v>62992.125984252147</v>
      </c>
      <c r="C159" s="742">
        <f t="shared" si="140"/>
        <v>8</v>
      </c>
      <c r="D159" s="624">
        <f>$B159*'TCO Calculation'!E$110*'TCO Calculation'!E$112*(1+$A$2)^($C102-1)</f>
        <v>10138.679582972109</v>
      </c>
      <c r="E159" s="625">
        <f>$B159*'TCO Calculation'!F$110*'TCO Calculation'!F$112*(1+$A$2)^($C102-1)</f>
        <v>11594.410697906871</v>
      </c>
      <c r="F159" s="626">
        <f>$B159*'TCO Calculation'!G$110*'TCO Calculation'!G$112*(1+$A$2)^($C102-1)</f>
        <v>12093.192749690075</v>
      </c>
      <c r="G159" s="626">
        <f>$B159*'TCO Calculation'!H$110*'TCO Calculation'!H$112*(1+$A$2)^($C102-1)</f>
        <v>7638.1554992960873</v>
      </c>
      <c r="H159" s="626">
        <f>$B159*'TCO Calculation'!I$110*'TCO Calculation'!I$112*(1+$A$2)^($C102-1)</f>
        <v>8540.0251940135222</v>
      </c>
      <c r="I159" s="626">
        <f>$B159*'TCO Calculation'!J$110*'TCO Calculation'!J$112*(1+$A$2)^($C102-1)</f>
        <v>9314.9189782461781</v>
      </c>
      <c r="J159" s="627">
        <f>$B159*'TCO Calculation'!K$110*'TCO Calculation'!K$112*(1+$A$2)^($C102-1)</f>
        <v>10322.541647948288</v>
      </c>
      <c r="K159" s="452"/>
      <c r="L159" s="1157"/>
      <c r="M159" s="640">
        <f t="shared" si="141"/>
        <v>62992.125984252147</v>
      </c>
      <c r="N159" s="742">
        <f t="shared" si="141"/>
        <v>8</v>
      </c>
      <c r="O159" s="625">
        <f t="shared" si="142"/>
        <v>7048.9753158259482</v>
      </c>
      <c r="P159" s="625">
        <f t="shared" si="143"/>
        <v>8061.0807494456221</v>
      </c>
      <c r="Q159" s="625">
        <f t="shared" si="144"/>
        <v>8407.8618408317016</v>
      </c>
      <c r="R159" s="625">
        <f t="shared" si="145"/>
        <v>5310.471559176648</v>
      </c>
      <c r="S159" s="625">
        <f t="shared" si="146"/>
        <v>5937.501653591672</v>
      </c>
      <c r="T159" s="625">
        <f t="shared" si="147"/>
        <v>6476.2510156502894</v>
      </c>
      <c r="U159" s="627">
        <f t="shared" si="148"/>
        <v>7176.8064744031035</v>
      </c>
      <c r="V159" s="452"/>
      <c r="W159" s="1153"/>
      <c r="X159" s="640">
        <f t="shared" si="149"/>
        <v>62992.125984252147</v>
      </c>
      <c r="Y159" s="645">
        <f t="shared" si="150"/>
        <v>8</v>
      </c>
      <c r="Z159" s="624">
        <f t="shared" si="157"/>
        <v>0</v>
      </c>
      <c r="AA159" s="625">
        <f t="shared" si="151"/>
        <v>1012.1054336196739</v>
      </c>
      <c r="AB159" s="626">
        <f t="shared" si="152"/>
        <v>1358.8865250057534</v>
      </c>
      <c r="AC159" s="625">
        <f t="shared" si="153"/>
        <v>-1738.5037566493002</v>
      </c>
      <c r="AD159" s="626">
        <f t="shared" si="154"/>
        <v>-1111.4736622342762</v>
      </c>
      <c r="AE159" s="625">
        <f t="shared" si="155"/>
        <v>-572.72430017565875</v>
      </c>
      <c r="AF159" s="627">
        <f t="shared" si="156"/>
        <v>127.83115857715529</v>
      </c>
      <c r="AG159" s="452"/>
      <c r="AH159" s="452"/>
      <c r="AI159" s="452"/>
      <c r="AJ159" s="452"/>
      <c r="AK159" s="452"/>
      <c r="AL159" s="452"/>
      <c r="AM159" s="452"/>
      <c r="AN159" s="452"/>
      <c r="AO159" s="452"/>
      <c r="AP159" s="452"/>
      <c r="AQ159" s="452"/>
      <c r="AR159" s="452"/>
      <c r="AS159" s="452"/>
      <c r="AT159" s="452"/>
      <c r="AU159" s="452"/>
      <c r="AV159" s="452"/>
      <c r="AW159" s="452"/>
      <c r="AX159" s="452"/>
      <c r="AY159" s="452"/>
      <c r="AZ159" s="452"/>
      <c r="BA159" s="452"/>
      <c r="BB159" s="452"/>
      <c r="BC159" s="452"/>
      <c r="BD159" s="452"/>
      <c r="BE159" s="452"/>
      <c r="BF159" s="452"/>
      <c r="BG159" s="452"/>
      <c r="BH159" s="452"/>
      <c r="BI159" s="452"/>
      <c r="BJ159" s="452"/>
      <c r="BK159" s="452"/>
      <c r="BL159" s="452"/>
      <c r="BM159" s="452"/>
      <c r="BN159" s="452"/>
      <c r="BO159" s="452"/>
      <c r="BP159" s="452"/>
      <c r="BQ159" s="452"/>
      <c r="BR159" s="452"/>
      <c r="BS159" s="452"/>
      <c r="BT159" s="452"/>
      <c r="BU159" s="452"/>
      <c r="BV159" s="452"/>
      <c r="BW159" s="452"/>
      <c r="BX159" s="452"/>
    </row>
    <row r="160" spans="1:77">
      <c r="A160" s="1157"/>
      <c r="B160" s="640">
        <f t="shared" si="139"/>
        <v>56062.992125984332</v>
      </c>
      <c r="C160" s="742">
        <f t="shared" si="140"/>
        <v>9</v>
      </c>
      <c r="D160" s="624">
        <f>$B160*'TCO Calculation'!E$110*'TCO Calculation'!E$112*(1+$A$2)^($C103-1)</f>
        <v>9203.8933254220683</v>
      </c>
      <c r="E160" s="625">
        <f>$B160*'TCO Calculation'!F$110*'TCO Calculation'!F$112*(1+$A$2)^($C103-1)</f>
        <v>10525.406031559844</v>
      </c>
      <c r="F160" s="626">
        <f>$B160*'TCO Calculation'!G$110*'TCO Calculation'!G$112*(1+$A$2)^($C103-1)</f>
        <v>10978.200378168636</v>
      </c>
      <c r="G160" s="626">
        <f>$B160*'TCO Calculation'!H$110*'TCO Calculation'!H$112*(1+$A$2)^($C103-1)</f>
        <v>6933.9175622609782</v>
      </c>
      <c r="H160" s="626">
        <f>$B160*'TCO Calculation'!I$110*'TCO Calculation'!I$112*(1+$A$2)^($C103-1)</f>
        <v>7752.634871125465</v>
      </c>
      <c r="I160" s="626">
        <f>$B160*'TCO Calculation'!J$110*'TCO Calculation'!J$112*(1+$A$2)^($C103-1)</f>
        <v>8456.0834484518691</v>
      </c>
      <c r="J160" s="627">
        <f>$B160*'TCO Calculation'!K$110*'TCO Calculation'!K$112*(1+$A$2)^($C103-1)</f>
        <v>9370.803308007442</v>
      </c>
      <c r="K160" s="452"/>
      <c r="L160" s="1157"/>
      <c r="M160" s="640">
        <f t="shared" si="141"/>
        <v>56062.992125984332</v>
      </c>
      <c r="N160" s="742">
        <f t="shared" si="141"/>
        <v>9</v>
      </c>
      <c r="O160" s="625">
        <f t="shared" si="142"/>
        <v>6075.267366246424</v>
      </c>
      <c r="P160" s="625">
        <f t="shared" si="143"/>
        <v>6947.5659396667825</v>
      </c>
      <c r="Q160" s="625">
        <f t="shared" si="144"/>
        <v>7246.444535964195</v>
      </c>
      <c r="R160" s="625">
        <f t="shared" si="145"/>
        <v>4576.911269700674</v>
      </c>
      <c r="S160" s="625">
        <f t="shared" si="146"/>
        <v>5117.3267626733095</v>
      </c>
      <c r="T160" s="625">
        <f t="shared" si="147"/>
        <v>5581.6561540037546</v>
      </c>
      <c r="U160" s="627">
        <f t="shared" si="148"/>
        <v>6185.4406086394938</v>
      </c>
      <c r="V160" s="452"/>
      <c r="W160" s="1153"/>
      <c r="X160" s="640">
        <f t="shared" si="149"/>
        <v>56062.992125984332</v>
      </c>
      <c r="Y160" s="645">
        <f t="shared" si="150"/>
        <v>9</v>
      </c>
      <c r="Z160" s="624">
        <f t="shared" si="157"/>
        <v>0</v>
      </c>
      <c r="AA160" s="625">
        <f t="shared" si="151"/>
        <v>872.29857342035848</v>
      </c>
      <c r="AB160" s="626">
        <f t="shared" si="152"/>
        <v>1171.177169717771</v>
      </c>
      <c r="AC160" s="625">
        <f t="shared" si="153"/>
        <v>-1498.35609654575</v>
      </c>
      <c r="AD160" s="626">
        <f t="shared" si="154"/>
        <v>-957.94060357311446</v>
      </c>
      <c r="AE160" s="625">
        <f t="shared" si="155"/>
        <v>-493.61121224266935</v>
      </c>
      <c r="AF160" s="627">
        <f t="shared" si="156"/>
        <v>110.17324239306981</v>
      </c>
      <c r="AG160" s="452"/>
      <c r="AH160" s="452"/>
      <c r="AI160" s="452"/>
      <c r="AJ160" s="452"/>
      <c r="AK160" s="452"/>
      <c r="AL160" s="452"/>
      <c r="AM160" s="452"/>
      <c r="AN160" s="452"/>
      <c r="AO160" s="452"/>
      <c r="AP160" s="452"/>
      <c r="AQ160" s="452"/>
      <c r="AR160" s="452"/>
      <c r="AS160" s="452"/>
      <c r="AT160" s="452"/>
      <c r="AU160" s="452"/>
      <c r="AV160" s="452"/>
      <c r="AW160" s="452"/>
      <c r="AX160" s="452"/>
      <c r="AY160" s="452"/>
      <c r="AZ160" s="452"/>
      <c r="BA160" s="452"/>
      <c r="BB160" s="452"/>
      <c r="BC160" s="452"/>
      <c r="BD160" s="452"/>
      <c r="BE160" s="452"/>
      <c r="BF160" s="452"/>
      <c r="BG160" s="452"/>
      <c r="BH160" s="452"/>
      <c r="BI160" s="452"/>
      <c r="BJ160" s="452"/>
      <c r="BK160" s="452"/>
      <c r="BL160" s="452"/>
      <c r="BM160" s="452"/>
      <c r="BN160" s="452"/>
      <c r="BO160" s="452"/>
      <c r="BP160" s="452"/>
      <c r="BQ160" s="452"/>
      <c r="BR160" s="452"/>
      <c r="BS160" s="452"/>
      <c r="BT160" s="452"/>
      <c r="BU160" s="452"/>
      <c r="BV160" s="452"/>
      <c r="BW160" s="452"/>
      <c r="BX160" s="452"/>
    </row>
    <row r="161" spans="1:77">
      <c r="A161" s="1157"/>
      <c r="B161" s="640">
        <f t="shared" si="139"/>
        <v>49763.779527559134</v>
      </c>
      <c r="C161" s="742">
        <f t="shared" si="140"/>
        <v>10</v>
      </c>
      <c r="D161" s="624">
        <f>$B161*'TCO Calculation'!E$110*'TCO Calculation'!E$112*(1+$A$2)^($C104-1)</f>
        <v>8333.1429681180944</v>
      </c>
      <c r="E161" s="625">
        <f>$B161*'TCO Calculation'!F$110*'TCO Calculation'!F$112*(1+$A$2)^($C104-1)</f>
        <v>9529.6316631808113</v>
      </c>
      <c r="F161" s="626">
        <f>$B161*'TCO Calculation'!G$110*'TCO Calculation'!G$112*(1+$A$2)^($C104-1)</f>
        <v>9939.5886120542582</v>
      </c>
      <c r="G161" s="626">
        <f>$B161*'TCO Calculation'!H$110*'TCO Calculation'!H$112*(1+$A$2)^($C104-1)</f>
        <v>6277.9222153594355</v>
      </c>
      <c r="H161" s="626">
        <f>$B161*'TCO Calculation'!I$110*'TCO Calculation'!I$112*(1+$A$2)^($C104-1)</f>
        <v>7019.1833473628094</v>
      </c>
      <c r="I161" s="626">
        <f>$B161*'TCO Calculation'!J$110*'TCO Calculation'!J$112*(1+$A$2)^($C104-1)</f>
        <v>7656.0809469241767</v>
      </c>
      <c r="J161" s="627">
        <f>$B161*'TCO Calculation'!K$110*'TCO Calculation'!K$112*(1+$A$2)^($C104-1)</f>
        <v>8484.2621411150558</v>
      </c>
      <c r="K161" s="452"/>
      <c r="L161" s="1157"/>
      <c r="M161" s="640">
        <f t="shared" si="141"/>
        <v>49763.779527559134</v>
      </c>
      <c r="N161" s="742">
        <f t="shared" si="141"/>
        <v>10</v>
      </c>
      <c r="O161" s="625">
        <f t="shared" si="142"/>
        <v>5222.1805070438977</v>
      </c>
      <c r="P161" s="625">
        <f t="shared" si="143"/>
        <v>5971.99122842001</v>
      </c>
      <c r="Q161" s="625">
        <f t="shared" si="144"/>
        <v>6228.9013996873091</v>
      </c>
      <c r="R161" s="625">
        <f t="shared" si="145"/>
        <v>3934.223034840325</v>
      </c>
      <c r="S161" s="625">
        <f t="shared" si="146"/>
        <v>4398.7535785964365</v>
      </c>
      <c r="T161" s="625">
        <f t="shared" si="147"/>
        <v>4797.8820037461546</v>
      </c>
      <c r="U161" s="627">
        <f t="shared" si="148"/>
        <v>5316.8832623529843</v>
      </c>
      <c r="V161" s="452"/>
      <c r="W161" s="1153"/>
      <c r="X161" s="640">
        <f t="shared" si="149"/>
        <v>49763.779527559134</v>
      </c>
      <c r="Y161" s="645">
        <f t="shared" si="150"/>
        <v>10</v>
      </c>
      <c r="Z161" s="624">
        <f t="shared" si="157"/>
        <v>0</v>
      </c>
      <c r="AA161" s="625">
        <f t="shared" si="151"/>
        <v>749.81072137611227</v>
      </c>
      <c r="AB161" s="626">
        <f t="shared" si="152"/>
        <v>1006.7208926434114</v>
      </c>
      <c r="AC161" s="625">
        <f t="shared" si="153"/>
        <v>-1287.9574722035727</v>
      </c>
      <c r="AD161" s="626">
        <f t="shared" si="154"/>
        <v>-823.42692844746125</v>
      </c>
      <c r="AE161" s="625">
        <f t="shared" si="155"/>
        <v>-424.29850329774308</v>
      </c>
      <c r="AF161" s="627">
        <f t="shared" si="156"/>
        <v>94.702755309086569</v>
      </c>
      <c r="AG161" s="452"/>
      <c r="AH161" s="452"/>
      <c r="AI161" s="452"/>
      <c r="AJ161" s="452"/>
      <c r="AK161" s="452"/>
      <c r="AL161" s="452"/>
      <c r="AM161" s="452"/>
      <c r="AN161" s="452"/>
      <c r="AO161" s="452"/>
      <c r="AP161" s="452"/>
      <c r="AQ161" s="452"/>
      <c r="AR161" s="452"/>
      <c r="AS161" s="452"/>
      <c r="AT161" s="452"/>
      <c r="AU161" s="452"/>
      <c r="AV161" s="452"/>
      <c r="AW161" s="452"/>
      <c r="AX161" s="452"/>
      <c r="AY161" s="452"/>
      <c r="AZ161" s="452"/>
      <c r="BA161" s="452"/>
      <c r="BB161" s="452"/>
      <c r="BC161" s="452"/>
      <c r="BD161" s="452"/>
      <c r="BE161" s="452"/>
      <c r="BF161" s="452"/>
      <c r="BG161" s="452"/>
      <c r="BH161" s="452"/>
      <c r="BI161" s="452"/>
      <c r="BJ161" s="452"/>
      <c r="BK161" s="452"/>
      <c r="BL161" s="452"/>
      <c r="BM161" s="452"/>
      <c r="BN161" s="452"/>
      <c r="BO161" s="452"/>
      <c r="BP161" s="452"/>
      <c r="BQ161" s="452"/>
      <c r="BR161" s="452"/>
      <c r="BS161" s="452"/>
      <c r="BT161" s="452"/>
      <c r="BU161" s="452"/>
      <c r="BV161" s="452"/>
      <c r="BW161" s="452"/>
      <c r="BX161" s="452"/>
    </row>
    <row r="162" spans="1:77">
      <c r="A162" s="1157"/>
      <c r="B162" s="640">
        <f t="shared" si="139"/>
        <v>44724.409448818951</v>
      </c>
      <c r="C162" s="742">
        <f t="shared" si="140"/>
        <v>11</v>
      </c>
      <c r="D162" s="624">
        <f>$B162*'TCO Calculation'!E$110*'TCO Calculation'!E$112*(1+$A$2)^($C105-1)</f>
        <v>7639.0659968495211</v>
      </c>
      <c r="E162" s="625">
        <f>$B162*'TCO Calculation'!F$110*'TCO Calculation'!F$112*(1+$A$2)^($C105-1)</f>
        <v>8735.8977854120785</v>
      </c>
      <c r="F162" s="626">
        <f>$B162*'TCO Calculation'!G$110*'TCO Calculation'!G$112*(1+$A$2)^($C105-1)</f>
        <v>9111.7089529742916</v>
      </c>
      <c r="G162" s="626">
        <f>$B162*'TCO Calculation'!H$110*'TCO Calculation'!H$112*(1+$A$2)^($C105-1)</f>
        <v>5755.0269219788624</v>
      </c>
      <c r="H162" s="626">
        <f>$B162*'TCO Calculation'!I$110*'TCO Calculation'!I$112*(1+$A$2)^($C105-1)</f>
        <v>6434.5475698229684</v>
      </c>
      <c r="I162" s="626">
        <f>$B162*'TCO Calculation'!J$110*'TCO Calculation'!J$112*(1+$A$2)^($C105-1)</f>
        <v>7018.3972427373246</v>
      </c>
      <c r="J162" s="627">
        <f>$B162*'TCO Calculation'!K$110*'TCO Calculation'!K$112*(1+$A$2)^($C105-1)</f>
        <v>7777.5982817664826</v>
      </c>
      <c r="K162" s="452"/>
      <c r="L162" s="1157"/>
      <c r="M162" s="640">
        <f t="shared" si="141"/>
        <v>44724.409448818951</v>
      </c>
      <c r="N162" s="742">
        <f t="shared" si="141"/>
        <v>11</v>
      </c>
      <c r="O162" s="625">
        <f t="shared" si="142"/>
        <v>4544.9858546420373</v>
      </c>
      <c r="P162" s="625">
        <f t="shared" si="143"/>
        <v>5197.5636653317833</v>
      </c>
      <c r="Q162" s="625">
        <f t="shared" si="144"/>
        <v>5421.1585971325039</v>
      </c>
      <c r="R162" s="625">
        <f t="shared" si="145"/>
        <v>3424.046338160374</v>
      </c>
      <c r="S162" s="625">
        <f t="shared" si="146"/>
        <v>3828.3381368779619</v>
      </c>
      <c r="T162" s="625">
        <f t="shared" si="147"/>
        <v>4175.7089418595542</v>
      </c>
      <c r="U162" s="627">
        <f t="shared" si="148"/>
        <v>4627.4078779127485</v>
      </c>
      <c r="V162" s="452"/>
      <c r="W162" s="1153"/>
      <c r="X162" s="640">
        <f t="shared" si="149"/>
        <v>44724.409448818951</v>
      </c>
      <c r="Y162" s="645">
        <f t="shared" si="150"/>
        <v>11</v>
      </c>
      <c r="Z162" s="624">
        <f t="shared" si="157"/>
        <v>0</v>
      </c>
      <c r="AA162" s="625">
        <f t="shared" si="151"/>
        <v>652.577810689746</v>
      </c>
      <c r="AB162" s="626">
        <f t="shared" si="152"/>
        <v>876.17274249046659</v>
      </c>
      <c r="AC162" s="625">
        <f t="shared" si="153"/>
        <v>-1120.9395164816633</v>
      </c>
      <c r="AD162" s="626">
        <f t="shared" si="154"/>
        <v>-716.64771776407542</v>
      </c>
      <c r="AE162" s="625">
        <f t="shared" si="155"/>
        <v>-369.27691278248312</v>
      </c>
      <c r="AF162" s="627">
        <f t="shared" si="156"/>
        <v>82.422023270711179</v>
      </c>
      <c r="AG162" s="452"/>
      <c r="AH162" s="452"/>
      <c r="AI162" s="452"/>
      <c r="AJ162" s="452"/>
      <c r="AK162" s="452"/>
      <c r="AL162" s="452"/>
      <c r="AM162" s="452"/>
      <c r="AN162" s="452"/>
      <c r="AO162" s="452"/>
      <c r="AP162" s="452"/>
      <c r="AQ162" s="452"/>
      <c r="AR162" s="452"/>
      <c r="AS162" s="452"/>
      <c r="AT162" s="452"/>
      <c r="AU162" s="452"/>
      <c r="AV162" s="452"/>
      <c r="AW162" s="452"/>
      <c r="AX162" s="452"/>
      <c r="AY162" s="452"/>
      <c r="AZ162" s="452"/>
      <c r="BA162" s="452"/>
      <c r="BB162" s="452"/>
      <c r="BC162" s="452"/>
      <c r="BD162" s="452"/>
      <c r="BE162" s="452"/>
      <c r="BF162" s="452"/>
      <c r="BG162" s="452"/>
      <c r="BH162" s="452"/>
      <c r="BI162" s="452"/>
      <c r="BJ162" s="452"/>
      <c r="BK162" s="452"/>
      <c r="BL162" s="452"/>
      <c r="BM162" s="452"/>
      <c r="BN162" s="452"/>
      <c r="BO162" s="452"/>
      <c r="BP162" s="452"/>
      <c r="BQ162" s="452"/>
      <c r="BR162" s="452"/>
      <c r="BS162" s="452"/>
      <c r="BT162" s="452"/>
      <c r="BU162" s="452"/>
      <c r="BV162" s="452"/>
      <c r="BW162" s="452"/>
      <c r="BX162" s="452"/>
    </row>
    <row r="163" spans="1:77">
      <c r="A163" s="1157"/>
      <c r="B163" s="640">
        <f t="shared" si="139"/>
        <v>39685.039370078855</v>
      </c>
      <c r="C163" s="742">
        <f t="shared" si="140"/>
        <v>12</v>
      </c>
      <c r="D163" s="624">
        <f>$B163*'TCO Calculation'!E$110*'TCO Calculation'!E$112*(1+$A$2)^($C106-1)</f>
        <v>6913.8926895429722</v>
      </c>
      <c r="E163" s="625">
        <f>$B163*'TCO Calculation'!F$110*'TCO Calculation'!F$112*(1+$A$2)^($C106-1)</f>
        <v>7906.6026998673378</v>
      </c>
      <c r="F163" s="626">
        <f>$B163*'TCO Calculation'!G$110*'TCO Calculation'!G$112*(1+$A$2)^($C106-1)</f>
        <v>8246.7382720863225</v>
      </c>
      <c r="G163" s="626">
        <f>$B163*'TCO Calculation'!H$110*'TCO Calculation'!H$112*(1+$A$2)^($C106-1)</f>
        <v>5208.7046479769342</v>
      </c>
      <c r="H163" s="626">
        <f>$B163*'TCO Calculation'!I$110*'TCO Calculation'!I$112*(1+$A$2)^($C106-1)</f>
        <v>5823.7186878426</v>
      </c>
      <c r="I163" s="626">
        <f>$B163*'TCO Calculation'!J$110*'TCO Calculation'!J$112*(1+$A$2)^($C106-1)</f>
        <v>6352.143758004242</v>
      </c>
      <c r="J163" s="627">
        <f>$B163*'TCO Calculation'!K$110*'TCO Calculation'!K$112*(1+$A$2)^($C106-1)</f>
        <v>7039.2741631875333</v>
      </c>
      <c r="K163" s="452"/>
      <c r="L163" s="1157"/>
      <c r="M163" s="640">
        <f t="shared" si="141"/>
        <v>39685.039370078855</v>
      </c>
      <c r="N163" s="742">
        <f t="shared" si="141"/>
        <v>12</v>
      </c>
      <c r="O163" s="625">
        <f t="shared" si="142"/>
        <v>3905.3875351228348</v>
      </c>
      <c r="P163" s="625">
        <f t="shared" si="143"/>
        <v>4466.130588913089</v>
      </c>
      <c r="Q163" s="625">
        <f t="shared" si="144"/>
        <v>4658.259868848977</v>
      </c>
      <c r="R163" s="625">
        <f t="shared" si="145"/>
        <v>2942.1935109163746</v>
      </c>
      <c r="S163" s="625">
        <f t="shared" si="146"/>
        <v>3289.5908850251244</v>
      </c>
      <c r="T163" s="625">
        <f t="shared" si="147"/>
        <v>3588.077537179412</v>
      </c>
      <c r="U163" s="627">
        <f t="shared" si="148"/>
        <v>3976.2106251380155</v>
      </c>
      <c r="V163" s="452"/>
      <c r="W163" s="1153"/>
      <c r="X163" s="640">
        <f t="shared" si="149"/>
        <v>39685.039370078855</v>
      </c>
      <c r="Y163" s="645">
        <f t="shared" si="150"/>
        <v>12</v>
      </c>
      <c r="Z163" s="624">
        <f t="shared" si="157"/>
        <v>0</v>
      </c>
      <c r="AA163" s="625">
        <f t="shared" si="151"/>
        <v>560.74305379025418</v>
      </c>
      <c r="AB163" s="626">
        <f t="shared" si="152"/>
        <v>752.87233372614219</v>
      </c>
      <c r="AC163" s="625">
        <f t="shared" si="153"/>
        <v>-963.1940242064602</v>
      </c>
      <c r="AD163" s="626">
        <f t="shared" si="154"/>
        <v>-615.79665009771043</v>
      </c>
      <c r="AE163" s="625">
        <f t="shared" si="155"/>
        <v>-317.30999794342279</v>
      </c>
      <c r="AF163" s="627">
        <f t="shared" si="156"/>
        <v>70.823090015180696</v>
      </c>
      <c r="AG163" s="452"/>
      <c r="AH163" s="452"/>
      <c r="AI163" s="452"/>
      <c r="AJ163" s="452"/>
      <c r="AK163" s="452"/>
      <c r="AL163" s="452"/>
      <c r="AM163" s="452"/>
      <c r="AN163" s="452"/>
      <c r="AO163" s="452"/>
      <c r="AP163" s="452"/>
      <c r="AQ163" s="452"/>
      <c r="AR163" s="452"/>
      <c r="AS163" s="452"/>
      <c r="AT163" s="452"/>
      <c r="AU163" s="452"/>
      <c r="AV163" s="452"/>
      <c r="AW163" s="452"/>
      <c r="AX163" s="452"/>
      <c r="AY163" s="452"/>
      <c r="AZ163" s="452"/>
      <c r="BA163" s="452"/>
      <c r="BB163" s="452"/>
      <c r="BC163" s="452"/>
      <c r="BD163" s="452"/>
      <c r="BE163" s="452"/>
      <c r="BF163" s="452"/>
      <c r="BG163" s="452"/>
      <c r="BH163" s="452"/>
      <c r="BI163" s="452"/>
      <c r="BJ163" s="452"/>
      <c r="BK163" s="452"/>
      <c r="BL163" s="452"/>
      <c r="BM163" s="452"/>
      <c r="BN163" s="452"/>
      <c r="BO163" s="452"/>
      <c r="BP163" s="452"/>
      <c r="BQ163" s="452"/>
      <c r="BR163" s="452"/>
      <c r="BS163" s="452"/>
      <c r="BT163" s="452"/>
      <c r="BU163" s="452"/>
      <c r="BV163" s="452"/>
      <c r="BW163" s="452"/>
      <c r="BX163" s="452"/>
    </row>
    <row r="164" spans="1:77">
      <c r="A164" s="1157"/>
      <c r="B164" s="640">
        <f t="shared" si="139"/>
        <v>34960.629921259933</v>
      </c>
      <c r="C164" s="742">
        <f t="shared" si="140"/>
        <v>13</v>
      </c>
      <c r="D164" s="624">
        <f>$B164*'TCO Calculation'!E$110*'TCO Calculation'!E$112*(1+$A$2)^($C107-1)</f>
        <v>6212.626431032184</v>
      </c>
      <c r="E164" s="625">
        <f>$B164*'TCO Calculation'!F$110*'TCO Calculation'!F$112*(1+$A$2)^($C107-1)</f>
        <v>7104.647283166506</v>
      </c>
      <c r="F164" s="626">
        <f>$B164*'TCO Calculation'!G$110*'TCO Calculation'!G$112*(1+$A$2)^($C107-1)</f>
        <v>7410.2833902032808</v>
      </c>
      <c r="G164" s="626">
        <f>$B164*'TCO Calculation'!H$110*'TCO Calculation'!H$112*(1+$A$2)^($C107-1)</f>
        <v>4680.3931765392726</v>
      </c>
      <c r="H164" s="626">
        <f>$B164*'TCO Calculation'!I$110*'TCO Calculation'!I$112*(1+$A$2)^($C107-1)</f>
        <v>5233.0272209328496</v>
      </c>
      <c r="I164" s="626">
        <f>$B164*'TCO Calculation'!J$110*'TCO Calculation'!J$112*(1+$A$2)^($C107-1)</f>
        <v>5707.8548911209537</v>
      </c>
      <c r="J164" s="627">
        <f>$B164*'TCO Calculation'!K$110*'TCO Calculation'!K$112*(1+$A$2)^($C107-1)</f>
        <v>6325.2906409213683</v>
      </c>
      <c r="K164" s="452"/>
      <c r="L164" s="1157"/>
      <c r="M164" s="640">
        <f t="shared" si="141"/>
        <v>34960.629921259933</v>
      </c>
      <c r="N164" s="742">
        <f t="shared" si="141"/>
        <v>13</v>
      </c>
      <c r="O164" s="625">
        <f t="shared" si="142"/>
        <v>3331.7006119384205</v>
      </c>
      <c r="P164" s="625">
        <f t="shared" si="143"/>
        <v>3810.0725938867995</v>
      </c>
      <c r="Q164" s="625">
        <f t="shared" si="144"/>
        <v>3973.9787962231467</v>
      </c>
      <c r="R164" s="625">
        <f t="shared" si="145"/>
        <v>2509.9962123100845</v>
      </c>
      <c r="S164" s="625">
        <f t="shared" si="146"/>
        <v>2806.3622024953629</v>
      </c>
      <c r="T164" s="625">
        <f t="shared" si="147"/>
        <v>3061.0022741128937</v>
      </c>
      <c r="U164" s="627">
        <f t="shared" si="148"/>
        <v>3392.1200530875626</v>
      </c>
      <c r="V164" s="452"/>
      <c r="W164" s="1153"/>
      <c r="X164" s="640">
        <f t="shared" si="149"/>
        <v>34960.629921259933</v>
      </c>
      <c r="Y164" s="645">
        <f t="shared" si="150"/>
        <v>13</v>
      </c>
      <c r="Z164" s="624">
        <f t="shared" si="157"/>
        <v>0</v>
      </c>
      <c r="AA164" s="625">
        <f t="shared" si="151"/>
        <v>478.37198194837902</v>
      </c>
      <c r="AB164" s="626">
        <f t="shared" si="152"/>
        <v>642.27818428472619</v>
      </c>
      <c r="AC164" s="625">
        <f t="shared" si="153"/>
        <v>-821.70439962833598</v>
      </c>
      <c r="AD164" s="626">
        <f t="shared" si="154"/>
        <v>-525.33840944305757</v>
      </c>
      <c r="AE164" s="625">
        <f t="shared" si="155"/>
        <v>-270.69833782552678</v>
      </c>
      <c r="AF164" s="627">
        <f t="shared" si="156"/>
        <v>60.419441149142131</v>
      </c>
      <c r="AG164" s="452"/>
      <c r="AH164" s="452"/>
      <c r="AI164" s="452"/>
      <c r="AJ164" s="452"/>
      <c r="AK164" s="452"/>
      <c r="AL164" s="452"/>
      <c r="AM164" s="452"/>
      <c r="AN164" s="452"/>
      <c r="AO164" s="452"/>
      <c r="AP164" s="452"/>
      <c r="AQ164" s="452"/>
      <c r="AR164" s="452"/>
      <c r="AS164" s="452"/>
      <c r="AT164" s="452"/>
      <c r="AU164" s="452"/>
      <c r="AV164" s="452"/>
      <c r="AW164" s="452"/>
      <c r="AX164" s="452"/>
      <c r="AY164" s="452"/>
      <c r="AZ164" s="452"/>
      <c r="BA164" s="452"/>
      <c r="BB164" s="452"/>
      <c r="BC164" s="452"/>
      <c r="BD164" s="452"/>
      <c r="BE164" s="452"/>
      <c r="BF164" s="452"/>
      <c r="BG164" s="452"/>
      <c r="BH164" s="452"/>
      <c r="BI164" s="452"/>
      <c r="BJ164" s="452"/>
      <c r="BK164" s="452"/>
      <c r="BL164" s="452"/>
      <c r="BM164" s="452"/>
      <c r="BN164" s="452"/>
      <c r="BO164" s="452"/>
      <c r="BP164" s="452"/>
      <c r="BQ164" s="452"/>
      <c r="BR164" s="452"/>
      <c r="BS164" s="452"/>
      <c r="BT164" s="452"/>
      <c r="BU164" s="452"/>
      <c r="BV164" s="452"/>
      <c r="BW164" s="452"/>
      <c r="BX164" s="452"/>
    </row>
    <row r="165" spans="1:77">
      <c r="A165" s="1157"/>
      <c r="B165" s="640">
        <f t="shared" si="139"/>
        <v>31496.062992126026</v>
      </c>
      <c r="C165" s="742">
        <f t="shared" si="140"/>
        <v>14</v>
      </c>
      <c r="D165" s="624">
        <f>$B165*'TCO Calculation'!E$110*'TCO Calculation'!E$112*(1+$A$2)^($C108-1)</f>
        <v>5708.899963651188</v>
      </c>
      <c r="E165" s="625">
        <f>$B165*'TCO Calculation'!F$110*'TCO Calculation'!F$112*(1+$A$2)^($C108-1)</f>
        <v>6528.5948007475918</v>
      </c>
      <c r="F165" s="626">
        <f>$B165*'TCO Calculation'!G$110*'TCO Calculation'!G$112*(1+$A$2)^($C108-1)</f>
        <v>6809.449601808411</v>
      </c>
      <c r="G165" s="626">
        <f>$B165*'TCO Calculation'!H$110*'TCO Calculation'!H$112*(1+$A$2)^($C108-1)</f>
        <v>4300.9018379009476</v>
      </c>
      <c r="H165" s="626">
        <f>$B165*'TCO Calculation'!I$110*'TCO Calculation'!I$112*(1+$A$2)^($C108-1)</f>
        <v>4808.7277165328824</v>
      </c>
      <c r="I165" s="626">
        <f>$B165*'TCO Calculation'!J$110*'TCO Calculation'!J$112*(1+$A$2)^($C108-1)</f>
        <v>5245.0558458949245</v>
      </c>
      <c r="J165" s="627">
        <f>$B165*'TCO Calculation'!K$110*'TCO Calculation'!K$112*(1+$A$2)^($C108-1)</f>
        <v>5812.4292376034127</v>
      </c>
      <c r="K165" s="452"/>
      <c r="L165" s="1157"/>
      <c r="M165" s="640">
        <f t="shared" si="141"/>
        <v>31496.062992126026</v>
      </c>
      <c r="N165" s="742">
        <f t="shared" si="141"/>
        <v>14</v>
      </c>
      <c r="O165" s="625">
        <f t="shared" si="142"/>
        <v>2906.6476506250619</v>
      </c>
      <c r="P165" s="625">
        <f t="shared" si="143"/>
        <v>3323.9897108548162</v>
      </c>
      <c r="Q165" s="625">
        <f t="shared" si="144"/>
        <v>3466.9850256909335</v>
      </c>
      <c r="R165" s="625">
        <f t="shared" si="145"/>
        <v>2189.7749658076896</v>
      </c>
      <c r="S165" s="625">
        <f t="shared" si="146"/>
        <v>2448.3310635586272</v>
      </c>
      <c r="T165" s="625">
        <f t="shared" si="147"/>
        <v>2670.48456776904</v>
      </c>
      <c r="U165" s="627">
        <f t="shared" si="148"/>
        <v>2959.3588774498694</v>
      </c>
      <c r="V165" s="452"/>
      <c r="W165" s="1153"/>
      <c r="X165" s="640">
        <f t="shared" si="149"/>
        <v>31496.062992126026</v>
      </c>
      <c r="Y165" s="645">
        <f t="shared" si="150"/>
        <v>14</v>
      </c>
      <c r="Z165" s="624">
        <f t="shared" si="157"/>
        <v>0</v>
      </c>
      <c r="AA165" s="625">
        <f t="shared" si="151"/>
        <v>417.34206022975422</v>
      </c>
      <c r="AB165" s="626">
        <f t="shared" si="152"/>
        <v>560.33737506587158</v>
      </c>
      <c r="AC165" s="625">
        <f t="shared" si="153"/>
        <v>-716.87268481737237</v>
      </c>
      <c r="AD165" s="626">
        <f t="shared" si="154"/>
        <v>-458.31658706643475</v>
      </c>
      <c r="AE165" s="625">
        <f t="shared" si="155"/>
        <v>-236.1630828560219</v>
      </c>
      <c r="AF165" s="627">
        <f t="shared" si="156"/>
        <v>52.711226824807454</v>
      </c>
      <c r="AG165" s="452"/>
      <c r="AH165" s="452"/>
      <c r="AI165" s="452"/>
      <c r="AJ165" s="452"/>
      <c r="AK165" s="452"/>
      <c r="AL165" s="452"/>
      <c r="AM165" s="452"/>
      <c r="AN165" s="452"/>
      <c r="AO165" s="452"/>
      <c r="AP165" s="452"/>
      <c r="AQ165" s="452"/>
      <c r="AR165" s="452"/>
      <c r="AS165" s="452"/>
      <c r="AT165" s="452"/>
      <c r="AU165" s="452"/>
      <c r="AV165" s="452"/>
      <c r="AW165" s="452"/>
      <c r="AX165" s="452"/>
      <c r="AY165" s="452"/>
      <c r="AZ165" s="452"/>
      <c r="BA165" s="452"/>
      <c r="BB165" s="452"/>
      <c r="BC165" s="452"/>
      <c r="BD165" s="452"/>
      <c r="BE165" s="452"/>
      <c r="BF165" s="452"/>
      <c r="BG165" s="452"/>
      <c r="BH165" s="452"/>
      <c r="BI165" s="452"/>
      <c r="BJ165" s="452"/>
      <c r="BK165" s="452"/>
      <c r="BL165" s="452"/>
      <c r="BM165" s="452"/>
      <c r="BN165" s="452"/>
      <c r="BO165" s="452"/>
      <c r="BP165" s="452"/>
      <c r="BQ165" s="452"/>
      <c r="BR165" s="452"/>
      <c r="BS165" s="452"/>
      <c r="BT165" s="452"/>
      <c r="BU165" s="452"/>
      <c r="BV165" s="452"/>
      <c r="BW165" s="452"/>
      <c r="BX165" s="452"/>
    </row>
    <row r="166" spans="1:77" ht="15" thickBot="1">
      <c r="A166" s="1158"/>
      <c r="B166" s="672">
        <f t="shared" si="139"/>
        <v>27716.53543307096</v>
      </c>
      <c r="C166" s="743">
        <f t="shared" si="140"/>
        <v>15</v>
      </c>
      <c r="D166" s="632">
        <f>$B166*'TCO Calculation'!E$110*'TCO Calculation'!E$112*(1+$A$2)^($C109-1)</f>
        <v>5124.3086073733175</v>
      </c>
      <c r="E166" s="633">
        <f>$B166*'TCO Calculation'!F$110*'TCO Calculation'!F$112*(1+$A$2)^($C109-1)</f>
        <v>5860.0666931510514</v>
      </c>
      <c r="F166" s="634">
        <f>$B166*'TCO Calculation'!G$110*'TCO Calculation'!G$112*(1+$A$2)^($C109-1)</f>
        <v>6112.1619625832427</v>
      </c>
      <c r="G166" s="634">
        <f>$B166*'TCO Calculation'!H$110*'TCO Calculation'!H$112*(1+$A$2)^($C109-1)</f>
        <v>3860.4894896998985</v>
      </c>
      <c r="H166" s="634">
        <f>$B166*'TCO Calculation'!I$110*'TCO Calculation'!I$112*(1+$A$2)^($C109-1)</f>
        <v>4316.3139983599249</v>
      </c>
      <c r="I166" s="634">
        <f>$B166*'TCO Calculation'!J$110*'TCO Calculation'!J$112*(1+$A$2)^($C109-1)</f>
        <v>4707.9621272752947</v>
      </c>
      <c r="J166" s="635">
        <f>$B166*'TCO Calculation'!K$110*'TCO Calculation'!K$112*(1+$A$2)^($C109-1)</f>
        <v>5217.2364836728339</v>
      </c>
      <c r="K166" s="452"/>
      <c r="L166" s="1158"/>
      <c r="M166" s="672">
        <f t="shared" si="141"/>
        <v>27716.53543307096</v>
      </c>
      <c r="N166" s="743">
        <f t="shared" si="141"/>
        <v>15</v>
      </c>
      <c r="O166" s="633">
        <f t="shared" si="142"/>
        <v>2476.9911804822877</v>
      </c>
      <c r="P166" s="633">
        <f t="shared" si="143"/>
        <v>2832.6423383414472</v>
      </c>
      <c r="Q166" s="633">
        <f t="shared" si="144"/>
        <v>2954.5002916517428</v>
      </c>
      <c r="R166" s="633">
        <f t="shared" si="145"/>
        <v>1866.0855836379517</v>
      </c>
      <c r="S166" s="633">
        <f t="shared" si="146"/>
        <v>2086.4222913401272</v>
      </c>
      <c r="T166" s="633">
        <f t="shared" si="147"/>
        <v>2275.737384459203</v>
      </c>
      <c r="U166" s="635">
        <f t="shared" si="148"/>
        <v>2521.9107096620182</v>
      </c>
      <c r="V166" s="452"/>
      <c r="W166" s="1153"/>
      <c r="X166" s="640">
        <f t="shared" si="149"/>
        <v>27716.53543307096</v>
      </c>
      <c r="Y166" s="646">
        <f t="shared" si="150"/>
        <v>15</v>
      </c>
      <c r="Z166" s="624">
        <f t="shared" si="157"/>
        <v>0</v>
      </c>
      <c r="AA166" s="625">
        <f t="shared" si="151"/>
        <v>355.65115785915941</v>
      </c>
      <c r="AB166" s="626">
        <f t="shared" si="152"/>
        <v>477.50911116945508</v>
      </c>
      <c r="AC166" s="625">
        <f t="shared" si="153"/>
        <v>-610.90559684433606</v>
      </c>
      <c r="AD166" s="626">
        <f t="shared" si="154"/>
        <v>-390.56888914216051</v>
      </c>
      <c r="AE166" s="625">
        <f t="shared" si="155"/>
        <v>-201.25379602308476</v>
      </c>
      <c r="AF166" s="627">
        <f t="shared" si="156"/>
        <v>44.919529179730489</v>
      </c>
      <c r="AG166" s="452"/>
      <c r="AH166" s="452"/>
      <c r="AI166" s="452"/>
      <c r="AJ166" s="452"/>
      <c r="AK166" s="452"/>
      <c r="AL166" s="452"/>
      <c r="AM166" s="452"/>
      <c r="AN166" s="452"/>
      <c r="AO166" s="452"/>
      <c r="AP166" s="452"/>
      <c r="AQ166" s="452"/>
      <c r="AR166" s="452"/>
      <c r="AS166" s="452"/>
      <c r="AT166" s="452"/>
      <c r="AU166" s="452"/>
      <c r="AV166" s="452"/>
      <c r="AW166" s="452"/>
      <c r="AX166" s="452"/>
      <c r="AY166" s="452"/>
      <c r="AZ166" s="452"/>
      <c r="BA166" s="452"/>
      <c r="BB166" s="452"/>
      <c r="BC166" s="452"/>
      <c r="BD166" s="452"/>
      <c r="BE166" s="452"/>
      <c r="BF166" s="452"/>
      <c r="BG166" s="452"/>
      <c r="BH166" s="452"/>
      <c r="BI166" s="452"/>
      <c r="BJ166" s="452"/>
      <c r="BK166" s="452"/>
      <c r="BL166" s="452"/>
      <c r="BM166" s="452"/>
      <c r="BN166" s="452"/>
      <c r="BO166" s="452"/>
      <c r="BP166" s="452"/>
      <c r="BQ166" s="452"/>
      <c r="BR166" s="452"/>
      <c r="BS166" s="452"/>
      <c r="BT166" s="452"/>
      <c r="BU166" s="452"/>
      <c r="BV166" s="452"/>
      <c r="BW166" s="452"/>
      <c r="BX166" s="452"/>
    </row>
    <row r="167" spans="1:77" ht="14.5" customHeight="1" thickBot="1">
      <c r="A167" s="452"/>
      <c r="B167" s="452"/>
      <c r="C167" s="452"/>
      <c r="D167" s="636">
        <f>SUM(D151:D166)</f>
        <v>155828.08775788924</v>
      </c>
      <c r="E167" s="637">
        <f t="shared" ref="E167:J167" si="158">SUM(E151:E166)</f>
        <v>178202.18431292067</v>
      </c>
      <c r="F167" s="638">
        <f t="shared" ref="F167" si="159">SUM(F151:F166)</f>
        <v>185868.29632496924</v>
      </c>
      <c r="G167" s="638">
        <f t="shared" si="158"/>
        <v>117395.87544039948</v>
      </c>
      <c r="H167" s="638">
        <f t="shared" si="158"/>
        <v>131257.30865608572</v>
      </c>
      <c r="I167" s="638">
        <f t="shared" si="158"/>
        <v>143167.16492723653</v>
      </c>
      <c r="J167" s="639">
        <f t="shared" si="158"/>
        <v>158653.98572241058</v>
      </c>
      <c r="K167" s="452"/>
      <c r="L167" s="452"/>
      <c r="M167" s="452"/>
      <c r="N167" s="452"/>
      <c r="O167" s="636">
        <f>SUM(O151:O166)</f>
        <v>119488.98942017501</v>
      </c>
      <c r="P167" s="637">
        <f t="shared" ref="P167:U167" si="160">SUM(P151:P166)</f>
        <v>136645.4483424194</v>
      </c>
      <c r="Q167" s="638">
        <f t="shared" si="160"/>
        <v>142523.82361020017</v>
      </c>
      <c r="R167" s="638">
        <f t="shared" si="160"/>
        <v>90019.166122763971</v>
      </c>
      <c r="S167" s="638">
        <f t="shared" si="160"/>
        <v>100648.11415574618</v>
      </c>
      <c r="T167" s="638">
        <f t="shared" si="160"/>
        <v>109780.59284078539</v>
      </c>
      <c r="U167" s="639">
        <f t="shared" si="160"/>
        <v>121655.88819204345</v>
      </c>
      <c r="V167" s="452"/>
      <c r="W167" s="1154"/>
      <c r="X167" s="1150" t="s">
        <v>110</v>
      </c>
      <c r="Y167" s="1151"/>
      <c r="Z167" s="636">
        <f t="shared" si="157"/>
        <v>0</v>
      </c>
      <c r="AA167" s="637">
        <f t="shared" si="151"/>
        <v>17156.45892224439</v>
      </c>
      <c r="AB167" s="638">
        <f t="shared" si="152"/>
        <v>23034.834190025154</v>
      </c>
      <c r="AC167" s="637">
        <f t="shared" si="153"/>
        <v>-29469.823297411043</v>
      </c>
      <c r="AD167" s="638">
        <f t="shared" si="154"/>
        <v>-18840.875264428832</v>
      </c>
      <c r="AE167" s="637">
        <f t="shared" si="155"/>
        <v>-9708.3965793896205</v>
      </c>
      <c r="AF167" s="639">
        <f t="shared" si="156"/>
        <v>2166.8987718684366</v>
      </c>
      <c r="AG167" s="452"/>
      <c r="AH167" s="452"/>
      <c r="AI167" s="452"/>
      <c r="AJ167" s="452"/>
      <c r="AK167" s="452"/>
      <c r="AL167" s="452"/>
      <c r="AM167" s="452"/>
      <c r="AN167" s="452"/>
      <c r="AO167" s="452"/>
      <c r="AP167" s="452"/>
      <c r="AQ167" s="452"/>
      <c r="AR167" s="452"/>
      <c r="AS167" s="452"/>
      <c r="AT167" s="452"/>
      <c r="AU167" s="452"/>
      <c r="AV167" s="452"/>
      <c r="AW167" s="452"/>
      <c r="AX167" s="452"/>
      <c r="AY167" s="452"/>
      <c r="AZ167" s="452"/>
      <c r="BA167" s="452"/>
      <c r="BB167" s="452"/>
      <c r="BC167" s="452"/>
      <c r="BD167" s="452"/>
      <c r="BE167" s="452"/>
      <c r="BF167" s="452"/>
      <c r="BG167" s="452"/>
      <c r="BH167" s="452"/>
      <c r="BI167" s="452"/>
      <c r="BJ167" s="452"/>
      <c r="BK167" s="452"/>
      <c r="BL167" s="452"/>
      <c r="BM167" s="452"/>
      <c r="BN167" s="452"/>
      <c r="BO167" s="452"/>
      <c r="BP167" s="452"/>
      <c r="BQ167" s="452"/>
      <c r="BR167" s="452"/>
      <c r="BS167" s="452"/>
      <c r="BT167" s="452"/>
      <c r="BU167" s="452"/>
      <c r="BV167" s="452"/>
      <c r="BW167" s="452"/>
      <c r="BX167" s="452"/>
      <c r="BY167" s="452"/>
    </row>
    <row r="168" spans="1:77" ht="15" thickBot="1">
      <c r="A168" s="452"/>
      <c r="B168" s="452"/>
      <c r="C168" s="452"/>
      <c r="D168" s="452"/>
      <c r="E168" s="452"/>
      <c r="F168" s="452"/>
      <c r="G168" s="452"/>
      <c r="H168" s="452"/>
      <c r="I168" s="452"/>
      <c r="J168" s="452"/>
      <c r="K168" s="452"/>
      <c r="L168" s="452"/>
      <c r="M168" s="452"/>
      <c r="N168" s="452"/>
      <c r="O168" s="452"/>
      <c r="P168" s="452"/>
      <c r="Q168" s="452"/>
      <c r="R168" s="452"/>
      <c r="S168" s="452"/>
      <c r="T168" s="452"/>
      <c r="U168" s="452"/>
      <c r="V168" s="452"/>
      <c r="W168" s="452"/>
      <c r="X168" s="452"/>
      <c r="Y168" s="452"/>
      <c r="Z168" s="452"/>
      <c r="AA168" s="452"/>
      <c r="AB168" s="452"/>
      <c r="AC168" s="452"/>
      <c r="AD168" s="452"/>
      <c r="AE168" s="452"/>
      <c r="AF168" s="452"/>
      <c r="AG168" s="452"/>
      <c r="AH168" s="452"/>
      <c r="AI168" s="452"/>
      <c r="AJ168" s="452"/>
      <c r="AK168" s="452"/>
      <c r="AL168" s="452"/>
      <c r="AM168" s="452"/>
      <c r="AN168" s="452"/>
      <c r="AO168" s="452"/>
      <c r="AP168" s="452"/>
      <c r="AQ168" s="452"/>
      <c r="AR168" s="452"/>
      <c r="AS168" s="452"/>
      <c r="AT168" s="452"/>
      <c r="AU168" s="452"/>
      <c r="AV168" s="452"/>
      <c r="AW168" s="452"/>
      <c r="AX168" s="452"/>
      <c r="AY168" s="452"/>
      <c r="AZ168" s="452"/>
      <c r="BA168" s="452"/>
      <c r="BB168" s="452"/>
      <c r="BC168" s="452"/>
      <c r="BD168" s="452"/>
      <c r="BE168" s="452"/>
      <c r="BF168" s="452"/>
      <c r="BG168" s="452"/>
      <c r="BH168" s="452"/>
      <c r="BI168" s="452"/>
      <c r="BJ168" s="452"/>
      <c r="BK168" s="452"/>
      <c r="BL168" s="452"/>
      <c r="BM168" s="452"/>
      <c r="BN168" s="452"/>
      <c r="BO168" s="452"/>
      <c r="BP168" s="452"/>
      <c r="BQ168" s="452"/>
      <c r="BR168" s="452"/>
      <c r="BS168" s="452"/>
      <c r="BT168" s="452"/>
      <c r="BU168" s="452"/>
      <c r="BV168" s="452"/>
      <c r="BW168" s="452"/>
      <c r="BX168" s="452"/>
      <c r="BY168" s="452"/>
    </row>
    <row r="169" spans="1:77" ht="42.5" thickBot="1">
      <c r="A169" s="1156" t="s">
        <v>486</v>
      </c>
      <c r="B169" s="643" t="s">
        <v>487</v>
      </c>
      <c r="C169" s="644" t="s">
        <v>506</v>
      </c>
      <c r="D169" s="352" t="s">
        <v>454</v>
      </c>
      <c r="E169" s="609" t="s">
        <v>455</v>
      </c>
      <c r="F169" s="354" t="str">
        <f>F$51</f>
        <v>Mobile Carbon Capture  90%</v>
      </c>
      <c r="G169" s="355" t="str">
        <f>$G$51</f>
        <v>BEV 250 mile</v>
      </c>
      <c r="H169" s="355" t="s">
        <v>445</v>
      </c>
      <c r="I169" s="973" t="s">
        <v>414</v>
      </c>
      <c r="J169" s="357" t="s">
        <v>413</v>
      </c>
      <c r="K169" s="452"/>
      <c r="L169" s="1156" t="s">
        <v>486</v>
      </c>
      <c r="M169" s="643" t="s">
        <v>487</v>
      </c>
      <c r="N169" s="644" t="s">
        <v>506</v>
      </c>
      <c r="O169" s="352" t="s">
        <v>454</v>
      </c>
      <c r="P169" s="609" t="s">
        <v>455</v>
      </c>
      <c r="Q169" s="354" t="str">
        <f>Q$51</f>
        <v>Mobile Carbon Capture  90%</v>
      </c>
      <c r="R169" s="355" t="str">
        <f>$G$51</f>
        <v>BEV 250 mile</v>
      </c>
      <c r="S169" s="355" t="s">
        <v>445</v>
      </c>
      <c r="T169" s="973" t="s">
        <v>414</v>
      </c>
      <c r="U169" s="357" t="s">
        <v>413</v>
      </c>
      <c r="V169" s="452"/>
      <c r="W169" s="1152" t="s">
        <v>486</v>
      </c>
      <c r="X169" s="643" t="s">
        <v>487</v>
      </c>
      <c r="Y169" s="644" t="s">
        <v>506</v>
      </c>
      <c r="Z169" s="352" t="s">
        <v>454</v>
      </c>
      <c r="AA169" s="609" t="s">
        <v>552</v>
      </c>
      <c r="AB169" s="354" t="s">
        <v>553</v>
      </c>
      <c r="AC169" s="355" t="s">
        <v>523</v>
      </c>
      <c r="AD169" s="355" t="s">
        <v>445</v>
      </c>
      <c r="AE169" s="973" t="s">
        <v>414</v>
      </c>
      <c r="AF169" s="357" t="s">
        <v>413</v>
      </c>
      <c r="AG169" s="452"/>
      <c r="AH169" s="452"/>
      <c r="AI169" s="452"/>
      <c r="AJ169" s="452"/>
      <c r="AK169" s="452"/>
      <c r="AL169" s="452"/>
      <c r="AM169" s="452"/>
      <c r="AN169" s="452"/>
      <c r="AO169" s="452"/>
      <c r="AP169" s="452"/>
      <c r="AQ169" s="452"/>
      <c r="AR169" s="452"/>
      <c r="AS169" s="452"/>
      <c r="AT169" s="452"/>
      <c r="AU169" s="452"/>
      <c r="AV169" s="452"/>
      <c r="AW169" s="452"/>
      <c r="AX169" s="452"/>
      <c r="AY169" s="452"/>
      <c r="AZ169" s="452"/>
      <c r="BA169" s="452"/>
      <c r="BB169" s="452"/>
      <c r="BC169" s="452"/>
      <c r="BD169" s="452"/>
      <c r="BE169" s="452"/>
      <c r="BF169" s="452"/>
      <c r="BG169" s="452"/>
      <c r="BH169" s="452"/>
      <c r="BI169" s="452"/>
      <c r="BJ169" s="452"/>
      <c r="BK169" s="452"/>
      <c r="BL169" s="452"/>
      <c r="BM169" s="452"/>
      <c r="BN169" s="452"/>
      <c r="BO169" s="452"/>
      <c r="BP169" s="452"/>
      <c r="BQ169" s="452"/>
      <c r="BR169" s="452"/>
      <c r="BS169" s="452"/>
      <c r="BT169" s="452"/>
      <c r="BU169" s="452"/>
      <c r="BV169" s="452"/>
      <c r="BW169" s="452"/>
      <c r="BX169" s="452"/>
      <c r="BY169" s="452"/>
    </row>
    <row r="170" spans="1:77" ht="15" thickBot="1">
      <c r="A170" s="1157"/>
      <c r="B170" s="640">
        <f t="shared" ref="B170:B185" si="161">M52</f>
        <v>0</v>
      </c>
      <c r="C170" s="742">
        <f t="shared" ref="C170:C185" si="162">N52</f>
        <v>0</v>
      </c>
      <c r="D170" s="624">
        <v>0</v>
      </c>
      <c r="E170" s="629">
        <v>0</v>
      </c>
      <c r="F170" s="629">
        <v>0</v>
      </c>
      <c r="G170" s="626">
        <v>0</v>
      </c>
      <c r="H170" s="626">
        <v>0</v>
      </c>
      <c r="I170" s="626">
        <v>0</v>
      </c>
      <c r="J170" s="627">
        <v>0</v>
      </c>
      <c r="K170" s="452"/>
      <c r="L170" s="1157"/>
      <c r="M170" s="640">
        <f t="shared" ref="M170:N185" si="163">M52</f>
        <v>0</v>
      </c>
      <c r="N170" s="742">
        <f t="shared" si="163"/>
        <v>0</v>
      </c>
      <c r="O170" s="633">
        <f t="shared" ref="O170:O185" si="164">D170*(1-$B$2)^MAX(0,($N170-1))</f>
        <v>0</v>
      </c>
      <c r="P170" s="633">
        <f t="shared" ref="P170:P185" si="165">E170*(1-$B$2)^MAX(0,($N170-1))</f>
        <v>0</v>
      </c>
      <c r="Q170" s="633">
        <f t="shared" ref="Q170:Q185" si="166">F170*(1-$B$2)^MAX(0,($N170-1))</f>
        <v>0</v>
      </c>
      <c r="R170" s="633">
        <f t="shared" ref="R170:R185" si="167">G170*(1-$B$2)^MAX(0,($N170-1))</f>
        <v>0</v>
      </c>
      <c r="S170" s="633">
        <f t="shared" ref="S170:S185" si="168">H170*(1-$B$2)^MAX(0,($N170-1))</f>
        <v>0</v>
      </c>
      <c r="T170" s="633">
        <f t="shared" ref="T170:T185" si="169">I170*(1-$B$2)^MAX(0,($N170-1))</f>
        <v>0</v>
      </c>
      <c r="U170" s="635">
        <f t="shared" ref="U170:U185" si="170">J170*(1-$B$2)^MAX(0,($N170-1))</f>
        <v>0</v>
      </c>
      <c r="V170" s="452"/>
      <c r="W170" s="1153"/>
      <c r="X170" s="640">
        <f t="shared" ref="X170:X185" si="171">M170</f>
        <v>0</v>
      </c>
      <c r="Y170" s="645">
        <f t="shared" ref="Y170:Y185" si="172">N170</f>
        <v>0</v>
      </c>
      <c r="Z170" s="624">
        <f>O170-$O170</f>
        <v>0</v>
      </c>
      <c r="AA170" s="629">
        <f t="shared" ref="AA170:AA186" si="173">P170-$O170</f>
        <v>0</v>
      </c>
      <c r="AB170" s="626">
        <f t="shared" ref="AB170:AB186" si="174">Q170-$O170</f>
        <v>0</v>
      </c>
      <c r="AC170" s="625">
        <f t="shared" ref="AC170:AC186" si="175">R170-$O170</f>
        <v>0</v>
      </c>
      <c r="AD170" s="626">
        <f t="shared" ref="AD170:AD186" si="176">S170-$O170</f>
        <v>0</v>
      </c>
      <c r="AE170" s="625">
        <f t="shared" ref="AE170:AE186" si="177">T170-$O170</f>
        <v>0</v>
      </c>
      <c r="AF170" s="627">
        <f t="shared" ref="AF170:AF186" si="178">U170-$O170</f>
        <v>0</v>
      </c>
      <c r="AG170" s="452"/>
      <c r="AH170" s="452"/>
      <c r="AI170" s="452"/>
      <c r="AJ170" s="452"/>
      <c r="AK170" s="452"/>
      <c r="AL170" s="452"/>
      <c r="AM170" s="452"/>
      <c r="AN170" s="452"/>
      <c r="AO170" s="452"/>
      <c r="AP170" s="452"/>
      <c r="AQ170" s="452"/>
      <c r="AR170" s="452"/>
      <c r="AS170" s="452"/>
      <c r="AT170" s="452"/>
      <c r="AU170" s="452"/>
      <c r="AV170" s="452"/>
      <c r="AW170" s="452"/>
      <c r="AX170" s="452"/>
      <c r="AY170" s="452"/>
      <c r="AZ170" s="452"/>
      <c r="BA170" s="452"/>
      <c r="BB170" s="452"/>
      <c r="BC170" s="452"/>
      <c r="BD170" s="452"/>
      <c r="BE170" s="452"/>
      <c r="BF170" s="452"/>
      <c r="BG170" s="452"/>
      <c r="BH170" s="452"/>
      <c r="BI170" s="452"/>
      <c r="BJ170" s="452"/>
      <c r="BK170" s="452"/>
      <c r="BL170" s="452"/>
      <c r="BM170" s="452"/>
      <c r="BN170" s="452"/>
      <c r="BO170" s="452"/>
      <c r="BP170" s="452"/>
      <c r="BQ170" s="452"/>
      <c r="BR170" s="452"/>
      <c r="BS170" s="452"/>
      <c r="BT170" s="452"/>
      <c r="BU170" s="452"/>
      <c r="BV170" s="452"/>
      <c r="BW170" s="452"/>
      <c r="BX170" s="452"/>
      <c r="BY170" s="452"/>
    </row>
    <row r="171" spans="1:77">
      <c r="A171" s="1157"/>
      <c r="B171" s="640">
        <f t="shared" si="161"/>
        <v>101417.32283464503</v>
      </c>
      <c r="C171" s="742">
        <f t="shared" si="162"/>
        <v>1</v>
      </c>
      <c r="D171" s="628">
        <f>IF(AND($AX$151 &gt; 0, $C171 = FLOOR($AX$151+1, 1)), 'TCO Calculation'!E$91*'TCO Calculation'!E$92*'TCO Calculation'!E$89, 0) + IF(AND($AV$151 &gt; 0, $C171 = FLOOR($AV$151+1, 1)), 'TCO Calculation'!E$96*'TCO Calculation'!E$97*'TCO Calculation'!E$93, 0)</f>
        <v>0</v>
      </c>
      <c r="E171" s="629">
        <f>IF(AND($AX$151 &gt; 0, $C171 = FLOOR($AX$151+1, 1)), 'TCO Calculation'!F$91*'TCO Calculation'!F$92*'TCO Calculation'!F$89, 0) + IF(AND($AV$151 &gt; 0, $C171 = FLOOR($AV$151+1, 1)), 'TCO Calculation'!F$96*'TCO Calculation'!F$97*'TCO Calculation'!F$93, 0)</f>
        <v>0</v>
      </c>
      <c r="F171" s="629">
        <f>IF(AND($AX$151 &gt; 0, $C171 = FLOOR($AX$151+1, 1)), 'TCO Calculation'!G$91*'TCO Calculation'!G$92*'TCO Calculation'!G$89, 0) + IF(AND($AV$151 &gt; 0, $C171 = FLOOR($AV$151+1, 1)), 'TCO Calculation'!G$96*'TCO Calculation'!G$97*'TCO Calculation'!G$93, 0)</f>
        <v>0</v>
      </c>
      <c r="G171" s="630">
        <f>IF(AND($AX$151 &gt; 0, $C171 = FLOOR($AX$151+1, 1)), 'TCO Calculation'!H$91*'TCO Calculation'!H$92*'TCO Calculation'!H$89, 0) + IF(AND($AV$151 &gt; 0, $C171 = FLOOR($AV$151+1, 1)), 'TCO Calculation'!H$96*'TCO Calculation'!H$97*'TCO Calculation'!H$93, 0)</f>
        <v>0</v>
      </c>
      <c r="H171" s="630">
        <f>IF(AND($AX$151 &gt; 0, $C171 = FLOOR($AX$151+1, 1)), 'TCO Calculation'!I$91*'TCO Calculation'!I$92*'TCO Calculation'!I$89, 0) + IF(AND($AV$151 &gt; 0, $C171 = FLOOR($AV$151+1, 1)), 'TCO Calculation'!I$96*'TCO Calculation'!I$97*'TCO Calculation'!I$93, 0)</f>
        <v>0</v>
      </c>
      <c r="I171" s="630">
        <f>IF(AND($AX$151 &gt; 0, $C171 = FLOOR($AX$151+1, 1)), 'TCO Calculation'!J$91*'TCO Calculation'!J$92*'TCO Calculation'!J$89, 0) + IF(AND($AV$151 &gt; 0, $C171 = FLOOR($AV$151+1, 1)), 'TCO Calculation'!J$96*'TCO Calculation'!J$97*'TCO Calculation'!J$93, 0)</f>
        <v>0</v>
      </c>
      <c r="J171" s="631">
        <f>IF(AND($AX$151 &gt; 0, $C171 = FLOOR($AX$151+1, 1)), 'TCO Calculation'!K$91*'TCO Calculation'!K$92*'TCO Calculation'!K$89, 0) + IF(AND($AV$151 &gt; 0, $C171 = FLOOR($AV$151+1, 1)), 'TCO Calculation'!K$96*'TCO Calculation'!K$97*'TCO Calculation'!K$93, 0)</f>
        <v>0</v>
      </c>
      <c r="K171" s="674"/>
      <c r="L171" s="1157"/>
      <c r="M171" s="640">
        <f t="shared" si="163"/>
        <v>101417.32283464503</v>
      </c>
      <c r="N171" s="742">
        <f t="shared" si="163"/>
        <v>1</v>
      </c>
      <c r="O171" s="629">
        <f t="shared" si="164"/>
        <v>0</v>
      </c>
      <c r="P171" s="629">
        <f t="shared" si="165"/>
        <v>0</v>
      </c>
      <c r="Q171" s="629">
        <f t="shared" si="166"/>
        <v>0</v>
      </c>
      <c r="R171" s="629">
        <f t="shared" si="167"/>
        <v>0</v>
      </c>
      <c r="S171" s="629">
        <f t="shared" si="168"/>
        <v>0</v>
      </c>
      <c r="T171" s="629">
        <f t="shared" si="169"/>
        <v>0</v>
      </c>
      <c r="U171" s="631">
        <f t="shared" si="170"/>
        <v>0</v>
      </c>
      <c r="V171" s="452"/>
      <c r="W171" s="1153"/>
      <c r="X171" s="640">
        <f t="shared" si="171"/>
        <v>101417.32283464503</v>
      </c>
      <c r="Y171" s="645">
        <f t="shared" si="172"/>
        <v>1</v>
      </c>
      <c r="Z171" s="628">
        <f t="shared" ref="Z171:Z186" si="179">O171-$O171</f>
        <v>0</v>
      </c>
      <c r="AA171" s="629">
        <f t="shared" si="173"/>
        <v>0</v>
      </c>
      <c r="AB171" s="630">
        <f t="shared" si="174"/>
        <v>0</v>
      </c>
      <c r="AC171" s="629">
        <f t="shared" si="175"/>
        <v>0</v>
      </c>
      <c r="AD171" s="630">
        <f t="shared" si="176"/>
        <v>0</v>
      </c>
      <c r="AE171" s="629">
        <f t="shared" si="177"/>
        <v>0</v>
      </c>
      <c r="AF171" s="631">
        <f t="shared" si="178"/>
        <v>0</v>
      </c>
      <c r="AG171" s="452"/>
      <c r="AH171" s="452"/>
      <c r="AI171" s="452"/>
      <c r="AJ171" s="452"/>
      <c r="AK171" s="452"/>
      <c r="AL171" s="452"/>
      <c r="AM171" s="452"/>
      <c r="AN171" s="452"/>
      <c r="AO171" s="452"/>
      <c r="AP171" s="452"/>
      <c r="AQ171" s="452"/>
      <c r="AR171" s="452"/>
      <c r="AS171" s="452"/>
      <c r="AT171" s="452"/>
      <c r="AU171" s="452"/>
      <c r="AV171" s="452"/>
      <c r="AW171" s="452"/>
      <c r="AX171" s="452"/>
      <c r="AY171" s="452"/>
      <c r="AZ171" s="452"/>
      <c r="BA171" s="452"/>
      <c r="BB171" s="452"/>
      <c r="BC171" s="452"/>
      <c r="BD171" s="452"/>
      <c r="BE171" s="452"/>
      <c r="BF171" s="452"/>
      <c r="BG171" s="452"/>
      <c r="BH171" s="452"/>
      <c r="BI171" s="452"/>
      <c r="BJ171" s="452"/>
      <c r="BK171" s="452"/>
      <c r="BL171" s="452"/>
      <c r="BM171" s="452"/>
      <c r="BN171" s="452"/>
      <c r="BO171" s="452"/>
      <c r="BP171" s="452"/>
      <c r="BQ171" s="452"/>
      <c r="BR171" s="452"/>
      <c r="BS171" s="452"/>
      <c r="BT171" s="452"/>
      <c r="BU171" s="452"/>
      <c r="BV171" s="452"/>
      <c r="BW171" s="452"/>
      <c r="BX171" s="452"/>
      <c r="BY171" s="452"/>
    </row>
    <row r="172" spans="1:77">
      <c r="A172" s="1157"/>
      <c r="B172" s="640">
        <f t="shared" si="161"/>
        <v>112755.90551181062</v>
      </c>
      <c r="C172" s="742">
        <f t="shared" si="162"/>
        <v>2</v>
      </c>
      <c r="D172" s="624">
        <f>IF(AND($AX$151 &gt; 0, $C172 = FLOOR($AX$151+1, 1)), 'TCO Calculation'!E$91*'TCO Calculation'!E$92*'TCO Calculation'!E$89, 0) + IF(AND($AV$151 &gt; 0, $C172 = FLOOR($AV$151+1, 1)), 'TCO Calculation'!E$96*'TCO Calculation'!E$97*'TCO Calculation'!E$93, 0)</f>
        <v>0</v>
      </c>
      <c r="E172" s="625">
        <f>IF(AND($AX$151 &gt; 0, $C172 = FLOOR($AX$151+1, 1)), 'TCO Calculation'!F$91*'TCO Calculation'!F$92*'TCO Calculation'!F$89, 0) + IF(AND($AV$151 &gt; 0, $C172 = FLOOR($AV$151+1, 1)), 'TCO Calculation'!F$96*'TCO Calculation'!F$97*'TCO Calculation'!F$93, 0)</f>
        <v>0</v>
      </c>
      <c r="F172" s="625">
        <f>IF(AND($AX$151 &gt; 0, $C172 = FLOOR($AX$151+1, 1)), 'TCO Calculation'!G$91*'TCO Calculation'!G$92*'TCO Calculation'!G$89, 0) + IF(AND($AV$151 &gt; 0, $C172 = FLOOR($AV$151+1, 1)), 'TCO Calculation'!G$96*'TCO Calculation'!G$97*'TCO Calculation'!G$93, 0)</f>
        <v>0</v>
      </c>
      <c r="G172" s="626">
        <f>IF(AND($AX$151 &gt; 0, $C172 = FLOOR($AX$151+1, 1)), 'TCO Calculation'!H$91*'TCO Calculation'!H$92*'TCO Calculation'!H$89, 0) + IF(AND($AV$151 &gt; 0, $C172 = FLOOR($AV$151+1, 1)), 'TCO Calculation'!H$96*'TCO Calculation'!H$97*'TCO Calculation'!H$93, 0)</f>
        <v>0</v>
      </c>
      <c r="H172" s="626">
        <f>IF(AND($AX$151 &gt; 0, $C172 = FLOOR($AX$151+1, 1)), 'TCO Calculation'!I$91*'TCO Calculation'!I$92*'TCO Calculation'!I$89, 0) + IF(AND($AV$151 &gt; 0, $C172 = FLOOR($AV$151+1, 1)), 'TCO Calculation'!I$96*'TCO Calculation'!I$97*'TCO Calculation'!I$93, 0)</f>
        <v>0</v>
      </c>
      <c r="I172" s="626">
        <f>IF(AND($AX$151 &gt; 0, $C172 = FLOOR($AX$151+1, 1)), 'TCO Calculation'!J$91*'TCO Calculation'!J$92*'TCO Calculation'!J$89, 0) + IF(AND($AV$151 &gt; 0, $C172 = FLOOR($AV$151+1, 1)), 'TCO Calculation'!J$96*'TCO Calculation'!J$97*'TCO Calculation'!J$93, 0)</f>
        <v>0</v>
      </c>
      <c r="J172" s="627">
        <f>IF(AND($AX$151 &gt; 0, $C172 = FLOOR($AX$151+1, 1)), 'TCO Calculation'!K$91*'TCO Calculation'!K$92*'TCO Calculation'!K$89, 0) + IF(AND($AV$151 &gt; 0, $C172 = FLOOR($AV$151+1, 1)), 'TCO Calculation'!K$96*'TCO Calculation'!K$97*'TCO Calculation'!K$93, 0)</f>
        <v>0</v>
      </c>
      <c r="K172" s="452"/>
      <c r="L172" s="1157"/>
      <c r="M172" s="640">
        <f t="shared" si="163"/>
        <v>112755.90551181062</v>
      </c>
      <c r="N172" s="742">
        <f t="shared" si="163"/>
        <v>2</v>
      </c>
      <c r="O172" s="625">
        <f t="shared" si="164"/>
        <v>0</v>
      </c>
      <c r="P172" s="625">
        <f t="shared" si="165"/>
        <v>0</v>
      </c>
      <c r="Q172" s="625">
        <f t="shared" si="166"/>
        <v>0</v>
      </c>
      <c r="R172" s="625">
        <f t="shared" si="167"/>
        <v>0</v>
      </c>
      <c r="S172" s="625">
        <f t="shared" si="168"/>
        <v>0</v>
      </c>
      <c r="T172" s="625">
        <f t="shared" si="169"/>
        <v>0</v>
      </c>
      <c r="U172" s="627">
        <f t="shared" si="170"/>
        <v>0</v>
      </c>
      <c r="V172" s="452"/>
      <c r="W172" s="1153"/>
      <c r="X172" s="640">
        <f t="shared" si="171"/>
        <v>112755.90551181062</v>
      </c>
      <c r="Y172" s="645">
        <f t="shared" si="172"/>
        <v>2</v>
      </c>
      <c r="Z172" s="624">
        <f t="shared" si="179"/>
        <v>0</v>
      </c>
      <c r="AA172" s="625">
        <f t="shared" si="173"/>
        <v>0</v>
      </c>
      <c r="AB172" s="626">
        <f t="shared" si="174"/>
        <v>0</v>
      </c>
      <c r="AC172" s="625">
        <f t="shared" si="175"/>
        <v>0</v>
      </c>
      <c r="AD172" s="626">
        <f t="shared" si="176"/>
        <v>0</v>
      </c>
      <c r="AE172" s="625">
        <f t="shared" si="177"/>
        <v>0</v>
      </c>
      <c r="AF172" s="627">
        <f t="shared" si="178"/>
        <v>0</v>
      </c>
      <c r="AG172" s="452"/>
      <c r="AH172" s="452"/>
      <c r="AI172" s="452"/>
      <c r="AJ172" s="452"/>
      <c r="AK172" s="452"/>
      <c r="AL172" s="452"/>
      <c r="AM172" s="452"/>
      <c r="AN172" s="452"/>
      <c r="AO172" s="452"/>
      <c r="AP172" s="452"/>
      <c r="AQ172" s="452"/>
      <c r="AR172" s="452"/>
      <c r="AS172" s="452"/>
      <c r="AT172" s="452"/>
      <c r="AU172" s="452"/>
      <c r="AV172" s="452"/>
      <c r="AW172" s="452"/>
      <c r="AX172" s="452"/>
      <c r="AY172" s="452"/>
      <c r="AZ172" s="452"/>
      <c r="BA172" s="452"/>
      <c r="BB172" s="452"/>
      <c r="BC172" s="452"/>
      <c r="BD172" s="452"/>
      <c r="BE172" s="452"/>
      <c r="BF172" s="452"/>
      <c r="BG172" s="452"/>
      <c r="BH172" s="452"/>
      <c r="BI172" s="452"/>
      <c r="BJ172" s="452"/>
      <c r="BK172" s="452"/>
      <c r="BL172" s="452"/>
      <c r="BM172" s="452"/>
      <c r="BN172" s="452"/>
      <c r="BO172" s="452"/>
      <c r="BP172" s="452"/>
      <c r="BQ172" s="452"/>
      <c r="BR172" s="452"/>
      <c r="BS172" s="452"/>
      <c r="BT172" s="452"/>
      <c r="BU172" s="452"/>
      <c r="BV172" s="452"/>
      <c r="BW172" s="452"/>
      <c r="BX172" s="452"/>
      <c r="BY172" s="452"/>
    </row>
    <row r="173" spans="1:77">
      <c r="A173" s="1157"/>
      <c r="B173" s="640">
        <f t="shared" si="161"/>
        <v>107086.61417322783</v>
      </c>
      <c r="C173" s="742">
        <f t="shared" si="162"/>
        <v>3</v>
      </c>
      <c r="D173" s="624">
        <f>IF(AND($AX$151 &gt; 0, $C173 = FLOOR($AX$151+1, 1)), 'TCO Calculation'!E$91*'TCO Calculation'!E$92*'TCO Calculation'!E$89, 0) + IF(AND($AV$151 &gt; 0, $C173 = FLOOR($AV$151+1, 1)), 'TCO Calculation'!E$96*'TCO Calculation'!E$97*'TCO Calculation'!E$93, 0)</f>
        <v>0</v>
      </c>
      <c r="E173" s="625">
        <f>IF(AND($AX$151 &gt; 0, $C173 = FLOOR($AX$151+1, 1)), 'TCO Calculation'!F$91*'TCO Calculation'!F$92*'TCO Calculation'!F$89, 0) + IF(AND($AV$151 &gt; 0, $C173 = FLOOR($AV$151+1, 1)), 'TCO Calculation'!F$96*'TCO Calculation'!F$97*'TCO Calculation'!F$93, 0)</f>
        <v>0</v>
      </c>
      <c r="F173" s="625">
        <f>IF(AND($AX$151 &gt; 0, $C173 = FLOOR($AX$151+1, 1)), 'TCO Calculation'!G$91*'TCO Calculation'!G$92*'TCO Calculation'!G$89, 0) + IF(AND($AV$151 &gt; 0, $C173 = FLOOR($AV$151+1, 1)), 'TCO Calculation'!G$96*'TCO Calculation'!G$97*'TCO Calculation'!G$93, 0)</f>
        <v>0</v>
      </c>
      <c r="G173" s="626">
        <f>IF(AND($AX$151 &gt; 0, $C173 = FLOOR($AX$151+1, 1)), 'TCO Calculation'!H$91*'TCO Calculation'!H$92*'TCO Calculation'!H$89, 0) + IF(AND($AV$151 &gt; 0, $C173 = FLOOR($AV$151+1, 1)), 'TCO Calculation'!H$96*'TCO Calculation'!H$97*'TCO Calculation'!H$93, 0)</f>
        <v>0</v>
      </c>
      <c r="H173" s="626">
        <f>IF(AND($AX$151 &gt; 0, $C173 = FLOOR($AX$151+1, 1)), 'TCO Calculation'!I$91*'TCO Calculation'!I$92*'TCO Calculation'!I$89, 0) + IF(AND($AV$151 &gt; 0, $C173 = FLOOR($AV$151+1, 1)), 'TCO Calculation'!I$96*'TCO Calculation'!I$97*'TCO Calculation'!I$93, 0)</f>
        <v>0</v>
      </c>
      <c r="I173" s="626">
        <f>IF(AND($AX$151 &gt; 0, $C173 = FLOOR($AX$151+1, 1)), 'TCO Calculation'!J$91*'TCO Calculation'!J$92*'TCO Calculation'!J$89, 0) + IF(AND($AV$151 &gt; 0, $C173 = FLOOR($AV$151+1, 1)), 'TCO Calculation'!J$96*'TCO Calculation'!J$97*'TCO Calculation'!J$93, 0)</f>
        <v>0</v>
      </c>
      <c r="J173" s="627">
        <f>IF(AND($AX$151 &gt; 0, $C173 = FLOOR($AX$151+1, 1)), 'TCO Calculation'!K$91*'TCO Calculation'!K$92*'TCO Calculation'!K$89, 0) + IF(AND($AV$151 &gt; 0, $C173 = FLOOR($AV$151+1, 1)), 'TCO Calculation'!K$96*'TCO Calculation'!K$97*'TCO Calculation'!K$93, 0)</f>
        <v>0</v>
      </c>
      <c r="K173" s="452"/>
      <c r="L173" s="1157"/>
      <c r="M173" s="640">
        <f t="shared" si="163"/>
        <v>107086.61417322783</v>
      </c>
      <c r="N173" s="742">
        <f t="shared" si="163"/>
        <v>3</v>
      </c>
      <c r="O173" s="625">
        <f t="shared" si="164"/>
        <v>0</v>
      </c>
      <c r="P173" s="625">
        <f t="shared" si="165"/>
        <v>0</v>
      </c>
      <c r="Q173" s="625">
        <f t="shared" si="166"/>
        <v>0</v>
      </c>
      <c r="R173" s="625">
        <f t="shared" si="167"/>
        <v>0</v>
      </c>
      <c r="S173" s="625">
        <f t="shared" si="168"/>
        <v>0</v>
      </c>
      <c r="T173" s="625">
        <f t="shared" si="169"/>
        <v>0</v>
      </c>
      <c r="U173" s="627">
        <f t="shared" si="170"/>
        <v>0</v>
      </c>
      <c r="V173" s="452"/>
      <c r="W173" s="1153"/>
      <c r="X173" s="640">
        <f t="shared" si="171"/>
        <v>107086.61417322783</v>
      </c>
      <c r="Y173" s="645">
        <f t="shared" si="172"/>
        <v>3</v>
      </c>
      <c r="Z173" s="624">
        <f t="shared" si="179"/>
        <v>0</v>
      </c>
      <c r="AA173" s="625">
        <f t="shared" si="173"/>
        <v>0</v>
      </c>
      <c r="AB173" s="626">
        <f t="shared" si="174"/>
        <v>0</v>
      </c>
      <c r="AC173" s="625">
        <f t="shared" si="175"/>
        <v>0</v>
      </c>
      <c r="AD173" s="626">
        <f t="shared" si="176"/>
        <v>0</v>
      </c>
      <c r="AE173" s="625">
        <f t="shared" si="177"/>
        <v>0</v>
      </c>
      <c r="AF173" s="627">
        <f t="shared" si="178"/>
        <v>0</v>
      </c>
      <c r="AG173" s="452"/>
      <c r="AH173" s="452"/>
      <c r="AI173" s="452"/>
      <c r="AJ173" s="452"/>
      <c r="AK173" s="452"/>
      <c r="AL173" s="452"/>
      <c r="AM173" s="452"/>
      <c r="AN173" s="452"/>
      <c r="AO173" s="452"/>
      <c r="AP173" s="452"/>
      <c r="AQ173" s="452"/>
      <c r="AR173" s="452"/>
      <c r="AS173" s="452"/>
      <c r="AT173" s="452"/>
      <c r="AU173" s="452"/>
      <c r="AV173" s="452"/>
      <c r="AW173" s="452"/>
      <c r="AX173" s="452"/>
      <c r="AY173" s="452"/>
      <c r="AZ173" s="452"/>
      <c r="BA173" s="452"/>
      <c r="BB173" s="452"/>
      <c r="BC173" s="452"/>
      <c r="BD173" s="452"/>
      <c r="BE173" s="452"/>
      <c r="BF173" s="452"/>
      <c r="BG173" s="452"/>
      <c r="BH173" s="452"/>
      <c r="BI173" s="452"/>
      <c r="BJ173" s="452"/>
      <c r="BK173" s="452"/>
      <c r="BL173" s="452"/>
      <c r="BM173" s="452"/>
      <c r="BN173" s="452"/>
      <c r="BO173" s="452"/>
      <c r="BP173" s="452"/>
      <c r="BQ173" s="452"/>
      <c r="BR173" s="452"/>
      <c r="BS173" s="452"/>
      <c r="BT173" s="452"/>
      <c r="BU173" s="452"/>
      <c r="BV173" s="452"/>
      <c r="BW173" s="452"/>
      <c r="BX173" s="452"/>
      <c r="BY173" s="452"/>
    </row>
    <row r="174" spans="1:77">
      <c r="A174" s="1157"/>
      <c r="B174" s="640">
        <f t="shared" si="161"/>
        <v>98897.637795275747</v>
      </c>
      <c r="C174" s="742">
        <f t="shared" si="162"/>
        <v>4</v>
      </c>
      <c r="D174" s="624">
        <f>IF(AND($AX$151 &gt; 0, $C174 = FLOOR($AX$151+1, 1)), 'TCO Calculation'!E$91*'TCO Calculation'!E$92*'TCO Calculation'!E$89, 0) + IF(AND($AV$151 &gt; 0, $C174 = FLOOR($AV$151+1, 1)), 'TCO Calculation'!E$96*'TCO Calculation'!E$97*'TCO Calculation'!E$93, 0)</f>
        <v>0</v>
      </c>
      <c r="E174" s="625">
        <f>IF(AND($AX$151 &gt; 0, $C174 = FLOOR($AX$151+1, 1)), 'TCO Calculation'!F$91*'TCO Calculation'!F$92*'TCO Calculation'!F$89, 0) + IF(AND($AV$151 &gt; 0, $C174 = FLOOR($AV$151+1, 1)), 'TCO Calculation'!F$96*'TCO Calculation'!F$97*'TCO Calculation'!F$93, 0)</f>
        <v>0</v>
      </c>
      <c r="F174" s="625">
        <f>IF(AND($AX$151 &gt; 0, $C174 = FLOOR($AX$151+1, 1)), 'TCO Calculation'!G$91*'TCO Calculation'!G$92*'TCO Calculation'!G$89, 0) + IF(AND($AV$151 &gt; 0, $C174 = FLOOR($AV$151+1, 1)), 'TCO Calculation'!G$96*'TCO Calculation'!G$97*'TCO Calculation'!G$93, 0)</f>
        <v>0</v>
      </c>
      <c r="G174" s="626">
        <f>IF(AND($AX$151 &gt; 0, $C174 = FLOOR($AX$151+1, 1)), 'TCO Calculation'!H$91*'TCO Calculation'!H$92*'TCO Calculation'!H$89, 0) + IF(AND($AV$151 &gt; 0, $C174 = FLOOR($AV$151+1, 1)), 'TCO Calculation'!H$96*'TCO Calculation'!H$97*'TCO Calculation'!H$93, 0)</f>
        <v>0</v>
      </c>
      <c r="H174" s="626">
        <f>IF(AND($AX$151 &gt; 0, $C174 = FLOOR($AX$151+1, 1)), 'TCO Calculation'!I$91*'TCO Calculation'!I$92*'TCO Calculation'!I$89, 0) + IF(AND($AV$151 &gt; 0, $C174 = FLOOR($AV$151+1, 1)), 'TCO Calculation'!I$96*'TCO Calculation'!I$97*'TCO Calculation'!I$93, 0)</f>
        <v>0</v>
      </c>
      <c r="I174" s="626">
        <f>IF(AND($AX$151 &gt; 0, $C174 = FLOOR($AX$151+1, 1)), 'TCO Calculation'!J$91*'TCO Calculation'!J$92*'TCO Calculation'!J$89, 0) + IF(AND($AV$151 &gt; 0, $C174 = FLOOR($AV$151+1, 1)), 'TCO Calculation'!J$96*'TCO Calculation'!J$97*'TCO Calculation'!J$93, 0)</f>
        <v>0</v>
      </c>
      <c r="J174" s="627">
        <f>IF(AND($AX$151 &gt; 0, $C174 = FLOOR($AX$151+1, 1)), 'TCO Calculation'!K$91*'TCO Calculation'!K$92*'TCO Calculation'!K$89, 0) + IF(AND($AV$151 &gt; 0, $C174 = FLOOR($AV$151+1, 1)), 'TCO Calculation'!K$96*'TCO Calculation'!K$97*'TCO Calculation'!K$93, 0)</f>
        <v>0</v>
      </c>
      <c r="K174" s="452"/>
      <c r="L174" s="1157"/>
      <c r="M174" s="640">
        <f t="shared" si="163"/>
        <v>98897.637795275747</v>
      </c>
      <c r="N174" s="742">
        <f t="shared" si="163"/>
        <v>4</v>
      </c>
      <c r="O174" s="625">
        <f t="shared" si="164"/>
        <v>0</v>
      </c>
      <c r="P174" s="625">
        <f t="shared" si="165"/>
        <v>0</v>
      </c>
      <c r="Q174" s="625">
        <f t="shared" si="166"/>
        <v>0</v>
      </c>
      <c r="R174" s="625">
        <f t="shared" si="167"/>
        <v>0</v>
      </c>
      <c r="S174" s="625">
        <f t="shared" si="168"/>
        <v>0</v>
      </c>
      <c r="T174" s="625">
        <f t="shared" si="169"/>
        <v>0</v>
      </c>
      <c r="U174" s="627">
        <f t="shared" si="170"/>
        <v>0</v>
      </c>
      <c r="V174" s="452"/>
      <c r="W174" s="1153"/>
      <c r="X174" s="640">
        <f t="shared" si="171"/>
        <v>98897.637795275747</v>
      </c>
      <c r="Y174" s="645">
        <f t="shared" si="172"/>
        <v>4</v>
      </c>
      <c r="Z174" s="624">
        <f t="shared" si="179"/>
        <v>0</v>
      </c>
      <c r="AA174" s="625">
        <f t="shared" si="173"/>
        <v>0</v>
      </c>
      <c r="AB174" s="626">
        <f t="shared" si="174"/>
        <v>0</v>
      </c>
      <c r="AC174" s="625">
        <f t="shared" si="175"/>
        <v>0</v>
      </c>
      <c r="AD174" s="626">
        <f t="shared" si="176"/>
        <v>0</v>
      </c>
      <c r="AE174" s="625">
        <f t="shared" si="177"/>
        <v>0</v>
      </c>
      <c r="AF174" s="627">
        <f t="shared" si="178"/>
        <v>0</v>
      </c>
      <c r="AG174" s="452"/>
      <c r="AH174" s="452"/>
      <c r="AI174" s="452"/>
      <c r="AJ174" s="452"/>
      <c r="AK174" s="452"/>
      <c r="AL174" s="452"/>
      <c r="AM174" s="452"/>
      <c r="AN174" s="452"/>
      <c r="AO174" s="452"/>
      <c r="AP174" s="452"/>
      <c r="AQ174" s="452"/>
      <c r="AR174" s="452"/>
      <c r="AS174" s="452"/>
      <c r="AT174" s="452"/>
      <c r="AU174" s="452"/>
      <c r="AV174" s="452"/>
      <c r="AW174" s="452"/>
      <c r="AX174" s="452"/>
      <c r="AY174" s="452"/>
      <c r="AZ174" s="452"/>
      <c r="BA174" s="452"/>
      <c r="BB174" s="452"/>
      <c r="BC174" s="452"/>
      <c r="BD174" s="452"/>
      <c r="BE174" s="452"/>
      <c r="BF174" s="452"/>
      <c r="BG174" s="452"/>
      <c r="BH174" s="452"/>
      <c r="BI174" s="452"/>
      <c r="BJ174" s="452"/>
      <c r="BK174" s="452"/>
      <c r="BL174" s="452"/>
      <c r="BM174" s="452"/>
      <c r="BN174" s="452"/>
      <c r="BO174" s="452"/>
      <c r="BP174" s="452"/>
      <c r="BQ174" s="452"/>
      <c r="BR174" s="452"/>
      <c r="BS174" s="452"/>
      <c r="BT174" s="452"/>
      <c r="BU174" s="452"/>
      <c r="BV174" s="452"/>
      <c r="BW174" s="452"/>
      <c r="BX174" s="452"/>
      <c r="BY174" s="452"/>
    </row>
    <row r="175" spans="1:77">
      <c r="A175" s="1157"/>
      <c r="B175" s="640">
        <f t="shared" si="161"/>
        <v>86299.212598425438</v>
      </c>
      <c r="C175" s="742">
        <f t="shared" si="162"/>
        <v>5</v>
      </c>
      <c r="D175" s="624">
        <f>IF(AND($AX$151 &gt; 0, $C175 = FLOOR($AX$151+1, 1)), 'TCO Calculation'!E$91*'TCO Calculation'!E$92*'TCO Calculation'!E$89, 0) + IF(AND($AV$151 &gt; 0, $C175 = FLOOR($AV$151+1, 1)), 'TCO Calculation'!E$96*'TCO Calculation'!E$97*'TCO Calculation'!E$93, 0)</f>
        <v>0</v>
      </c>
      <c r="E175" s="625">
        <f>IF(AND($AX$151 &gt; 0, $C175 = FLOOR($AX$151+1, 1)), 'TCO Calculation'!F$91*'TCO Calculation'!F$92*'TCO Calculation'!F$89, 0) + IF(AND($AV$151 &gt; 0, $C175 = FLOOR($AV$151+1, 1)), 'TCO Calculation'!F$96*'TCO Calculation'!F$97*'TCO Calculation'!F$93, 0)</f>
        <v>0</v>
      </c>
      <c r="F175" s="625">
        <f>IF(AND($AX$151 &gt; 0, $C175 = FLOOR($AX$151+1, 1)), 'TCO Calculation'!G$91*'TCO Calculation'!G$92*'TCO Calculation'!G$89, 0) + IF(AND($AV$151 &gt; 0, $C175 = FLOOR($AV$151+1, 1)), 'TCO Calculation'!G$96*'TCO Calculation'!G$97*'TCO Calculation'!G$93, 0)</f>
        <v>0</v>
      </c>
      <c r="G175" s="626">
        <f>IF(AND($AX$151 &gt; 0, $C175 = FLOOR($AX$151+1, 1)), 'TCO Calculation'!H$91*'TCO Calculation'!H$92*'TCO Calculation'!H$89, 0) + IF(AND($AV$151 &gt; 0, $C175 = FLOOR($AV$151+1, 1)), 'TCO Calculation'!H$96*'TCO Calculation'!H$97*'TCO Calculation'!H$93, 0)</f>
        <v>0</v>
      </c>
      <c r="H175" s="626">
        <f>IF(AND($AX$151 &gt; 0, $C175 = FLOOR($AX$151+1, 1)), 'TCO Calculation'!I$91*'TCO Calculation'!I$92*'TCO Calculation'!I$89, 0) + IF(AND($AV$151 &gt; 0, $C175 = FLOOR($AV$151+1, 1)), 'TCO Calculation'!I$96*'TCO Calculation'!I$97*'TCO Calculation'!I$93, 0)</f>
        <v>0</v>
      </c>
      <c r="I175" s="626">
        <f>IF(AND($AX$151 &gt; 0, $C175 = FLOOR($AX$151+1, 1)), 'TCO Calculation'!J$91*'TCO Calculation'!J$92*'TCO Calculation'!J$89, 0) + IF(AND($AV$151 &gt; 0, $C175 = FLOOR($AV$151+1, 1)), 'TCO Calculation'!J$96*'TCO Calculation'!J$97*'TCO Calculation'!J$93, 0)</f>
        <v>0</v>
      </c>
      <c r="J175" s="627">
        <f>IF(AND($AX$151 &gt; 0, $C175 = FLOOR($AX$151+1, 1)), 'TCO Calculation'!K$91*'TCO Calculation'!K$92*'TCO Calculation'!K$89, 0) + IF(AND($AV$151 &gt; 0, $C175 = FLOOR($AV$151+1, 1)), 'TCO Calculation'!K$96*'TCO Calculation'!K$97*'TCO Calculation'!K$93, 0)</f>
        <v>0</v>
      </c>
      <c r="K175" s="452"/>
      <c r="L175" s="1157"/>
      <c r="M175" s="640">
        <f t="shared" si="163"/>
        <v>86299.212598425438</v>
      </c>
      <c r="N175" s="742">
        <f t="shared" si="163"/>
        <v>5</v>
      </c>
      <c r="O175" s="625">
        <f t="shared" si="164"/>
        <v>0</v>
      </c>
      <c r="P175" s="625">
        <f t="shared" si="165"/>
        <v>0</v>
      </c>
      <c r="Q175" s="625">
        <f t="shared" si="166"/>
        <v>0</v>
      </c>
      <c r="R175" s="625">
        <f t="shared" si="167"/>
        <v>0</v>
      </c>
      <c r="S175" s="625">
        <f t="shared" si="168"/>
        <v>0</v>
      </c>
      <c r="T175" s="625">
        <f t="shared" si="169"/>
        <v>0</v>
      </c>
      <c r="U175" s="627">
        <f t="shared" si="170"/>
        <v>0</v>
      </c>
      <c r="V175" s="452"/>
      <c r="W175" s="1153"/>
      <c r="X175" s="640">
        <f t="shared" si="171"/>
        <v>86299.212598425438</v>
      </c>
      <c r="Y175" s="645">
        <f t="shared" si="172"/>
        <v>5</v>
      </c>
      <c r="Z175" s="624">
        <f t="shared" si="179"/>
        <v>0</v>
      </c>
      <c r="AA175" s="625">
        <f t="shared" si="173"/>
        <v>0</v>
      </c>
      <c r="AB175" s="626">
        <f t="shared" si="174"/>
        <v>0</v>
      </c>
      <c r="AC175" s="625">
        <f t="shared" si="175"/>
        <v>0</v>
      </c>
      <c r="AD175" s="626">
        <f t="shared" si="176"/>
        <v>0</v>
      </c>
      <c r="AE175" s="625">
        <f t="shared" si="177"/>
        <v>0</v>
      </c>
      <c r="AF175" s="627">
        <f t="shared" si="178"/>
        <v>0</v>
      </c>
      <c r="AG175" s="452"/>
      <c r="AH175" s="452"/>
      <c r="AI175" s="452"/>
      <c r="AJ175" s="452"/>
      <c r="AK175" s="452"/>
      <c r="AL175" s="452"/>
      <c r="AM175" s="452"/>
      <c r="AN175" s="452"/>
      <c r="AO175" s="452"/>
      <c r="AP175" s="452"/>
      <c r="AQ175" s="452"/>
      <c r="AR175" s="452"/>
      <c r="AS175" s="452"/>
      <c r="AT175" s="452"/>
      <c r="AU175" s="452"/>
      <c r="AV175" s="452"/>
      <c r="AW175" s="452"/>
      <c r="AX175" s="452"/>
      <c r="AY175" s="452"/>
      <c r="AZ175" s="452"/>
      <c r="BA175" s="452"/>
      <c r="BB175" s="452"/>
      <c r="BC175" s="452"/>
      <c r="BD175" s="452"/>
      <c r="BE175" s="452"/>
      <c r="BF175" s="452"/>
      <c r="BG175" s="452"/>
      <c r="BH175" s="452"/>
      <c r="BI175" s="452"/>
      <c r="BJ175" s="452"/>
      <c r="BK175" s="452"/>
      <c r="BL175" s="452"/>
      <c r="BM175" s="452"/>
      <c r="BN175" s="452"/>
      <c r="BO175" s="452"/>
      <c r="BP175" s="452"/>
      <c r="BQ175" s="452"/>
      <c r="BR175" s="452"/>
      <c r="BS175" s="452"/>
      <c r="BT175" s="452"/>
      <c r="BU175" s="452"/>
      <c r="BV175" s="452"/>
      <c r="BW175" s="452"/>
      <c r="BX175" s="452"/>
      <c r="BY175" s="452"/>
    </row>
    <row r="176" spans="1:77">
      <c r="A176" s="1157"/>
      <c r="B176" s="640">
        <f t="shared" si="161"/>
        <v>76850.393700787565</v>
      </c>
      <c r="C176" s="742">
        <f t="shared" si="162"/>
        <v>6</v>
      </c>
      <c r="D176" s="624">
        <f>IF(AND($AX$151 &gt; 0, $C176 = FLOOR($AX$151+1, 1)), 'TCO Calculation'!E$91*'TCO Calculation'!E$92*'TCO Calculation'!E$89, 0) + IF(AND($AV$151 &gt; 0, $C176 = FLOOR($AV$151+1, 1)), 'TCO Calculation'!E$96*'TCO Calculation'!E$97*'TCO Calculation'!E$93, 0)</f>
        <v>0</v>
      </c>
      <c r="E176" s="625">
        <f>IF(AND($AX$151 &gt; 0, $C176 = FLOOR($AX$151+1, 1)), 'TCO Calculation'!F$91*'TCO Calculation'!F$92*'TCO Calculation'!F$89, 0) + IF(AND($AV$151 &gt; 0, $C176 = FLOOR($AV$151+1, 1)), 'TCO Calculation'!F$96*'TCO Calculation'!F$97*'TCO Calculation'!F$93, 0)</f>
        <v>0</v>
      </c>
      <c r="F176" s="625">
        <f>IF(AND($AX$151 &gt; 0, $C176 = FLOOR($AX$151+1, 1)), 'TCO Calculation'!G$91*'TCO Calculation'!G$92*'TCO Calculation'!G$89, 0) + IF(AND($AV$151 &gt; 0, $C176 = FLOOR($AV$151+1, 1)), 'TCO Calculation'!G$96*'TCO Calculation'!G$97*'TCO Calculation'!G$93, 0)</f>
        <v>0</v>
      </c>
      <c r="G176" s="626">
        <f>IF(AND($AX$151 &gt; 0, $C176 = FLOOR($AX$151+1, 1)), 'TCO Calculation'!H$91*'TCO Calculation'!H$92*'TCO Calculation'!H$89, 0) + IF(AND($AV$151 &gt; 0, $C176 = FLOOR($AV$151+1, 1)), 'TCO Calculation'!H$96*'TCO Calculation'!H$97*'TCO Calculation'!H$93, 0)</f>
        <v>0</v>
      </c>
      <c r="H176" s="626">
        <f>IF(AND($AX$151 &gt; 0, $C176 = FLOOR($AX$151+1, 1)), 'TCO Calculation'!I$91*'TCO Calculation'!I$92*'TCO Calculation'!I$89, 0) + IF(AND($AV$151 &gt; 0, $C176 = FLOOR($AV$151+1, 1)), 'TCO Calculation'!I$96*'TCO Calculation'!I$97*'TCO Calculation'!I$93, 0)</f>
        <v>0</v>
      </c>
      <c r="I176" s="626">
        <f>IF(AND($AX$151 &gt; 0, $C176 = FLOOR($AX$151+1, 1)), 'TCO Calculation'!J$91*'TCO Calculation'!J$92*'TCO Calculation'!J$89, 0) + IF(AND($AV$151 &gt; 0, $C176 = FLOOR($AV$151+1, 1)), 'TCO Calculation'!J$96*'TCO Calculation'!J$97*'TCO Calculation'!J$93, 0)</f>
        <v>0</v>
      </c>
      <c r="J176" s="627">
        <f>IF(AND($AX$151 &gt; 0, $C176 = FLOOR($AX$151+1, 1)), 'TCO Calculation'!K$91*'TCO Calculation'!K$92*'TCO Calculation'!K$89, 0) + IF(AND($AV$151 &gt; 0, $C176 = FLOOR($AV$151+1, 1)), 'TCO Calculation'!K$96*'TCO Calculation'!K$97*'TCO Calculation'!K$93, 0)</f>
        <v>0</v>
      </c>
      <c r="K176" s="452"/>
      <c r="L176" s="1157"/>
      <c r="M176" s="640">
        <f t="shared" si="163"/>
        <v>76850.393700787565</v>
      </c>
      <c r="N176" s="742">
        <f t="shared" si="163"/>
        <v>6</v>
      </c>
      <c r="O176" s="625">
        <f t="shared" si="164"/>
        <v>0</v>
      </c>
      <c r="P176" s="625">
        <f t="shared" si="165"/>
        <v>0</v>
      </c>
      <c r="Q176" s="625">
        <f t="shared" si="166"/>
        <v>0</v>
      </c>
      <c r="R176" s="625">
        <f t="shared" si="167"/>
        <v>0</v>
      </c>
      <c r="S176" s="625">
        <f t="shared" si="168"/>
        <v>0</v>
      </c>
      <c r="T176" s="625">
        <f t="shared" si="169"/>
        <v>0</v>
      </c>
      <c r="U176" s="627">
        <f t="shared" si="170"/>
        <v>0</v>
      </c>
      <c r="V176" s="452"/>
      <c r="W176" s="1153"/>
      <c r="X176" s="640">
        <f t="shared" si="171"/>
        <v>76850.393700787565</v>
      </c>
      <c r="Y176" s="645">
        <f t="shared" si="172"/>
        <v>6</v>
      </c>
      <c r="Z176" s="624">
        <f t="shared" si="179"/>
        <v>0</v>
      </c>
      <c r="AA176" s="625">
        <f t="shared" si="173"/>
        <v>0</v>
      </c>
      <c r="AB176" s="626">
        <f t="shared" si="174"/>
        <v>0</v>
      </c>
      <c r="AC176" s="625">
        <f t="shared" si="175"/>
        <v>0</v>
      </c>
      <c r="AD176" s="626">
        <f t="shared" si="176"/>
        <v>0</v>
      </c>
      <c r="AE176" s="625">
        <f t="shared" si="177"/>
        <v>0</v>
      </c>
      <c r="AF176" s="627">
        <f t="shared" si="178"/>
        <v>0</v>
      </c>
      <c r="AG176" s="452"/>
      <c r="AH176" s="452"/>
      <c r="AI176" s="452"/>
      <c r="AJ176" s="452"/>
      <c r="AK176" s="452"/>
      <c r="AL176" s="452"/>
      <c r="AM176" s="452"/>
      <c r="AN176" s="452"/>
      <c r="AO176" s="452"/>
      <c r="AP176" s="452"/>
      <c r="AQ176" s="452"/>
      <c r="AR176" s="452"/>
      <c r="AS176" s="452"/>
      <c r="AT176" s="452"/>
      <c r="AU176" s="452"/>
      <c r="AV176" s="452"/>
      <c r="AW176" s="452"/>
      <c r="AX176" s="452"/>
      <c r="AY176" s="452"/>
      <c r="AZ176" s="452"/>
      <c r="BA176" s="452"/>
      <c r="BB176" s="452"/>
      <c r="BC176" s="452"/>
      <c r="BD176" s="452"/>
      <c r="BE176" s="452"/>
      <c r="BF176" s="452"/>
      <c r="BG176" s="452"/>
      <c r="BH176" s="452"/>
      <c r="BI176" s="452"/>
      <c r="BJ176" s="452"/>
      <c r="BK176" s="452"/>
      <c r="BL176" s="452"/>
      <c r="BM176" s="452"/>
      <c r="BN176" s="452"/>
      <c r="BO176" s="452"/>
      <c r="BP176" s="452"/>
      <c r="BQ176" s="452"/>
      <c r="BR176" s="452"/>
      <c r="BS176" s="452"/>
      <c r="BT176" s="452"/>
      <c r="BU176" s="452"/>
      <c r="BV176" s="452"/>
      <c r="BW176" s="452"/>
      <c r="BX176" s="452"/>
      <c r="BY176" s="452"/>
    </row>
    <row r="177" spans="1:77">
      <c r="A177" s="1157"/>
      <c r="B177" s="640">
        <f t="shared" si="161"/>
        <v>69291.338582677359</v>
      </c>
      <c r="C177" s="742">
        <f t="shared" si="162"/>
        <v>7</v>
      </c>
      <c r="D177" s="624">
        <f>IF(AND($AX$151 &gt; 0, $C177 = FLOOR($AX$151+1, 1)), 'TCO Calculation'!E$91*'TCO Calculation'!E$92*'TCO Calculation'!E$89, 0) + IF(AND($AV$151 &gt; 0, $C177 = FLOOR($AV$151+1, 1)), 'TCO Calculation'!E$96*'TCO Calculation'!E$97*'TCO Calculation'!E$93, 0)</f>
        <v>0</v>
      </c>
      <c r="E177" s="625">
        <f>IF(AND($AX$151 &gt; 0, $C177 = FLOOR($AX$151+1, 1)), 'TCO Calculation'!F$91*'TCO Calculation'!F$92*'TCO Calculation'!F$89, 0) + IF(AND($AV$151 &gt; 0, $C177 = FLOOR($AV$151+1, 1)), 'TCO Calculation'!F$96*'TCO Calculation'!F$97*'TCO Calculation'!F$93, 0)</f>
        <v>0</v>
      </c>
      <c r="F177" s="625">
        <f>IF(AND($AX$151 &gt; 0, $C177 = FLOOR($AX$151+1, 1)), 'TCO Calculation'!G$91*'TCO Calculation'!G$92*'TCO Calculation'!G$89, 0) + IF(AND($AV$151 &gt; 0, $C177 = FLOOR($AV$151+1, 1)), 'TCO Calculation'!G$96*'TCO Calculation'!G$97*'TCO Calculation'!G$93, 0)</f>
        <v>0</v>
      </c>
      <c r="G177" s="626">
        <f>IF(AND($AX$151 &gt; 0, $C177 = FLOOR($AX$151+1, 1)), 'TCO Calculation'!H$91*'TCO Calculation'!H$92*'TCO Calculation'!H$89, 0) + IF(AND($AV$151 &gt; 0, $C177 = FLOOR($AV$151+1, 1)), 'TCO Calculation'!H$96*'TCO Calculation'!H$97*'TCO Calculation'!H$93, 0)</f>
        <v>0</v>
      </c>
      <c r="H177" s="626">
        <f>IF(AND($AX$151 &gt; 0, $C177 = FLOOR($AX$151+1, 1)), 'TCO Calculation'!I$91*'TCO Calculation'!I$92*'TCO Calculation'!I$89, 0) + IF(AND($AV$151 &gt; 0, $C177 = FLOOR($AV$151+1, 1)), 'TCO Calculation'!I$96*'TCO Calculation'!I$97*'TCO Calculation'!I$93, 0)</f>
        <v>0</v>
      </c>
      <c r="I177" s="626">
        <f>IF(AND($AX$151 &gt; 0, $C177 = FLOOR($AX$151+1, 1)), 'TCO Calculation'!J$91*'TCO Calculation'!J$92*'TCO Calculation'!J$89, 0) + IF(AND($AV$151 &gt; 0, $C177 = FLOOR($AV$151+1, 1)), 'TCO Calculation'!J$96*'TCO Calculation'!J$97*'TCO Calculation'!J$93, 0)</f>
        <v>0</v>
      </c>
      <c r="J177" s="627">
        <f>IF(AND($AX$151 &gt; 0, $C177 = FLOOR($AX$151+1, 1)), 'TCO Calculation'!K$91*'TCO Calculation'!K$92*'TCO Calculation'!K$89, 0) + IF(AND($AV$151 &gt; 0, $C177 = FLOOR($AV$151+1, 1)), 'TCO Calculation'!K$96*'TCO Calculation'!K$97*'TCO Calculation'!K$93, 0)</f>
        <v>0</v>
      </c>
      <c r="K177" s="452"/>
      <c r="L177" s="1157"/>
      <c r="M177" s="640">
        <f t="shared" si="163"/>
        <v>69291.338582677359</v>
      </c>
      <c r="N177" s="742">
        <f t="shared" si="163"/>
        <v>7</v>
      </c>
      <c r="O177" s="625">
        <f t="shared" si="164"/>
        <v>0</v>
      </c>
      <c r="P177" s="625">
        <f t="shared" si="165"/>
        <v>0</v>
      </c>
      <c r="Q177" s="625">
        <f t="shared" si="166"/>
        <v>0</v>
      </c>
      <c r="R177" s="625">
        <f t="shared" si="167"/>
        <v>0</v>
      </c>
      <c r="S177" s="625">
        <f t="shared" si="168"/>
        <v>0</v>
      </c>
      <c r="T177" s="625">
        <f t="shared" si="169"/>
        <v>0</v>
      </c>
      <c r="U177" s="627">
        <f t="shared" si="170"/>
        <v>0</v>
      </c>
      <c r="V177" s="452"/>
      <c r="W177" s="1153"/>
      <c r="X177" s="640">
        <f t="shared" si="171"/>
        <v>69291.338582677359</v>
      </c>
      <c r="Y177" s="645">
        <f t="shared" si="172"/>
        <v>7</v>
      </c>
      <c r="Z177" s="624">
        <f t="shared" si="179"/>
        <v>0</v>
      </c>
      <c r="AA177" s="625">
        <f t="shared" si="173"/>
        <v>0</v>
      </c>
      <c r="AB177" s="626">
        <f t="shared" si="174"/>
        <v>0</v>
      </c>
      <c r="AC177" s="625">
        <f t="shared" si="175"/>
        <v>0</v>
      </c>
      <c r="AD177" s="626">
        <f t="shared" si="176"/>
        <v>0</v>
      </c>
      <c r="AE177" s="625">
        <f t="shared" si="177"/>
        <v>0</v>
      </c>
      <c r="AF177" s="627">
        <f t="shared" si="178"/>
        <v>0</v>
      </c>
      <c r="AG177" s="452"/>
      <c r="AH177" s="452"/>
      <c r="AI177" s="452"/>
      <c r="AJ177" s="452"/>
      <c r="AK177" s="452"/>
      <c r="AL177" s="452"/>
      <c r="AM177" s="452"/>
      <c r="AN177" s="452"/>
      <c r="AO177" s="452"/>
      <c r="AP177" s="452"/>
      <c r="AQ177" s="452"/>
      <c r="AR177" s="452"/>
      <c r="AS177" s="452"/>
      <c r="AT177" s="452"/>
      <c r="AU177" s="452"/>
      <c r="AV177" s="452"/>
      <c r="AW177" s="452"/>
      <c r="AX177" s="452"/>
      <c r="AY177" s="452"/>
      <c r="AZ177" s="452"/>
      <c r="BA177" s="452"/>
      <c r="BB177" s="452"/>
      <c r="BC177" s="452"/>
      <c r="BD177" s="452"/>
      <c r="BE177" s="452"/>
      <c r="BF177" s="452"/>
      <c r="BG177" s="452"/>
      <c r="BH177" s="452"/>
      <c r="BI177" s="452"/>
      <c r="BJ177" s="452"/>
      <c r="BK177" s="452"/>
      <c r="BL177" s="452"/>
      <c r="BM177" s="452"/>
      <c r="BN177" s="452"/>
      <c r="BO177" s="452"/>
      <c r="BP177" s="452"/>
      <c r="BQ177" s="452"/>
      <c r="BR177" s="452"/>
      <c r="BS177" s="452"/>
      <c r="BT177" s="452"/>
      <c r="BU177" s="452"/>
      <c r="BV177" s="452"/>
      <c r="BW177" s="452"/>
      <c r="BX177" s="452"/>
      <c r="BY177" s="452"/>
    </row>
    <row r="178" spans="1:77">
      <c r="A178" s="1157"/>
      <c r="B178" s="640">
        <f t="shared" si="161"/>
        <v>62992.125984252147</v>
      </c>
      <c r="C178" s="742">
        <f t="shared" si="162"/>
        <v>8</v>
      </c>
      <c r="D178" s="624">
        <f>IF(AND($AX$151 &gt; 0, $C178 = FLOOR($AX$151+1, 1)), 'TCO Calculation'!E$91*'TCO Calculation'!E$92*'TCO Calculation'!E$89, 0) + IF(AND($AV$151 &gt; 0, $C178 = FLOOR($AV$151+1, 1)), 'TCO Calculation'!E$96*'TCO Calculation'!E$97*'TCO Calculation'!E$93, 0)</f>
        <v>0</v>
      </c>
      <c r="E178" s="625">
        <f>IF(AND($AX$151 &gt; 0, $C178 = FLOOR($AX$151+1, 1)), 'TCO Calculation'!F$91*'TCO Calculation'!F$92*'TCO Calculation'!F$89, 0) + IF(AND($AV$151 &gt; 0, $C178 = FLOOR($AV$151+1, 1)), 'TCO Calculation'!F$96*'TCO Calculation'!F$97*'TCO Calculation'!F$93, 0)</f>
        <v>0</v>
      </c>
      <c r="F178" s="625">
        <f>IF(AND($AX$151 &gt; 0, $C178 = FLOOR($AX$151+1, 1)), 'TCO Calculation'!G$91*'TCO Calculation'!G$92*'TCO Calculation'!G$89, 0) + IF(AND($AV$151 &gt; 0, $C178 = FLOOR($AV$151+1, 1)), 'TCO Calculation'!G$96*'TCO Calculation'!G$97*'TCO Calculation'!G$93, 0)</f>
        <v>0</v>
      </c>
      <c r="G178" s="626">
        <f>IF(AND($AX$151 &gt; 0, $C178 = FLOOR($AX$151+1, 1)), 'TCO Calculation'!H$91*'TCO Calculation'!H$92*'TCO Calculation'!H$89, 0) + IF(AND($AV$151 &gt; 0, $C178 = FLOOR($AV$151+1, 1)), 'TCO Calculation'!H$96*'TCO Calculation'!H$97*'TCO Calculation'!H$93, 0)</f>
        <v>0</v>
      </c>
      <c r="H178" s="626">
        <f>IF(AND($AX$151 &gt; 0, $C178 = FLOOR($AX$151+1, 1)), 'TCO Calculation'!I$91*'TCO Calculation'!I$92*'TCO Calculation'!I$89, 0) + IF(AND($AV$151 &gt; 0, $C178 = FLOOR($AV$151+1, 1)), 'TCO Calculation'!I$96*'TCO Calculation'!I$97*'TCO Calculation'!I$93, 0)</f>
        <v>0</v>
      </c>
      <c r="I178" s="626">
        <f>IF(AND($AX$151 &gt; 0, $C178 = FLOOR($AX$151+1, 1)), 'TCO Calculation'!J$91*'TCO Calculation'!J$92*'TCO Calculation'!J$89, 0) + IF(AND($AV$151 &gt; 0, $C178 = FLOOR($AV$151+1, 1)), 'TCO Calculation'!J$96*'TCO Calculation'!J$97*'TCO Calculation'!J$93, 0)</f>
        <v>0</v>
      </c>
      <c r="J178" s="627">
        <f>IF(AND($AX$151 &gt; 0, $C178 = FLOOR($AX$151+1, 1)), 'TCO Calculation'!K$91*'TCO Calculation'!K$92*'TCO Calculation'!K$89, 0) + IF(AND($AV$151 &gt; 0, $C178 = FLOOR($AV$151+1, 1)), 'TCO Calculation'!K$96*'TCO Calculation'!K$97*'TCO Calculation'!K$93, 0)</f>
        <v>0</v>
      </c>
      <c r="K178" s="452"/>
      <c r="L178" s="1157"/>
      <c r="M178" s="640">
        <f t="shared" si="163"/>
        <v>62992.125984252147</v>
      </c>
      <c r="N178" s="742">
        <f t="shared" si="163"/>
        <v>8</v>
      </c>
      <c r="O178" s="625">
        <f t="shared" si="164"/>
        <v>0</v>
      </c>
      <c r="P178" s="625">
        <f t="shared" si="165"/>
        <v>0</v>
      </c>
      <c r="Q178" s="625">
        <f t="shared" si="166"/>
        <v>0</v>
      </c>
      <c r="R178" s="625">
        <f t="shared" si="167"/>
        <v>0</v>
      </c>
      <c r="S178" s="625">
        <f t="shared" si="168"/>
        <v>0</v>
      </c>
      <c r="T178" s="625">
        <f t="shared" si="169"/>
        <v>0</v>
      </c>
      <c r="U178" s="627">
        <f t="shared" si="170"/>
        <v>0</v>
      </c>
      <c r="V178" s="452"/>
      <c r="W178" s="1153"/>
      <c r="X178" s="640">
        <f t="shared" si="171"/>
        <v>62992.125984252147</v>
      </c>
      <c r="Y178" s="645">
        <f t="shared" si="172"/>
        <v>8</v>
      </c>
      <c r="Z178" s="624">
        <f t="shared" si="179"/>
        <v>0</v>
      </c>
      <c r="AA178" s="625">
        <f t="shared" si="173"/>
        <v>0</v>
      </c>
      <c r="AB178" s="626">
        <f t="shared" si="174"/>
        <v>0</v>
      </c>
      <c r="AC178" s="625">
        <f t="shared" si="175"/>
        <v>0</v>
      </c>
      <c r="AD178" s="626">
        <f t="shared" si="176"/>
        <v>0</v>
      </c>
      <c r="AE178" s="625">
        <f t="shared" si="177"/>
        <v>0</v>
      </c>
      <c r="AF178" s="627">
        <f t="shared" si="178"/>
        <v>0</v>
      </c>
      <c r="AG178" s="452"/>
      <c r="AH178" s="452"/>
      <c r="AI178" s="452"/>
      <c r="AJ178" s="452"/>
      <c r="AK178" s="452"/>
      <c r="AL178" s="452"/>
      <c r="AM178" s="452"/>
      <c r="AN178" s="452"/>
      <c r="AO178" s="452"/>
      <c r="AP178" s="452"/>
      <c r="AQ178" s="452"/>
      <c r="AR178" s="452"/>
      <c r="AS178" s="452"/>
      <c r="AT178" s="452"/>
      <c r="AU178" s="452"/>
      <c r="AV178" s="452"/>
      <c r="AW178" s="452"/>
      <c r="AX178" s="452"/>
      <c r="AY178" s="452"/>
      <c r="AZ178" s="452"/>
      <c r="BA178" s="452"/>
      <c r="BB178" s="452"/>
      <c r="BC178" s="452"/>
      <c r="BD178" s="452"/>
      <c r="BE178" s="452"/>
      <c r="BF178" s="452"/>
      <c r="BG178" s="452"/>
      <c r="BH178" s="452"/>
      <c r="BI178" s="452"/>
      <c r="BJ178" s="452"/>
      <c r="BK178" s="452"/>
      <c r="BL178" s="452"/>
      <c r="BM178" s="452"/>
      <c r="BN178" s="452"/>
      <c r="BO178" s="452"/>
      <c r="BP178" s="452"/>
      <c r="BQ178" s="452"/>
      <c r="BR178" s="452"/>
      <c r="BS178" s="452"/>
      <c r="BT178" s="452"/>
      <c r="BU178" s="452"/>
      <c r="BV178" s="452"/>
      <c r="BW178" s="452"/>
      <c r="BX178" s="452"/>
      <c r="BY178" s="452"/>
    </row>
    <row r="179" spans="1:77">
      <c r="A179" s="1157"/>
      <c r="B179" s="640">
        <f t="shared" si="161"/>
        <v>56062.992125984332</v>
      </c>
      <c r="C179" s="742">
        <f t="shared" si="162"/>
        <v>9</v>
      </c>
      <c r="D179" s="624">
        <f>IF(AND($AX$151 &gt; 0, $C179 = FLOOR($AX$151+1, 1)), 'TCO Calculation'!E$91*'TCO Calculation'!E$92*'TCO Calculation'!E$89, 0) + IF(AND($AV$151 &gt; 0, $C179 = FLOOR($AV$151+1, 1)), 'TCO Calculation'!E$96*'TCO Calculation'!E$97*'TCO Calculation'!E$93, 0)</f>
        <v>0</v>
      </c>
      <c r="E179" s="625">
        <f>IF(AND($AX$151 &gt; 0, $C179 = FLOOR($AX$151+1, 1)), 'TCO Calculation'!F$91*'TCO Calculation'!F$92*'TCO Calculation'!F$89, 0) + IF(AND($AV$151 &gt; 0, $C179 = FLOOR($AV$151+1, 1)), 'TCO Calculation'!F$96*'TCO Calculation'!F$97*'TCO Calculation'!F$93, 0)</f>
        <v>0</v>
      </c>
      <c r="F179" s="625">
        <f>IF(AND($AX$151 &gt; 0, $C179 = FLOOR($AX$151+1, 1)), 'TCO Calculation'!G$91*'TCO Calculation'!G$92*'TCO Calculation'!G$89, 0) + IF(AND($AV$151 &gt; 0, $C179 = FLOOR($AV$151+1, 1)), 'TCO Calculation'!G$96*'TCO Calculation'!G$97*'TCO Calculation'!G$93, 0)</f>
        <v>0</v>
      </c>
      <c r="G179" s="626">
        <f>IF(AND($AX$151 &gt; 0, $C179 = FLOOR($AX$151+1, 1)), 'TCO Calculation'!H$91*'TCO Calculation'!H$92*'TCO Calculation'!H$89, 0) + IF(AND($AV$151 &gt; 0, $C179 = FLOOR($AV$151+1, 1)), 'TCO Calculation'!H$96*'TCO Calculation'!H$97*'TCO Calculation'!H$93, 0)</f>
        <v>0</v>
      </c>
      <c r="H179" s="626">
        <f>IF(AND($AX$151 &gt; 0, $C179 = FLOOR($AX$151+1, 1)), 'TCO Calculation'!I$91*'TCO Calculation'!I$92*'TCO Calculation'!I$89, 0) + IF(AND($AV$151 &gt; 0, $C179 = FLOOR($AV$151+1, 1)), 'TCO Calculation'!I$96*'TCO Calculation'!I$97*'TCO Calculation'!I$93, 0)</f>
        <v>0</v>
      </c>
      <c r="I179" s="626">
        <f>IF(AND($AX$151 &gt; 0, $C179 = FLOOR($AX$151+1, 1)), 'TCO Calculation'!J$91*'TCO Calculation'!J$92*'TCO Calculation'!J$89, 0) + IF(AND($AV$151 &gt; 0, $C179 = FLOOR($AV$151+1, 1)), 'TCO Calculation'!J$96*'TCO Calculation'!J$97*'TCO Calculation'!J$93, 0)</f>
        <v>0</v>
      </c>
      <c r="J179" s="627">
        <f>IF(AND($AX$151 &gt; 0, $C179 = FLOOR($AX$151+1, 1)), 'TCO Calculation'!K$91*'TCO Calculation'!K$92*'TCO Calculation'!K$89, 0) + IF(AND($AV$151 &gt; 0, $C179 = FLOOR($AV$151+1, 1)), 'TCO Calculation'!K$96*'TCO Calculation'!K$97*'TCO Calculation'!K$93, 0)</f>
        <v>0</v>
      </c>
      <c r="K179" s="452"/>
      <c r="L179" s="1157"/>
      <c r="M179" s="640">
        <f t="shared" si="163"/>
        <v>56062.992125984332</v>
      </c>
      <c r="N179" s="742">
        <f t="shared" si="163"/>
        <v>9</v>
      </c>
      <c r="O179" s="625">
        <f t="shared" si="164"/>
        <v>0</v>
      </c>
      <c r="P179" s="625">
        <f t="shared" si="165"/>
        <v>0</v>
      </c>
      <c r="Q179" s="625">
        <f t="shared" si="166"/>
        <v>0</v>
      </c>
      <c r="R179" s="625">
        <f t="shared" si="167"/>
        <v>0</v>
      </c>
      <c r="S179" s="625">
        <f t="shared" si="168"/>
        <v>0</v>
      </c>
      <c r="T179" s="625">
        <f t="shared" si="169"/>
        <v>0</v>
      </c>
      <c r="U179" s="627">
        <f t="shared" si="170"/>
        <v>0</v>
      </c>
      <c r="V179" s="452"/>
      <c r="W179" s="1153"/>
      <c r="X179" s="640">
        <f t="shared" si="171"/>
        <v>56062.992125984332</v>
      </c>
      <c r="Y179" s="645">
        <f t="shared" si="172"/>
        <v>9</v>
      </c>
      <c r="Z179" s="624">
        <f t="shared" si="179"/>
        <v>0</v>
      </c>
      <c r="AA179" s="625">
        <f t="shared" si="173"/>
        <v>0</v>
      </c>
      <c r="AB179" s="626">
        <f t="shared" si="174"/>
        <v>0</v>
      </c>
      <c r="AC179" s="625">
        <f t="shared" si="175"/>
        <v>0</v>
      </c>
      <c r="AD179" s="626">
        <f t="shared" si="176"/>
        <v>0</v>
      </c>
      <c r="AE179" s="625">
        <f t="shared" si="177"/>
        <v>0</v>
      </c>
      <c r="AF179" s="627">
        <f t="shared" si="178"/>
        <v>0</v>
      </c>
      <c r="AG179" s="452"/>
      <c r="AH179" s="452"/>
      <c r="AI179" s="452"/>
      <c r="AJ179" s="452"/>
      <c r="AK179" s="452"/>
      <c r="AL179" s="452"/>
      <c r="AM179" s="452"/>
      <c r="AN179" s="452"/>
      <c r="AO179" s="452"/>
      <c r="AP179" s="452"/>
      <c r="AQ179" s="452"/>
      <c r="AR179" s="452"/>
      <c r="AS179" s="452"/>
      <c r="AT179" s="452"/>
      <c r="AU179" s="452"/>
      <c r="AV179" s="452"/>
      <c r="AW179" s="452"/>
      <c r="AX179" s="452"/>
      <c r="AY179" s="452"/>
      <c r="AZ179" s="452"/>
      <c r="BA179" s="452"/>
      <c r="BB179" s="452"/>
      <c r="BC179" s="452"/>
      <c r="BD179" s="452"/>
      <c r="BE179" s="452"/>
      <c r="BF179" s="452"/>
      <c r="BG179" s="452"/>
      <c r="BH179" s="452"/>
      <c r="BI179" s="452"/>
      <c r="BJ179" s="452"/>
      <c r="BK179" s="452"/>
      <c r="BL179" s="452"/>
      <c r="BM179" s="452"/>
      <c r="BN179" s="452"/>
      <c r="BO179" s="452"/>
      <c r="BP179" s="452"/>
      <c r="BQ179" s="452"/>
      <c r="BR179" s="452"/>
      <c r="BS179" s="452"/>
      <c r="BT179" s="452"/>
      <c r="BU179" s="452"/>
      <c r="BV179" s="452"/>
      <c r="BW179" s="452"/>
      <c r="BX179" s="452"/>
      <c r="BY179" s="452"/>
    </row>
    <row r="180" spans="1:77">
      <c r="A180" s="1157"/>
      <c r="B180" s="640">
        <f t="shared" si="161"/>
        <v>49763.779527559134</v>
      </c>
      <c r="C180" s="742">
        <f t="shared" si="162"/>
        <v>10</v>
      </c>
      <c r="D180" s="624">
        <f>IF(AND($AX$151 &gt; 0, $C180 = FLOOR($AX$151+1, 1)), 'TCO Calculation'!E$91*'TCO Calculation'!E$92*'TCO Calculation'!E$89, 0) + IF(AND($AV$151 &gt; 0, $C180 = FLOOR($AV$151+1, 1)), 'TCO Calculation'!E$96*'TCO Calculation'!E$97*'TCO Calculation'!E$93, 0)</f>
        <v>0</v>
      </c>
      <c r="E180" s="625">
        <f>IF(AND($AX$151 &gt; 0, $C180 = FLOOR($AX$151+1, 1)), 'TCO Calculation'!F$91*'TCO Calculation'!F$92*'TCO Calculation'!F$89, 0) + IF(AND($AV$151 &gt; 0, $C180 = FLOOR($AV$151+1, 1)), 'TCO Calculation'!F$96*'TCO Calculation'!F$97*'TCO Calculation'!F$93, 0)</f>
        <v>0</v>
      </c>
      <c r="F180" s="625">
        <f>IF(AND($AX$151 &gt; 0, $C180 = FLOOR($AX$151+1, 1)), 'TCO Calculation'!G$91*'TCO Calculation'!G$92*'TCO Calculation'!G$89, 0) + IF(AND($AV$151 &gt; 0, $C180 = FLOOR($AV$151+1, 1)), 'TCO Calculation'!G$96*'TCO Calculation'!G$97*'TCO Calculation'!G$93, 0)</f>
        <v>0</v>
      </c>
      <c r="G180" s="626">
        <f>IF(AND($AX$151 &gt; 0, $C180 = FLOOR($AX$151+1, 1)), 'TCO Calculation'!H$91*'TCO Calculation'!H$92*'TCO Calculation'!H$89, 0) + IF(AND($AV$151 &gt; 0, $C180 = FLOOR($AV$151+1, 1)), 'TCO Calculation'!H$96*'TCO Calculation'!H$97*'TCO Calculation'!H$93, 0)</f>
        <v>0</v>
      </c>
      <c r="H180" s="626">
        <f>IF(AND($AX$151 &gt; 0, $C180 = FLOOR($AX$151+1, 1)), 'TCO Calculation'!I$91*'TCO Calculation'!I$92*'TCO Calculation'!I$89, 0) + IF(AND($AV$151 &gt; 0, $C180 = FLOOR($AV$151+1, 1)), 'TCO Calculation'!I$96*'TCO Calculation'!I$97*'TCO Calculation'!I$93, 0)</f>
        <v>0</v>
      </c>
      <c r="I180" s="626">
        <f>IF(AND($AX$151 &gt; 0, $C180 = FLOOR($AX$151+1, 1)), 'TCO Calculation'!J$91*'TCO Calculation'!J$92*'TCO Calculation'!J$89, 0) + IF(AND($AV$151 &gt; 0, $C180 = FLOOR($AV$151+1, 1)), 'TCO Calculation'!J$96*'TCO Calculation'!J$97*'TCO Calculation'!J$93, 0)</f>
        <v>0</v>
      </c>
      <c r="J180" s="627">
        <f>IF(AND($AX$151 &gt; 0, $C180 = FLOOR($AX$151+1, 1)), 'TCO Calculation'!K$91*'TCO Calculation'!K$92*'TCO Calculation'!K$89, 0) + IF(AND($AV$151 &gt; 0, $C180 = FLOOR($AV$151+1, 1)), 'TCO Calculation'!K$96*'TCO Calculation'!K$97*'TCO Calculation'!K$93, 0)</f>
        <v>0</v>
      </c>
      <c r="K180" s="452"/>
      <c r="L180" s="1157"/>
      <c r="M180" s="640">
        <f t="shared" si="163"/>
        <v>49763.779527559134</v>
      </c>
      <c r="N180" s="742">
        <f t="shared" si="163"/>
        <v>10</v>
      </c>
      <c r="O180" s="625">
        <f t="shared" si="164"/>
        <v>0</v>
      </c>
      <c r="P180" s="625">
        <f t="shared" si="165"/>
        <v>0</v>
      </c>
      <c r="Q180" s="625">
        <f t="shared" si="166"/>
        <v>0</v>
      </c>
      <c r="R180" s="625">
        <f t="shared" si="167"/>
        <v>0</v>
      </c>
      <c r="S180" s="625">
        <f t="shared" si="168"/>
        <v>0</v>
      </c>
      <c r="T180" s="625">
        <f t="shared" si="169"/>
        <v>0</v>
      </c>
      <c r="U180" s="627">
        <f t="shared" si="170"/>
        <v>0</v>
      </c>
      <c r="V180" s="452"/>
      <c r="W180" s="1153"/>
      <c r="X180" s="640">
        <f t="shared" si="171"/>
        <v>49763.779527559134</v>
      </c>
      <c r="Y180" s="645">
        <f t="shared" si="172"/>
        <v>10</v>
      </c>
      <c r="Z180" s="624">
        <f t="shared" si="179"/>
        <v>0</v>
      </c>
      <c r="AA180" s="625">
        <f t="shared" si="173"/>
        <v>0</v>
      </c>
      <c r="AB180" s="626">
        <f t="shared" si="174"/>
        <v>0</v>
      </c>
      <c r="AC180" s="625">
        <f t="shared" si="175"/>
        <v>0</v>
      </c>
      <c r="AD180" s="626">
        <f t="shared" si="176"/>
        <v>0</v>
      </c>
      <c r="AE180" s="625">
        <f t="shared" si="177"/>
        <v>0</v>
      </c>
      <c r="AF180" s="627">
        <f t="shared" si="178"/>
        <v>0</v>
      </c>
      <c r="AG180" s="452"/>
      <c r="AH180" s="452"/>
      <c r="AI180" s="452"/>
      <c r="AJ180" s="452"/>
      <c r="AK180" s="452"/>
      <c r="AL180" s="452"/>
      <c r="AM180" s="452"/>
      <c r="AN180" s="452"/>
      <c r="AO180" s="452"/>
      <c r="AP180" s="452"/>
      <c r="AQ180" s="452"/>
      <c r="AR180" s="452"/>
      <c r="AS180" s="452"/>
      <c r="AT180" s="452"/>
      <c r="AU180" s="452"/>
      <c r="AV180" s="452"/>
      <c r="AW180" s="452"/>
      <c r="AX180" s="452"/>
      <c r="AY180" s="452"/>
      <c r="AZ180" s="452"/>
      <c r="BA180" s="452"/>
      <c r="BB180" s="452"/>
      <c r="BC180" s="452"/>
      <c r="BD180" s="452"/>
      <c r="BE180" s="452"/>
      <c r="BF180" s="452"/>
      <c r="BG180" s="452"/>
      <c r="BH180" s="452"/>
      <c r="BI180" s="452"/>
      <c r="BJ180" s="452"/>
      <c r="BK180" s="452"/>
      <c r="BL180" s="452"/>
      <c r="BM180" s="452"/>
      <c r="BN180" s="452"/>
      <c r="BO180" s="452"/>
      <c r="BP180" s="452"/>
      <c r="BQ180" s="452"/>
      <c r="BR180" s="452"/>
      <c r="BS180" s="452"/>
      <c r="BT180" s="452"/>
      <c r="BU180" s="452"/>
      <c r="BV180" s="452"/>
      <c r="BW180" s="452"/>
      <c r="BX180" s="452"/>
      <c r="BY180" s="452"/>
    </row>
    <row r="181" spans="1:77">
      <c r="A181" s="1157"/>
      <c r="B181" s="640">
        <f t="shared" si="161"/>
        <v>44724.409448818951</v>
      </c>
      <c r="C181" s="742">
        <f t="shared" si="162"/>
        <v>11</v>
      </c>
      <c r="D181" s="624">
        <f>IF(AND($AX$151 &gt; 0, $C181 = FLOOR($AX$151+1, 1)), 'TCO Calculation'!E$91*'TCO Calculation'!E$92*'TCO Calculation'!E$89, 0) + IF(AND($AV$151 &gt; 0, $C181 = FLOOR($AV$151+1, 1)), 'TCO Calculation'!E$96*'TCO Calculation'!E$97*'TCO Calculation'!E$93, 0)</f>
        <v>0</v>
      </c>
      <c r="E181" s="625">
        <f>IF(AND($AX$151 &gt; 0, $C181 = FLOOR($AX$151+1, 1)), 'TCO Calculation'!F$91*'TCO Calculation'!F$92*'TCO Calculation'!F$89, 0) + IF(AND($AV$151 &gt; 0, $C181 = FLOOR($AV$151+1, 1)), 'TCO Calculation'!F$96*'TCO Calculation'!F$97*'TCO Calculation'!F$93, 0)</f>
        <v>0</v>
      </c>
      <c r="F181" s="625">
        <f>IF(AND($AX$151 &gt; 0, $C181 = FLOOR($AX$151+1, 1)), 'TCO Calculation'!G$91*'TCO Calculation'!G$92*'TCO Calculation'!G$89, 0) + IF(AND($AV$151 &gt; 0, $C181 = FLOOR($AV$151+1, 1)), 'TCO Calculation'!G$96*'TCO Calculation'!G$97*'TCO Calculation'!G$93, 0)</f>
        <v>0</v>
      </c>
      <c r="G181" s="626">
        <f>IF(AND($AX$151 &gt; 0, $C181 = FLOOR($AX$151+1, 1)), 'TCO Calculation'!H$91*'TCO Calculation'!H$92*'TCO Calculation'!H$89, 0) + IF(AND($AV$151 &gt; 0, $C181 = FLOOR($AV$151+1, 1)), 'TCO Calculation'!H$96*'TCO Calculation'!H$97*'TCO Calculation'!H$93, 0)</f>
        <v>0</v>
      </c>
      <c r="H181" s="626">
        <f>IF(AND($AX$151 &gt; 0, $C181 = FLOOR($AX$151+1, 1)), 'TCO Calculation'!I$91*'TCO Calculation'!I$92*'TCO Calculation'!I$89, 0) + IF(AND($AV$151 &gt; 0, $C181 = FLOOR($AV$151+1, 1)), 'TCO Calculation'!I$96*'TCO Calculation'!I$97*'TCO Calculation'!I$93, 0)</f>
        <v>0</v>
      </c>
      <c r="I181" s="626">
        <f>IF(AND($AX$151 &gt; 0, $C181 = FLOOR($AX$151+1, 1)), 'TCO Calculation'!J$91*'TCO Calculation'!J$92*'TCO Calculation'!J$89, 0) + IF(AND($AV$151 &gt; 0, $C181 = FLOOR($AV$151+1, 1)), 'TCO Calculation'!J$96*'TCO Calculation'!J$97*'TCO Calculation'!J$93, 0)</f>
        <v>0</v>
      </c>
      <c r="J181" s="627">
        <f>IF(AND($AX$151 &gt; 0, $C181 = FLOOR($AX$151+1, 1)), 'TCO Calculation'!K$91*'TCO Calculation'!K$92*'TCO Calculation'!K$89, 0) + IF(AND($AV$151 &gt; 0, $C181 = FLOOR($AV$151+1, 1)), 'TCO Calculation'!K$96*'TCO Calculation'!K$97*'TCO Calculation'!K$93, 0)</f>
        <v>0</v>
      </c>
      <c r="K181" s="452"/>
      <c r="L181" s="1157"/>
      <c r="M181" s="640">
        <f t="shared" si="163"/>
        <v>44724.409448818951</v>
      </c>
      <c r="N181" s="742">
        <f t="shared" si="163"/>
        <v>11</v>
      </c>
      <c r="O181" s="625">
        <f t="shared" si="164"/>
        <v>0</v>
      </c>
      <c r="P181" s="625">
        <f t="shared" si="165"/>
        <v>0</v>
      </c>
      <c r="Q181" s="625">
        <f t="shared" si="166"/>
        <v>0</v>
      </c>
      <c r="R181" s="625">
        <f t="shared" si="167"/>
        <v>0</v>
      </c>
      <c r="S181" s="625">
        <f t="shared" si="168"/>
        <v>0</v>
      </c>
      <c r="T181" s="625">
        <f t="shared" si="169"/>
        <v>0</v>
      </c>
      <c r="U181" s="627">
        <f t="shared" si="170"/>
        <v>0</v>
      </c>
      <c r="V181" s="452"/>
      <c r="W181" s="1153"/>
      <c r="X181" s="640">
        <f t="shared" si="171"/>
        <v>44724.409448818951</v>
      </c>
      <c r="Y181" s="645">
        <f t="shared" si="172"/>
        <v>11</v>
      </c>
      <c r="Z181" s="624">
        <f t="shared" si="179"/>
        <v>0</v>
      </c>
      <c r="AA181" s="625">
        <f t="shared" si="173"/>
        <v>0</v>
      </c>
      <c r="AB181" s="626">
        <f t="shared" si="174"/>
        <v>0</v>
      </c>
      <c r="AC181" s="625">
        <f t="shared" si="175"/>
        <v>0</v>
      </c>
      <c r="AD181" s="626">
        <f t="shared" si="176"/>
        <v>0</v>
      </c>
      <c r="AE181" s="625">
        <f t="shared" si="177"/>
        <v>0</v>
      </c>
      <c r="AF181" s="627">
        <f t="shared" si="178"/>
        <v>0</v>
      </c>
      <c r="AG181" s="452"/>
      <c r="AH181" s="452"/>
      <c r="AI181" s="452"/>
      <c r="AJ181" s="452"/>
      <c r="AK181" s="452"/>
      <c r="AL181" s="452"/>
      <c r="AM181" s="452"/>
      <c r="AN181" s="452"/>
      <c r="AO181" s="452"/>
      <c r="AP181" s="452"/>
      <c r="AQ181" s="452"/>
      <c r="AR181" s="452"/>
      <c r="AS181" s="452"/>
      <c r="AT181" s="452"/>
      <c r="AU181" s="452"/>
      <c r="AV181" s="452"/>
      <c r="AW181" s="452"/>
      <c r="AX181" s="452"/>
      <c r="AY181" s="452"/>
      <c r="AZ181" s="452"/>
      <c r="BA181" s="452"/>
      <c r="BB181" s="452"/>
      <c r="BC181" s="452"/>
      <c r="BD181" s="452"/>
      <c r="BE181" s="452"/>
      <c r="BF181" s="452"/>
      <c r="BG181" s="452"/>
      <c r="BH181" s="452"/>
      <c r="BI181" s="452"/>
      <c r="BJ181" s="452"/>
      <c r="BK181" s="452"/>
      <c r="BL181" s="452"/>
      <c r="BM181" s="452"/>
      <c r="BN181" s="452"/>
      <c r="BO181" s="452"/>
      <c r="BP181" s="452"/>
      <c r="BQ181" s="452"/>
      <c r="BR181" s="452"/>
      <c r="BS181" s="452"/>
      <c r="BT181" s="452"/>
      <c r="BU181" s="452"/>
      <c r="BV181" s="452"/>
      <c r="BW181" s="452"/>
      <c r="BX181" s="452"/>
      <c r="BY181" s="452"/>
    </row>
    <row r="182" spans="1:77">
      <c r="A182" s="1157"/>
      <c r="B182" s="640">
        <f t="shared" si="161"/>
        <v>39685.039370078855</v>
      </c>
      <c r="C182" s="742">
        <f t="shared" si="162"/>
        <v>12</v>
      </c>
      <c r="D182" s="624">
        <f>IF(AND($AX$151 &gt; 0, $C182 = FLOOR($AX$151+1, 1)), 'TCO Calculation'!E$91*'TCO Calculation'!E$92*'TCO Calculation'!E$89, 0) + IF(AND($AV$151 &gt; 0, $C182 = FLOOR($AV$151+1, 1)), 'TCO Calculation'!E$96*'TCO Calculation'!E$97*'TCO Calculation'!E$93, 0)</f>
        <v>0</v>
      </c>
      <c r="E182" s="625">
        <f>IF(AND($AX$151 &gt; 0, $C182 = FLOOR($AX$151+1, 1)), 'TCO Calculation'!F$91*'TCO Calculation'!F$92*'TCO Calculation'!F$89, 0) + IF(AND($AV$151 &gt; 0, $C182 = FLOOR($AV$151+1, 1)), 'TCO Calculation'!F$96*'TCO Calculation'!F$97*'TCO Calculation'!F$93, 0)</f>
        <v>0</v>
      </c>
      <c r="F182" s="625">
        <f>IF(AND($AX$151 &gt; 0, $C182 = FLOOR($AX$151+1, 1)), 'TCO Calculation'!G$91*'TCO Calculation'!G$92*'TCO Calculation'!G$89, 0) + IF(AND($AV$151 &gt; 0, $C182 = FLOOR($AV$151+1, 1)), 'TCO Calculation'!G$96*'TCO Calculation'!G$97*'TCO Calculation'!G$93, 0)</f>
        <v>0</v>
      </c>
      <c r="G182" s="626">
        <f>IF(AND($AX$151 &gt; 0, $C182 = FLOOR($AX$151+1, 1)), 'TCO Calculation'!H$91*'TCO Calculation'!H$92*'TCO Calculation'!H$89, 0) + IF(AND($AV$151 &gt; 0, $C182 = FLOOR($AV$151+1, 1)), 'TCO Calculation'!H$96*'TCO Calculation'!H$97*'TCO Calculation'!H$93, 0)</f>
        <v>0</v>
      </c>
      <c r="H182" s="626">
        <f>IF(AND($AX$151 &gt; 0, $C182 = FLOOR($AX$151+1, 1)), 'TCO Calculation'!I$91*'TCO Calculation'!I$92*'TCO Calculation'!I$89, 0) + IF(AND($AV$151 &gt; 0, $C182 = FLOOR($AV$151+1, 1)), 'TCO Calculation'!I$96*'TCO Calculation'!I$97*'TCO Calculation'!I$93, 0)</f>
        <v>0</v>
      </c>
      <c r="I182" s="626">
        <f>IF(AND($AX$151 &gt; 0, $C182 = FLOOR($AX$151+1, 1)), 'TCO Calculation'!J$91*'TCO Calculation'!J$92*'TCO Calculation'!J$89, 0) + IF(AND($AV$151 &gt; 0, $C182 = FLOOR($AV$151+1, 1)), 'TCO Calculation'!J$96*'TCO Calculation'!J$97*'TCO Calculation'!J$93, 0)</f>
        <v>0</v>
      </c>
      <c r="J182" s="627">
        <f>IF(AND($AX$151 &gt; 0, $C182 = FLOOR($AX$151+1, 1)), 'TCO Calculation'!K$91*'TCO Calculation'!K$92*'TCO Calculation'!K$89, 0) + IF(AND($AV$151 &gt; 0, $C182 = FLOOR($AV$151+1, 1)), 'TCO Calculation'!K$96*'TCO Calculation'!K$97*'TCO Calculation'!K$93, 0)</f>
        <v>0</v>
      </c>
      <c r="K182" s="452"/>
      <c r="L182" s="1157"/>
      <c r="M182" s="640">
        <f t="shared" si="163"/>
        <v>39685.039370078855</v>
      </c>
      <c r="N182" s="742">
        <f t="shared" si="163"/>
        <v>12</v>
      </c>
      <c r="O182" s="625">
        <f t="shared" si="164"/>
        <v>0</v>
      </c>
      <c r="P182" s="625">
        <f t="shared" si="165"/>
        <v>0</v>
      </c>
      <c r="Q182" s="625">
        <f t="shared" si="166"/>
        <v>0</v>
      </c>
      <c r="R182" s="625">
        <f t="shared" si="167"/>
        <v>0</v>
      </c>
      <c r="S182" s="625">
        <f t="shared" si="168"/>
        <v>0</v>
      </c>
      <c r="T182" s="625">
        <f t="shared" si="169"/>
        <v>0</v>
      </c>
      <c r="U182" s="627">
        <f t="shared" si="170"/>
        <v>0</v>
      </c>
      <c r="V182" s="452"/>
      <c r="W182" s="1153"/>
      <c r="X182" s="640">
        <f t="shared" si="171"/>
        <v>39685.039370078855</v>
      </c>
      <c r="Y182" s="645">
        <f t="shared" si="172"/>
        <v>12</v>
      </c>
      <c r="Z182" s="624">
        <f t="shared" si="179"/>
        <v>0</v>
      </c>
      <c r="AA182" s="625">
        <f t="shared" si="173"/>
        <v>0</v>
      </c>
      <c r="AB182" s="626">
        <f t="shared" si="174"/>
        <v>0</v>
      </c>
      <c r="AC182" s="625">
        <f t="shared" si="175"/>
        <v>0</v>
      </c>
      <c r="AD182" s="626">
        <f t="shared" si="176"/>
        <v>0</v>
      </c>
      <c r="AE182" s="625">
        <f t="shared" si="177"/>
        <v>0</v>
      </c>
      <c r="AF182" s="627">
        <f t="shared" si="178"/>
        <v>0</v>
      </c>
      <c r="AG182" s="452"/>
      <c r="AH182" s="452"/>
      <c r="AI182" s="452"/>
      <c r="AJ182" s="452"/>
      <c r="AK182" s="452"/>
      <c r="AL182" s="452"/>
      <c r="AM182" s="452"/>
      <c r="AN182" s="452"/>
      <c r="AO182" s="452"/>
      <c r="AP182" s="452"/>
      <c r="AQ182" s="452"/>
      <c r="AR182" s="452"/>
      <c r="AS182" s="452"/>
      <c r="AT182" s="452"/>
      <c r="AU182" s="452"/>
      <c r="AV182" s="452"/>
      <c r="AW182" s="452"/>
      <c r="AX182" s="452"/>
      <c r="AY182" s="452"/>
      <c r="AZ182" s="452"/>
      <c r="BA182" s="452"/>
      <c r="BB182" s="452"/>
      <c r="BC182" s="452"/>
      <c r="BD182" s="452"/>
      <c r="BE182" s="452"/>
      <c r="BF182" s="452"/>
      <c r="BG182" s="452"/>
      <c r="BH182" s="452"/>
      <c r="BI182" s="452"/>
      <c r="BJ182" s="452"/>
      <c r="BK182" s="452"/>
      <c r="BL182" s="452"/>
      <c r="BM182" s="452"/>
      <c r="BN182" s="452"/>
      <c r="BO182" s="452"/>
      <c r="BP182" s="452"/>
      <c r="BQ182" s="452"/>
      <c r="BR182" s="452"/>
      <c r="BS182" s="452"/>
      <c r="BT182" s="452"/>
      <c r="BU182" s="452"/>
      <c r="BV182" s="452"/>
      <c r="BW182" s="452"/>
      <c r="BX182" s="452"/>
      <c r="BY182" s="452"/>
    </row>
    <row r="183" spans="1:77">
      <c r="A183" s="1157"/>
      <c r="B183" s="640">
        <f t="shared" si="161"/>
        <v>34960.629921259933</v>
      </c>
      <c r="C183" s="742">
        <f t="shared" si="162"/>
        <v>13</v>
      </c>
      <c r="D183" s="624">
        <f>IF(AND($AX$151 &gt; 0, $C183 = FLOOR($AX$151+1, 1)), 'TCO Calculation'!E$91*'TCO Calculation'!E$92*'TCO Calculation'!E$89, 0) + IF(AND($AV$151 &gt; 0, $C183 = FLOOR($AV$151+1, 1)), 'TCO Calculation'!E$96*'TCO Calculation'!E$97*'TCO Calculation'!E$93, 0)</f>
        <v>0</v>
      </c>
      <c r="E183" s="625">
        <f>IF(AND($AX$151 &gt; 0, $C183 = FLOOR($AX$151+1, 1)), 'TCO Calculation'!F$91*'TCO Calculation'!F$92*'TCO Calculation'!F$89, 0) + IF(AND($AV$151 &gt; 0, $C183 = FLOOR($AV$151+1, 1)), 'TCO Calculation'!F$96*'TCO Calculation'!F$97*'TCO Calculation'!F$93, 0)</f>
        <v>0</v>
      </c>
      <c r="F183" s="625">
        <f>IF(AND($AX$151 &gt; 0, $C183 = FLOOR($AX$151+1, 1)), 'TCO Calculation'!G$91*'TCO Calculation'!G$92*'TCO Calculation'!G$89, 0) + IF(AND($AV$151 &gt; 0, $C183 = FLOOR($AV$151+1, 1)), 'TCO Calculation'!G$96*'TCO Calculation'!G$97*'TCO Calculation'!G$93, 0)</f>
        <v>0</v>
      </c>
      <c r="G183" s="626">
        <f>IF(AND($AX$151 &gt; 0, $C183 = FLOOR($AX$151+1, 1)), 'TCO Calculation'!H$91*'TCO Calculation'!H$92*'TCO Calculation'!H$89, 0) + IF(AND($AV$151 &gt; 0, $C183 = FLOOR($AV$151+1, 1)), 'TCO Calculation'!H$96*'TCO Calculation'!H$97*'TCO Calculation'!H$93, 0)</f>
        <v>0</v>
      </c>
      <c r="H183" s="626">
        <f>IF(AND($AX$151 &gt; 0, $C183 = FLOOR($AX$151+1, 1)), 'TCO Calculation'!I$91*'TCO Calculation'!I$92*'TCO Calculation'!I$89, 0) + IF(AND($AV$151 &gt; 0, $C183 = FLOOR($AV$151+1, 1)), 'TCO Calculation'!I$96*'TCO Calculation'!I$97*'TCO Calculation'!I$93, 0)</f>
        <v>0</v>
      </c>
      <c r="I183" s="626">
        <f>IF(AND($AX$151 &gt; 0, $C183 = FLOOR($AX$151+1, 1)), 'TCO Calculation'!J$91*'TCO Calculation'!J$92*'TCO Calculation'!J$89, 0) + IF(AND($AV$151 &gt; 0, $C183 = FLOOR($AV$151+1, 1)), 'TCO Calculation'!J$96*'TCO Calculation'!J$97*'TCO Calculation'!J$93, 0)</f>
        <v>0</v>
      </c>
      <c r="J183" s="627">
        <f>IF(AND($AX$151 &gt; 0, $C183 = FLOOR($AX$151+1, 1)), 'TCO Calculation'!K$91*'TCO Calculation'!K$92*'TCO Calculation'!K$89, 0) + IF(AND($AV$151 &gt; 0, $C183 = FLOOR($AV$151+1, 1)), 'TCO Calculation'!K$96*'TCO Calculation'!K$97*'TCO Calculation'!K$93, 0)</f>
        <v>0</v>
      </c>
      <c r="K183" s="452"/>
      <c r="L183" s="1157"/>
      <c r="M183" s="640">
        <f t="shared" si="163"/>
        <v>34960.629921259933</v>
      </c>
      <c r="N183" s="742">
        <f t="shared" si="163"/>
        <v>13</v>
      </c>
      <c r="O183" s="625">
        <f t="shared" si="164"/>
        <v>0</v>
      </c>
      <c r="P183" s="625">
        <f t="shared" si="165"/>
        <v>0</v>
      </c>
      <c r="Q183" s="625">
        <f t="shared" si="166"/>
        <v>0</v>
      </c>
      <c r="R183" s="625">
        <f t="shared" si="167"/>
        <v>0</v>
      </c>
      <c r="S183" s="625">
        <f t="shared" si="168"/>
        <v>0</v>
      </c>
      <c r="T183" s="625">
        <f t="shared" si="169"/>
        <v>0</v>
      </c>
      <c r="U183" s="627">
        <f t="shared" si="170"/>
        <v>0</v>
      </c>
      <c r="V183" s="452"/>
      <c r="W183" s="1153"/>
      <c r="X183" s="640">
        <f t="shared" si="171"/>
        <v>34960.629921259933</v>
      </c>
      <c r="Y183" s="645">
        <f t="shared" si="172"/>
        <v>13</v>
      </c>
      <c r="Z183" s="624">
        <f t="shared" si="179"/>
        <v>0</v>
      </c>
      <c r="AA183" s="625">
        <f t="shared" si="173"/>
        <v>0</v>
      </c>
      <c r="AB183" s="626">
        <f t="shared" si="174"/>
        <v>0</v>
      </c>
      <c r="AC183" s="625">
        <f t="shared" si="175"/>
        <v>0</v>
      </c>
      <c r="AD183" s="626">
        <f t="shared" si="176"/>
        <v>0</v>
      </c>
      <c r="AE183" s="625">
        <f t="shared" si="177"/>
        <v>0</v>
      </c>
      <c r="AF183" s="627">
        <f t="shared" si="178"/>
        <v>0</v>
      </c>
      <c r="AG183" s="452"/>
      <c r="AH183" s="452"/>
      <c r="AI183" s="452"/>
      <c r="AJ183" s="452"/>
      <c r="AK183" s="452"/>
      <c r="AL183" s="452"/>
      <c r="AM183" s="452"/>
      <c r="AN183" s="452"/>
      <c r="AO183" s="452"/>
      <c r="AP183" s="452"/>
      <c r="AQ183" s="452"/>
      <c r="AR183" s="452"/>
      <c r="AS183" s="452"/>
      <c r="AT183" s="452"/>
      <c r="AU183" s="452"/>
      <c r="AV183" s="452"/>
      <c r="AW183" s="452"/>
      <c r="AX183" s="452"/>
      <c r="AY183" s="452"/>
      <c r="AZ183" s="452"/>
      <c r="BA183" s="452"/>
      <c r="BB183" s="452"/>
      <c r="BC183" s="452"/>
      <c r="BD183" s="452"/>
      <c r="BE183" s="452"/>
      <c r="BF183" s="452"/>
      <c r="BG183" s="452"/>
      <c r="BH183" s="452"/>
      <c r="BI183" s="452"/>
      <c r="BJ183" s="452"/>
      <c r="BK183" s="452"/>
      <c r="BL183" s="452"/>
      <c r="BM183" s="452"/>
      <c r="BN183" s="452"/>
      <c r="BO183" s="452"/>
      <c r="BP183" s="452"/>
      <c r="BQ183" s="452"/>
      <c r="BR183" s="452"/>
      <c r="BS183" s="452"/>
      <c r="BT183" s="452"/>
      <c r="BU183" s="452"/>
      <c r="BV183" s="452"/>
      <c r="BW183" s="452"/>
      <c r="BX183" s="452"/>
      <c r="BY183" s="452"/>
    </row>
    <row r="184" spans="1:77">
      <c r="A184" s="1157"/>
      <c r="B184" s="640">
        <f t="shared" si="161"/>
        <v>31496.062992126026</v>
      </c>
      <c r="C184" s="742">
        <f t="shared" si="162"/>
        <v>14</v>
      </c>
      <c r="D184" s="624">
        <f>IF(AND($AX$151 &gt; 0, $C184 = FLOOR($AX$151+1, 1)), 'TCO Calculation'!E$91*'TCO Calculation'!E$92*'TCO Calculation'!E$89, 0) + IF(AND($AV$151 &gt; 0, $C184 = FLOOR($AV$151+1, 1)), 'TCO Calculation'!E$96*'TCO Calculation'!E$97*'TCO Calculation'!E$93, 0)</f>
        <v>0</v>
      </c>
      <c r="E184" s="625">
        <f>IF(AND($AX$151 &gt; 0, $C184 = FLOOR($AX$151+1, 1)), 'TCO Calculation'!F$91*'TCO Calculation'!F$92*'TCO Calculation'!F$89, 0) + IF(AND($AV$151 &gt; 0, $C184 = FLOOR($AV$151+1, 1)), 'TCO Calculation'!F$96*'TCO Calculation'!F$97*'TCO Calculation'!F$93, 0)</f>
        <v>0</v>
      </c>
      <c r="F184" s="625">
        <f>IF(AND($AX$151 &gt; 0, $C184 = FLOOR($AX$151+1, 1)), 'TCO Calculation'!G$91*'TCO Calculation'!G$92*'TCO Calculation'!G$89, 0) + IF(AND($AV$151 &gt; 0, $C184 = FLOOR($AV$151+1, 1)), 'TCO Calculation'!G$96*'TCO Calculation'!G$97*'TCO Calculation'!G$93, 0)</f>
        <v>0</v>
      </c>
      <c r="G184" s="626">
        <f>IF(AND($AX$151 &gt; 0, $C184 = FLOOR($AX$151+1, 1)), 'TCO Calculation'!H$91*'TCO Calculation'!H$92*'TCO Calculation'!H$89, 0) + IF(AND($AV$151 &gt; 0, $C184 = FLOOR($AV$151+1, 1)), 'TCO Calculation'!H$96*'TCO Calculation'!H$97*'TCO Calculation'!H$93, 0)</f>
        <v>0</v>
      </c>
      <c r="H184" s="626">
        <f>IF(AND($AX$151 &gt; 0, $C184 = FLOOR($AX$151+1, 1)), 'TCO Calculation'!I$91*'TCO Calculation'!I$92*'TCO Calculation'!I$89, 0) + IF(AND($AV$151 &gt; 0, $C184 = FLOOR($AV$151+1, 1)), 'TCO Calculation'!I$96*'TCO Calculation'!I$97*'TCO Calculation'!I$93, 0)</f>
        <v>0</v>
      </c>
      <c r="I184" s="626">
        <f>IF(AND($AX$151 &gt; 0, $C184 = FLOOR($AX$151+1, 1)), 'TCO Calculation'!J$91*'TCO Calculation'!J$92*'TCO Calculation'!J$89, 0) + IF(AND($AV$151 &gt; 0, $C184 = FLOOR($AV$151+1, 1)), 'TCO Calculation'!J$96*'TCO Calculation'!J$97*'TCO Calculation'!J$93, 0)</f>
        <v>0</v>
      </c>
      <c r="J184" s="627">
        <f>IF(AND($AX$151 &gt; 0, $C184 = FLOOR($AX$151+1, 1)), 'TCO Calculation'!K$91*'TCO Calculation'!K$92*'TCO Calculation'!K$89, 0) + IF(AND($AV$151 &gt; 0, $C184 = FLOOR($AV$151+1, 1)), 'TCO Calculation'!K$96*'TCO Calculation'!K$97*'TCO Calculation'!K$93, 0)</f>
        <v>0</v>
      </c>
      <c r="K184" s="452"/>
      <c r="L184" s="1157"/>
      <c r="M184" s="640">
        <f t="shared" si="163"/>
        <v>31496.062992126026</v>
      </c>
      <c r="N184" s="742">
        <f t="shared" si="163"/>
        <v>14</v>
      </c>
      <c r="O184" s="625">
        <f t="shared" si="164"/>
        <v>0</v>
      </c>
      <c r="P184" s="625">
        <f t="shared" si="165"/>
        <v>0</v>
      </c>
      <c r="Q184" s="625">
        <f t="shared" si="166"/>
        <v>0</v>
      </c>
      <c r="R184" s="625">
        <f t="shared" si="167"/>
        <v>0</v>
      </c>
      <c r="S184" s="625">
        <f t="shared" si="168"/>
        <v>0</v>
      </c>
      <c r="T184" s="625">
        <f t="shared" si="169"/>
        <v>0</v>
      </c>
      <c r="U184" s="627">
        <f t="shared" si="170"/>
        <v>0</v>
      </c>
      <c r="V184" s="452"/>
      <c r="W184" s="1153"/>
      <c r="X184" s="640">
        <f t="shared" si="171"/>
        <v>31496.062992126026</v>
      </c>
      <c r="Y184" s="645">
        <f t="shared" si="172"/>
        <v>14</v>
      </c>
      <c r="Z184" s="624">
        <f t="shared" si="179"/>
        <v>0</v>
      </c>
      <c r="AA184" s="625">
        <f t="shared" si="173"/>
        <v>0</v>
      </c>
      <c r="AB184" s="626">
        <f t="shared" si="174"/>
        <v>0</v>
      </c>
      <c r="AC184" s="625">
        <f t="shared" si="175"/>
        <v>0</v>
      </c>
      <c r="AD184" s="626">
        <f t="shared" si="176"/>
        <v>0</v>
      </c>
      <c r="AE184" s="625">
        <f t="shared" si="177"/>
        <v>0</v>
      </c>
      <c r="AF184" s="627">
        <f t="shared" si="178"/>
        <v>0</v>
      </c>
      <c r="AG184" s="452"/>
      <c r="AH184" s="452"/>
      <c r="AI184" s="452"/>
      <c r="AJ184" s="452"/>
      <c r="AK184" s="452"/>
      <c r="AL184" s="452"/>
      <c r="AM184" s="452"/>
      <c r="AN184" s="452"/>
      <c r="AO184" s="452"/>
      <c r="AP184" s="452"/>
      <c r="AQ184" s="452"/>
      <c r="AR184" s="452"/>
      <c r="AS184" s="452"/>
      <c r="AT184" s="452"/>
      <c r="AU184" s="452"/>
      <c r="AV184" s="452"/>
      <c r="AW184" s="452"/>
      <c r="AX184" s="452"/>
      <c r="AY184" s="452"/>
      <c r="AZ184" s="452"/>
      <c r="BA184" s="452"/>
      <c r="BB184" s="452"/>
      <c r="BC184" s="452"/>
      <c r="BD184" s="452"/>
      <c r="BE184" s="452"/>
      <c r="BF184" s="452"/>
      <c r="BG184" s="452"/>
      <c r="BH184" s="452"/>
      <c r="BI184" s="452"/>
      <c r="BJ184" s="452"/>
      <c r="BK184" s="452"/>
      <c r="BL184" s="452"/>
      <c r="BM184" s="452"/>
      <c r="BN184" s="452"/>
      <c r="BO184" s="452"/>
      <c r="BP184" s="452"/>
      <c r="BQ184" s="452"/>
      <c r="BR184" s="452"/>
      <c r="BS184" s="452"/>
      <c r="BT184" s="452"/>
      <c r="BU184" s="452"/>
      <c r="BV184" s="452"/>
      <c r="BW184" s="452"/>
      <c r="BX184" s="452"/>
      <c r="BY184" s="452"/>
    </row>
    <row r="185" spans="1:77" ht="15" thickBot="1">
      <c r="A185" s="1158"/>
      <c r="B185" s="672">
        <f t="shared" si="161"/>
        <v>27716.53543307096</v>
      </c>
      <c r="C185" s="743">
        <f t="shared" si="162"/>
        <v>15</v>
      </c>
      <c r="D185" s="632">
        <f>IF(AND($AX$151 &gt; 0, $C185 = FLOOR($AX$151+1, 1)), 'TCO Calculation'!E$91*'TCO Calculation'!E$92*'TCO Calculation'!E$89, 0) + IF(AND($AV$151 &gt; 0, $C185 = FLOOR($AV$151+1, 1)), 'TCO Calculation'!E$96*'TCO Calculation'!E$97*'TCO Calculation'!E$93, 0)</f>
        <v>0</v>
      </c>
      <c r="E185" s="633">
        <f>IF(AND($AX$151 &gt; 0, $C185 = FLOOR($AX$151+1, 1)), 'TCO Calculation'!F$91*'TCO Calculation'!F$92*'TCO Calculation'!F$89, 0) + IF(AND($AV$151 &gt; 0, $C185 = FLOOR($AV$151+1, 1)), 'TCO Calculation'!F$96*'TCO Calculation'!F$97*'TCO Calculation'!F$93, 0)</f>
        <v>0</v>
      </c>
      <c r="F185" s="633">
        <f>IF(AND($AX$151 &gt; 0, $C185 = FLOOR($AX$151+1, 1)), 'TCO Calculation'!G$91*'TCO Calculation'!G$92*'TCO Calculation'!G$89, 0) + IF(AND($AV$151 &gt; 0, $C185 = FLOOR($AV$151+1, 1)), 'TCO Calculation'!G$96*'TCO Calculation'!G$97*'TCO Calculation'!G$93, 0)</f>
        <v>0</v>
      </c>
      <c r="G185" s="634">
        <f>IF(AND($AX$151 &gt; 0, $C185 = FLOOR($AX$151+1, 1)), 'TCO Calculation'!H$91*'TCO Calculation'!H$92*'TCO Calculation'!H$89, 0) + IF(AND($AV$151 &gt; 0, $C185 = FLOOR($AV$151+1, 1)), 'TCO Calculation'!H$96*'TCO Calculation'!H$97*'TCO Calculation'!H$93, 0)</f>
        <v>0</v>
      </c>
      <c r="H185" s="634">
        <f>IF(AND($AX$151 &gt; 0, $C185 = FLOOR($AX$151+1, 1)), 'TCO Calculation'!I$91*'TCO Calculation'!I$92*'TCO Calculation'!I$89, 0) + IF(AND($AV$151 &gt; 0, $C185 = FLOOR($AV$151+1, 1)), 'TCO Calculation'!I$96*'TCO Calculation'!I$97*'TCO Calculation'!I$93, 0)</f>
        <v>0</v>
      </c>
      <c r="I185" s="634">
        <f>IF(AND($AX$151 &gt; 0, $C185 = FLOOR($AX$151+1, 1)), 'TCO Calculation'!J$91*'TCO Calculation'!J$92*'TCO Calculation'!J$89, 0) + IF(AND($AV$151 &gt; 0, $C185 = FLOOR($AV$151+1, 1)), 'TCO Calculation'!J$96*'TCO Calculation'!J$97*'TCO Calculation'!J$93, 0)</f>
        <v>0</v>
      </c>
      <c r="J185" s="635">
        <f>IF(AND($AX$151 &gt; 0, $C185 = FLOOR($AX$151+1, 1)), 'TCO Calculation'!K$91*'TCO Calculation'!K$92*'TCO Calculation'!K$89, 0) + IF(AND($AV$151 &gt; 0, $C185 = FLOOR($AV$151+1, 1)), 'TCO Calculation'!K$96*'TCO Calculation'!K$97*'TCO Calculation'!K$93, 0)</f>
        <v>0</v>
      </c>
      <c r="K185" s="452"/>
      <c r="L185" s="1158"/>
      <c r="M185" s="672">
        <f t="shared" si="163"/>
        <v>27716.53543307096</v>
      </c>
      <c r="N185" s="743">
        <f t="shared" si="163"/>
        <v>15</v>
      </c>
      <c r="O185" s="633">
        <f t="shared" si="164"/>
        <v>0</v>
      </c>
      <c r="P185" s="633">
        <f t="shared" si="165"/>
        <v>0</v>
      </c>
      <c r="Q185" s="633">
        <f t="shared" si="166"/>
        <v>0</v>
      </c>
      <c r="R185" s="633">
        <f t="shared" si="167"/>
        <v>0</v>
      </c>
      <c r="S185" s="633">
        <f t="shared" si="168"/>
        <v>0</v>
      </c>
      <c r="T185" s="633">
        <f t="shared" si="169"/>
        <v>0</v>
      </c>
      <c r="U185" s="635">
        <f t="shared" si="170"/>
        <v>0</v>
      </c>
      <c r="V185" s="452"/>
      <c r="W185" s="1153"/>
      <c r="X185" s="640">
        <f t="shared" si="171"/>
        <v>27716.53543307096</v>
      </c>
      <c r="Y185" s="646">
        <f t="shared" si="172"/>
        <v>15</v>
      </c>
      <c r="Z185" s="624">
        <f t="shared" si="179"/>
        <v>0</v>
      </c>
      <c r="AA185" s="625">
        <f t="shared" si="173"/>
        <v>0</v>
      </c>
      <c r="AB185" s="626">
        <f t="shared" si="174"/>
        <v>0</v>
      </c>
      <c r="AC185" s="625">
        <f t="shared" si="175"/>
        <v>0</v>
      </c>
      <c r="AD185" s="626">
        <f t="shared" si="176"/>
        <v>0</v>
      </c>
      <c r="AE185" s="625">
        <f t="shared" si="177"/>
        <v>0</v>
      </c>
      <c r="AF185" s="627">
        <f t="shared" si="178"/>
        <v>0</v>
      </c>
      <c r="AG185" s="452"/>
      <c r="AH185" s="452"/>
      <c r="AI185" s="452"/>
      <c r="AJ185" s="452"/>
      <c r="AK185" s="452"/>
      <c r="AL185" s="452"/>
      <c r="AM185" s="452"/>
      <c r="AN185" s="452"/>
      <c r="AO185" s="452"/>
      <c r="AP185" s="452"/>
      <c r="AQ185" s="452"/>
      <c r="AR185" s="452"/>
      <c r="AS185" s="452"/>
      <c r="AT185" s="452"/>
      <c r="AU185" s="452"/>
      <c r="AV185" s="452"/>
      <c r="AW185" s="452"/>
      <c r="AX185" s="452"/>
      <c r="AY185" s="452"/>
      <c r="AZ185" s="452"/>
      <c r="BA185" s="452"/>
      <c r="BB185" s="452"/>
      <c r="BC185" s="452"/>
      <c r="BD185" s="452"/>
      <c r="BE185" s="452"/>
      <c r="BF185" s="452"/>
      <c r="BG185" s="452"/>
      <c r="BH185" s="452"/>
      <c r="BI185" s="452"/>
      <c r="BJ185" s="452"/>
      <c r="BK185" s="452"/>
      <c r="BL185" s="452"/>
      <c r="BM185" s="452"/>
      <c r="BN185" s="452"/>
      <c r="BO185" s="452"/>
      <c r="BP185" s="452"/>
      <c r="BQ185" s="452"/>
      <c r="BR185" s="452"/>
      <c r="BS185" s="452"/>
      <c r="BT185" s="452"/>
      <c r="BU185" s="452"/>
      <c r="BV185" s="452"/>
      <c r="BW185" s="452"/>
      <c r="BX185" s="452"/>
      <c r="BY185" s="452"/>
    </row>
    <row r="186" spans="1:77" ht="15" thickBot="1">
      <c r="A186" s="452"/>
      <c r="B186" s="452"/>
      <c r="C186" s="452"/>
      <c r="D186" s="636">
        <f>SUM(D170:D185)</f>
        <v>0</v>
      </c>
      <c r="E186" s="637">
        <f t="shared" ref="E186:J186" si="180">SUM(E170:E185)</f>
        <v>0</v>
      </c>
      <c r="F186" s="637">
        <f t="shared" ref="F186" si="181">SUM(F170:F185)</f>
        <v>0</v>
      </c>
      <c r="G186" s="638">
        <f t="shared" si="180"/>
        <v>0</v>
      </c>
      <c r="H186" s="638">
        <f t="shared" si="180"/>
        <v>0</v>
      </c>
      <c r="I186" s="638">
        <f t="shared" si="180"/>
        <v>0</v>
      </c>
      <c r="J186" s="639">
        <f t="shared" si="180"/>
        <v>0</v>
      </c>
      <c r="K186" s="452"/>
      <c r="L186" s="452"/>
      <c r="M186" s="452"/>
      <c r="N186" s="452"/>
      <c r="O186" s="636">
        <f>SUM(O170:O185)</f>
        <v>0</v>
      </c>
      <c r="P186" s="637">
        <f t="shared" ref="P186:U186" si="182">SUM(P170:P185)</f>
        <v>0</v>
      </c>
      <c r="Q186" s="637">
        <f t="shared" si="182"/>
        <v>0</v>
      </c>
      <c r="R186" s="638">
        <f t="shared" si="182"/>
        <v>0</v>
      </c>
      <c r="S186" s="638">
        <f t="shared" si="182"/>
        <v>0</v>
      </c>
      <c r="T186" s="638">
        <f t="shared" si="182"/>
        <v>0</v>
      </c>
      <c r="U186" s="639">
        <f t="shared" si="182"/>
        <v>0</v>
      </c>
      <c r="V186" s="452"/>
      <c r="W186" s="1154"/>
      <c r="X186" s="1150" t="s">
        <v>110</v>
      </c>
      <c r="Y186" s="1151"/>
      <c r="Z186" s="636">
        <f t="shared" si="179"/>
        <v>0</v>
      </c>
      <c r="AA186" s="637">
        <f t="shared" si="173"/>
        <v>0</v>
      </c>
      <c r="AB186" s="638">
        <f t="shared" si="174"/>
        <v>0</v>
      </c>
      <c r="AC186" s="637">
        <f t="shared" si="175"/>
        <v>0</v>
      </c>
      <c r="AD186" s="638">
        <f t="shared" si="176"/>
        <v>0</v>
      </c>
      <c r="AE186" s="637">
        <f t="shared" si="177"/>
        <v>0</v>
      </c>
      <c r="AF186" s="639">
        <f t="shared" si="178"/>
        <v>0</v>
      </c>
      <c r="AG186" s="452"/>
      <c r="AH186" s="452"/>
      <c r="AI186" s="452"/>
      <c r="AJ186" s="452"/>
      <c r="AK186" s="452"/>
      <c r="AL186" s="452"/>
      <c r="AM186" s="452"/>
      <c r="AN186" s="452"/>
      <c r="AO186" s="452"/>
      <c r="AP186" s="452"/>
      <c r="AQ186" s="452"/>
      <c r="AR186" s="452"/>
      <c r="AS186" s="452"/>
      <c r="AT186" s="452"/>
      <c r="AU186" s="452"/>
      <c r="AV186" s="452"/>
      <c r="AW186" s="452"/>
      <c r="AX186" s="452"/>
      <c r="AY186" s="452"/>
      <c r="AZ186" s="452"/>
      <c r="BA186" s="452"/>
      <c r="BB186" s="452"/>
      <c r="BC186" s="452"/>
      <c r="BD186" s="452"/>
      <c r="BE186" s="452"/>
      <c r="BF186" s="452"/>
      <c r="BG186" s="452"/>
      <c r="BH186" s="452"/>
      <c r="BI186" s="452"/>
      <c r="BJ186" s="452"/>
      <c r="BK186" s="452"/>
      <c r="BL186" s="452"/>
      <c r="BM186" s="452"/>
      <c r="BN186" s="452"/>
      <c r="BO186" s="452"/>
      <c r="BP186" s="452"/>
      <c r="BQ186" s="452"/>
      <c r="BR186" s="452"/>
      <c r="BS186" s="452"/>
      <c r="BT186" s="452"/>
      <c r="BU186" s="452"/>
      <c r="BV186" s="452"/>
      <c r="BW186" s="452"/>
      <c r="BX186" s="452"/>
      <c r="BY186" s="452"/>
    </row>
    <row r="187" spans="1:77" ht="15" thickBot="1">
      <c r="A187" s="452"/>
      <c r="B187" s="452"/>
      <c r="C187" s="452"/>
      <c r="D187" s="452"/>
      <c r="E187" s="452"/>
      <c r="F187" s="452"/>
      <c r="G187" s="452"/>
      <c r="H187" s="452"/>
      <c r="I187" s="452"/>
      <c r="J187" s="452"/>
      <c r="K187" s="452"/>
      <c r="L187" s="452"/>
      <c r="M187" s="452"/>
      <c r="N187" s="452"/>
      <c r="O187" s="452"/>
      <c r="P187" s="452"/>
      <c r="Q187" s="452"/>
      <c r="R187" s="452"/>
      <c r="S187" s="452"/>
      <c r="T187" s="452"/>
      <c r="U187" s="452"/>
      <c r="V187" s="452"/>
      <c r="W187" s="452"/>
      <c r="X187" s="452"/>
      <c r="Y187" s="452"/>
      <c r="Z187" s="452"/>
      <c r="AA187" s="452"/>
      <c r="AB187" s="452"/>
      <c r="AC187" s="452"/>
      <c r="AD187" s="452"/>
      <c r="AE187" s="452"/>
      <c r="AF187" s="452"/>
      <c r="AG187" s="452"/>
      <c r="AH187" s="452"/>
      <c r="AI187" s="452"/>
      <c r="AJ187" s="452"/>
      <c r="AK187" s="452"/>
      <c r="AL187" s="452"/>
      <c r="AM187" s="452"/>
      <c r="AN187" s="452"/>
      <c r="AO187" s="452"/>
      <c r="AP187" s="452"/>
      <c r="AQ187" s="452"/>
      <c r="AR187" s="452"/>
      <c r="AS187" s="452"/>
      <c r="AT187" s="452"/>
      <c r="BE187" s="452"/>
      <c r="BF187" s="452"/>
      <c r="BG187" s="452"/>
      <c r="BH187" s="452"/>
      <c r="BI187" s="452"/>
      <c r="BJ187" s="452"/>
      <c r="BK187" s="452"/>
      <c r="BL187" s="452"/>
      <c r="BM187" s="452"/>
      <c r="BN187" s="452"/>
      <c r="BO187" s="452"/>
      <c r="BP187" s="452"/>
      <c r="BQ187" s="452"/>
      <c r="BR187" s="452"/>
      <c r="BS187" s="452"/>
      <c r="BT187" s="452"/>
      <c r="BU187" s="452"/>
      <c r="BV187" s="452"/>
      <c r="BW187" s="452"/>
      <c r="BX187" s="452"/>
      <c r="BY187" s="452"/>
    </row>
    <row r="188" spans="1:77" ht="42.5" thickBot="1">
      <c r="A188" s="1156" t="s">
        <v>512</v>
      </c>
      <c r="B188" s="643" t="s">
        <v>487</v>
      </c>
      <c r="C188" s="644" t="s">
        <v>506</v>
      </c>
      <c r="D188" s="352" t="s">
        <v>454</v>
      </c>
      <c r="E188" s="609" t="s">
        <v>455</v>
      </c>
      <c r="F188" s="354" t="str">
        <f>$F$169</f>
        <v>Mobile Carbon Capture  90%</v>
      </c>
      <c r="G188" s="355" t="str">
        <f>$G$51</f>
        <v>BEV 250 mile</v>
      </c>
      <c r="H188" s="355" t="s">
        <v>445</v>
      </c>
      <c r="I188" s="973" t="s">
        <v>414</v>
      </c>
      <c r="J188" s="357" t="s">
        <v>413</v>
      </c>
      <c r="K188" s="452"/>
      <c r="L188" s="1156" t="s">
        <v>512</v>
      </c>
      <c r="M188" s="643" t="s">
        <v>487</v>
      </c>
      <c r="N188" s="644" t="s">
        <v>506</v>
      </c>
      <c r="O188" s="352" t="s">
        <v>454</v>
      </c>
      <c r="P188" s="609" t="s">
        <v>455</v>
      </c>
      <c r="Q188" s="354" t="str">
        <f>$Q$169</f>
        <v>Mobile Carbon Capture  90%</v>
      </c>
      <c r="R188" s="355" t="str">
        <f>$G$51</f>
        <v>BEV 250 mile</v>
      </c>
      <c r="S188" s="355" t="s">
        <v>445</v>
      </c>
      <c r="T188" s="973" t="s">
        <v>414</v>
      </c>
      <c r="U188" s="357" t="s">
        <v>413</v>
      </c>
      <c r="V188" s="452"/>
      <c r="W188" s="1152" t="s">
        <v>512</v>
      </c>
      <c r="X188" s="643" t="s">
        <v>487</v>
      </c>
      <c r="Y188" s="644" t="s">
        <v>506</v>
      </c>
      <c r="Z188" s="352" t="s">
        <v>454</v>
      </c>
      <c r="AA188" s="609" t="s">
        <v>552</v>
      </c>
      <c r="AB188" s="354" t="s">
        <v>553</v>
      </c>
      <c r="AC188" s="355" t="s">
        <v>523</v>
      </c>
      <c r="AD188" s="355" t="s">
        <v>445</v>
      </c>
      <c r="AE188" s="973" t="s">
        <v>414</v>
      </c>
      <c r="AF188" s="357" t="s">
        <v>413</v>
      </c>
      <c r="AG188" s="452"/>
      <c r="AH188" s="452"/>
      <c r="AI188" s="452"/>
      <c r="AJ188" s="452"/>
      <c r="AK188" s="452"/>
      <c r="AL188" s="452"/>
      <c r="AM188" s="452"/>
      <c r="AN188" s="452"/>
      <c r="AO188" s="452"/>
      <c r="AP188" s="452"/>
      <c r="AQ188" s="452"/>
      <c r="AR188" s="452"/>
      <c r="AS188" s="452"/>
      <c r="AT188" s="452"/>
      <c r="BE188" s="452"/>
      <c r="BF188" s="452"/>
      <c r="BG188" s="452"/>
      <c r="BH188" s="452"/>
      <c r="BI188" s="452"/>
      <c r="BJ188" s="452"/>
      <c r="BK188" s="452"/>
      <c r="BL188" s="452"/>
      <c r="BM188" s="452"/>
      <c r="BN188" s="452"/>
      <c r="BO188" s="452"/>
      <c r="BP188" s="452"/>
      <c r="BQ188" s="452"/>
      <c r="BR188" s="452"/>
      <c r="BS188" s="452"/>
      <c r="BT188" s="452"/>
      <c r="BU188" s="452"/>
      <c r="BV188" s="452"/>
      <c r="BW188" s="452"/>
      <c r="BX188" s="452"/>
      <c r="BY188" s="452"/>
    </row>
    <row r="189" spans="1:77" ht="15" thickBot="1">
      <c r="A189" s="1157"/>
      <c r="B189" s="640">
        <f t="shared" ref="B189:B204" si="183">M52</f>
        <v>0</v>
      </c>
      <c r="C189" s="742">
        <f t="shared" ref="C189:C204" si="184">N52</f>
        <v>0</v>
      </c>
      <c r="D189" s="624">
        <v>0</v>
      </c>
      <c r="E189" s="629">
        <v>0</v>
      </c>
      <c r="F189" s="626">
        <v>0</v>
      </c>
      <c r="G189" s="626">
        <v>0</v>
      </c>
      <c r="H189" s="626">
        <v>0</v>
      </c>
      <c r="I189" s="626">
        <v>0</v>
      </c>
      <c r="J189" s="627">
        <v>0</v>
      </c>
      <c r="K189" s="452"/>
      <c r="L189" s="1157"/>
      <c r="M189" s="640">
        <f t="shared" ref="M189:N204" si="185">M52</f>
        <v>0</v>
      </c>
      <c r="N189" s="742">
        <f t="shared" si="185"/>
        <v>0</v>
      </c>
      <c r="O189" s="633">
        <f t="shared" ref="O189:O204" si="186">D189*(1-$B$2)^MAX(0,($N189-1))</f>
        <v>0</v>
      </c>
      <c r="P189" s="633">
        <f t="shared" ref="P189:P204" si="187">E189*(1-$B$2)^MAX(0,($N189-1))</f>
        <v>0</v>
      </c>
      <c r="Q189" s="633">
        <f t="shared" ref="Q189:Q204" si="188">F189*(1-$B$2)^MAX(0,($N189-1))</f>
        <v>0</v>
      </c>
      <c r="R189" s="633">
        <f t="shared" ref="R189:R204" si="189">G189*(1-$B$2)^MAX(0,($N189-1))</f>
        <v>0</v>
      </c>
      <c r="S189" s="633">
        <f t="shared" ref="S189:S204" si="190">H189*(1-$B$2)^MAX(0,($N189-1))</f>
        <v>0</v>
      </c>
      <c r="T189" s="633">
        <f t="shared" ref="T189:T204" si="191">I189*(1-$B$2)^MAX(0,($N189-1))</f>
        <v>0</v>
      </c>
      <c r="U189" s="635">
        <f t="shared" ref="U189:U204" si="192">J189*(1-$B$2)^MAX(0,($N189-1))</f>
        <v>0</v>
      </c>
      <c r="V189" s="452"/>
      <c r="W189" s="1153"/>
      <c r="X189" s="640">
        <f t="shared" ref="X189:X204" si="193">M189</f>
        <v>0</v>
      </c>
      <c r="Y189" s="645">
        <f t="shared" ref="Y189:Y204" si="194">N189</f>
        <v>0</v>
      </c>
      <c r="Z189" s="624">
        <f>O189-$O189</f>
        <v>0</v>
      </c>
      <c r="AA189" s="629">
        <f t="shared" ref="AA189:AA205" si="195">P189-$O189</f>
        <v>0</v>
      </c>
      <c r="AB189" s="626">
        <f t="shared" ref="AB189:AB205" si="196">Q189-$O189</f>
        <v>0</v>
      </c>
      <c r="AC189" s="625">
        <f t="shared" ref="AC189:AC205" si="197">R189-$O189</f>
        <v>0</v>
      </c>
      <c r="AD189" s="626">
        <f t="shared" ref="AD189:AD205" si="198">S189-$O189</f>
        <v>0</v>
      </c>
      <c r="AE189" s="625">
        <f t="shared" ref="AE189:AE205" si="199">T189-$O189</f>
        <v>0</v>
      </c>
      <c r="AF189" s="627">
        <f t="shared" ref="AF189:AF205" si="200">U189-$O189</f>
        <v>0</v>
      </c>
      <c r="AG189" s="452"/>
      <c r="AH189" s="452"/>
      <c r="AI189" s="452"/>
      <c r="AJ189" s="452"/>
      <c r="AK189" s="452"/>
      <c r="AL189" s="452"/>
      <c r="AM189" s="452"/>
      <c r="AN189" s="452"/>
      <c r="AO189" s="452"/>
      <c r="AP189" s="452"/>
      <c r="AQ189" s="452"/>
      <c r="AR189" s="452"/>
      <c r="AS189" s="452"/>
      <c r="AT189" s="452"/>
      <c r="BE189" s="452"/>
      <c r="BF189" s="452"/>
      <c r="BG189" s="452"/>
      <c r="BH189" s="452"/>
      <c r="BI189" s="452"/>
      <c r="BJ189" s="452"/>
      <c r="BK189" s="452"/>
      <c r="BL189" s="452"/>
      <c r="BM189" s="452"/>
      <c r="BN189" s="452"/>
      <c r="BO189" s="452"/>
      <c r="BP189" s="452"/>
      <c r="BQ189" s="452"/>
      <c r="BR189" s="452"/>
      <c r="BS189" s="452"/>
      <c r="BT189" s="452"/>
      <c r="BU189" s="452"/>
      <c r="BV189" s="452"/>
      <c r="BW189" s="452"/>
      <c r="BX189" s="452"/>
      <c r="BY189" s="452"/>
    </row>
    <row r="190" spans="1:77">
      <c r="A190" s="1157"/>
      <c r="B190" s="640">
        <f t="shared" si="183"/>
        <v>101417.32283464503</v>
      </c>
      <c r="C190" s="742">
        <f t="shared" si="184"/>
        <v>1</v>
      </c>
      <c r="D190" s="628">
        <f>'TCO Calculation'!E$119/MAX($C$94:$C$109)*(1+$A$2)^($C95-1)</f>
        <v>4717.4309533333335</v>
      </c>
      <c r="E190" s="629">
        <f>'TCO Calculation'!F$119/MAX($C$94:$C$109)*(1+$A$2)^($C95-1)</f>
        <v>4925.1149533333346</v>
      </c>
      <c r="F190" s="630">
        <f>'TCO Calculation'!G$119/MAX($C$94:$C$109)*(1+$A$2)^($C95-1)</f>
        <v>4994.3429533333347</v>
      </c>
      <c r="G190" s="630">
        <f>'TCO Calculation'!H$119/MAX($C$94:$C$109)*(1+$A$2)^($C95-1)</f>
        <v>4869.9318764487634</v>
      </c>
      <c r="H190" s="630">
        <f>'TCO Calculation'!I$119/MAX($C$94:$C$109)*(1+$A$2)^($C95-1)</f>
        <v>5469.5494325776535</v>
      </c>
      <c r="I190" s="630">
        <f ca="1">'TCO Calculation'!J$119/MAX($C$94:$C$109)*(1+$A$2)^($C95-1)</f>
        <v>5479.5870362203996</v>
      </c>
      <c r="J190" s="631">
        <f ca="1">'TCO Calculation'!K$119/MAX($C$94:$C$109)*(1+$A$2)^($C95-1)</f>
        <v>4904.46054134306</v>
      </c>
      <c r="K190" s="452"/>
      <c r="L190" s="1157"/>
      <c r="M190" s="640">
        <f t="shared" si="185"/>
        <v>101417.32283464503</v>
      </c>
      <c r="N190" s="742">
        <f t="shared" si="185"/>
        <v>1</v>
      </c>
      <c r="O190" s="629">
        <f t="shared" si="186"/>
        <v>4717.4309533333335</v>
      </c>
      <c r="P190" s="629">
        <f t="shared" si="187"/>
        <v>4925.1149533333346</v>
      </c>
      <c r="Q190" s="629">
        <f t="shared" si="188"/>
        <v>4994.3429533333347</v>
      </c>
      <c r="R190" s="629">
        <f t="shared" si="189"/>
        <v>4869.9318764487634</v>
      </c>
      <c r="S190" s="629">
        <f t="shared" si="190"/>
        <v>5469.5494325776535</v>
      </c>
      <c r="T190" s="629">
        <f t="shared" ca="1" si="191"/>
        <v>5479.5870362203996</v>
      </c>
      <c r="U190" s="631">
        <f t="shared" ca="1" si="192"/>
        <v>4904.46054134306</v>
      </c>
      <c r="V190" s="452"/>
      <c r="W190" s="1153"/>
      <c r="X190" s="640">
        <f t="shared" si="193"/>
        <v>101417.32283464503</v>
      </c>
      <c r="Y190" s="645">
        <f t="shared" si="194"/>
        <v>1</v>
      </c>
      <c r="Z190" s="628">
        <f t="shared" ref="Z190:Z205" si="201">O190-$O190</f>
        <v>0</v>
      </c>
      <c r="AA190" s="629">
        <f t="shared" si="195"/>
        <v>207.68400000000111</v>
      </c>
      <c r="AB190" s="630">
        <f t="shared" si="196"/>
        <v>276.91200000000117</v>
      </c>
      <c r="AC190" s="629">
        <f t="shared" si="197"/>
        <v>152.50092311542994</v>
      </c>
      <c r="AD190" s="630">
        <f t="shared" si="198"/>
        <v>752.11847924432004</v>
      </c>
      <c r="AE190" s="629">
        <f t="shared" ca="1" si="199"/>
        <v>762.15608288706608</v>
      </c>
      <c r="AF190" s="631">
        <f t="shared" ca="1" si="200"/>
        <v>187.02958800972647</v>
      </c>
      <c r="AG190" s="452"/>
      <c r="AH190" s="452"/>
      <c r="AI190" s="452"/>
      <c r="AJ190" s="452"/>
      <c r="AK190" s="452"/>
      <c r="AL190" s="452"/>
      <c r="AM190" s="452"/>
      <c r="AN190" s="452"/>
      <c r="AO190" s="452"/>
      <c r="AP190" s="452"/>
      <c r="AQ190" s="452"/>
      <c r="AR190" s="452"/>
      <c r="AS190" s="452"/>
      <c r="AT190" s="452"/>
      <c r="BE190" s="452"/>
      <c r="BF190" s="452"/>
      <c r="BG190" s="452"/>
      <c r="BH190" s="452"/>
      <c r="BI190" s="452"/>
      <c r="BJ190" s="452"/>
      <c r="BK190" s="452"/>
      <c r="BL190" s="452"/>
      <c r="BM190" s="452"/>
      <c r="BN190" s="452"/>
      <c r="BO190" s="452"/>
      <c r="BP190" s="452"/>
      <c r="BQ190" s="452"/>
      <c r="BR190" s="452"/>
      <c r="BS190" s="452"/>
      <c r="BT190" s="452"/>
      <c r="BU190" s="452"/>
      <c r="BV190" s="452"/>
      <c r="BW190" s="452"/>
      <c r="BX190" s="452"/>
      <c r="BY190" s="452"/>
    </row>
    <row r="191" spans="1:77">
      <c r="A191" s="1157"/>
      <c r="B191" s="640">
        <f t="shared" si="183"/>
        <v>112755.90551181062</v>
      </c>
      <c r="C191" s="742">
        <f t="shared" si="184"/>
        <v>2</v>
      </c>
      <c r="D191" s="624">
        <f>'TCO Calculation'!E$119/MAX($C$94:$C$109)*(1+$A$2)^($C96-1)</f>
        <v>4811.7795724000007</v>
      </c>
      <c r="E191" s="625">
        <f>'TCO Calculation'!F$119/MAX($C$94:$C$109)*(1+$A$2)^($C96-1)</f>
        <v>5023.6172524000012</v>
      </c>
      <c r="F191" s="626">
        <f>'TCO Calculation'!G$119/MAX($C$94:$C$109)*(1+$A$2)^($C96-1)</f>
        <v>5094.2298124000017</v>
      </c>
      <c r="G191" s="626">
        <f>'TCO Calculation'!H$119/MAX($C$94:$C$109)*(1+$A$2)^($C96-1)</f>
        <v>4967.3305139777385</v>
      </c>
      <c r="H191" s="626">
        <f>'TCO Calculation'!I$119/MAX($C$94:$C$109)*(1+$A$2)^($C96-1)</f>
        <v>5578.9404212292065</v>
      </c>
      <c r="I191" s="626">
        <f ca="1">'TCO Calculation'!J$119/MAX($C$94:$C$109)*(1+$A$2)^($C96-1)</f>
        <v>5589.1787769448074</v>
      </c>
      <c r="J191" s="627">
        <f ca="1">'TCO Calculation'!K$119/MAX($C$94:$C$109)*(1+$A$2)^($C96-1)</f>
        <v>5002.5497521699208</v>
      </c>
      <c r="K191" s="452"/>
      <c r="L191" s="1157"/>
      <c r="M191" s="640">
        <f t="shared" si="185"/>
        <v>112755.90551181062</v>
      </c>
      <c r="N191" s="742">
        <f t="shared" si="185"/>
        <v>2</v>
      </c>
      <c r="O191" s="625">
        <f t="shared" si="186"/>
        <v>4568.3035260365605</v>
      </c>
      <c r="P191" s="625">
        <f t="shared" si="187"/>
        <v>4769.4222194285612</v>
      </c>
      <c r="Q191" s="625">
        <f t="shared" si="188"/>
        <v>4836.4617838925615</v>
      </c>
      <c r="R191" s="625">
        <f t="shared" si="189"/>
        <v>4715.9835899704649</v>
      </c>
      <c r="S191" s="625">
        <f t="shared" si="190"/>
        <v>5296.6460359150087</v>
      </c>
      <c r="T191" s="625">
        <f t="shared" ca="1" si="191"/>
        <v>5306.3663308313999</v>
      </c>
      <c r="U191" s="627">
        <f t="shared" ca="1" si="192"/>
        <v>4749.4207347101228</v>
      </c>
      <c r="V191" s="674"/>
      <c r="W191" s="1153"/>
      <c r="X191" s="640">
        <f t="shared" si="193"/>
        <v>112755.90551181062</v>
      </c>
      <c r="Y191" s="645">
        <f t="shared" si="194"/>
        <v>2</v>
      </c>
      <c r="Z191" s="624">
        <f t="shared" si="201"/>
        <v>0</v>
      </c>
      <c r="AA191" s="625">
        <f t="shared" si="195"/>
        <v>201.11869339200075</v>
      </c>
      <c r="AB191" s="626">
        <f t="shared" si="196"/>
        <v>268.158257856001</v>
      </c>
      <c r="AC191" s="625">
        <f t="shared" si="197"/>
        <v>147.68006393390442</v>
      </c>
      <c r="AD191" s="626">
        <f t="shared" si="198"/>
        <v>728.34250987844825</v>
      </c>
      <c r="AE191" s="625">
        <f t="shared" ca="1" si="199"/>
        <v>738.06280479483939</v>
      </c>
      <c r="AF191" s="627">
        <f t="shared" ca="1" si="200"/>
        <v>181.11720867356235</v>
      </c>
      <c r="AG191" s="674"/>
      <c r="AH191" s="674"/>
      <c r="AI191" s="674"/>
      <c r="AJ191" s="674"/>
      <c r="AK191" s="674"/>
      <c r="AL191" s="674"/>
      <c r="AM191" s="674"/>
      <c r="AN191" s="674"/>
      <c r="AO191" s="674"/>
      <c r="AP191" s="674"/>
      <c r="AQ191" s="674"/>
      <c r="AR191" s="674"/>
      <c r="AS191" s="674"/>
      <c r="AT191" s="674"/>
      <c r="BE191" s="452"/>
      <c r="BF191" s="452"/>
      <c r="BG191" s="452"/>
      <c r="BH191" s="452"/>
      <c r="BI191" s="452"/>
      <c r="BJ191" s="452"/>
      <c r="BK191" s="452"/>
      <c r="BL191" s="452"/>
      <c r="BM191" s="452"/>
      <c r="BN191" s="452"/>
      <c r="BO191" s="452"/>
      <c r="BP191" s="452"/>
      <c r="BQ191" s="452"/>
      <c r="BR191" s="452"/>
      <c r="BS191" s="452"/>
      <c r="BT191" s="452"/>
      <c r="BU191" s="452"/>
      <c r="BV191" s="452"/>
      <c r="BW191" s="452"/>
      <c r="BX191" s="452"/>
      <c r="BY191" s="452"/>
    </row>
    <row r="192" spans="1:77">
      <c r="A192" s="1157"/>
      <c r="B192" s="640">
        <f t="shared" si="183"/>
        <v>107086.61417322783</v>
      </c>
      <c r="C192" s="742">
        <f t="shared" si="184"/>
        <v>3</v>
      </c>
      <c r="D192" s="624">
        <f>'TCO Calculation'!E$119/MAX($C$94:$C$109)*(1+$A$2)^($C97-1)</f>
        <v>4908.0151638480002</v>
      </c>
      <c r="E192" s="625">
        <f>'TCO Calculation'!F$119/MAX($C$94:$C$109)*(1+$A$2)^($C97-1)</f>
        <v>5124.0895974480009</v>
      </c>
      <c r="F192" s="626">
        <f>'TCO Calculation'!G$119/MAX($C$94:$C$109)*(1+$A$2)^($C97-1)</f>
        <v>5196.1144086480017</v>
      </c>
      <c r="G192" s="626">
        <f>'TCO Calculation'!H$119/MAX($C$94:$C$109)*(1+$A$2)^($C97-1)</f>
        <v>5066.6771242572931</v>
      </c>
      <c r="H192" s="626">
        <f>'TCO Calculation'!I$119/MAX($C$94:$C$109)*(1+$A$2)^($C97-1)</f>
        <v>5690.5192296537907</v>
      </c>
      <c r="I192" s="626">
        <f ca="1">'TCO Calculation'!J$119/MAX($C$94:$C$109)*(1+$A$2)^($C97-1)</f>
        <v>5700.9623524837034</v>
      </c>
      <c r="J192" s="627">
        <f ca="1">'TCO Calculation'!K$119/MAX($C$94:$C$109)*(1+$A$2)^($C97-1)</f>
        <v>5102.6007472133197</v>
      </c>
      <c r="K192" s="452"/>
      <c r="L192" s="1157"/>
      <c r="M192" s="640">
        <f t="shared" si="185"/>
        <v>107086.61417322783</v>
      </c>
      <c r="N192" s="742">
        <f t="shared" si="185"/>
        <v>3</v>
      </c>
      <c r="O192" s="625">
        <f t="shared" si="186"/>
        <v>4423.8903149714924</v>
      </c>
      <c r="P192" s="625">
        <f t="shared" si="187"/>
        <v>4618.6512442279854</v>
      </c>
      <c r="Q192" s="625">
        <f t="shared" si="188"/>
        <v>4683.5715539801504</v>
      </c>
      <c r="R192" s="625">
        <f t="shared" si="189"/>
        <v>4566.9019167243187</v>
      </c>
      <c r="S192" s="625">
        <f t="shared" si="190"/>
        <v>5129.2084614276637</v>
      </c>
      <c r="T192" s="625">
        <f t="shared" ca="1" si="191"/>
        <v>5138.6214783811583</v>
      </c>
      <c r="U192" s="627">
        <f t="shared" ca="1" si="192"/>
        <v>4599.2820464444676</v>
      </c>
      <c r="V192" s="452"/>
      <c r="W192" s="1153"/>
      <c r="X192" s="640">
        <f t="shared" si="193"/>
        <v>107086.61417322783</v>
      </c>
      <c r="Y192" s="645">
        <f t="shared" si="194"/>
        <v>3</v>
      </c>
      <c r="Z192" s="624">
        <f t="shared" si="201"/>
        <v>0</v>
      </c>
      <c r="AA192" s="625">
        <f t="shared" si="195"/>
        <v>194.760929256493</v>
      </c>
      <c r="AB192" s="626">
        <f t="shared" si="196"/>
        <v>259.68123900865794</v>
      </c>
      <c r="AC192" s="625">
        <f t="shared" si="197"/>
        <v>143.01160175282621</v>
      </c>
      <c r="AD192" s="626">
        <f t="shared" si="198"/>
        <v>705.31814645617123</v>
      </c>
      <c r="AE192" s="625">
        <f t="shared" ca="1" si="199"/>
        <v>714.7311634096659</v>
      </c>
      <c r="AF192" s="627">
        <f t="shared" ca="1" si="200"/>
        <v>175.39173147297515</v>
      </c>
      <c r="AG192" s="452"/>
      <c r="AH192" s="452"/>
      <c r="AI192" s="452"/>
      <c r="AJ192" s="452"/>
      <c r="AK192" s="452"/>
      <c r="AL192" s="452"/>
      <c r="AM192" s="452"/>
      <c r="AN192" s="452"/>
      <c r="AO192" s="452"/>
      <c r="AP192" s="452"/>
      <c r="AQ192" s="452"/>
      <c r="AR192" s="452"/>
      <c r="AS192" s="452"/>
      <c r="AT192" s="452"/>
      <c r="BE192" s="452"/>
      <c r="BF192" s="452"/>
      <c r="BG192" s="452"/>
      <c r="BH192" s="452"/>
      <c r="BI192" s="452"/>
      <c r="BJ192" s="452"/>
      <c r="BK192" s="452"/>
      <c r="BL192" s="452"/>
      <c r="BM192" s="452"/>
      <c r="BN192" s="452"/>
      <c r="BO192" s="452"/>
      <c r="BP192" s="452"/>
      <c r="BQ192" s="452"/>
      <c r="BR192" s="452"/>
      <c r="BS192" s="452"/>
      <c r="BT192" s="452"/>
      <c r="BU192" s="452"/>
      <c r="BV192" s="452"/>
      <c r="BW192" s="452"/>
      <c r="BX192" s="452"/>
      <c r="BY192" s="452"/>
    </row>
    <row r="193" spans="1:77">
      <c r="A193" s="1157"/>
      <c r="B193" s="640">
        <f t="shared" si="183"/>
        <v>98897.637795275747</v>
      </c>
      <c r="C193" s="742">
        <f t="shared" si="184"/>
        <v>4</v>
      </c>
      <c r="D193" s="624">
        <f>'TCO Calculation'!E$119/MAX($C$94:$C$109)*(1+$A$2)^($C98-1)</f>
        <v>5006.1754671249601</v>
      </c>
      <c r="E193" s="625">
        <f>'TCO Calculation'!F$119/MAX($C$94:$C$109)*(1+$A$2)^($C98-1)</f>
        <v>5226.5713893969614</v>
      </c>
      <c r="F193" s="626">
        <f>'TCO Calculation'!G$119/MAX($C$94:$C$109)*(1+$A$2)^($C98-1)</f>
        <v>5300.036696820961</v>
      </c>
      <c r="G193" s="626">
        <f>'TCO Calculation'!H$119/MAX($C$94:$C$109)*(1+$A$2)^($C98-1)</f>
        <v>5168.0106667424388</v>
      </c>
      <c r="H193" s="626">
        <f>'TCO Calculation'!I$119/MAX($C$94:$C$109)*(1+$A$2)^($C98-1)</f>
        <v>5804.3296142468662</v>
      </c>
      <c r="I193" s="626">
        <f ca="1">'TCO Calculation'!J$119/MAX($C$94:$C$109)*(1+$A$2)^($C98-1)</f>
        <v>5814.9815995333774</v>
      </c>
      <c r="J193" s="627">
        <f ca="1">'TCO Calculation'!K$119/MAX($C$94:$C$109)*(1+$A$2)^($C98-1)</f>
        <v>5204.652762157586</v>
      </c>
      <c r="K193" s="452"/>
      <c r="L193" s="1157"/>
      <c r="M193" s="640">
        <f t="shared" si="185"/>
        <v>98897.637795275747</v>
      </c>
      <c r="N193" s="742">
        <f t="shared" si="185"/>
        <v>4</v>
      </c>
      <c r="O193" s="625">
        <f t="shared" si="186"/>
        <v>4284.0422943346139</v>
      </c>
      <c r="P193" s="625">
        <f t="shared" si="187"/>
        <v>4472.6464410954504</v>
      </c>
      <c r="Q193" s="625">
        <f t="shared" si="188"/>
        <v>4535.5144900157293</v>
      </c>
      <c r="R193" s="625">
        <f t="shared" si="189"/>
        <v>4422.5330133328298</v>
      </c>
      <c r="S193" s="625">
        <f t="shared" si="190"/>
        <v>4967.0639235450126</v>
      </c>
      <c r="T193" s="625">
        <f t="shared" ca="1" si="191"/>
        <v>4976.1793762065727</v>
      </c>
      <c r="U193" s="627">
        <f t="shared" ca="1" si="192"/>
        <v>4453.889542392265</v>
      </c>
      <c r="V193" s="452"/>
      <c r="W193" s="1153"/>
      <c r="X193" s="640">
        <f t="shared" si="193"/>
        <v>98897.637795275747</v>
      </c>
      <c r="Y193" s="645">
        <f t="shared" si="194"/>
        <v>4</v>
      </c>
      <c r="Z193" s="624">
        <f t="shared" si="201"/>
        <v>0</v>
      </c>
      <c r="AA193" s="625">
        <f t="shared" si="195"/>
        <v>188.60414676083656</v>
      </c>
      <c r="AB193" s="626">
        <f t="shared" si="196"/>
        <v>251.47219568111541</v>
      </c>
      <c r="AC193" s="625">
        <f t="shared" si="197"/>
        <v>138.49071899821593</v>
      </c>
      <c r="AD193" s="626">
        <f t="shared" si="198"/>
        <v>683.02162921039871</v>
      </c>
      <c r="AE193" s="625">
        <f t="shared" ca="1" si="199"/>
        <v>692.1370818719588</v>
      </c>
      <c r="AF193" s="627">
        <f t="shared" ca="1" si="200"/>
        <v>169.84724805765109</v>
      </c>
      <c r="AG193" s="452"/>
      <c r="AH193" s="452"/>
      <c r="AI193" s="452"/>
      <c r="AJ193" s="452"/>
      <c r="AK193" s="452"/>
      <c r="AL193" s="452"/>
      <c r="AM193" s="452"/>
      <c r="AN193" s="452"/>
      <c r="AO193" s="452"/>
      <c r="AP193" s="452"/>
      <c r="AQ193" s="452"/>
      <c r="AR193" s="452"/>
      <c r="AS193" s="452"/>
      <c r="AT193" s="452"/>
      <c r="BE193" s="452"/>
      <c r="BF193" s="452"/>
      <c r="BG193" s="452"/>
      <c r="BH193" s="452"/>
      <c r="BI193" s="452"/>
      <c r="BJ193" s="452"/>
      <c r="BK193" s="452"/>
      <c r="BL193" s="452"/>
      <c r="BM193" s="452"/>
      <c r="BN193" s="452"/>
      <c r="BO193" s="452"/>
      <c r="BP193" s="452"/>
      <c r="BQ193" s="452"/>
      <c r="BR193" s="452"/>
      <c r="BS193" s="452"/>
      <c r="BT193" s="452"/>
      <c r="BU193" s="452"/>
      <c r="BV193" s="452"/>
      <c r="BW193" s="452"/>
      <c r="BX193" s="452"/>
      <c r="BY193" s="452"/>
    </row>
    <row r="194" spans="1:77">
      <c r="A194" s="1157"/>
      <c r="B194" s="640">
        <f t="shared" si="183"/>
        <v>86299.212598425438</v>
      </c>
      <c r="C194" s="742">
        <f t="shared" si="184"/>
        <v>5</v>
      </c>
      <c r="D194" s="624">
        <f>'TCO Calculation'!E$119/MAX($C$94:$C$109)*(1+$A$2)^($C99-1)</f>
        <v>5106.2989764674594</v>
      </c>
      <c r="E194" s="625">
        <f>'TCO Calculation'!F$119/MAX($C$94:$C$109)*(1+$A$2)^($C99-1)</f>
        <v>5331.1028171849002</v>
      </c>
      <c r="F194" s="626">
        <f>'TCO Calculation'!G$119/MAX($C$94:$C$109)*(1+$A$2)^($C99-1)</f>
        <v>5406.0374307573802</v>
      </c>
      <c r="G194" s="626">
        <f>'TCO Calculation'!H$119/MAX($C$94:$C$109)*(1+$A$2)^($C99-1)</f>
        <v>5271.3708800772883</v>
      </c>
      <c r="H194" s="626">
        <f>'TCO Calculation'!I$119/MAX($C$94:$C$109)*(1+$A$2)^($C99-1)</f>
        <v>5920.4162065318042</v>
      </c>
      <c r="I194" s="626">
        <f ca="1">'TCO Calculation'!J$119/MAX($C$94:$C$109)*(1+$A$2)^($C99-1)</f>
        <v>5931.2812315240453</v>
      </c>
      <c r="J194" s="627">
        <f ca="1">'TCO Calculation'!K$119/MAX($C$94:$C$109)*(1+$A$2)^($C99-1)</f>
        <v>5308.7458174007379</v>
      </c>
      <c r="K194" s="452"/>
      <c r="L194" s="1157"/>
      <c r="M194" s="640">
        <f t="shared" si="185"/>
        <v>86299.212598425438</v>
      </c>
      <c r="N194" s="742">
        <f t="shared" si="185"/>
        <v>5</v>
      </c>
      <c r="O194" s="625">
        <f t="shared" si="186"/>
        <v>4148.6151493261086</v>
      </c>
      <c r="P194" s="625">
        <f t="shared" si="187"/>
        <v>4331.2571417995414</v>
      </c>
      <c r="Q194" s="625">
        <f t="shared" si="188"/>
        <v>4392.1378059573526</v>
      </c>
      <c r="R194" s="625">
        <f t="shared" si="189"/>
        <v>4282.7278997153526</v>
      </c>
      <c r="S194" s="625">
        <f t="shared" si="190"/>
        <v>4810.0450987939084</v>
      </c>
      <c r="T194" s="625">
        <f t="shared" ca="1" si="191"/>
        <v>4818.8723937659315</v>
      </c>
      <c r="U194" s="627">
        <f t="shared" ca="1" si="192"/>
        <v>4313.093186178161</v>
      </c>
      <c r="V194" s="452"/>
      <c r="W194" s="1153"/>
      <c r="X194" s="640">
        <f t="shared" si="193"/>
        <v>86299.212598425438</v>
      </c>
      <c r="Y194" s="645">
        <f t="shared" si="194"/>
        <v>5</v>
      </c>
      <c r="Z194" s="624">
        <f t="shared" si="201"/>
        <v>0</v>
      </c>
      <c r="AA194" s="625">
        <f t="shared" si="195"/>
        <v>182.64199247343277</v>
      </c>
      <c r="AB194" s="626">
        <f t="shared" si="196"/>
        <v>243.52265663124399</v>
      </c>
      <c r="AC194" s="625">
        <f t="shared" si="197"/>
        <v>134.11275038924396</v>
      </c>
      <c r="AD194" s="626">
        <f t="shared" si="198"/>
        <v>661.42994946779982</v>
      </c>
      <c r="AE194" s="625">
        <f t="shared" ca="1" si="199"/>
        <v>670.2572444398229</v>
      </c>
      <c r="AF194" s="627">
        <f t="shared" ca="1" si="200"/>
        <v>164.47803685205236</v>
      </c>
      <c r="AG194" s="452"/>
      <c r="AH194" s="452"/>
      <c r="AI194" s="452"/>
      <c r="AJ194" s="452"/>
      <c r="AK194" s="452"/>
      <c r="AL194" s="452"/>
      <c r="AM194" s="452"/>
      <c r="AN194" s="452"/>
      <c r="AO194" s="452"/>
      <c r="AP194" s="452"/>
      <c r="AQ194" s="452"/>
      <c r="AR194" s="452"/>
      <c r="AS194" s="452"/>
      <c r="AT194" s="452"/>
      <c r="BE194" s="452"/>
      <c r="BF194" s="452"/>
      <c r="BG194" s="452"/>
      <c r="BH194" s="452"/>
      <c r="BI194" s="452"/>
      <c r="BJ194" s="452"/>
      <c r="BK194" s="452"/>
      <c r="BL194" s="452"/>
      <c r="BM194" s="452"/>
      <c r="BN194" s="452"/>
      <c r="BO194" s="452"/>
      <c r="BP194" s="452"/>
      <c r="BQ194" s="452"/>
      <c r="BR194" s="452"/>
      <c r="BS194" s="452"/>
      <c r="BT194" s="452"/>
      <c r="BU194" s="452"/>
      <c r="BV194" s="452"/>
      <c r="BW194" s="452"/>
      <c r="BX194" s="452"/>
      <c r="BY194" s="452"/>
    </row>
    <row r="195" spans="1:77">
      <c r="A195" s="1157"/>
      <c r="B195" s="640">
        <f t="shared" si="183"/>
        <v>76850.393700787565</v>
      </c>
      <c r="C195" s="742">
        <f t="shared" si="184"/>
        <v>6</v>
      </c>
      <c r="D195" s="624">
        <f>'TCO Calculation'!E$119/MAX($C$94:$C$109)*(1+$A$2)^($C100-1)</f>
        <v>5208.4249559968084</v>
      </c>
      <c r="E195" s="625">
        <f>'TCO Calculation'!F$119/MAX($C$94:$C$109)*(1+$A$2)^($C100-1)</f>
        <v>5437.7248735285984</v>
      </c>
      <c r="F195" s="626">
        <f>'TCO Calculation'!G$119/MAX($C$94:$C$109)*(1+$A$2)^($C100-1)</f>
        <v>5514.1581793725281</v>
      </c>
      <c r="G195" s="626">
        <f>'TCO Calculation'!H$119/MAX($C$94:$C$109)*(1+$A$2)^($C100-1)</f>
        <v>5376.7982976788344</v>
      </c>
      <c r="H195" s="626">
        <f>'TCO Calculation'!I$119/MAX($C$94:$C$109)*(1+$A$2)^($C100-1)</f>
        <v>6038.8245306624403</v>
      </c>
      <c r="I195" s="626">
        <f ca="1">'TCO Calculation'!J$119/MAX($C$94:$C$109)*(1+$A$2)^($C100-1)</f>
        <v>6049.9068561545264</v>
      </c>
      <c r="J195" s="627">
        <f ca="1">'TCO Calculation'!K$119/MAX($C$94:$C$109)*(1+$A$2)^($C100-1)</f>
        <v>5414.9207337487524</v>
      </c>
      <c r="K195" s="452"/>
      <c r="L195" s="1157"/>
      <c r="M195" s="640">
        <f t="shared" si="185"/>
        <v>76850.393700787565</v>
      </c>
      <c r="N195" s="742">
        <f t="shared" si="185"/>
        <v>6</v>
      </c>
      <c r="O195" s="625">
        <f t="shared" si="186"/>
        <v>4017.4691272256114</v>
      </c>
      <c r="P195" s="625">
        <f t="shared" si="187"/>
        <v>4194.3374410329743</v>
      </c>
      <c r="Q195" s="625">
        <f t="shared" si="188"/>
        <v>4253.2935456354289</v>
      </c>
      <c r="R195" s="625">
        <f t="shared" si="189"/>
        <v>4147.3423053495517</v>
      </c>
      <c r="S195" s="625">
        <f t="shared" si="190"/>
        <v>4657.9899531308356</v>
      </c>
      <c r="T195" s="625">
        <f t="shared" ca="1" si="191"/>
        <v>4666.5381996542028</v>
      </c>
      <c r="U195" s="627">
        <f t="shared" ca="1" si="192"/>
        <v>4176.7476843766963</v>
      </c>
      <c r="V195" s="452"/>
      <c r="W195" s="1153"/>
      <c r="X195" s="640">
        <f t="shared" si="193"/>
        <v>76850.393700787565</v>
      </c>
      <c r="Y195" s="645">
        <f t="shared" si="194"/>
        <v>6</v>
      </c>
      <c r="Z195" s="624">
        <f t="shared" si="201"/>
        <v>0</v>
      </c>
      <c r="AA195" s="625">
        <f t="shared" si="195"/>
        <v>176.86831380736294</v>
      </c>
      <c r="AB195" s="626">
        <f t="shared" si="196"/>
        <v>235.82441840981755</v>
      </c>
      <c r="AC195" s="625">
        <f t="shared" si="197"/>
        <v>129.87317812394031</v>
      </c>
      <c r="AD195" s="626">
        <f t="shared" si="198"/>
        <v>640.52082590522423</v>
      </c>
      <c r="AE195" s="625">
        <f t="shared" ca="1" si="199"/>
        <v>649.06907242859143</v>
      </c>
      <c r="AF195" s="627">
        <f t="shared" ca="1" si="200"/>
        <v>159.2785571510849</v>
      </c>
      <c r="AG195" s="452"/>
      <c r="AH195" s="452"/>
      <c r="AI195" s="452"/>
      <c r="AJ195" s="452"/>
      <c r="AK195" s="452"/>
      <c r="AL195" s="452"/>
      <c r="AM195" s="452"/>
      <c r="AN195" s="452"/>
      <c r="AO195" s="452"/>
      <c r="AP195" s="452"/>
      <c r="AQ195" s="452"/>
      <c r="AR195" s="452"/>
      <c r="AS195" s="452"/>
      <c r="AT195" s="452"/>
      <c r="BE195" s="452"/>
      <c r="BF195" s="452"/>
      <c r="BG195" s="452"/>
      <c r="BH195" s="452"/>
      <c r="BI195" s="452"/>
      <c r="BJ195" s="452"/>
      <c r="BK195" s="452"/>
      <c r="BL195" s="452"/>
      <c r="BM195" s="452"/>
      <c r="BN195" s="452"/>
      <c r="BO195" s="452"/>
      <c r="BP195" s="452"/>
      <c r="BQ195" s="452"/>
      <c r="BR195" s="452"/>
      <c r="BS195" s="452"/>
      <c r="BT195" s="452"/>
      <c r="BU195" s="452"/>
      <c r="BV195" s="452"/>
      <c r="BW195" s="452"/>
      <c r="BX195" s="452"/>
      <c r="BY195" s="452"/>
    </row>
    <row r="196" spans="1:77">
      <c r="A196" s="1157"/>
      <c r="B196" s="640">
        <f t="shared" si="183"/>
        <v>69291.338582677359</v>
      </c>
      <c r="C196" s="742">
        <f t="shared" si="184"/>
        <v>7</v>
      </c>
      <c r="D196" s="624">
        <f>'TCO Calculation'!E$119/MAX($C$94:$C$109)*(1+$A$2)^($C101-1)</f>
        <v>5312.5934551167447</v>
      </c>
      <c r="E196" s="625">
        <f>'TCO Calculation'!F$119/MAX($C$94:$C$109)*(1+$A$2)^($C101-1)</f>
        <v>5546.4793709991709</v>
      </c>
      <c r="F196" s="626">
        <f>'TCO Calculation'!G$119/MAX($C$94:$C$109)*(1+$A$2)^($C101-1)</f>
        <v>5624.441342959979</v>
      </c>
      <c r="G196" s="626">
        <f>'TCO Calculation'!H$119/MAX($C$94:$C$109)*(1+$A$2)^($C101-1)</f>
        <v>5484.3342636324105</v>
      </c>
      <c r="H196" s="626">
        <f>'TCO Calculation'!I$119/MAX($C$94:$C$109)*(1+$A$2)^($C101-1)</f>
        <v>6159.6010212756892</v>
      </c>
      <c r="I196" s="626">
        <f ca="1">'TCO Calculation'!J$119/MAX($C$94:$C$109)*(1+$A$2)^($C101-1)</f>
        <v>6170.904993277617</v>
      </c>
      <c r="J196" s="627">
        <f ca="1">'TCO Calculation'!K$119/MAX($C$94:$C$109)*(1+$A$2)^($C101-1)</f>
        <v>5523.2191484237283</v>
      </c>
      <c r="K196" s="452"/>
      <c r="L196" s="1157"/>
      <c r="M196" s="640">
        <f t="shared" si="185"/>
        <v>69291.338582677359</v>
      </c>
      <c r="N196" s="742">
        <f t="shared" si="185"/>
        <v>7</v>
      </c>
      <c r="O196" s="625">
        <f t="shared" si="186"/>
        <v>3890.4688931757555</v>
      </c>
      <c r="P196" s="625">
        <f t="shared" si="187"/>
        <v>4061.7460458470409</v>
      </c>
      <c r="Q196" s="625">
        <f t="shared" si="188"/>
        <v>4118.8384300708021</v>
      </c>
      <c r="R196" s="625">
        <f t="shared" si="189"/>
        <v>4016.2365203928412</v>
      </c>
      <c r="S196" s="625">
        <f t="shared" si="190"/>
        <v>4510.741574732464</v>
      </c>
      <c r="T196" s="625">
        <f t="shared" ca="1" si="191"/>
        <v>4519.0195940867343</v>
      </c>
      <c r="U196" s="627">
        <f t="shared" ca="1" si="192"/>
        <v>4044.7123365781813</v>
      </c>
      <c r="V196" s="452"/>
      <c r="W196" s="1153"/>
      <c r="X196" s="640">
        <f t="shared" si="193"/>
        <v>69291.338582677359</v>
      </c>
      <c r="Y196" s="645">
        <f t="shared" si="194"/>
        <v>7</v>
      </c>
      <c r="Z196" s="624">
        <f t="shared" si="201"/>
        <v>0</v>
      </c>
      <c r="AA196" s="625">
        <f t="shared" si="195"/>
        <v>171.27715267128542</v>
      </c>
      <c r="AB196" s="626">
        <f t="shared" si="196"/>
        <v>228.36953689504662</v>
      </c>
      <c r="AC196" s="625">
        <f t="shared" si="197"/>
        <v>125.76762721708565</v>
      </c>
      <c r="AD196" s="626">
        <f t="shared" si="198"/>
        <v>620.27268155670845</v>
      </c>
      <c r="AE196" s="625">
        <f t="shared" ca="1" si="199"/>
        <v>628.55070091097878</v>
      </c>
      <c r="AF196" s="627">
        <f t="shared" ca="1" si="200"/>
        <v>154.24344340242578</v>
      </c>
      <c r="AG196" s="452"/>
      <c r="AH196" s="452"/>
      <c r="AI196" s="452"/>
      <c r="AJ196" s="452"/>
      <c r="AK196" s="452"/>
      <c r="AL196" s="452"/>
      <c r="AM196" s="452"/>
      <c r="AN196" s="452"/>
      <c r="AO196" s="452"/>
      <c r="AP196" s="452"/>
      <c r="AQ196" s="452"/>
      <c r="AR196" s="452"/>
      <c r="AS196" s="452"/>
      <c r="AT196" s="452"/>
      <c r="BE196" s="452"/>
      <c r="BF196" s="452"/>
      <c r="BG196" s="452"/>
      <c r="BH196" s="452"/>
      <c r="BI196" s="452"/>
      <c r="BJ196" s="452"/>
      <c r="BK196" s="452"/>
      <c r="BL196" s="452"/>
      <c r="BM196" s="452"/>
      <c r="BN196" s="452"/>
      <c r="BO196" s="452"/>
      <c r="BP196" s="452"/>
      <c r="BQ196" s="452"/>
      <c r="BR196" s="452"/>
      <c r="BS196" s="452"/>
      <c r="BT196" s="452"/>
      <c r="BU196" s="452"/>
      <c r="BV196" s="452"/>
      <c r="BW196" s="452"/>
      <c r="BX196" s="452"/>
      <c r="BY196" s="452"/>
    </row>
    <row r="197" spans="1:77">
      <c r="A197" s="1157"/>
      <c r="B197" s="640">
        <f t="shared" si="183"/>
        <v>62992.125984252147</v>
      </c>
      <c r="C197" s="742">
        <f t="shared" si="184"/>
        <v>8</v>
      </c>
      <c r="D197" s="624">
        <f>'TCO Calculation'!E$119/MAX($C$94:$C$109)*(1+$A$2)^($C102-1)</f>
        <v>5418.845324219079</v>
      </c>
      <c r="E197" s="625">
        <f>'TCO Calculation'!F$119/MAX($C$94:$C$109)*(1+$A$2)^($C102-1)</f>
        <v>5657.4089584191534</v>
      </c>
      <c r="F197" s="626">
        <f>'TCO Calculation'!G$119/MAX($C$94:$C$109)*(1+$A$2)^($C102-1)</f>
        <v>5736.9301698191775</v>
      </c>
      <c r="G197" s="626">
        <f>'TCO Calculation'!H$119/MAX($C$94:$C$109)*(1+$A$2)^($C102-1)</f>
        <v>5594.0209489050576</v>
      </c>
      <c r="H197" s="626">
        <f>'TCO Calculation'!I$119/MAX($C$94:$C$109)*(1+$A$2)^($C102-1)</f>
        <v>6282.7930417012012</v>
      </c>
      <c r="I197" s="626">
        <f ca="1">'TCO Calculation'!J$119/MAX($C$94:$C$109)*(1+$A$2)^($C102-1)</f>
        <v>6294.3230931431681</v>
      </c>
      <c r="J197" s="627">
        <f ca="1">'TCO Calculation'!K$119/MAX($C$94:$C$109)*(1+$A$2)^($C102-1)</f>
        <v>5633.6835313922011</v>
      </c>
      <c r="K197" s="452"/>
      <c r="L197" s="1157"/>
      <c r="M197" s="640">
        <f t="shared" si="185"/>
        <v>62992.125984252147</v>
      </c>
      <c r="N197" s="742">
        <f t="shared" si="185"/>
        <v>8</v>
      </c>
      <c r="O197" s="625">
        <f t="shared" si="186"/>
        <v>3767.4833905246833</v>
      </c>
      <c r="P197" s="625">
        <f t="shared" si="187"/>
        <v>3933.3461298457237</v>
      </c>
      <c r="Q197" s="625">
        <f t="shared" si="188"/>
        <v>3988.6337096194034</v>
      </c>
      <c r="R197" s="625">
        <f t="shared" si="189"/>
        <v>3889.275251510182</v>
      </c>
      <c r="S197" s="625">
        <f t="shared" si="190"/>
        <v>4368.1480120720198</v>
      </c>
      <c r="T197" s="625">
        <f t="shared" ca="1" si="191"/>
        <v>4376.1643466784644</v>
      </c>
      <c r="U197" s="627">
        <f t="shared" ca="1" si="192"/>
        <v>3916.850890194271</v>
      </c>
      <c r="V197" s="452"/>
      <c r="W197" s="1153"/>
      <c r="X197" s="640">
        <f t="shared" si="193"/>
        <v>62992.125984252147</v>
      </c>
      <c r="Y197" s="645">
        <f t="shared" si="194"/>
        <v>8</v>
      </c>
      <c r="Z197" s="624">
        <f t="shared" si="201"/>
        <v>0</v>
      </c>
      <c r="AA197" s="625">
        <f t="shared" si="195"/>
        <v>165.86273932104041</v>
      </c>
      <c r="AB197" s="626">
        <f t="shared" si="196"/>
        <v>221.15031909472009</v>
      </c>
      <c r="AC197" s="625">
        <f t="shared" si="197"/>
        <v>121.79186098549872</v>
      </c>
      <c r="AD197" s="626">
        <f t="shared" si="198"/>
        <v>600.66462154733654</v>
      </c>
      <c r="AE197" s="625">
        <f t="shared" ca="1" si="199"/>
        <v>608.68095615378115</v>
      </c>
      <c r="AF197" s="627">
        <f t="shared" ca="1" si="200"/>
        <v>149.36749966958769</v>
      </c>
      <c r="AG197" s="452"/>
      <c r="AH197" s="452"/>
      <c r="AI197" s="452"/>
      <c r="AJ197" s="452"/>
      <c r="AK197" s="452"/>
      <c r="AL197" s="452"/>
      <c r="AM197" s="452"/>
      <c r="AN197" s="452"/>
      <c r="AO197" s="452"/>
      <c r="AP197" s="452"/>
      <c r="AQ197" s="452"/>
      <c r="AR197" s="452"/>
      <c r="AS197" s="452"/>
      <c r="AT197" s="452"/>
      <c r="BE197" s="452"/>
      <c r="BF197" s="452"/>
      <c r="BG197" s="452"/>
      <c r="BH197" s="452"/>
      <c r="BI197" s="452"/>
      <c r="BJ197" s="452"/>
      <c r="BK197" s="452"/>
      <c r="BL197" s="452"/>
      <c r="BM197" s="452"/>
      <c r="BN197" s="452"/>
      <c r="BO197" s="452"/>
      <c r="BP197" s="452"/>
      <c r="BQ197" s="452"/>
      <c r="BR197" s="452"/>
      <c r="BS197" s="452"/>
      <c r="BT197" s="452"/>
      <c r="BU197" s="452"/>
      <c r="BV197" s="452"/>
      <c r="BW197" s="452"/>
      <c r="BX197" s="452"/>
      <c r="BY197" s="452"/>
    </row>
    <row r="198" spans="1:77">
      <c r="A198" s="1157"/>
      <c r="B198" s="640">
        <f t="shared" si="183"/>
        <v>56062.992125984332</v>
      </c>
      <c r="C198" s="742">
        <f t="shared" si="184"/>
        <v>9</v>
      </c>
      <c r="D198" s="624">
        <f>'TCO Calculation'!E$119/MAX($C$94:$C$109)*(1+$A$2)^($C103-1)</f>
        <v>5527.2222307034608</v>
      </c>
      <c r="E198" s="625">
        <f>'TCO Calculation'!F$119/MAX($C$94:$C$109)*(1+$A$2)^($C103-1)</f>
        <v>5770.557137587537</v>
      </c>
      <c r="F198" s="626">
        <f>'TCO Calculation'!G$119/MAX($C$94:$C$109)*(1+$A$2)^($C103-1)</f>
        <v>5851.6687732155615</v>
      </c>
      <c r="G198" s="626">
        <f>'TCO Calculation'!H$119/MAX($C$94:$C$109)*(1+$A$2)^($C103-1)</f>
        <v>5705.9013678831598</v>
      </c>
      <c r="H198" s="626">
        <f>'TCO Calculation'!I$119/MAX($C$94:$C$109)*(1+$A$2)^($C103-1)</f>
        <v>6408.4489025352259</v>
      </c>
      <c r="I198" s="626">
        <f ca="1">'TCO Calculation'!J$119/MAX($C$94:$C$109)*(1+$A$2)^($C103-1)</f>
        <v>6420.2095550060321</v>
      </c>
      <c r="J198" s="627">
        <f ca="1">'TCO Calculation'!K$119/MAX($C$94:$C$109)*(1+$A$2)^($C103-1)</f>
        <v>5746.3572020200454</v>
      </c>
      <c r="K198" s="452"/>
      <c r="L198" s="1157"/>
      <c r="M198" s="640">
        <f t="shared" si="185"/>
        <v>56062.992125984332</v>
      </c>
      <c r="N198" s="742">
        <f t="shared" si="185"/>
        <v>9</v>
      </c>
      <c r="O198" s="625">
        <f t="shared" si="186"/>
        <v>3648.3857055834178</v>
      </c>
      <c r="P198" s="625">
        <f t="shared" si="187"/>
        <v>3809.0051919890411</v>
      </c>
      <c r="Q198" s="625">
        <f t="shared" si="188"/>
        <v>3862.5450207909153</v>
      </c>
      <c r="R198" s="625">
        <f t="shared" si="189"/>
        <v>3766.3274822594435</v>
      </c>
      <c r="S198" s="625">
        <f t="shared" si="190"/>
        <v>4230.0621171144003</v>
      </c>
      <c r="T198" s="625">
        <f t="shared" ca="1" si="191"/>
        <v>4237.8250393512653</v>
      </c>
      <c r="U198" s="627">
        <f t="shared" ca="1" si="192"/>
        <v>3793.0313998534502</v>
      </c>
      <c r="V198" s="452"/>
      <c r="W198" s="1153"/>
      <c r="X198" s="640">
        <f t="shared" si="193"/>
        <v>56062.992125984332</v>
      </c>
      <c r="Y198" s="645">
        <f t="shared" si="194"/>
        <v>9</v>
      </c>
      <c r="Z198" s="624">
        <f t="shared" si="201"/>
        <v>0</v>
      </c>
      <c r="AA198" s="625">
        <f t="shared" si="195"/>
        <v>160.61948640562332</v>
      </c>
      <c r="AB198" s="626">
        <f t="shared" si="196"/>
        <v>214.15931520749746</v>
      </c>
      <c r="AC198" s="625">
        <f t="shared" si="197"/>
        <v>117.94177667602571</v>
      </c>
      <c r="AD198" s="626">
        <f t="shared" si="198"/>
        <v>581.67641153098248</v>
      </c>
      <c r="AE198" s="625">
        <f t="shared" ca="1" si="199"/>
        <v>589.43933376784753</v>
      </c>
      <c r="AF198" s="627">
        <f t="shared" ca="1" si="200"/>
        <v>144.64569427003244</v>
      </c>
      <c r="AG198" s="452"/>
      <c r="AH198" s="452"/>
      <c r="AI198" s="452"/>
      <c r="AJ198" s="452"/>
      <c r="AK198" s="452"/>
      <c r="AL198" s="452"/>
      <c r="AM198" s="452"/>
      <c r="AN198" s="452"/>
      <c r="AO198" s="452"/>
      <c r="AP198" s="452"/>
      <c r="AQ198" s="452"/>
      <c r="AR198" s="452"/>
      <c r="AS198" s="452"/>
      <c r="AT198" s="452"/>
      <c r="BE198" s="452"/>
      <c r="BF198" s="452"/>
      <c r="BG198" s="452"/>
      <c r="BH198" s="452"/>
      <c r="BI198" s="452"/>
      <c r="BJ198" s="452"/>
      <c r="BK198" s="452"/>
      <c r="BL198" s="452"/>
      <c r="BM198" s="452"/>
      <c r="BN198" s="452"/>
      <c r="BO198" s="452"/>
      <c r="BP198" s="452"/>
      <c r="BQ198" s="452"/>
      <c r="BR198" s="452"/>
      <c r="BS198" s="452"/>
      <c r="BT198" s="452"/>
      <c r="BU198" s="452"/>
      <c r="BV198" s="452"/>
      <c r="BW198" s="452"/>
      <c r="BX198" s="452"/>
      <c r="BY198" s="452"/>
    </row>
    <row r="199" spans="1:77">
      <c r="A199" s="1157"/>
      <c r="B199" s="640">
        <f t="shared" si="183"/>
        <v>49763.779527559134</v>
      </c>
      <c r="C199" s="742">
        <f t="shared" si="184"/>
        <v>10</v>
      </c>
      <c r="D199" s="624">
        <f>'TCO Calculation'!E$119/MAX($C$94:$C$109)*(1+$A$2)^($C104-1)</f>
        <v>5637.7666753175299</v>
      </c>
      <c r="E199" s="625">
        <f>'TCO Calculation'!F$119/MAX($C$94:$C$109)*(1+$A$2)^($C104-1)</f>
        <v>5885.968280339287</v>
      </c>
      <c r="F199" s="626">
        <f>'TCO Calculation'!G$119/MAX($C$94:$C$109)*(1+$A$2)^($C104-1)</f>
        <v>5968.7021486798731</v>
      </c>
      <c r="G199" s="626">
        <f>'TCO Calculation'!H$119/MAX($C$94:$C$109)*(1+$A$2)^($C104-1)</f>
        <v>5820.0193952408226</v>
      </c>
      <c r="H199" s="626">
        <f>'TCO Calculation'!I$119/MAX($C$94:$C$109)*(1+$A$2)^($C104-1)</f>
        <v>6536.6178805859308</v>
      </c>
      <c r="I199" s="626">
        <f ca="1">'TCO Calculation'!J$119/MAX($C$94:$C$109)*(1+$A$2)^($C104-1)</f>
        <v>6548.6137461061526</v>
      </c>
      <c r="J199" s="627">
        <f ca="1">'TCO Calculation'!K$119/MAX($C$94:$C$109)*(1+$A$2)^($C104-1)</f>
        <v>5861.2843460604463</v>
      </c>
      <c r="K199" s="452"/>
      <c r="L199" s="1157"/>
      <c r="M199" s="640">
        <f t="shared" si="185"/>
        <v>49763.779527559134</v>
      </c>
      <c r="N199" s="742">
        <f t="shared" si="185"/>
        <v>10</v>
      </c>
      <c r="O199" s="625">
        <f t="shared" si="186"/>
        <v>3533.0529366585147</v>
      </c>
      <c r="P199" s="625">
        <f t="shared" si="187"/>
        <v>3688.5949198598837</v>
      </c>
      <c r="Q199" s="625">
        <f t="shared" si="188"/>
        <v>3740.4422475936735</v>
      </c>
      <c r="R199" s="625">
        <f t="shared" si="189"/>
        <v>3647.266337890258</v>
      </c>
      <c r="S199" s="625">
        <f t="shared" si="190"/>
        <v>4096.3413934681803</v>
      </c>
      <c r="T199" s="625">
        <f t="shared" ca="1" si="191"/>
        <v>4103.8589142072933</v>
      </c>
      <c r="U199" s="627">
        <f t="shared" ca="1" si="192"/>
        <v>3673.1260912412831</v>
      </c>
      <c r="V199" s="452"/>
      <c r="W199" s="1153"/>
      <c r="X199" s="640">
        <f t="shared" si="193"/>
        <v>49763.779527559134</v>
      </c>
      <c r="Y199" s="645">
        <f t="shared" si="194"/>
        <v>10</v>
      </c>
      <c r="Z199" s="624">
        <f t="shared" si="201"/>
        <v>0</v>
      </c>
      <c r="AA199" s="625">
        <f t="shared" si="195"/>
        <v>155.54198320136902</v>
      </c>
      <c r="AB199" s="626">
        <f t="shared" si="196"/>
        <v>207.38931093515885</v>
      </c>
      <c r="AC199" s="625">
        <f t="shared" si="197"/>
        <v>114.21340123174332</v>
      </c>
      <c r="AD199" s="626">
        <f t="shared" si="198"/>
        <v>563.2884568096656</v>
      </c>
      <c r="AE199" s="625">
        <f t="shared" ca="1" si="199"/>
        <v>570.80597754877863</v>
      </c>
      <c r="AF199" s="627">
        <f t="shared" ca="1" si="200"/>
        <v>140.07315458276844</v>
      </c>
      <c r="AG199" s="452"/>
      <c r="AH199" s="452"/>
      <c r="AI199" s="452"/>
      <c r="AJ199" s="452"/>
      <c r="AK199" s="452"/>
      <c r="AL199" s="452"/>
      <c r="AM199" s="452"/>
      <c r="AN199" s="452"/>
      <c r="AO199" s="452"/>
      <c r="AP199" s="452"/>
      <c r="AQ199" s="452"/>
      <c r="AR199" s="452"/>
      <c r="AS199" s="452"/>
      <c r="AT199" s="452"/>
      <c r="BE199" s="452"/>
      <c r="BF199" s="452"/>
      <c r="BG199" s="452"/>
      <c r="BH199" s="452"/>
      <c r="BI199" s="452"/>
      <c r="BJ199" s="452"/>
      <c r="BK199" s="452"/>
      <c r="BL199" s="452"/>
      <c r="BM199" s="452"/>
      <c r="BN199" s="452"/>
      <c r="BO199" s="452"/>
      <c r="BP199" s="452"/>
      <c r="BQ199" s="452"/>
      <c r="BR199" s="452"/>
      <c r="BS199" s="452"/>
      <c r="BT199" s="452"/>
      <c r="BU199" s="452"/>
      <c r="BV199" s="452"/>
      <c r="BW199" s="452"/>
      <c r="BX199" s="452"/>
      <c r="BY199" s="452"/>
    </row>
    <row r="200" spans="1:77">
      <c r="A200" s="1157"/>
      <c r="B200" s="640">
        <f t="shared" si="183"/>
        <v>44724.409448818951</v>
      </c>
      <c r="C200" s="742">
        <f t="shared" si="184"/>
        <v>11</v>
      </c>
      <c r="D200" s="624">
        <f>'TCO Calculation'!E$119/MAX($C$94:$C$109)*(1+$A$2)^($C105-1)</f>
        <v>5750.5220088238812</v>
      </c>
      <c r="E200" s="625">
        <f>'TCO Calculation'!F$119/MAX($C$94:$C$109)*(1+$A$2)^($C105-1)</f>
        <v>6003.6876459460736</v>
      </c>
      <c r="F200" s="626">
        <f>'TCO Calculation'!G$119/MAX($C$94:$C$109)*(1+$A$2)^($C105-1)</f>
        <v>6088.0761916534702</v>
      </c>
      <c r="G200" s="626">
        <f>'TCO Calculation'!H$119/MAX($C$94:$C$109)*(1+$A$2)^($C105-1)</f>
        <v>5936.4197831456395</v>
      </c>
      <c r="H200" s="626">
        <f>'TCO Calculation'!I$119/MAX($C$94:$C$109)*(1+$A$2)^($C105-1)</f>
        <v>6667.3502381976496</v>
      </c>
      <c r="I200" s="626">
        <f ca="1">'TCO Calculation'!J$119/MAX($C$94:$C$109)*(1+$A$2)^($C105-1)</f>
        <v>6679.5860210282763</v>
      </c>
      <c r="J200" s="627">
        <f ca="1">'TCO Calculation'!K$119/MAX($C$94:$C$109)*(1+$A$2)^($C105-1)</f>
        <v>5978.510032981656</v>
      </c>
      <c r="K200" s="452"/>
      <c r="L200" s="1157"/>
      <c r="M200" s="640">
        <f t="shared" si="185"/>
        <v>44724.409448818951</v>
      </c>
      <c r="N200" s="742">
        <f t="shared" si="185"/>
        <v>11</v>
      </c>
      <c r="O200" s="625">
        <f t="shared" si="186"/>
        <v>3421.3660672248666</v>
      </c>
      <c r="P200" s="625">
        <f t="shared" si="187"/>
        <v>3571.9910572532735</v>
      </c>
      <c r="Q200" s="625">
        <f t="shared" si="188"/>
        <v>3622.1993872627422</v>
      </c>
      <c r="R200" s="625">
        <f t="shared" si="189"/>
        <v>3531.9689544168714</v>
      </c>
      <c r="S200" s="625">
        <f t="shared" si="190"/>
        <v>3966.8478493378643</v>
      </c>
      <c r="T200" s="625">
        <f t="shared" ca="1" si="191"/>
        <v>3974.1277262113731</v>
      </c>
      <c r="U200" s="627">
        <f t="shared" ca="1" si="192"/>
        <v>3557.0112292449644</v>
      </c>
      <c r="V200" s="452"/>
      <c r="W200" s="1153"/>
      <c r="X200" s="640">
        <f t="shared" si="193"/>
        <v>44724.409448818951</v>
      </c>
      <c r="Y200" s="645">
        <f t="shared" si="194"/>
        <v>11</v>
      </c>
      <c r="Z200" s="624">
        <f t="shared" si="201"/>
        <v>0</v>
      </c>
      <c r="AA200" s="625">
        <f t="shared" si="195"/>
        <v>150.62499002840696</v>
      </c>
      <c r="AB200" s="626">
        <f t="shared" si="196"/>
        <v>200.83332003787564</v>
      </c>
      <c r="AC200" s="625">
        <f t="shared" si="197"/>
        <v>110.6028871920048</v>
      </c>
      <c r="AD200" s="626">
        <f t="shared" si="198"/>
        <v>545.48178211299773</v>
      </c>
      <c r="AE200" s="625">
        <f t="shared" ca="1" si="199"/>
        <v>552.76165898650652</v>
      </c>
      <c r="AF200" s="627">
        <f t="shared" ca="1" si="200"/>
        <v>135.64516202009781</v>
      </c>
      <c r="AG200" s="452"/>
      <c r="AH200" s="452"/>
      <c r="AI200" s="452"/>
      <c r="AJ200" s="452"/>
      <c r="AK200" s="452"/>
      <c r="AL200" s="452"/>
      <c r="AM200" s="452"/>
      <c r="AN200" s="452"/>
      <c r="AO200" s="452"/>
      <c r="AP200" s="452"/>
      <c r="AQ200" s="452"/>
      <c r="AR200" s="452"/>
      <c r="AS200" s="452"/>
      <c r="AT200" s="452"/>
      <c r="BE200" s="452"/>
      <c r="BF200" s="452"/>
      <c r="BG200" s="452"/>
      <c r="BH200" s="452"/>
      <c r="BI200" s="452"/>
      <c r="BJ200" s="452"/>
      <c r="BK200" s="452"/>
      <c r="BL200" s="452"/>
      <c r="BM200" s="452"/>
      <c r="BN200" s="452"/>
      <c r="BO200" s="452"/>
      <c r="BP200" s="452"/>
      <c r="BQ200" s="452"/>
      <c r="BR200" s="452"/>
      <c r="BS200" s="452"/>
      <c r="BT200" s="452"/>
      <c r="BU200" s="452"/>
      <c r="BV200" s="452"/>
      <c r="BW200" s="452"/>
      <c r="BX200" s="452"/>
      <c r="BY200" s="452"/>
    </row>
    <row r="201" spans="1:77">
      <c r="A201" s="1157"/>
      <c r="B201" s="640">
        <f t="shared" si="183"/>
        <v>39685.039370078855</v>
      </c>
      <c r="C201" s="742">
        <f t="shared" si="184"/>
        <v>12</v>
      </c>
      <c r="D201" s="624">
        <f>'TCO Calculation'!E$119/MAX($C$94:$C$109)*(1+$A$2)^($C106-1)</f>
        <v>5865.5324490003577</v>
      </c>
      <c r="E201" s="625">
        <f>'TCO Calculation'!F$119/MAX($C$94:$C$109)*(1+$A$2)^($C106-1)</f>
        <v>6123.7613988649937</v>
      </c>
      <c r="F201" s="626">
        <f>'TCO Calculation'!G$119/MAX($C$94:$C$109)*(1+$A$2)^($C106-1)</f>
        <v>6209.8377154865384</v>
      </c>
      <c r="G201" s="626">
        <f>'TCO Calculation'!H$119/MAX($C$94:$C$109)*(1+$A$2)^($C106-1)</f>
        <v>6055.1481788085512</v>
      </c>
      <c r="H201" s="626">
        <f>'TCO Calculation'!I$119/MAX($C$94:$C$109)*(1+$A$2)^($C106-1)</f>
        <v>6800.6972429616017</v>
      </c>
      <c r="I201" s="626">
        <f ca="1">'TCO Calculation'!J$119/MAX($C$94:$C$109)*(1+$A$2)^($C106-1)</f>
        <v>6813.1777414488406</v>
      </c>
      <c r="J201" s="627">
        <f ca="1">'TCO Calculation'!K$119/MAX($C$94:$C$109)*(1+$A$2)^($C106-1)</f>
        <v>6098.080233641288</v>
      </c>
      <c r="K201" s="452"/>
      <c r="L201" s="1157"/>
      <c r="M201" s="640">
        <f t="shared" si="185"/>
        <v>39685.039370078855</v>
      </c>
      <c r="N201" s="742">
        <f t="shared" si="185"/>
        <v>12</v>
      </c>
      <c r="O201" s="625">
        <f t="shared" si="186"/>
        <v>3313.2098431077529</v>
      </c>
      <c r="P201" s="625">
        <f t="shared" si="187"/>
        <v>3459.0732759513821</v>
      </c>
      <c r="Q201" s="625">
        <f t="shared" si="188"/>
        <v>3507.6944202325913</v>
      </c>
      <c r="R201" s="625">
        <f t="shared" si="189"/>
        <v>3420.3163518298443</v>
      </c>
      <c r="S201" s="625">
        <f t="shared" si="190"/>
        <v>3841.4478551245952</v>
      </c>
      <c r="T201" s="625">
        <f t="shared" ca="1" si="191"/>
        <v>3848.4976005303779</v>
      </c>
      <c r="U201" s="627">
        <f t="shared" ca="1" si="192"/>
        <v>3444.5669902660716</v>
      </c>
      <c r="V201" s="452"/>
      <c r="W201" s="1153"/>
      <c r="X201" s="640">
        <f t="shared" si="193"/>
        <v>39685.039370078855</v>
      </c>
      <c r="Y201" s="645">
        <f t="shared" si="194"/>
        <v>12</v>
      </c>
      <c r="Z201" s="624">
        <f t="shared" si="201"/>
        <v>0</v>
      </c>
      <c r="AA201" s="625">
        <f t="shared" si="195"/>
        <v>145.8634328436292</v>
      </c>
      <c r="AB201" s="626">
        <f t="shared" si="196"/>
        <v>194.48457712483832</v>
      </c>
      <c r="AC201" s="625">
        <f t="shared" si="197"/>
        <v>107.10650872209135</v>
      </c>
      <c r="AD201" s="626">
        <f t="shared" si="198"/>
        <v>528.23801201684228</v>
      </c>
      <c r="AE201" s="625">
        <f t="shared" ca="1" si="199"/>
        <v>535.28775742262496</v>
      </c>
      <c r="AF201" s="627">
        <f t="shared" ca="1" si="200"/>
        <v>131.35714715831864</v>
      </c>
      <c r="AG201" s="452"/>
      <c r="AH201" s="452"/>
      <c r="AI201" s="452"/>
      <c r="AJ201" s="452"/>
      <c r="AK201" s="452"/>
      <c r="AL201" s="452"/>
      <c r="AM201" s="452"/>
      <c r="AN201" s="452"/>
      <c r="AO201" s="452"/>
      <c r="AP201" s="452"/>
      <c r="AQ201" s="452"/>
      <c r="AR201" s="452"/>
      <c r="AS201" s="452"/>
      <c r="AT201" s="452"/>
      <c r="BE201" s="452"/>
      <c r="BF201" s="452"/>
      <c r="BG201" s="452"/>
      <c r="BH201" s="452"/>
      <c r="BI201" s="452"/>
      <c r="BJ201" s="452"/>
      <c r="BK201" s="452"/>
      <c r="BL201" s="452"/>
      <c r="BM201" s="452"/>
      <c r="BN201" s="452"/>
      <c r="BO201" s="452"/>
      <c r="BP201" s="452"/>
      <c r="BQ201" s="452"/>
      <c r="BR201" s="452"/>
      <c r="BS201" s="452"/>
      <c r="BT201" s="452"/>
      <c r="BU201" s="452"/>
      <c r="BV201" s="452"/>
      <c r="BW201" s="452"/>
      <c r="BX201" s="452"/>
      <c r="BY201" s="452"/>
    </row>
    <row r="202" spans="1:77">
      <c r="A202" s="1157"/>
      <c r="B202" s="640">
        <f t="shared" si="183"/>
        <v>34960.629921259933</v>
      </c>
      <c r="C202" s="742">
        <f t="shared" si="184"/>
        <v>13</v>
      </c>
      <c r="D202" s="624">
        <f>'TCO Calculation'!E$119/MAX($C$94:$C$109)*(1+$A$2)^($C107-1)</f>
        <v>5982.8430979803652</v>
      </c>
      <c r="E202" s="625">
        <f>'TCO Calculation'!F$119/MAX($C$94:$C$109)*(1+$A$2)^($C107-1)</f>
        <v>6246.2366268422948</v>
      </c>
      <c r="F202" s="626">
        <f>'TCO Calculation'!G$119/MAX($C$94:$C$109)*(1+$A$2)^($C107-1)</f>
        <v>6334.034469796271</v>
      </c>
      <c r="G202" s="626">
        <f>'TCO Calculation'!H$119/MAX($C$94:$C$109)*(1+$A$2)^($C107-1)</f>
        <v>6176.2511423847236</v>
      </c>
      <c r="H202" s="626">
        <f>'TCO Calculation'!I$119/MAX($C$94:$C$109)*(1+$A$2)^($C107-1)</f>
        <v>6936.7111878208343</v>
      </c>
      <c r="I202" s="626">
        <f ca="1">'TCO Calculation'!J$119/MAX($C$94:$C$109)*(1+$A$2)^($C107-1)</f>
        <v>6949.4412962778179</v>
      </c>
      <c r="J202" s="627">
        <f ca="1">'TCO Calculation'!K$119/MAX($C$94:$C$109)*(1+$A$2)^($C107-1)</f>
        <v>6220.041838314115</v>
      </c>
      <c r="K202" s="452"/>
      <c r="L202" s="1157"/>
      <c r="M202" s="640">
        <f t="shared" si="185"/>
        <v>34960.629921259933</v>
      </c>
      <c r="N202" s="742">
        <f t="shared" si="185"/>
        <v>13</v>
      </c>
      <c r="O202" s="625">
        <f t="shared" si="186"/>
        <v>3208.472653547431</v>
      </c>
      <c r="P202" s="625">
        <f t="shared" si="187"/>
        <v>3349.7250515520077</v>
      </c>
      <c r="Q202" s="625">
        <f t="shared" si="188"/>
        <v>3396.8091842201998</v>
      </c>
      <c r="R202" s="625">
        <f t="shared" si="189"/>
        <v>3312.1933113158002</v>
      </c>
      <c r="S202" s="625">
        <f t="shared" si="190"/>
        <v>3720.0120055283965</v>
      </c>
      <c r="T202" s="625">
        <f t="shared" ca="1" si="191"/>
        <v>3726.838894382412</v>
      </c>
      <c r="U202" s="627">
        <f t="shared" ca="1" si="192"/>
        <v>3335.6773385697811</v>
      </c>
      <c r="V202" s="452"/>
      <c r="W202" s="1153"/>
      <c r="X202" s="640">
        <f t="shared" si="193"/>
        <v>34960.629921259933</v>
      </c>
      <c r="Y202" s="645">
        <f t="shared" si="194"/>
        <v>13</v>
      </c>
      <c r="Z202" s="624">
        <f t="shared" si="201"/>
        <v>0</v>
      </c>
      <c r="AA202" s="625">
        <f t="shared" si="195"/>
        <v>141.25239800457666</v>
      </c>
      <c r="AB202" s="626">
        <f t="shared" si="196"/>
        <v>188.33653067276873</v>
      </c>
      <c r="AC202" s="625">
        <f t="shared" si="197"/>
        <v>103.72065776836916</v>
      </c>
      <c r="AD202" s="626">
        <f t="shared" si="198"/>
        <v>511.53935198096542</v>
      </c>
      <c r="AE202" s="625">
        <f t="shared" ca="1" si="199"/>
        <v>518.366240834981</v>
      </c>
      <c r="AF202" s="627">
        <f t="shared" ca="1" si="200"/>
        <v>127.20468502235008</v>
      </c>
      <c r="AG202" s="452"/>
      <c r="AH202" s="452"/>
      <c r="AI202" s="452"/>
      <c r="AJ202" s="452"/>
      <c r="AK202" s="452"/>
      <c r="AL202" s="452"/>
      <c r="AM202" s="452"/>
      <c r="AN202" s="452"/>
      <c r="AO202" s="452"/>
      <c r="AP202" s="452"/>
      <c r="AQ202" s="452"/>
      <c r="AR202" s="452"/>
      <c r="AS202" s="452"/>
      <c r="AT202" s="452"/>
      <c r="BE202" s="452"/>
      <c r="BF202" s="452"/>
      <c r="BG202" s="452"/>
      <c r="BH202" s="452"/>
      <c r="BI202" s="452"/>
      <c r="BJ202" s="452"/>
      <c r="BK202" s="452"/>
      <c r="BL202" s="452"/>
      <c r="BM202" s="452"/>
      <c r="BN202" s="452"/>
      <c r="BO202" s="452"/>
      <c r="BP202" s="452"/>
      <c r="BQ202" s="452"/>
      <c r="BR202" s="452"/>
      <c r="BS202" s="452"/>
      <c r="BT202" s="452"/>
      <c r="BU202" s="452"/>
      <c r="BV202" s="452"/>
      <c r="BW202" s="452"/>
      <c r="BX202" s="452"/>
      <c r="BY202" s="452"/>
    </row>
    <row r="203" spans="1:77">
      <c r="A203" s="1157"/>
      <c r="B203" s="640">
        <f t="shared" si="183"/>
        <v>31496.062992126026</v>
      </c>
      <c r="C203" s="742">
        <f t="shared" si="184"/>
        <v>14</v>
      </c>
      <c r="D203" s="624">
        <f>'TCO Calculation'!E$119/MAX($C$94:$C$109)*(1+$A$2)^($C108-1)</f>
        <v>6102.4999599399725</v>
      </c>
      <c r="E203" s="625">
        <f>'TCO Calculation'!F$119/MAX($C$94:$C$109)*(1+$A$2)^($C108-1)</f>
        <v>6371.1613593791399</v>
      </c>
      <c r="F203" s="626">
        <f>'TCO Calculation'!G$119/MAX($C$94:$C$109)*(1+$A$2)^($C108-1)</f>
        <v>6460.7151591921956</v>
      </c>
      <c r="G203" s="626">
        <f>'TCO Calculation'!H$119/MAX($C$94:$C$109)*(1+$A$2)^($C108-1)</f>
        <v>6299.776165232417</v>
      </c>
      <c r="H203" s="626">
        <f>'TCO Calculation'!I$119/MAX($C$94:$C$109)*(1+$A$2)^($C108-1)</f>
        <v>7075.4454115772505</v>
      </c>
      <c r="I203" s="626">
        <f ca="1">'TCO Calculation'!J$119/MAX($C$94:$C$109)*(1+$A$2)^($C108-1)</f>
        <v>7088.4301222033746</v>
      </c>
      <c r="J203" s="627">
        <f ca="1">'TCO Calculation'!K$119/MAX($C$94:$C$109)*(1+$A$2)^($C108-1)</f>
        <v>6344.4426750803968</v>
      </c>
      <c r="K203" s="452"/>
      <c r="L203" s="1157"/>
      <c r="M203" s="640">
        <f t="shared" si="185"/>
        <v>31496.062992126026</v>
      </c>
      <c r="N203" s="742">
        <f t="shared" si="185"/>
        <v>14</v>
      </c>
      <c r="O203" s="625">
        <f t="shared" si="186"/>
        <v>3107.0464160234901</v>
      </c>
      <c r="P203" s="625">
        <f t="shared" si="187"/>
        <v>3243.8335432223457</v>
      </c>
      <c r="Q203" s="625">
        <f t="shared" si="188"/>
        <v>3289.4292522886308</v>
      </c>
      <c r="R203" s="625">
        <f t="shared" si="189"/>
        <v>3207.4882563584852</v>
      </c>
      <c r="S203" s="625">
        <f t="shared" si="190"/>
        <v>3602.4149860096331</v>
      </c>
      <c r="T203" s="625">
        <f t="shared" ca="1" si="191"/>
        <v>3609.0260632531958</v>
      </c>
      <c r="U203" s="627">
        <f t="shared" ca="1" si="192"/>
        <v>3230.2299065429133</v>
      </c>
      <c r="V203" s="452"/>
      <c r="W203" s="1153"/>
      <c r="X203" s="640">
        <f t="shared" si="193"/>
        <v>31496.062992126026</v>
      </c>
      <c r="Y203" s="645">
        <f t="shared" si="194"/>
        <v>14</v>
      </c>
      <c r="Z203" s="624">
        <f t="shared" si="201"/>
        <v>0</v>
      </c>
      <c r="AA203" s="625">
        <f t="shared" si="195"/>
        <v>136.78712719885561</v>
      </c>
      <c r="AB203" s="626">
        <f t="shared" si="196"/>
        <v>182.38283626514067</v>
      </c>
      <c r="AC203" s="625">
        <f t="shared" si="197"/>
        <v>100.44184033499505</v>
      </c>
      <c r="AD203" s="626">
        <f t="shared" si="198"/>
        <v>495.36856998614303</v>
      </c>
      <c r="AE203" s="625">
        <f t="shared" ca="1" si="199"/>
        <v>501.97964722970573</v>
      </c>
      <c r="AF203" s="627">
        <f t="shared" ca="1" si="200"/>
        <v>123.18349051942323</v>
      </c>
      <c r="AG203" s="452"/>
      <c r="AH203" s="452"/>
      <c r="AI203" s="452"/>
      <c r="AJ203" s="452"/>
      <c r="AK203" s="452"/>
      <c r="AL203" s="452"/>
      <c r="AM203" s="452"/>
      <c r="AN203" s="452"/>
      <c r="AO203" s="452"/>
      <c r="AP203" s="452"/>
      <c r="AQ203" s="452"/>
      <c r="AR203" s="452"/>
      <c r="AS203" s="452"/>
      <c r="AT203" s="452"/>
      <c r="BE203" s="452"/>
      <c r="BF203" s="452"/>
      <c r="BG203" s="452"/>
      <c r="BH203" s="452"/>
      <c r="BI203" s="452"/>
      <c r="BJ203" s="452"/>
      <c r="BK203" s="452"/>
      <c r="BL203" s="452"/>
      <c r="BM203" s="452"/>
      <c r="BN203" s="452"/>
      <c r="BO203" s="452"/>
      <c r="BP203" s="452"/>
      <c r="BQ203" s="452"/>
      <c r="BR203" s="452"/>
      <c r="BS203" s="452"/>
      <c r="BT203" s="452"/>
      <c r="BU203" s="452"/>
      <c r="BV203" s="452"/>
      <c r="BW203" s="452"/>
      <c r="BX203" s="452"/>
      <c r="BY203" s="452"/>
    </row>
    <row r="204" spans="1:77" ht="15" thickBot="1">
      <c r="A204" s="1158"/>
      <c r="B204" s="672">
        <f t="shared" si="183"/>
        <v>27716.53543307096</v>
      </c>
      <c r="C204" s="743">
        <f t="shared" si="184"/>
        <v>15</v>
      </c>
      <c r="D204" s="632">
        <f>'TCO Calculation'!E$119/MAX($C$94:$C$109)*(1+$A$2)^($C109-1)</f>
        <v>6224.5499591387725</v>
      </c>
      <c r="E204" s="633">
        <f>'TCO Calculation'!F$119/MAX($C$94:$C$109)*(1+$A$2)^($C109-1)</f>
        <v>6498.5845865667234</v>
      </c>
      <c r="F204" s="634">
        <f>'TCO Calculation'!G$119/MAX($C$94:$C$109)*(1+$A$2)^($C109-1)</f>
        <v>6589.9294623760406</v>
      </c>
      <c r="G204" s="634">
        <f>'TCO Calculation'!H$119/MAX($C$94:$C$109)*(1+$A$2)^($C109-1)</f>
        <v>6425.7716885370664</v>
      </c>
      <c r="H204" s="634">
        <f>'TCO Calculation'!I$119/MAX($C$94:$C$109)*(1+$A$2)^($C109-1)</f>
        <v>7216.9543198087968</v>
      </c>
      <c r="I204" s="634">
        <f ca="1">'TCO Calculation'!J$119/MAX($C$94:$C$109)*(1+$A$2)^($C109-1)</f>
        <v>7230.1987246474428</v>
      </c>
      <c r="J204" s="635">
        <f ca="1">'TCO Calculation'!K$119/MAX($C$94:$C$109)*(1+$A$2)^($C109-1)</f>
        <v>6471.3315285820054</v>
      </c>
      <c r="K204" s="452"/>
      <c r="L204" s="1158"/>
      <c r="M204" s="672">
        <f t="shared" si="185"/>
        <v>27716.53543307096</v>
      </c>
      <c r="N204" s="743">
        <f t="shared" si="185"/>
        <v>15</v>
      </c>
      <c r="O204" s="633">
        <f t="shared" si="186"/>
        <v>3008.8264647201559</v>
      </c>
      <c r="P204" s="633">
        <f t="shared" si="187"/>
        <v>3141.2894772540012</v>
      </c>
      <c r="Q204" s="633">
        <f t="shared" si="188"/>
        <v>3185.4438147652832</v>
      </c>
      <c r="R204" s="633">
        <f t="shared" si="189"/>
        <v>3106.093137598481</v>
      </c>
      <c r="S204" s="633">
        <f t="shared" si="190"/>
        <v>3488.5354434718975</v>
      </c>
      <c r="T204" s="633">
        <f t="shared" ca="1" si="191"/>
        <v>3494.9375313416363</v>
      </c>
      <c r="U204" s="635">
        <f t="shared" ca="1" si="192"/>
        <v>3128.1158787372792</v>
      </c>
      <c r="V204" s="452"/>
      <c r="W204" s="1153"/>
      <c r="X204" s="640">
        <f t="shared" si="193"/>
        <v>27716.53543307096</v>
      </c>
      <c r="Y204" s="646">
        <f t="shared" si="194"/>
        <v>15</v>
      </c>
      <c r="Z204" s="624">
        <f t="shared" si="201"/>
        <v>0</v>
      </c>
      <c r="AA204" s="625">
        <f t="shared" si="195"/>
        <v>132.46301253384536</v>
      </c>
      <c r="AB204" s="626">
        <f t="shared" si="196"/>
        <v>176.6173500451273</v>
      </c>
      <c r="AC204" s="625">
        <f t="shared" si="197"/>
        <v>97.266672878325153</v>
      </c>
      <c r="AD204" s="626">
        <f t="shared" si="198"/>
        <v>479.7089787517416</v>
      </c>
      <c r="AE204" s="625">
        <f t="shared" ca="1" si="199"/>
        <v>486.1110666214804</v>
      </c>
      <c r="AF204" s="627">
        <f t="shared" ca="1" si="200"/>
        <v>119.28941401712336</v>
      </c>
      <c r="AG204" s="452"/>
      <c r="AH204" s="452"/>
      <c r="AI204" s="452"/>
      <c r="AJ204" s="452"/>
      <c r="AK204" s="452"/>
      <c r="AL204" s="452"/>
      <c r="AM204" s="452"/>
      <c r="AN204" s="452"/>
      <c r="AO204" s="452"/>
      <c r="AP204" s="452"/>
      <c r="AQ204" s="452"/>
      <c r="AR204" s="452"/>
      <c r="AS204" s="452"/>
      <c r="AT204" s="452"/>
      <c r="BE204" s="452"/>
      <c r="BF204" s="452"/>
      <c r="BG204" s="452"/>
      <c r="BH204" s="452"/>
      <c r="BI204" s="452"/>
      <c r="BJ204" s="452"/>
      <c r="BK204" s="452"/>
      <c r="BL204" s="452"/>
      <c r="BM204" s="452"/>
      <c r="BN204" s="452"/>
      <c r="BO204" s="452"/>
      <c r="BP204" s="452"/>
      <c r="BQ204" s="452"/>
      <c r="BR204" s="452"/>
      <c r="BS204" s="452"/>
      <c r="BT204" s="452"/>
      <c r="BU204" s="452"/>
      <c r="BV204" s="452"/>
      <c r="BW204" s="452"/>
      <c r="BX204" s="452"/>
      <c r="BY204" s="452"/>
    </row>
    <row r="205" spans="1:77" ht="15" thickBot="1">
      <c r="A205" s="452"/>
      <c r="B205" s="452"/>
      <c r="C205" s="452"/>
      <c r="D205" s="636">
        <f t="shared" ref="D205:J205" si="202">SUM(D189:D204)</f>
        <v>81580.500249410732</v>
      </c>
      <c r="E205" s="637">
        <f t="shared" si="202"/>
        <v>85172.066248236166</v>
      </c>
      <c r="F205" s="638">
        <f t="shared" ref="F205" si="203">SUM(F189:F204)</f>
        <v>86369.254914511315</v>
      </c>
      <c r="G205" s="638">
        <f t="shared" si="202"/>
        <v>84217.762292952189</v>
      </c>
      <c r="H205" s="638">
        <f t="shared" si="202"/>
        <v>94587.198681365931</v>
      </c>
      <c r="I205" s="638">
        <f t="shared" ca="1" si="202"/>
        <v>94760.78314599958</v>
      </c>
      <c r="J205" s="639">
        <f t="shared" ca="1" si="202"/>
        <v>84814.880890529239</v>
      </c>
      <c r="K205" s="452"/>
      <c r="L205" s="452"/>
      <c r="M205" s="452"/>
      <c r="N205" s="452"/>
      <c r="O205" s="636">
        <f t="shared" ref="O205:U205" si="204">SUM(O189:O204)</f>
        <v>57058.063735793796</v>
      </c>
      <c r="P205" s="637">
        <f t="shared" si="204"/>
        <v>59570.034133692548</v>
      </c>
      <c r="Q205" s="638">
        <f t="shared" si="204"/>
        <v>60407.357599658797</v>
      </c>
      <c r="R205" s="638">
        <f t="shared" si="204"/>
        <v>58902.58620511349</v>
      </c>
      <c r="S205" s="638">
        <f t="shared" si="204"/>
        <v>66155.054142249544</v>
      </c>
      <c r="T205" s="638">
        <f t="shared" ca="1" si="204"/>
        <v>66276.460525102419</v>
      </c>
      <c r="U205" s="639">
        <f t="shared" ca="1" si="204"/>
        <v>59320.215796672965</v>
      </c>
      <c r="V205" s="452"/>
      <c r="W205" s="1154"/>
      <c r="X205" s="1150" t="s">
        <v>110</v>
      </c>
      <c r="Y205" s="1151"/>
      <c r="Z205" s="636">
        <f t="shared" si="201"/>
        <v>0</v>
      </c>
      <c r="AA205" s="637">
        <f t="shared" si="195"/>
        <v>2511.9703978987527</v>
      </c>
      <c r="AB205" s="638">
        <f t="shared" si="196"/>
        <v>3349.2938638650012</v>
      </c>
      <c r="AC205" s="637">
        <f t="shared" si="197"/>
        <v>1844.5224693196942</v>
      </c>
      <c r="AD205" s="638">
        <f t="shared" si="198"/>
        <v>9096.9904064557486</v>
      </c>
      <c r="AE205" s="637">
        <f t="shared" ca="1" si="199"/>
        <v>9218.3967893086228</v>
      </c>
      <c r="AF205" s="639">
        <f t="shared" ca="1" si="200"/>
        <v>2262.1520608791689</v>
      </c>
      <c r="AG205" s="452"/>
      <c r="AH205" s="452"/>
      <c r="AI205" s="452"/>
      <c r="AJ205" s="452"/>
      <c r="AK205" s="452"/>
      <c r="AL205" s="452"/>
      <c r="AM205" s="452"/>
      <c r="AN205" s="452"/>
      <c r="AO205" s="452"/>
      <c r="AP205" s="452"/>
      <c r="AQ205" s="452"/>
      <c r="AR205" s="452"/>
      <c r="AS205" s="452"/>
      <c r="AT205" s="452"/>
      <c r="BU205" s="452"/>
      <c r="BV205" s="452"/>
      <c r="BW205" s="452"/>
      <c r="BX205" s="452"/>
      <c r="BY205" s="452"/>
    </row>
    <row r="206" spans="1:77" ht="15" thickBot="1">
      <c r="A206" s="452"/>
      <c r="B206" s="452"/>
      <c r="C206" s="452"/>
      <c r="D206" s="452"/>
      <c r="E206" s="452"/>
      <c r="F206" s="452"/>
      <c r="G206" s="452"/>
      <c r="H206" s="452"/>
      <c r="I206" s="452"/>
      <c r="J206" s="452"/>
      <c r="K206" s="452"/>
      <c r="L206" s="452"/>
      <c r="M206" s="452"/>
      <c r="N206" s="452"/>
      <c r="O206" s="452"/>
      <c r="P206" s="452"/>
      <c r="Q206" s="452"/>
      <c r="R206" s="452"/>
      <c r="S206" s="452"/>
      <c r="T206" s="452"/>
      <c r="U206" s="452"/>
      <c r="V206" s="452"/>
      <c r="W206" s="452"/>
      <c r="X206" s="452"/>
      <c r="Y206" s="452"/>
      <c r="Z206" s="452"/>
      <c r="AA206" s="452"/>
      <c r="AB206" s="452"/>
      <c r="AC206" s="452"/>
      <c r="AD206" s="452"/>
      <c r="AE206" s="452"/>
      <c r="AF206" s="452"/>
      <c r="AG206" s="452"/>
      <c r="AH206" s="452"/>
      <c r="AI206" s="452"/>
      <c r="AJ206" s="452"/>
      <c r="AK206" s="452"/>
      <c r="AL206" s="452"/>
      <c r="AM206" s="452"/>
      <c r="AN206" s="452"/>
      <c r="AO206" s="452"/>
      <c r="AP206" s="452"/>
      <c r="AQ206" s="452"/>
      <c r="AR206" s="452"/>
      <c r="AS206" s="452"/>
      <c r="AT206" s="452"/>
      <c r="BU206" s="452"/>
      <c r="BV206" s="452"/>
      <c r="BW206" s="452"/>
      <c r="BX206" s="452"/>
      <c r="BY206" s="452"/>
    </row>
    <row r="207" spans="1:77" ht="42.5" thickBot="1">
      <c r="A207" s="1156" t="s">
        <v>513</v>
      </c>
      <c r="B207" s="643" t="s">
        <v>487</v>
      </c>
      <c r="C207" s="644" t="s">
        <v>506</v>
      </c>
      <c r="D207" s="352" t="s">
        <v>454</v>
      </c>
      <c r="E207" s="609" t="s">
        <v>455</v>
      </c>
      <c r="F207" s="354" t="str">
        <f>$F$169</f>
        <v>Mobile Carbon Capture  90%</v>
      </c>
      <c r="G207" s="355" t="str">
        <f>$G$51</f>
        <v>BEV 250 mile</v>
      </c>
      <c r="H207" s="355" t="s">
        <v>445</v>
      </c>
      <c r="I207" s="973" t="s">
        <v>414</v>
      </c>
      <c r="J207" s="357" t="s">
        <v>413</v>
      </c>
      <c r="K207" s="452"/>
      <c r="L207" s="1156" t="s">
        <v>513</v>
      </c>
      <c r="M207" s="643" t="s">
        <v>487</v>
      </c>
      <c r="N207" s="644" t="s">
        <v>506</v>
      </c>
      <c r="O207" s="352" t="s">
        <v>454</v>
      </c>
      <c r="P207" s="609" t="s">
        <v>455</v>
      </c>
      <c r="Q207" s="354" t="str">
        <f>$Q$169</f>
        <v>Mobile Carbon Capture  90%</v>
      </c>
      <c r="R207" s="355" t="str">
        <f>$G$51</f>
        <v>BEV 250 mile</v>
      </c>
      <c r="S207" s="355" t="s">
        <v>445</v>
      </c>
      <c r="T207" s="973" t="s">
        <v>414</v>
      </c>
      <c r="U207" s="357" t="s">
        <v>413</v>
      </c>
      <c r="V207" s="452"/>
      <c r="W207" s="1152" t="s">
        <v>513</v>
      </c>
      <c r="X207" s="643" t="s">
        <v>487</v>
      </c>
      <c r="Y207" s="644" t="s">
        <v>506</v>
      </c>
      <c r="Z207" s="352" t="s">
        <v>454</v>
      </c>
      <c r="AA207" s="609" t="s">
        <v>552</v>
      </c>
      <c r="AB207" s="354" t="s">
        <v>553</v>
      </c>
      <c r="AC207" s="355" t="s">
        <v>523</v>
      </c>
      <c r="AD207" s="355" t="s">
        <v>445</v>
      </c>
      <c r="AE207" s="973" t="s">
        <v>414</v>
      </c>
      <c r="AF207" s="357" t="s">
        <v>413</v>
      </c>
      <c r="AG207" s="452"/>
      <c r="AH207" s="452"/>
      <c r="AI207" s="452"/>
      <c r="AJ207" s="452"/>
      <c r="AK207" s="452"/>
      <c r="AL207" s="452"/>
      <c r="AM207" s="452"/>
      <c r="AN207" s="452"/>
      <c r="AO207" s="452"/>
      <c r="AP207" s="452"/>
      <c r="AQ207" s="452"/>
      <c r="AR207" s="452"/>
      <c r="AS207" s="452"/>
      <c r="AT207" s="452"/>
      <c r="BU207" s="452"/>
      <c r="BV207" s="452"/>
      <c r="BW207" s="452"/>
      <c r="BX207" s="452"/>
      <c r="BY207" s="452"/>
    </row>
    <row r="208" spans="1:77" ht="15" thickBot="1">
      <c r="A208" s="1157"/>
      <c r="B208" s="640">
        <f t="shared" ref="B208:B223" si="205">M52</f>
        <v>0</v>
      </c>
      <c r="C208" s="742">
        <f t="shared" ref="C208:C223" si="206">N52</f>
        <v>0</v>
      </c>
      <c r="D208" s="624">
        <v>0</v>
      </c>
      <c r="E208" s="629">
        <v>0</v>
      </c>
      <c r="F208" s="626">
        <v>1</v>
      </c>
      <c r="G208" s="626">
        <v>0</v>
      </c>
      <c r="H208" s="626">
        <v>0</v>
      </c>
      <c r="I208" s="626">
        <v>0</v>
      </c>
      <c r="J208" s="627">
        <v>0</v>
      </c>
      <c r="K208" s="452"/>
      <c r="L208" s="1157"/>
      <c r="M208" s="640">
        <f t="shared" ref="M208:N223" si="207">M52</f>
        <v>0</v>
      </c>
      <c r="N208" s="742">
        <f t="shared" si="207"/>
        <v>0</v>
      </c>
      <c r="O208" s="633">
        <f t="shared" ref="O208:O223" si="208">D208*(1-$B$2)^MAX(0,($N208-1))</f>
        <v>0</v>
      </c>
      <c r="P208" s="633">
        <f t="shared" ref="P208:P223" si="209">E208*(1-$B$2)^MAX(0,($N208-1))</f>
        <v>0</v>
      </c>
      <c r="Q208" s="633">
        <f t="shared" ref="Q208:Q223" si="210">F208*(1-$B$2)^MAX(0,($N208-1))</f>
        <v>1</v>
      </c>
      <c r="R208" s="633">
        <f t="shared" ref="R208:R223" si="211">G208*(1-$B$2)^MAX(0,($N208-1))</f>
        <v>0</v>
      </c>
      <c r="S208" s="633">
        <f t="shared" ref="S208:S223" si="212">H208*(1-$B$2)^MAX(0,($N208-1))</f>
        <v>0</v>
      </c>
      <c r="T208" s="633">
        <f t="shared" ref="T208:T223" si="213">I208*(1-$B$2)^MAX(0,($N208-1))</f>
        <v>0</v>
      </c>
      <c r="U208" s="635">
        <f t="shared" ref="U208:U223" si="214">J208*(1-$B$2)^MAX(0,($N208-1))</f>
        <v>0</v>
      </c>
      <c r="V208" s="452"/>
      <c r="W208" s="1153"/>
      <c r="X208" s="640">
        <f t="shared" ref="X208:X223" si="215">M208</f>
        <v>0</v>
      </c>
      <c r="Y208" s="645">
        <f t="shared" ref="Y208:Y223" si="216">N208</f>
        <v>0</v>
      </c>
      <c r="Z208" s="624">
        <f>O208-$O208</f>
        <v>0</v>
      </c>
      <c r="AA208" s="629">
        <f t="shared" ref="AA208:AA224" si="217">P208-$O208</f>
        <v>0</v>
      </c>
      <c r="AB208" s="626">
        <f t="shared" ref="AB208:AB224" si="218">Q208-$O208</f>
        <v>1</v>
      </c>
      <c r="AC208" s="625">
        <f t="shared" ref="AC208:AC224" si="219">R208-$O208</f>
        <v>0</v>
      </c>
      <c r="AD208" s="626">
        <f t="shared" ref="AD208:AD224" si="220">S208-$O208</f>
        <v>0</v>
      </c>
      <c r="AE208" s="625">
        <f t="shared" ref="AE208:AE224" si="221">T208-$O208</f>
        <v>0</v>
      </c>
      <c r="AF208" s="627">
        <f t="shared" ref="AF208:AF224" si="222">U208-$O208</f>
        <v>0</v>
      </c>
      <c r="AG208" s="452"/>
      <c r="AH208" s="452"/>
      <c r="AI208" s="452"/>
      <c r="AJ208" s="452"/>
      <c r="AK208" s="452"/>
      <c r="AL208" s="452"/>
      <c r="AM208" s="452"/>
      <c r="AN208" s="452"/>
      <c r="AO208" s="452"/>
      <c r="AP208" s="452"/>
      <c r="AQ208" s="452"/>
      <c r="AR208" s="452"/>
      <c r="AS208" s="452"/>
      <c r="AT208" s="452"/>
      <c r="BU208" s="452"/>
      <c r="BV208" s="452"/>
      <c r="BW208" s="452"/>
      <c r="BX208" s="452"/>
      <c r="BY208" s="452"/>
    </row>
    <row r="209" spans="1:77">
      <c r="A209" s="1157"/>
      <c r="B209" s="640">
        <f t="shared" si="205"/>
        <v>101417.32283464503</v>
      </c>
      <c r="C209" s="742">
        <f t="shared" si="206"/>
        <v>1</v>
      </c>
      <c r="D209" s="628">
        <f>'TCO Calculation'!E$130/$I$2*$B95*(1+$A$2)^($C95-1)</f>
        <v>0</v>
      </c>
      <c r="E209" s="629">
        <f>'TCO Calculation'!F$130/$I$2*$B95*(1+$A$2)^($C95-1)</f>
        <v>1685.2720038165251</v>
      </c>
      <c r="F209" s="630">
        <f>'TCO Calculation'!G$130/$I$2*$B95*(1+$A$2)^($C95-1)</f>
        <v>2479.7510241925829</v>
      </c>
      <c r="G209" s="630">
        <f>'TCO Calculation'!H$130/$I$2*$B95*(1+$A$2)^($C95-1)</f>
        <v>18003.126268478296</v>
      </c>
      <c r="H209" s="630">
        <f>'TCO Calculation'!I$130/$I$2*$B95*(1+$A$2)^($C95-1)</f>
        <v>9988.3986578785116</v>
      </c>
      <c r="I209" s="630">
        <f>'TCO Calculation'!J$130/$I$2*$B95*(1+$A$2)^($C95-1)</f>
        <v>338.35985412318075</v>
      </c>
      <c r="J209" s="631">
        <f>'TCO Calculation'!K$130/$I$2*$B95*(1+$A$2)^($C95-1)</f>
        <v>804.14962185176148</v>
      </c>
      <c r="K209" s="452"/>
      <c r="L209" s="1157"/>
      <c r="M209" s="640">
        <f t="shared" si="207"/>
        <v>101417.32283464503</v>
      </c>
      <c r="N209" s="742">
        <f t="shared" si="207"/>
        <v>1</v>
      </c>
      <c r="O209" s="629">
        <f t="shared" si="208"/>
        <v>0</v>
      </c>
      <c r="P209" s="629">
        <f t="shared" si="209"/>
        <v>1685.2720038165251</v>
      </c>
      <c r="Q209" s="629">
        <f t="shared" si="210"/>
        <v>2479.7510241925829</v>
      </c>
      <c r="R209" s="629">
        <f t="shared" si="211"/>
        <v>18003.126268478296</v>
      </c>
      <c r="S209" s="629">
        <f t="shared" si="212"/>
        <v>9988.3986578785116</v>
      </c>
      <c r="T209" s="629">
        <f t="shared" si="213"/>
        <v>338.35985412318075</v>
      </c>
      <c r="U209" s="631">
        <f t="shared" si="214"/>
        <v>804.14962185176148</v>
      </c>
      <c r="V209" s="452"/>
      <c r="W209" s="1153"/>
      <c r="X209" s="640">
        <f t="shared" si="215"/>
        <v>101417.32283464503</v>
      </c>
      <c r="Y209" s="645">
        <f t="shared" si="216"/>
        <v>1</v>
      </c>
      <c r="Z209" s="628">
        <f t="shared" ref="Z209:Z224" si="223">O209-$O209</f>
        <v>0</v>
      </c>
      <c r="AA209" s="629">
        <f t="shared" si="217"/>
        <v>1685.2720038165251</v>
      </c>
      <c r="AB209" s="630">
        <f t="shared" si="218"/>
        <v>2479.7510241925829</v>
      </c>
      <c r="AC209" s="629">
        <f t="shared" si="219"/>
        <v>18003.126268478296</v>
      </c>
      <c r="AD209" s="630">
        <f t="shared" si="220"/>
        <v>9988.3986578785116</v>
      </c>
      <c r="AE209" s="629">
        <f t="shared" si="221"/>
        <v>338.35985412318075</v>
      </c>
      <c r="AF209" s="631">
        <f t="shared" si="222"/>
        <v>804.14962185176148</v>
      </c>
      <c r="AG209" s="452"/>
      <c r="AH209" s="452"/>
      <c r="AI209" s="452"/>
      <c r="AJ209" s="452"/>
      <c r="AK209" s="452"/>
      <c r="AL209" s="452"/>
      <c r="AM209" s="452"/>
      <c r="AN209" s="452"/>
      <c r="AO209" s="452"/>
      <c r="AP209" s="452"/>
      <c r="AQ209" s="452"/>
      <c r="AR209" s="452"/>
      <c r="AS209" s="452"/>
      <c r="AT209" s="452"/>
      <c r="BU209" s="452"/>
      <c r="BV209" s="452"/>
      <c r="BW209" s="452"/>
      <c r="BX209" s="452"/>
      <c r="BY209" s="452"/>
    </row>
    <row r="210" spans="1:77">
      <c r="A210" s="1157"/>
      <c r="B210" s="640">
        <f t="shared" si="205"/>
        <v>112755.90551181062</v>
      </c>
      <c r="C210" s="742">
        <f t="shared" si="206"/>
        <v>2</v>
      </c>
      <c r="D210" s="624">
        <f>'TCO Calculation'!E$130/$I$2*$B96*(1+$A$2)^($C96-1)</f>
        <v>0</v>
      </c>
      <c r="E210" s="625">
        <f>'TCO Calculation'!F$130/$I$2*$B96*(1+$A$2)^($C96-1)</f>
        <v>1911.1612574957885</v>
      </c>
      <c r="F210" s="626">
        <f>'TCO Calculation'!G$130/$I$2*$B96*(1+$A$2)^($C96-1)</f>
        <v>2812.1300745160438</v>
      </c>
      <c r="G210" s="626">
        <f>'TCO Calculation'!H$130/$I$2*$B96*(1+$A$2)^($C96-1)</f>
        <v>20416.216112414761</v>
      </c>
      <c r="H210" s="626">
        <f>'TCO Calculation'!I$130/$I$2*$B96*(1+$A$2)^($C96-1)</f>
        <v>11327.216316493563</v>
      </c>
      <c r="I210" s="626">
        <f>'TCO Calculation'!J$130/$I$2*$B96*(1+$A$2)^($C96-1)</f>
        <v>383.71268425969259</v>
      </c>
      <c r="J210" s="627">
        <f>'TCO Calculation'!K$130/$I$2*$B96*(1+$A$2)^($C96-1)</f>
        <v>911.93563948878887</v>
      </c>
      <c r="K210" s="452"/>
      <c r="L210" s="1157"/>
      <c r="M210" s="640">
        <f t="shared" si="207"/>
        <v>112755.90551181062</v>
      </c>
      <c r="N210" s="742">
        <f t="shared" si="207"/>
        <v>2</v>
      </c>
      <c r="O210" s="625">
        <f t="shared" si="208"/>
        <v>0</v>
      </c>
      <c r="P210" s="625">
        <f t="shared" si="209"/>
        <v>1814.4564978665016</v>
      </c>
      <c r="Q210" s="625">
        <f t="shared" si="210"/>
        <v>2669.8362927455319</v>
      </c>
      <c r="R210" s="625">
        <f t="shared" si="211"/>
        <v>19383.155577126574</v>
      </c>
      <c r="S210" s="625">
        <f t="shared" si="212"/>
        <v>10754.059170878989</v>
      </c>
      <c r="T210" s="625">
        <f t="shared" si="213"/>
        <v>364.29682243615218</v>
      </c>
      <c r="U210" s="627">
        <f t="shared" si="214"/>
        <v>865.79169613065619</v>
      </c>
      <c r="V210" s="452"/>
      <c r="W210" s="1153"/>
      <c r="X210" s="640">
        <f t="shared" si="215"/>
        <v>112755.90551181062</v>
      </c>
      <c r="Y210" s="645">
        <f t="shared" si="216"/>
        <v>2</v>
      </c>
      <c r="Z210" s="624">
        <f t="shared" si="223"/>
        <v>0</v>
      </c>
      <c r="AA210" s="625">
        <f t="shared" si="217"/>
        <v>1814.4564978665016</v>
      </c>
      <c r="AB210" s="626">
        <f t="shared" si="218"/>
        <v>2669.8362927455319</v>
      </c>
      <c r="AC210" s="625">
        <f t="shared" si="219"/>
        <v>19383.155577126574</v>
      </c>
      <c r="AD210" s="626">
        <f t="shared" si="220"/>
        <v>10754.059170878989</v>
      </c>
      <c r="AE210" s="625">
        <f t="shared" si="221"/>
        <v>364.29682243615218</v>
      </c>
      <c r="AF210" s="627">
        <f t="shared" si="222"/>
        <v>865.79169613065619</v>
      </c>
      <c r="AG210" s="452"/>
      <c r="AH210" s="452"/>
      <c r="AI210" s="452"/>
      <c r="AJ210" s="452"/>
      <c r="AK210" s="452"/>
      <c r="AL210" s="452"/>
      <c r="AM210" s="452"/>
      <c r="AN210" s="452"/>
      <c r="AO210" s="452"/>
      <c r="AP210" s="452"/>
      <c r="AQ210" s="452"/>
      <c r="AR210" s="452"/>
      <c r="AS210" s="452"/>
      <c r="AT210" s="452"/>
      <c r="BU210" s="452"/>
      <c r="BV210" s="452"/>
      <c r="BW210" s="452"/>
      <c r="BX210" s="452"/>
      <c r="BY210" s="452"/>
    </row>
    <row r="211" spans="1:77">
      <c r="A211" s="1157"/>
      <c r="B211" s="640">
        <f t="shared" si="205"/>
        <v>107086.61417322783</v>
      </c>
      <c r="C211" s="742">
        <f t="shared" si="206"/>
        <v>3</v>
      </c>
      <c r="D211" s="624">
        <f>'TCO Calculation'!E$130/$I$2*$B97*(1+$A$2)^($C97-1)</f>
        <v>0</v>
      </c>
      <c r="E211" s="625">
        <f>'TCO Calculation'!F$130/$I$2*$B97*(1+$A$2)^($C97-1)</f>
        <v>1851.3707377082085</v>
      </c>
      <c r="F211" s="626">
        <f>'TCO Calculation'!G$130/$I$2*$B97*(1+$A$2)^($C97-1)</f>
        <v>2724.1528207881638</v>
      </c>
      <c r="G211" s="626">
        <f>'TCO Calculation'!H$130/$I$2*$B97*(1+$A$2)^($C97-1)</f>
        <v>19777.496502193939</v>
      </c>
      <c r="H211" s="626">
        <f>'TCO Calculation'!I$130/$I$2*$B97*(1+$A$2)^($C97-1)</f>
        <v>10972.845303240121</v>
      </c>
      <c r="I211" s="626">
        <f>'TCO Calculation'!J$130/$I$2*$B97*(1+$A$2)^($C97-1)</f>
        <v>371.70826508732182</v>
      </c>
      <c r="J211" s="627">
        <f>'TCO Calculation'!K$130/$I$2*$B97*(1+$A$2)^($C97-1)</f>
        <v>883.40580942656868</v>
      </c>
      <c r="K211" s="452"/>
      <c r="L211" s="1157"/>
      <c r="M211" s="640">
        <f t="shared" si="207"/>
        <v>107086.61417322783</v>
      </c>
      <c r="N211" s="742">
        <f t="shared" si="207"/>
        <v>3</v>
      </c>
      <c r="O211" s="625">
        <f t="shared" si="208"/>
        <v>0</v>
      </c>
      <c r="P211" s="625">
        <f t="shared" si="209"/>
        <v>1668.7521946341365</v>
      </c>
      <c r="Q211" s="625">
        <f t="shared" si="210"/>
        <v>2455.4433672406349</v>
      </c>
      <c r="R211" s="625">
        <f t="shared" si="211"/>
        <v>17826.651367116272</v>
      </c>
      <c r="S211" s="625">
        <f t="shared" si="212"/>
        <v>9890.487792752825</v>
      </c>
      <c r="T211" s="625">
        <f t="shared" si="213"/>
        <v>335.04309563408384</v>
      </c>
      <c r="U211" s="627">
        <f t="shared" si="214"/>
        <v>796.26697841082341</v>
      </c>
      <c r="V211" s="452"/>
      <c r="W211" s="1153"/>
      <c r="X211" s="640">
        <f t="shared" si="215"/>
        <v>107086.61417322783</v>
      </c>
      <c r="Y211" s="645">
        <f t="shared" si="216"/>
        <v>3</v>
      </c>
      <c r="Z211" s="624">
        <f t="shared" si="223"/>
        <v>0</v>
      </c>
      <c r="AA211" s="625">
        <f t="shared" si="217"/>
        <v>1668.7521946341365</v>
      </c>
      <c r="AB211" s="626">
        <f t="shared" si="218"/>
        <v>2455.4433672406349</v>
      </c>
      <c r="AC211" s="625">
        <f t="shared" si="219"/>
        <v>17826.651367116272</v>
      </c>
      <c r="AD211" s="626">
        <f t="shared" si="220"/>
        <v>9890.487792752825</v>
      </c>
      <c r="AE211" s="625">
        <f t="shared" si="221"/>
        <v>335.04309563408384</v>
      </c>
      <c r="AF211" s="627">
        <f t="shared" si="222"/>
        <v>796.26697841082341</v>
      </c>
      <c r="AG211" s="452"/>
      <c r="AH211" s="452"/>
      <c r="AI211" s="452"/>
      <c r="AJ211" s="452"/>
      <c r="AK211" s="452"/>
      <c r="AL211" s="452"/>
      <c r="AM211" s="452"/>
      <c r="AN211" s="452"/>
      <c r="AO211" s="452"/>
      <c r="AP211" s="452"/>
      <c r="AQ211" s="452"/>
      <c r="AR211" s="452"/>
      <c r="AS211" s="452"/>
      <c r="AT211" s="452"/>
      <c r="BU211" s="452"/>
      <c r="BV211" s="452"/>
      <c r="BW211" s="452"/>
      <c r="BX211" s="452"/>
      <c r="BY211" s="452"/>
    </row>
    <row r="212" spans="1:77">
      <c r="A212" s="1157"/>
      <c r="B212" s="640">
        <f t="shared" si="205"/>
        <v>98897.637795275747</v>
      </c>
      <c r="C212" s="742">
        <f t="shared" si="206"/>
        <v>4</v>
      </c>
      <c r="D212" s="624">
        <f>'TCO Calculation'!E$130/$I$2*$B98*(1+$A$2)^($C98-1)</f>
        <v>0</v>
      </c>
      <c r="E212" s="625">
        <f>'TCO Calculation'!F$130/$I$2*$B98*(1+$A$2)^($C98-1)</f>
        <v>1743.9912349211436</v>
      </c>
      <c r="F212" s="626">
        <f>'TCO Calculation'!G$130/$I$2*$B98*(1+$A$2)^($C98-1)</f>
        <v>2566.151957182467</v>
      </c>
      <c r="G212" s="626">
        <f>'TCO Calculation'!H$130/$I$2*$B98*(1+$A$2)^($C98-1)</f>
        <v>18630.401705066808</v>
      </c>
      <c r="H212" s="626">
        <f>'TCO Calculation'!I$130/$I$2*$B98*(1+$A$2)^($C98-1)</f>
        <v>10336.420275652259</v>
      </c>
      <c r="I212" s="626">
        <f>'TCO Calculation'!J$130/$I$2*$B98*(1+$A$2)^($C98-1)</f>
        <v>350.1491857122594</v>
      </c>
      <c r="J212" s="627">
        <f>'TCO Calculation'!K$130/$I$2*$B98*(1+$A$2)^($C98-1)</f>
        <v>832.16827247983304</v>
      </c>
      <c r="K212" s="452"/>
      <c r="L212" s="1157"/>
      <c r="M212" s="640">
        <f t="shared" si="207"/>
        <v>98897.637795275747</v>
      </c>
      <c r="N212" s="742">
        <f t="shared" si="207"/>
        <v>4</v>
      </c>
      <c r="O212" s="625">
        <f t="shared" si="208"/>
        <v>0</v>
      </c>
      <c r="P212" s="625">
        <f t="shared" si="209"/>
        <v>1492.423160237691</v>
      </c>
      <c r="Q212" s="625">
        <f t="shared" si="210"/>
        <v>2195.9884527524941</v>
      </c>
      <c r="R212" s="625">
        <f t="shared" si="211"/>
        <v>15942.994685079757</v>
      </c>
      <c r="S212" s="625">
        <f t="shared" si="212"/>
        <v>8845.4074220340954</v>
      </c>
      <c r="T212" s="625">
        <f t="shared" si="213"/>
        <v>299.64069992529119</v>
      </c>
      <c r="U212" s="627">
        <f t="shared" si="214"/>
        <v>712.12926888365257</v>
      </c>
      <c r="V212" s="452"/>
      <c r="W212" s="1153"/>
      <c r="X212" s="640">
        <f t="shared" si="215"/>
        <v>98897.637795275747</v>
      </c>
      <c r="Y212" s="645">
        <f t="shared" si="216"/>
        <v>4</v>
      </c>
      <c r="Z212" s="624">
        <f t="shared" si="223"/>
        <v>0</v>
      </c>
      <c r="AA212" s="625">
        <f t="shared" si="217"/>
        <v>1492.423160237691</v>
      </c>
      <c r="AB212" s="626">
        <f t="shared" si="218"/>
        <v>2195.9884527524941</v>
      </c>
      <c r="AC212" s="625">
        <f t="shared" si="219"/>
        <v>15942.994685079757</v>
      </c>
      <c r="AD212" s="626">
        <f t="shared" si="220"/>
        <v>8845.4074220340954</v>
      </c>
      <c r="AE212" s="625">
        <f t="shared" si="221"/>
        <v>299.64069992529119</v>
      </c>
      <c r="AF212" s="627">
        <f t="shared" si="222"/>
        <v>712.12926888365257</v>
      </c>
      <c r="AG212" s="452"/>
      <c r="AH212" s="452"/>
      <c r="AI212" s="452"/>
      <c r="AJ212" s="452"/>
      <c r="AK212" s="452"/>
      <c r="AL212" s="452"/>
      <c r="AM212" s="452"/>
      <c r="AN212" s="452"/>
      <c r="AO212" s="452"/>
      <c r="AP212" s="452"/>
      <c r="AQ212" s="452"/>
      <c r="AR212" s="452"/>
      <c r="AS212" s="452"/>
      <c r="AT212" s="452"/>
      <c r="BU212" s="452"/>
      <c r="BV212" s="452"/>
      <c r="BW212" s="452"/>
      <c r="BX212" s="452"/>
      <c r="BY212" s="452"/>
    </row>
    <row r="213" spans="1:77">
      <c r="A213" s="1157"/>
      <c r="B213" s="640">
        <f t="shared" si="205"/>
        <v>86299.212598425438</v>
      </c>
      <c r="C213" s="742">
        <f t="shared" si="206"/>
        <v>5</v>
      </c>
      <c r="D213" s="624">
        <f>'TCO Calculation'!E$130/$I$2*$B99*(1+$A$2)^($C99-1)</f>
        <v>0</v>
      </c>
      <c r="E213" s="625">
        <f>'TCO Calculation'!F$130/$I$2*$B99*(1+$A$2)^($C99-1)</f>
        <v>1552.2632813240821</v>
      </c>
      <c r="F213" s="626">
        <f>'TCO Calculation'!G$130/$I$2*$B99*(1+$A$2)^($C99-1)</f>
        <v>2284.0386910616457</v>
      </c>
      <c r="G213" s="626">
        <f>'TCO Calculation'!H$130/$I$2*$B99*(1+$A$2)^($C99-1)</f>
        <v>16582.244167299614</v>
      </c>
      <c r="H213" s="626">
        <f>'TCO Calculation'!I$130/$I$2*$B99*(1+$A$2)^($C99-1)</f>
        <v>9200.0724160487152</v>
      </c>
      <c r="I213" s="626">
        <f>'TCO Calculation'!J$130/$I$2*$B99*(1+$A$2)^($C99-1)</f>
        <v>311.65507777981651</v>
      </c>
      <c r="J213" s="627">
        <f>'TCO Calculation'!K$130/$I$2*$B99*(1+$A$2)^($C99-1)</f>
        <v>740.68276685561784</v>
      </c>
      <c r="K213" s="452"/>
      <c r="L213" s="1157"/>
      <c r="M213" s="640">
        <f t="shared" si="207"/>
        <v>86299.212598425438</v>
      </c>
      <c r="N213" s="742">
        <f t="shared" si="207"/>
        <v>5</v>
      </c>
      <c r="O213" s="625">
        <f t="shared" si="208"/>
        <v>0</v>
      </c>
      <c r="P213" s="625">
        <f t="shared" si="209"/>
        <v>1261.1370768381369</v>
      </c>
      <c r="Q213" s="625">
        <f t="shared" si="210"/>
        <v>1855.6683733275138</v>
      </c>
      <c r="R213" s="625">
        <f t="shared" si="211"/>
        <v>13472.252541286753</v>
      </c>
      <c r="S213" s="625">
        <f t="shared" si="212"/>
        <v>7474.603421384717</v>
      </c>
      <c r="T213" s="625">
        <f t="shared" si="213"/>
        <v>253.2043233269917</v>
      </c>
      <c r="U213" s="627">
        <f t="shared" si="214"/>
        <v>601.76808322096417</v>
      </c>
      <c r="V213" s="452"/>
      <c r="W213" s="1153"/>
      <c r="X213" s="640">
        <f t="shared" si="215"/>
        <v>86299.212598425438</v>
      </c>
      <c r="Y213" s="645">
        <f t="shared" si="216"/>
        <v>5</v>
      </c>
      <c r="Z213" s="624">
        <f t="shared" si="223"/>
        <v>0</v>
      </c>
      <c r="AA213" s="625">
        <f t="shared" si="217"/>
        <v>1261.1370768381369</v>
      </c>
      <c r="AB213" s="626">
        <f t="shared" si="218"/>
        <v>1855.6683733275138</v>
      </c>
      <c r="AC213" s="625">
        <f t="shared" si="219"/>
        <v>13472.252541286753</v>
      </c>
      <c r="AD213" s="626">
        <f t="shared" si="220"/>
        <v>7474.603421384717</v>
      </c>
      <c r="AE213" s="625">
        <f t="shared" si="221"/>
        <v>253.2043233269917</v>
      </c>
      <c r="AF213" s="627">
        <f t="shared" si="222"/>
        <v>601.76808322096417</v>
      </c>
      <c r="AG213" s="452"/>
      <c r="AH213" s="452"/>
      <c r="AI213" s="452"/>
      <c r="AJ213" s="452"/>
      <c r="AK213" s="452"/>
      <c r="AL213" s="452"/>
      <c r="AM213" s="452"/>
      <c r="AN213" s="452"/>
      <c r="AO213" s="452"/>
      <c r="AP213" s="452"/>
      <c r="AQ213" s="452"/>
      <c r="AR213" s="452"/>
      <c r="AS213" s="452"/>
      <c r="AT213" s="452"/>
      <c r="BU213" s="452"/>
      <c r="BV213" s="452"/>
      <c r="BW213" s="452"/>
      <c r="BX213" s="452"/>
      <c r="BY213" s="452"/>
    </row>
    <row r="214" spans="1:77">
      <c r="A214" s="1157"/>
      <c r="B214" s="640">
        <f t="shared" si="205"/>
        <v>76850.393700787565</v>
      </c>
      <c r="C214" s="742">
        <f t="shared" si="206"/>
        <v>6</v>
      </c>
      <c r="D214" s="624">
        <f>'TCO Calculation'!E$130/$I$2*$B100*(1+$A$2)^($C100-1)</f>
        <v>0</v>
      </c>
      <c r="E214" s="625">
        <f>'TCO Calculation'!F$130/$I$2*$B100*(1+$A$2)^($C100-1)</f>
        <v>1409.9535965545158</v>
      </c>
      <c r="F214" s="626">
        <f>'TCO Calculation'!G$130/$I$2*$B100*(1+$A$2)^($C100-1)</f>
        <v>2074.6406913555547</v>
      </c>
      <c r="G214" s="626">
        <f>'TCO Calculation'!H$130/$I$2*$B100*(1+$A$2)^($C100-1)</f>
        <v>15062.003388166149</v>
      </c>
      <c r="H214" s="626">
        <f>'TCO Calculation'!I$130/$I$2*$B100*(1+$A$2)^($C100-1)</f>
        <v>8356.6205215554855</v>
      </c>
      <c r="I214" s="626">
        <f>'TCO Calculation'!J$130/$I$2*$B100*(1+$A$2)^($C100-1)</f>
        <v>283.08290422569587</v>
      </c>
      <c r="J214" s="627">
        <f>'TCO Calculation'!K$130/$I$2*$B100*(1+$A$2)^($C100-1)</f>
        <v>672.77783582126301</v>
      </c>
      <c r="K214" s="452"/>
      <c r="L214" s="1157"/>
      <c r="M214" s="640">
        <f t="shared" si="207"/>
        <v>76850.393700787565</v>
      </c>
      <c r="N214" s="742">
        <f t="shared" si="207"/>
        <v>6</v>
      </c>
      <c r="O214" s="625">
        <f t="shared" si="208"/>
        <v>0</v>
      </c>
      <c r="P214" s="625">
        <f t="shared" si="209"/>
        <v>1087.554316868217</v>
      </c>
      <c r="Q214" s="625">
        <f t="shared" si="210"/>
        <v>1600.2543951431076</v>
      </c>
      <c r="R214" s="625">
        <f t="shared" si="211"/>
        <v>11617.933274905792</v>
      </c>
      <c r="S214" s="625">
        <f t="shared" si="212"/>
        <v>6445.7998794117066</v>
      </c>
      <c r="T214" s="625">
        <f t="shared" si="213"/>
        <v>218.35330983557222</v>
      </c>
      <c r="U214" s="627">
        <f t="shared" si="214"/>
        <v>518.9407945259145</v>
      </c>
      <c r="V214" s="452"/>
      <c r="W214" s="1153"/>
      <c r="X214" s="640">
        <f t="shared" si="215"/>
        <v>76850.393700787565</v>
      </c>
      <c r="Y214" s="645">
        <f t="shared" si="216"/>
        <v>6</v>
      </c>
      <c r="Z214" s="624">
        <f t="shared" si="223"/>
        <v>0</v>
      </c>
      <c r="AA214" s="625">
        <f t="shared" si="217"/>
        <v>1087.554316868217</v>
      </c>
      <c r="AB214" s="626">
        <f t="shared" si="218"/>
        <v>1600.2543951431076</v>
      </c>
      <c r="AC214" s="625">
        <f t="shared" si="219"/>
        <v>11617.933274905792</v>
      </c>
      <c r="AD214" s="626">
        <f t="shared" si="220"/>
        <v>6445.7998794117066</v>
      </c>
      <c r="AE214" s="625">
        <f t="shared" si="221"/>
        <v>218.35330983557222</v>
      </c>
      <c r="AF214" s="627">
        <f t="shared" si="222"/>
        <v>518.9407945259145</v>
      </c>
      <c r="AG214" s="452"/>
      <c r="AH214" s="452"/>
      <c r="AI214" s="452"/>
      <c r="AJ214" s="452"/>
      <c r="AK214" s="452"/>
      <c r="AL214" s="452"/>
      <c r="AM214" s="452"/>
      <c r="AN214" s="452"/>
      <c r="AO214" s="452"/>
      <c r="AP214" s="452"/>
      <c r="AQ214" s="452"/>
      <c r="AR214" s="452"/>
      <c r="AS214" s="452"/>
      <c r="AT214" s="452"/>
      <c r="BU214" s="452"/>
      <c r="BV214" s="452"/>
      <c r="BW214" s="452"/>
      <c r="BX214" s="452"/>
      <c r="BY214" s="452"/>
    </row>
    <row r="215" spans="1:77">
      <c r="A215" s="1157"/>
      <c r="B215" s="640">
        <f t="shared" si="205"/>
        <v>69291.338582677359</v>
      </c>
      <c r="C215" s="742">
        <f t="shared" si="206"/>
        <v>7</v>
      </c>
      <c r="D215" s="624">
        <f>'TCO Calculation'!E$130/$I$2*$B101*(1+$A$2)^($C101-1)</f>
        <v>0</v>
      </c>
      <c r="E215" s="625">
        <f>'TCO Calculation'!F$130/$I$2*$B101*(1+$A$2)^($C101-1)</f>
        <v>1296.6950289624328</v>
      </c>
      <c r="F215" s="626">
        <f>'TCO Calculation'!G$130/$I$2*$B101*(1+$A$2)^($C101-1)</f>
        <v>1907.9892259843723</v>
      </c>
      <c r="G215" s="626">
        <f>'TCO Calculation'!H$130/$I$2*$B101*(1+$A$2)^($C101-1)</f>
        <v>13852.104755346256</v>
      </c>
      <c r="H215" s="626">
        <f>'TCO Calculation'!I$130/$I$2*$B101*(1+$A$2)^($C101-1)</f>
        <v>7685.3510042502148</v>
      </c>
      <c r="I215" s="626">
        <f>'TCO Calculation'!J$130/$I$2*$B101*(1+$A$2)^($C101-1)</f>
        <v>260.34345782068118</v>
      </c>
      <c r="J215" s="627">
        <f>'TCO Calculation'!K$130/$I$2*$B101*(1+$A$2)^($C101-1)</f>
        <v>618.73502605857186</v>
      </c>
      <c r="K215" s="452"/>
      <c r="L215" s="1157"/>
      <c r="M215" s="640">
        <f t="shared" si="207"/>
        <v>69291.338582677359</v>
      </c>
      <c r="N215" s="742">
        <f t="shared" si="207"/>
        <v>7</v>
      </c>
      <c r="O215" s="625">
        <f t="shared" si="208"/>
        <v>0</v>
      </c>
      <c r="P215" s="625">
        <f t="shared" si="209"/>
        <v>949.58361047845733</v>
      </c>
      <c r="Q215" s="625">
        <f t="shared" si="210"/>
        <v>1397.2408758395322</v>
      </c>
      <c r="R215" s="625">
        <f t="shared" si="211"/>
        <v>10144.044168066745</v>
      </c>
      <c r="S215" s="625">
        <f t="shared" si="212"/>
        <v>5628.0645729394455</v>
      </c>
      <c r="T215" s="625">
        <f t="shared" si="213"/>
        <v>190.65229303734043</v>
      </c>
      <c r="U215" s="627">
        <f t="shared" si="214"/>
        <v>453.10626388712944</v>
      </c>
      <c r="V215" s="452"/>
      <c r="W215" s="1153"/>
      <c r="X215" s="640">
        <f t="shared" si="215"/>
        <v>69291.338582677359</v>
      </c>
      <c r="Y215" s="645">
        <f t="shared" si="216"/>
        <v>7</v>
      </c>
      <c r="Z215" s="624">
        <f t="shared" si="223"/>
        <v>0</v>
      </c>
      <c r="AA215" s="625">
        <f t="shared" si="217"/>
        <v>949.58361047845733</v>
      </c>
      <c r="AB215" s="626">
        <f t="shared" si="218"/>
        <v>1397.2408758395322</v>
      </c>
      <c r="AC215" s="625">
        <f t="shared" si="219"/>
        <v>10144.044168066745</v>
      </c>
      <c r="AD215" s="626">
        <f t="shared" si="220"/>
        <v>5628.0645729394455</v>
      </c>
      <c r="AE215" s="625">
        <f t="shared" si="221"/>
        <v>190.65229303734043</v>
      </c>
      <c r="AF215" s="627">
        <f t="shared" si="222"/>
        <v>453.10626388712944</v>
      </c>
      <c r="AG215" s="452"/>
      <c r="AH215" s="452"/>
      <c r="AI215" s="452"/>
      <c r="AJ215" s="452"/>
      <c r="AK215" s="452"/>
      <c r="AL215" s="452"/>
      <c r="AM215" s="452"/>
      <c r="AN215" s="452"/>
      <c r="AO215" s="452"/>
      <c r="AP215" s="452"/>
      <c r="AQ215" s="452"/>
      <c r="AR215" s="452"/>
      <c r="AS215" s="452"/>
      <c r="AT215" s="452"/>
      <c r="BU215" s="452"/>
      <c r="BV215" s="452"/>
      <c r="BW215" s="452"/>
      <c r="BX215" s="452"/>
      <c r="BY215" s="452"/>
    </row>
    <row r="216" spans="1:77">
      <c r="A216" s="1157"/>
      <c r="B216" s="640">
        <f t="shared" si="205"/>
        <v>62992.125984252147</v>
      </c>
      <c r="C216" s="742">
        <f t="shared" si="206"/>
        <v>8</v>
      </c>
      <c r="D216" s="624">
        <f>'TCO Calculation'!E$130/$I$2*$B102*(1+$A$2)^($C102-1)</f>
        <v>0</v>
      </c>
      <c r="E216" s="625">
        <f>'TCO Calculation'!F$130/$I$2*$B102*(1+$A$2)^($C102-1)</f>
        <v>1202.3899359469829</v>
      </c>
      <c r="F216" s="626">
        <f>'TCO Calculation'!G$130/$I$2*$B102*(1+$A$2)^($C102-1)</f>
        <v>1769.2263731855087</v>
      </c>
      <c r="G216" s="626">
        <f>'TCO Calculation'!H$130/$I$2*$B102*(1+$A$2)^($C102-1)</f>
        <v>12844.678954957435</v>
      </c>
      <c r="H216" s="626">
        <f>'TCO Calculation'!I$130/$I$2*$B102*(1+$A$2)^($C102-1)</f>
        <v>7126.4163857592885</v>
      </c>
      <c r="I216" s="626">
        <f>'TCO Calculation'!J$130/$I$2*$B102*(1+$A$2)^($C102-1)</f>
        <v>241.40938816099523</v>
      </c>
      <c r="J216" s="627">
        <f>'TCO Calculation'!K$130/$I$2*$B102*(1+$A$2)^($C102-1)</f>
        <v>573.73611507249382</v>
      </c>
      <c r="K216" s="452"/>
      <c r="L216" s="1157"/>
      <c r="M216" s="640">
        <f t="shared" si="207"/>
        <v>62992.125984252147</v>
      </c>
      <c r="N216" s="742">
        <f t="shared" si="207"/>
        <v>8</v>
      </c>
      <c r="O216" s="625">
        <f t="shared" si="208"/>
        <v>0</v>
      </c>
      <c r="P216" s="625">
        <f t="shared" si="209"/>
        <v>835.96852125819282</v>
      </c>
      <c r="Q216" s="625">
        <f t="shared" si="210"/>
        <v>1230.0648157022663</v>
      </c>
      <c r="R216" s="625">
        <f t="shared" si="211"/>
        <v>8930.3369489325614</v>
      </c>
      <c r="S216" s="625">
        <f t="shared" si="212"/>
        <v>4954.6819960542571</v>
      </c>
      <c r="T216" s="625">
        <f t="shared" si="213"/>
        <v>167.84126613622183</v>
      </c>
      <c r="U216" s="627">
        <f t="shared" si="214"/>
        <v>398.89333515739042</v>
      </c>
      <c r="V216" s="452"/>
      <c r="W216" s="1153"/>
      <c r="X216" s="640">
        <f t="shared" si="215"/>
        <v>62992.125984252147</v>
      </c>
      <c r="Y216" s="645">
        <f t="shared" si="216"/>
        <v>8</v>
      </c>
      <c r="Z216" s="624">
        <f t="shared" si="223"/>
        <v>0</v>
      </c>
      <c r="AA216" s="625">
        <f t="shared" si="217"/>
        <v>835.96852125819282</v>
      </c>
      <c r="AB216" s="626">
        <f t="shared" si="218"/>
        <v>1230.0648157022663</v>
      </c>
      <c r="AC216" s="625">
        <f t="shared" si="219"/>
        <v>8930.3369489325614</v>
      </c>
      <c r="AD216" s="626">
        <f t="shared" si="220"/>
        <v>4954.6819960542571</v>
      </c>
      <c r="AE216" s="625">
        <f t="shared" si="221"/>
        <v>167.84126613622183</v>
      </c>
      <c r="AF216" s="627">
        <f t="shared" si="222"/>
        <v>398.89333515739042</v>
      </c>
      <c r="AG216" s="452"/>
      <c r="AH216" s="452"/>
      <c r="AI216" s="452"/>
      <c r="AJ216" s="452"/>
      <c r="AK216" s="452"/>
      <c r="AL216" s="452"/>
      <c r="AM216" s="452"/>
      <c r="AN216" s="452"/>
      <c r="AO216" s="452"/>
      <c r="AP216" s="452"/>
      <c r="AQ216" s="452"/>
      <c r="AR216" s="452"/>
      <c r="AS216" s="452"/>
      <c r="AT216" s="452"/>
      <c r="BU216" s="452"/>
      <c r="BV216" s="452"/>
      <c r="BW216" s="452"/>
      <c r="BX216" s="452"/>
      <c r="BY216" s="452"/>
    </row>
    <row r="217" spans="1:77">
      <c r="A217" s="1157"/>
      <c r="B217" s="640">
        <f t="shared" si="205"/>
        <v>56062.992125984332</v>
      </c>
      <c r="C217" s="742">
        <f t="shared" si="206"/>
        <v>9</v>
      </c>
      <c r="D217" s="624">
        <f>'TCO Calculation'!E$130/$I$2*$B103*(1+$A$2)^($C103-1)</f>
        <v>0</v>
      </c>
      <c r="E217" s="625">
        <f>'TCO Calculation'!F$130/$I$2*$B103*(1+$A$2)^($C103-1)</f>
        <v>1091.5295838526695</v>
      </c>
      <c r="F217" s="626">
        <f>'TCO Calculation'!G$130/$I$2*$B103*(1+$A$2)^($C103-1)</f>
        <v>1606.1037015778024</v>
      </c>
      <c r="G217" s="626">
        <f>'TCO Calculation'!H$130/$I$2*$B103*(1+$A$2)^($C103-1)</f>
        <v>11660.399555310343</v>
      </c>
      <c r="H217" s="626">
        <f>'TCO Calculation'!I$130/$I$2*$B103*(1+$A$2)^($C103-1)</f>
        <v>6469.3607949922734</v>
      </c>
      <c r="I217" s="626">
        <f>'TCO Calculation'!J$130/$I$2*$B103*(1+$A$2)^($C103-1)</f>
        <v>219.15144257255119</v>
      </c>
      <c r="J217" s="627">
        <f>'TCO Calculation'!K$130/$I$2*$B103*(1+$A$2)^($C103-1)</f>
        <v>520.83764526280925</v>
      </c>
      <c r="K217" s="452"/>
      <c r="L217" s="1157"/>
      <c r="M217" s="640">
        <f t="shared" si="207"/>
        <v>56062.992125984332</v>
      </c>
      <c r="N217" s="742">
        <f t="shared" si="207"/>
        <v>9</v>
      </c>
      <c r="O217" s="625">
        <f t="shared" si="208"/>
        <v>0</v>
      </c>
      <c r="P217" s="625">
        <f t="shared" si="209"/>
        <v>720.4922770841182</v>
      </c>
      <c r="Q217" s="625">
        <f t="shared" si="210"/>
        <v>1060.1502060059734</v>
      </c>
      <c r="R217" s="625">
        <f t="shared" si="211"/>
        <v>7696.7477121995753</v>
      </c>
      <c r="S217" s="625">
        <f t="shared" si="212"/>
        <v>4270.2685840275362</v>
      </c>
      <c r="T217" s="625">
        <f t="shared" si="213"/>
        <v>144.65656654769981</v>
      </c>
      <c r="U217" s="627">
        <f t="shared" si="214"/>
        <v>343.79233195129115</v>
      </c>
      <c r="V217" s="452"/>
      <c r="W217" s="1153"/>
      <c r="X217" s="640">
        <f t="shared" si="215"/>
        <v>56062.992125984332</v>
      </c>
      <c r="Y217" s="645">
        <f t="shared" si="216"/>
        <v>9</v>
      </c>
      <c r="Z217" s="624">
        <f t="shared" si="223"/>
        <v>0</v>
      </c>
      <c r="AA217" s="625">
        <f t="shared" si="217"/>
        <v>720.4922770841182</v>
      </c>
      <c r="AB217" s="626">
        <f t="shared" si="218"/>
        <v>1060.1502060059734</v>
      </c>
      <c r="AC217" s="625">
        <f t="shared" si="219"/>
        <v>7696.7477121995753</v>
      </c>
      <c r="AD217" s="626">
        <f t="shared" si="220"/>
        <v>4270.2685840275362</v>
      </c>
      <c r="AE217" s="625">
        <f t="shared" si="221"/>
        <v>144.65656654769981</v>
      </c>
      <c r="AF217" s="627">
        <f t="shared" si="222"/>
        <v>343.79233195129115</v>
      </c>
      <c r="AG217" s="452"/>
      <c r="AH217" s="452"/>
      <c r="AI217" s="452"/>
      <c r="AJ217" s="452"/>
      <c r="AK217" s="452"/>
      <c r="AL217" s="452"/>
      <c r="AM217" s="452"/>
      <c r="AN217" s="452"/>
      <c r="AO217" s="452"/>
      <c r="AP217" s="452"/>
      <c r="AQ217" s="452"/>
      <c r="AR217" s="452"/>
      <c r="AS217" s="452"/>
      <c r="AT217" s="452"/>
      <c r="BU217" s="452"/>
      <c r="BV217" s="452"/>
      <c r="BW217" s="452"/>
      <c r="BX217" s="452"/>
      <c r="BY217" s="452"/>
    </row>
    <row r="218" spans="1:77">
      <c r="A218" s="1157"/>
      <c r="B218" s="640">
        <f t="shared" si="205"/>
        <v>49763.779527559134</v>
      </c>
      <c r="C218" s="742">
        <f t="shared" si="206"/>
        <v>10</v>
      </c>
      <c r="D218" s="624">
        <f>'TCO Calculation'!E$130/$I$2*$B104*(1+$A$2)^($C104-1)</f>
        <v>0</v>
      </c>
      <c r="E218" s="625">
        <f>'TCO Calculation'!F$130/$I$2*$B104*(1+$A$2)^($C104-1)</f>
        <v>988.26352659379916</v>
      </c>
      <c r="F218" s="626">
        <f>'TCO Calculation'!G$130/$I$2*$B104*(1+$A$2)^($C104-1)</f>
        <v>1454.1554637431389</v>
      </c>
      <c r="G218" s="626">
        <f>'TCO Calculation'!H$130/$I$2*$B104*(1+$A$2)^($C104-1)</f>
        <v>10557.247147942782</v>
      </c>
      <c r="H218" s="626">
        <f>'TCO Calculation'!I$130/$I$2*$B104*(1+$A$2)^($C104-1)</f>
        <v>5857.3156501177245</v>
      </c>
      <c r="I218" s="626">
        <f>'TCO Calculation'!J$130/$I$2*$B104*(1+$A$2)^($C104-1)</f>
        <v>198.41823867973235</v>
      </c>
      <c r="J218" s="627">
        <f>'TCO Calculation'!K$130/$I$2*$B104*(1+$A$2)^($C104-1)</f>
        <v>471.56289275592326</v>
      </c>
      <c r="K218" s="452"/>
      <c r="L218" s="1157"/>
      <c r="M218" s="640">
        <f t="shared" si="207"/>
        <v>49763.779527559134</v>
      </c>
      <c r="N218" s="742">
        <f t="shared" si="207"/>
        <v>10</v>
      </c>
      <c r="O218" s="625">
        <f t="shared" si="208"/>
        <v>0</v>
      </c>
      <c r="P218" s="625">
        <f t="shared" si="209"/>
        <v>619.32101058936951</v>
      </c>
      <c r="Q218" s="625">
        <f t="shared" si="210"/>
        <v>911.28429525621709</v>
      </c>
      <c r="R218" s="625">
        <f t="shared" si="211"/>
        <v>6615.9731658224764</v>
      </c>
      <c r="S218" s="625">
        <f t="shared" si="212"/>
        <v>3670.6390048358585</v>
      </c>
      <c r="T218" s="625">
        <f t="shared" si="213"/>
        <v>124.34394348442162</v>
      </c>
      <c r="U218" s="627">
        <f t="shared" si="214"/>
        <v>295.51713630941697</v>
      </c>
      <c r="V218" s="452"/>
      <c r="W218" s="1153"/>
      <c r="X218" s="640">
        <f t="shared" si="215"/>
        <v>49763.779527559134</v>
      </c>
      <c r="Y218" s="645">
        <f t="shared" si="216"/>
        <v>10</v>
      </c>
      <c r="Z218" s="624">
        <f t="shared" si="223"/>
        <v>0</v>
      </c>
      <c r="AA218" s="625">
        <f t="shared" si="217"/>
        <v>619.32101058936951</v>
      </c>
      <c r="AB218" s="626">
        <f t="shared" si="218"/>
        <v>911.28429525621709</v>
      </c>
      <c r="AC218" s="625">
        <f t="shared" si="219"/>
        <v>6615.9731658224764</v>
      </c>
      <c r="AD218" s="626">
        <f t="shared" si="220"/>
        <v>3670.6390048358585</v>
      </c>
      <c r="AE218" s="625">
        <f t="shared" si="221"/>
        <v>124.34394348442162</v>
      </c>
      <c r="AF218" s="627">
        <f t="shared" si="222"/>
        <v>295.51713630941697</v>
      </c>
      <c r="AG218" s="452"/>
      <c r="AH218" s="452"/>
      <c r="AI218" s="452"/>
      <c r="AJ218" s="452"/>
      <c r="AK218" s="452"/>
      <c r="AL218" s="452"/>
      <c r="AM218" s="452"/>
      <c r="AN218" s="452"/>
      <c r="AO218" s="452"/>
      <c r="AP218" s="452"/>
      <c r="AQ218" s="452"/>
      <c r="AR218" s="452"/>
      <c r="AS218" s="452"/>
      <c r="AT218" s="452"/>
      <c r="BU218" s="452"/>
      <c r="BV218" s="452"/>
      <c r="BW218" s="452"/>
      <c r="BX218" s="452"/>
      <c r="BY218" s="452"/>
    </row>
    <row r="219" spans="1:77">
      <c r="A219" s="1157"/>
      <c r="B219" s="640">
        <f t="shared" si="205"/>
        <v>44724.409448818951</v>
      </c>
      <c r="C219" s="742">
        <f t="shared" si="206"/>
        <v>11</v>
      </c>
      <c r="D219" s="624">
        <f>'TCO Calculation'!E$130/$I$2*$B105*(1+$A$2)^($C105-1)</f>
        <v>0</v>
      </c>
      <c r="E219" s="625">
        <f>'TCO Calculation'!F$130/$I$2*$B105*(1+$A$2)^($C105-1)</f>
        <v>905.94993159396097</v>
      </c>
      <c r="F219" s="626">
        <f>'TCO Calculation'!G$130/$I$2*$B105*(1+$A$2)^($C105-1)</f>
        <v>1333.0371985351655</v>
      </c>
      <c r="G219" s="626">
        <f>'TCO Calculation'!H$130/$I$2*$B105*(1+$A$2)^($C105-1)</f>
        <v>9677.9220057470393</v>
      </c>
      <c r="H219" s="626">
        <f>'TCO Calculation'!I$130/$I$2*$B105*(1+$A$2)^($C105-1)</f>
        <v>5369.4531567281701</v>
      </c>
      <c r="I219" s="626">
        <f>'TCO Calculation'!J$130/$I$2*$B105*(1+$A$2)^($C105-1)</f>
        <v>181.89175753400266</v>
      </c>
      <c r="J219" s="627">
        <f>'TCO Calculation'!K$130/$I$2*$B105*(1+$A$2)^($C105-1)</f>
        <v>432.28588219473352</v>
      </c>
      <c r="K219" s="452"/>
      <c r="L219" s="1157"/>
      <c r="M219" s="640">
        <f t="shared" si="207"/>
        <v>44724.409448818951</v>
      </c>
      <c r="N219" s="742">
        <f t="shared" si="207"/>
        <v>11</v>
      </c>
      <c r="O219" s="625">
        <f t="shared" si="208"/>
        <v>0</v>
      </c>
      <c r="P219" s="625">
        <f t="shared" si="209"/>
        <v>539.00956292387207</v>
      </c>
      <c r="Q219" s="625">
        <f t="shared" si="210"/>
        <v>793.11203929284795</v>
      </c>
      <c r="R219" s="625">
        <f t="shared" si="211"/>
        <v>5758.0362097394836</v>
      </c>
      <c r="S219" s="625">
        <f t="shared" si="212"/>
        <v>3194.642990983089</v>
      </c>
      <c r="T219" s="625">
        <f t="shared" si="213"/>
        <v>108.21944271838525</v>
      </c>
      <c r="U219" s="627">
        <f t="shared" si="214"/>
        <v>257.19547658664118</v>
      </c>
      <c r="V219" s="452"/>
      <c r="W219" s="1153"/>
      <c r="X219" s="640">
        <f t="shared" si="215"/>
        <v>44724.409448818951</v>
      </c>
      <c r="Y219" s="645">
        <f t="shared" si="216"/>
        <v>11</v>
      </c>
      <c r="Z219" s="624">
        <f t="shared" si="223"/>
        <v>0</v>
      </c>
      <c r="AA219" s="625">
        <f t="shared" si="217"/>
        <v>539.00956292387207</v>
      </c>
      <c r="AB219" s="626">
        <f t="shared" si="218"/>
        <v>793.11203929284795</v>
      </c>
      <c r="AC219" s="625">
        <f t="shared" si="219"/>
        <v>5758.0362097394836</v>
      </c>
      <c r="AD219" s="626">
        <f t="shared" si="220"/>
        <v>3194.642990983089</v>
      </c>
      <c r="AE219" s="625">
        <f t="shared" si="221"/>
        <v>108.21944271838525</v>
      </c>
      <c r="AF219" s="627">
        <f t="shared" si="222"/>
        <v>257.19547658664118</v>
      </c>
      <c r="AG219" s="452"/>
      <c r="AH219" s="452"/>
      <c r="AI219" s="452"/>
      <c r="AJ219" s="452"/>
      <c r="AK219" s="452"/>
      <c r="AL219" s="452"/>
      <c r="AM219" s="452"/>
      <c r="AN219" s="452"/>
      <c r="AO219" s="452"/>
      <c r="AP219" s="452"/>
      <c r="AQ219" s="452"/>
      <c r="AR219" s="452"/>
      <c r="AS219" s="452"/>
      <c r="AT219" s="452"/>
      <c r="BU219" s="452"/>
      <c r="BV219" s="452"/>
      <c r="BW219" s="452"/>
      <c r="BX219" s="452"/>
      <c r="BY219" s="452"/>
    </row>
    <row r="220" spans="1:77">
      <c r="A220" s="1157"/>
      <c r="B220" s="640">
        <f t="shared" si="205"/>
        <v>39685.039370078855</v>
      </c>
      <c r="C220" s="742">
        <f t="shared" si="206"/>
        <v>12</v>
      </c>
      <c r="D220" s="624">
        <f>'TCO Calculation'!E$130/$I$2*$B106*(1+$A$2)^($C106-1)</f>
        <v>0</v>
      </c>
      <c r="E220" s="625">
        <f>'TCO Calculation'!F$130/$I$2*$B106*(1+$A$2)^($C106-1)</f>
        <v>819.94848738349322</v>
      </c>
      <c r="F220" s="626">
        <f>'TCO Calculation'!G$130/$I$2*$B106*(1+$A$2)^($C106-1)</f>
        <v>1206.4925405333784</v>
      </c>
      <c r="G220" s="626">
        <f>'TCO Calculation'!H$130/$I$2*$B106*(1+$A$2)^($C106-1)</f>
        <v>8759.2009590043053</v>
      </c>
      <c r="H220" s="626">
        <f>'TCO Calculation'!I$130/$I$2*$B106*(1+$A$2)^($C106-1)</f>
        <v>4859.7332373429963</v>
      </c>
      <c r="I220" s="626">
        <f>'TCO Calculation'!J$130/$I$2*$B106*(1+$A$2)^($C106-1)</f>
        <v>164.62484984697221</v>
      </c>
      <c r="J220" s="627">
        <f>'TCO Calculation'!K$130/$I$2*$B106*(1+$A$2)^($C106-1)</f>
        <v>391.24916605399466</v>
      </c>
      <c r="K220" s="452"/>
      <c r="L220" s="1157"/>
      <c r="M220" s="640">
        <f t="shared" si="207"/>
        <v>39685.039370078855</v>
      </c>
      <c r="N220" s="742">
        <f t="shared" si="207"/>
        <v>12</v>
      </c>
      <c r="O220" s="625">
        <f t="shared" si="208"/>
        <v>0</v>
      </c>
      <c r="P220" s="625">
        <f t="shared" si="209"/>
        <v>463.15682725500807</v>
      </c>
      <c r="Q220" s="625">
        <f t="shared" si="210"/>
        <v>681.50044274540255</v>
      </c>
      <c r="R220" s="625">
        <f t="shared" si="211"/>
        <v>4947.7299950966762</v>
      </c>
      <c r="S220" s="625">
        <f t="shared" si="212"/>
        <v>2745.0732114842895</v>
      </c>
      <c r="T220" s="625">
        <f t="shared" si="213"/>
        <v>92.990138180222857</v>
      </c>
      <c r="U220" s="627">
        <f t="shared" si="214"/>
        <v>221.00134972379485</v>
      </c>
      <c r="V220" s="452"/>
      <c r="W220" s="1153"/>
      <c r="X220" s="640">
        <f t="shared" si="215"/>
        <v>39685.039370078855</v>
      </c>
      <c r="Y220" s="645">
        <f t="shared" si="216"/>
        <v>12</v>
      </c>
      <c r="Z220" s="624">
        <f t="shared" si="223"/>
        <v>0</v>
      </c>
      <c r="AA220" s="625">
        <f t="shared" si="217"/>
        <v>463.15682725500807</v>
      </c>
      <c r="AB220" s="626">
        <f t="shared" si="218"/>
        <v>681.50044274540255</v>
      </c>
      <c r="AC220" s="625">
        <f t="shared" si="219"/>
        <v>4947.7299950966762</v>
      </c>
      <c r="AD220" s="626">
        <f t="shared" si="220"/>
        <v>2745.0732114842895</v>
      </c>
      <c r="AE220" s="625">
        <f t="shared" si="221"/>
        <v>92.990138180222857</v>
      </c>
      <c r="AF220" s="627">
        <f t="shared" si="222"/>
        <v>221.00134972379485</v>
      </c>
      <c r="AG220" s="452"/>
      <c r="AH220" s="452"/>
      <c r="AI220" s="452"/>
      <c r="AJ220" s="452"/>
      <c r="AK220" s="452"/>
      <c r="AL220" s="452"/>
      <c r="AM220" s="452"/>
      <c r="AN220" s="452"/>
      <c r="AO220" s="452"/>
      <c r="AP220" s="452"/>
      <c r="AQ220" s="452"/>
      <c r="AR220" s="452"/>
      <c r="AS220" s="452"/>
      <c r="AT220" s="452"/>
      <c r="BU220" s="452"/>
      <c r="BV220" s="452"/>
      <c r="BW220" s="452"/>
      <c r="BX220" s="452"/>
      <c r="BY220" s="452"/>
    </row>
    <row r="221" spans="1:77">
      <c r="A221" s="1157"/>
      <c r="B221" s="640">
        <f t="shared" si="205"/>
        <v>34960.629921259933</v>
      </c>
      <c r="C221" s="742">
        <f t="shared" si="206"/>
        <v>13</v>
      </c>
      <c r="D221" s="624">
        <f>'TCO Calculation'!E$130/$I$2*$B107*(1+$A$2)^($C107-1)</f>
        <v>0</v>
      </c>
      <c r="E221" s="625">
        <f>'TCO Calculation'!F$130/$I$2*$B107*(1+$A$2)^($C107-1)</f>
        <v>736.78228366316728</v>
      </c>
      <c r="F221" s="626">
        <f>'TCO Calculation'!G$130/$I$2*$B107*(1+$A$2)^($C107-1)</f>
        <v>1084.1197257078497</v>
      </c>
      <c r="G221" s="626">
        <f>'TCO Calculation'!H$130/$I$2*$B107*(1+$A$2)^($C107-1)</f>
        <v>7870.7677188767248</v>
      </c>
      <c r="H221" s="626">
        <f>'TCO Calculation'!I$130/$I$2*$B107*(1+$A$2)^($C107-1)</f>
        <v>4366.817437555349</v>
      </c>
      <c r="I221" s="626">
        <f>'TCO Calculation'!J$130/$I$2*$B107*(1+$A$2)^($C107-1)</f>
        <v>147.92718650535073</v>
      </c>
      <c r="J221" s="627">
        <f>'TCO Calculation'!K$130/$I$2*$B107*(1+$A$2)^($C107-1)</f>
        <v>351.56532206851801</v>
      </c>
      <c r="K221" s="452"/>
      <c r="L221" s="1157"/>
      <c r="M221" s="640">
        <f t="shared" si="207"/>
        <v>34960.629921259933</v>
      </c>
      <c r="N221" s="742">
        <f t="shared" si="207"/>
        <v>13</v>
      </c>
      <c r="O221" s="625">
        <f t="shared" si="208"/>
        <v>0</v>
      </c>
      <c r="P221" s="625">
        <f t="shared" si="209"/>
        <v>395.12080962803424</v>
      </c>
      <c r="Q221" s="625">
        <f t="shared" si="210"/>
        <v>581.39055899346158</v>
      </c>
      <c r="R221" s="625">
        <f t="shared" si="211"/>
        <v>4220.926836099813</v>
      </c>
      <c r="S221" s="625">
        <f t="shared" si="212"/>
        <v>2341.8321527034614</v>
      </c>
      <c r="T221" s="625">
        <f t="shared" si="213"/>
        <v>79.330232273489926</v>
      </c>
      <c r="U221" s="627">
        <f t="shared" si="214"/>
        <v>188.53707231152546</v>
      </c>
      <c r="V221" s="452"/>
      <c r="W221" s="1153"/>
      <c r="X221" s="640">
        <f t="shared" si="215"/>
        <v>34960.629921259933</v>
      </c>
      <c r="Y221" s="645">
        <f t="shared" si="216"/>
        <v>13</v>
      </c>
      <c r="Z221" s="624">
        <f t="shared" si="223"/>
        <v>0</v>
      </c>
      <c r="AA221" s="625">
        <f t="shared" si="217"/>
        <v>395.12080962803424</v>
      </c>
      <c r="AB221" s="626">
        <f t="shared" si="218"/>
        <v>581.39055899346158</v>
      </c>
      <c r="AC221" s="625">
        <f t="shared" si="219"/>
        <v>4220.926836099813</v>
      </c>
      <c r="AD221" s="626">
        <f t="shared" si="220"/>
        <v>2341.8321527034614</v>
      </c>
      <c r="AE221" s="625">
        <f t="shared" si="221"/>
        <v>79.330232273489926</v>
      </c>
      <c r="AF221" s="627">
        <f t="shared" si="222"/>
        <v>188.53707231152546</v>
      </c>
      <c r="AG221" s="452"/>
      <c r="AH221" s="452"/>
      <c r="AI221" s="452"/>
      <c r="AJ221" s="452"/>
      <c r="AK221" s="452"/>
      <c r="AL221" s="452"/>
      <c r="AM221" s="452"/>
      <c r="AN221" s="452"/>
      <c r="AO221" s="452"/>
      <c r="AP221" s="452"/>
      <c r="AQ221" s="452"/>
      <c r="AR221" s="452"/>
      <c r="AS221" s="452"/>
      <c r="AT221" s="452"/>
      <c r="BU221" s="452"/>
      <c r="BV221" s="452"/>
      <c r="BW221" s="452"/>
      <c r="BX221" s="452"/>
      <c r="BY221" s="452"/>
    </row>
    <row r="222" spans="1:77">
      <c r="A222" s="1157"/>
      <c r="B222" s="640">
        <f t="shared" si="205"/>
        <v>31496.062992126026</v>
      </c>
      <c r="C222" s="742">
        <f t="shared" si="206"/>
        <v>14</v>
      </c>
      <c r="D222" s="624">
        <f>'TCO Calculation'!E$130/$I$2*$B108*(1+$A$2)^($C108-1)</f>
        <v>0</v>
      </c>
      <c r="E222" s="625">
        <f>'TCO Calculation'!F$130/$I$2*$B108*(1+$A$2)^($C108-1)</f>
        <v>677.04317958236913</v>
      </c>
      <c r="F222" s="626">
        <f>'TCO Calculation'!G$130/$I$2*$B108*(1+$A$2)^($C108-1)</f>
        <v>996.21812632613103</v>
      </c>
      <c r="G222" s="626">
        <f>'TCO Calculation'!H$130/$I$2*$B108*(1+$A$2)^($C108-1)</f>
        <v>7232.597363292115</v>
      </c>
      <c r="H222" s="626">
        <f>'TCO Calculation'!I$130/$I$2*$B108*(1+$A$2)^($C108-1)</f>
        <v>4012.7511588346392</v>
      </c>
      <c r="I222" s="626">
        <f>'TCO Calculation'!J$130/$I$2*$B108*(1+$A$2)^($C108-1)</f>
        <v>135.93309030221403</v>
      </c>
      <c r="J222" s="627">
        <f>'TCO Calculation'!K$130/$I$2*$B108*(1+$A$2)^($C108-1)</f>
        <v>323.06002568458365</v>
      </c>
      <c r="K222" s="452"/>
      <c r="L222" s="1157"/>
      <c r="M222" s="640">
        <f t="shared" si="207"/>
        <v>31496.062992126026</v>
      </c>
      <c r="N222" s="742">
        <f t="shared" si="207"/>
        <v>14</v>
      </c>
      <c r="O222" s="625">
        <f t="shared" si="208"/>
        <v>0</v>
      </c>
      <c r="P222" s="625">
        <f t="shared" si="209"/>
        <v>344.71193747213732</v>
      </c>
      <c r="Q222" s="625">
        <f t="shared" si="210"/>
        <v>507.2176942725763</v>
      </c>
      <c r="R222" s="625">
        <f t="shared" si="211"/>
        <v>3682.4278350964146</v>
      </c>
      <c r="S222" s="625">
        <f t="shared" si="212"/>
        <v>2043.0650042272041</v>
      </c>
      <c r="T222" s="625">
        <f t="shared" si="213"/>
        <v>69.209409883657912</v>
      </c>
      <c r="U222" s="627">
        <f t="shared" si="214"/>
        <v>164.48381836181377</v>
      </c>
      <c r="V222" s="452"/>
      <c r="W222" s="1153"/>
      <c r="X222" s="640">
        <f t="shared" si="215"/>
        <v>31496.062992126026</v>
      </c>
      <c r="Y222" s="645">
        <f t="shared" si="216"/>
        <v>14</v>
      </c>
      <c r="Z222" s="624">
        <f t="shared" si="223"/>
        <v>0</v>
      </c>
      <c r="AA222" s="625">
        <f t="shared" si="217"/>
        <v>344.71193747213732</v>
      </c>
      <c r="AB222" s="626">
        <f t="shared" si="218"/>
        <v>507.2176942725763</v>
      </c>
      <c r="AC222" s="625">
        <f t="shared" si="219"/>
        <v>3682.4278350964146</v>
      </c>
      <c r="AD222" s="626">
        <f t="shared" si="220"/>
        <v>2043.0650042272041</v>
      </c>
      <c r="AE222" s="625">
        <f t="shared" si="221"/>
        <v>69.209409883657912</v>
      </c>
      <c r="AF222" s="627">
        <f t="shared" si="222"/>
        <v>164.48381836181377</v>
      </c>
      <c r="AG222" s="452"/>
      <c r="AH222" s="452"/>
      <c r="AI222" s="452"/>
      <c r="AJ222" s="452"/>
      <c r="AK222" s="452"/>
      <c r="AL222" s="452"/>
      <c r="AM222" s="452"/>
      <c r="AN222" s="452"/>
      <c r="AO222" s="452"/>
      <c r="AP222" s="452"/>
      <c r="AQ222" s="452"/>
      <c r="AR222" s="452"/>
      <c r="AS222" s="452"/>
      <c r="AT222" s="452"/>
      <c r="BU222" s="452"/>
      <c r="BV222" s="452"/>
      <c r="BW222" s="452"/>
      <c r="BX222" s="452"/>
      <c r="BY222" s="452"/>
    </row>
    <row r="223" spans="1:77" ht="15" thickBot="1">
      <c r="A223" s="1158"/>
      <c r="B223" s="672">
        <f t="shared" si="205"/>
        <v>27716.53543307096</v>
      </c>
      <c r="C223" s="743">
        <f t="shared" si="206"/>
        <v>15</v>
      </c>
      <c r="D223" s="632">
        <f>'TCO Calculation'!E$130/$I$2*$B109*(1+$A$2)^($C109-1)</f>
        <v>0</v>
      </c>
      <c r="E223" s="633">
        <f>'TCO Calculation'!F$130/$I$2*$B109*(1+$A$2)^($C109-1)</f>
        <v>607.71395799313586</v>
      </c>
      <c r="F223" s="634">
        <f>'TCO Calculation'!G$130/$I$2*$B109*(1+$A$2)^($C109-1)</f>
        <v>894.20539019033708</v>
      </c>
      <c r="G223" s="634">
        <f>'TCO Calculation'!H$130/$I$2*$B109*(1+$A$2)^($C109-1)</f>
        <v>6491.979393291017</v>
      </c>
      <c r="H223" s="634">
        <f>'TCO Calculation'!I$130/$I$2*$B109*(1+$A$2)^($C109-1)</f>
        <v>3601.8454401699805</v>
      </c>
      <c r="I223" s="634">
        <f>'TCO Calculation'!J$130/$I$2*$B109*(1+$A$2)^($C109-1)</f>
        <v>122.01354185526756</v>
      </c>
      <c r="J223" s="635">
        <f>'TCO Calculation'!K$130/$I$2*$B109*(1+$A$2)^($C109-1)</f>
        <v>289.97867905448294</v>
      </c>
      <c r="K223" s="452"/>
      <c r="L223" s="1158"/>
      <c r="M223" s="672">
        <f t="shared" si="207"/>
        <v>27716.53543307096</v>
      </c>
      <c r="N223" s="743">
        <f t="shared" si="207"/>
        <v>15</v>
      </c>
      <c r="O223" s="633">
        <f t="shared" si="208"/>
        <v>0</v>
      </c>
      <c r="P223" s="633">
        <f t="shared" si="209"/>
        <v>293.7571152601966</v>
      </c>
      <c r="Q223" s="633">
        <f t="shared" si="210"/>
        <v>432.24150509868468</v>
      </c>
      <c r="R223" s="633">
        <f t="shared" si="211"/>
        <v>3138.0966552085524</v>
      </c>
      <c r="S223" s="633">
        <f t="shared" si="212"/>
        <v>1741.062077315949</v>
      </c>
      <c r="T223" s="633">
        <f t="shared" si="213"/>
        <v>58.97897457620595</v>
      </c>
      <c r="U223" s="635">
        <f t="shared" si="214"/>
        <v>140.17005718826923</v>
      </c>
      <c r="V223" s="452"/>
      <c r="W223" s="1153"/>
      <c r="X223" s="640">
        <f t="shared" si="215"/>
        <v>27716.53543307096</v>
      </c>
      <c r="Y223" s="646">
        <f t="shared" si="216"/>
        <v>15</v>
      </c>
      <c r="Z223" s="624">
        <f t="shared" si="223"/>
        <v>0</v>
      </c>
      <c r="AA223" s="625">
        <f t="shared" si="217"/>
        <v>293.7571152601966</v>
      </c>
      <c r="AB223" s="626">
        <f t="shared" si="218"/>
        <v>432.24150509868468</v>
      </c>
      <c r="AC223" s="625">
        <f t="shared" si="219"/>
        <v>3138.0966552085524</v>
      </c>
      <c r="AD223" s="626">
        <f t="shared" si="220"/>
        <v>1741.062077315949</v>
      </c>
      <c r="AE223" s="625">
        <f t="shared" si="221"/>
        <v>58.97897457620595</v>
      </c>
      <c r="AF223" s="627">
        <f t="shared" si="222"/>
        <v>140.17005718826923</v>
      </c>
      <c r="AG223" s="452"/>
      <c r="AH223" s="452"/>
      <c r="AI223" s="452"/>
      <c r="AJ223" s="452"/>
      <c r="AK223" s="452"/>
      <c r="AL223" s="452"/>
      <c r="AM223" s="452"/>
      <c r="AN223" s="452"/>
      <c r="AO223" s="452"/>
      <c r="AP223" s="452"/>
      <c r="AQ223" s="452"/>
      <c r="AR223" s="452"/>
      <c r="AS223" s="452"/>
      <c r="AT223" s="452"/>
      <c r="BU223" s="452"/>
      <c r="BV223" s="452"/>
      <c r="BW223" s="452"/>
      <c r="BX223" s="452"/>
      <c r="BY223" s="452"/>
    </row>
    <row r="224" spans="1:77" ht="15" thickBot="1">
      <c r="A224" s="452"/>
      <c r="B224" s="452"/>
      <c r="C224" s="452"/>
      <c r="D224" s="636">
        <f t="shared" ref="D224:J224" si="224">SUM(D208:D223)</f>
        <v>0</v>
      </c>
      <c r="E224" s="637">
        <f t="shared" si="224"/>
        <v>18480.328027392272</v>
      </c>
      <c r="F224" s="638">
        <f t="shared" ref="F224" si="225">SUM(F208:F223)</f>
        <v>27193.413004880142</v>
      </c>
      <c r="G224" s="638">
        <f t="shared" si="224"/>
        <v>197418.38599738761</v>
      </c>
      <c r="H224" s="638">
        <f t="shared" si="224"/>
        <v>109530.61775661931</v>
      </c>
      <c r="I224" s="638">
        <f t="shared" si="224"/>
        <v>3710.3809244657346</v>
      </c>
      <c r="J224" s="639">
        <f t="shared" si="224"/>
        <v>8818.130700129941</v>
      </c>
      <c r="K224" s="452"/>
      <c r="L224" s="452"/>
      <c r="M224" s="452"/>
      <c r="N224" s="452"/>
      <c r="O224" s="636">
        <f t="shared" ref="O224:P224" si="226">SUM(O208:O223)</f>
        <v>0</v>
      </c>
      <c r="P224" s="637">
        <f t="shared" si="226"/>
        <v>14170.716922210595</v>
      </c>
      <c r="Q224" s="638">
        <f t="shared" ref="Q224" si="227">SUM(Q208:Q223)</f>
        <v>20852.144338608829</v>
      </c>
      <c r="R224" s="638">
        <f t="shared" ref="R224:U224" si="228">SUM(R208:R223)</f>
        <v>151380.43324025575</v>
      </c>
      <c r="S224" s="638">
        <f t="shared" si="228"/>
        <v>83988.085938911914</v>
      </c>
      <c r="T224" s="638">
        <f t="shared" si="228"/>
        <v>2845.1203721189172</v>
      </c>
      <c r="U224" s="639">
        <f t="shared" si="228"/>
        <v>6761.7432845010453</v>
      </c>
      <c r="V224" s="452"/>
      <c r="W224" s="1154"/>
      <c r="X224" s="1150" t="s">
        <v>110</v>
      </c>
      <c r="Y224" s="1151"/>
      <c r="Z224" s="636">
        <f t="shared" si="223"/>
        <v>0</v>
      </c>
      <c r="AA224" s="637">
        <f t="shared" si="217"/>
        <v>14170.716922210595</v>
      </c>
      <c r="AB224" s="638">
        <f t="shared" si="218"/>
        <v>20852.144338608829</v>
      </c>
      <c r="AC224" s="637">
        <f t="shared" si="219"/>
        <v>151380.43324025575</v>
      </c>
      <c r="AD224" s="638">
        <f t="shared" si="220"/>
        <v>83988.085938911914</v>
      </c>
      <c r="AE224" s="637">
        <f t="shared" si="221"/>
        <v>2845.1203721189172</v>
      </c>
      <c r="AF224" s="639">
        <f t="shared" si="222"/>
        <v>6761.7432845010453</v>
      </c>
      <c r="AG224" s="452"/>
      <c r="AH224" s="452"/>
      <c r="AI224" s="452"/>
      <c r="AJ224" s="452"/>
      <c r="AK224" s="452"/>
      <c r="AL224" s="452"/>
      <c r="AM224" s="452"/>
      <c r="AN224" s="452"/>
      <c r="AO224" s="452"/>
      <c r="AP224" s="452"/>
      <c r="AQ224" s="452"/>
      <c r="AR224" s="452"/>
      <c r="AS224" s="452"/>
      <c r="AT224" s="452"/>
      <c r="BU224" s="452"/>
      <c r="BV224" s="452"/>
      <c r="BW224" s="452"/>
      <c r="BX224" s="452"/>
      <c r="BY224" s="452"/>
    </row>
    <row r="225" spans="1:77" ht="15" thickBot="1">
      <c r="A225" s="452"/>
      <c r="B225" s="452"/>
      <c r="C225" s="452"/>
      <c r="D225" s="452"/>
      <c r="E225" s="452"/>
      <c r="F225" s="452"/>
      <c r="G225" s="452"/>
      <c r="H225" s="452"/>
      <c r="I225" s="452"/>
      <c r="J225" s="452"/>
      <c r="K225" s="452"/>
      <c r="L225" s="452"/>
      <c r="M225" s="452"/>
      <c r="N225" s="452"/>
      <c r="O225" s="452"/>
      <c r="P225" s="452"/>
      <c r="Q225" s="452"/>
      <c r="R225" s="452"/>
      <c r="S225" s="452"/>
      <c r="T225" s="452"/>
      <c r="U225" s="452"/>
      <c r="V225" s="452"/>
      <c r="W225" s="452"/>
      <c r="X225" s="452"/>
      <c r="Y225" s="452"/>
      <c r="Z225" s="452"/>
      <c r="AA225" s="452"/>
      <c r="AB225" s="452"/>
      <c r="AC225" s="452"/>
      <c r="AD225" s="452"/>
      <c r="AE225" s="452"/>
      <c r="AF225" s="452"/>
      <c r="AG225" s="452"/>
      <c r="AH225" s="452"/>
      <c r="AI225" s="452"/>
      <c r="AJ225" s="452"/>
      <c r="AK225" s="452"/>
      <c r="AL225" s="452"/>
      <c r="AM225" s="452"/>
      <c r="AN225" s="452"/>
      <c r="AO225" s="452"/>
      <c r="AP225" s="452"/>
      <c r="AQ225" s="452"/>
      <c r="AR225" s="452"/>
      <c r="AS225" s="452"/>
      <c r="AT225" s="452"/>
      <c r="BU225" s="452"/>
      <c r="BV225" s="452"/>
      <c r="BW225" s="452"/>
      <c r="BX225" s="452"/>
      <c r="BY225" s="452"/>
    </row>
    <row r="226" spans="1:77" ht="42.5" thickBot="1">
      <c r="A226" s="1156" t="s">
        <v>556</v>
      </c>
      <c r="B226" s="643" t="s">
        <v>487</v>
      </c>
      <c r="C226" s="644" t="s">
        <v>506</v>
      </c>
      <c r="D226" s="352" t="s">
        <v>454</v>
      </c>
      <c r="E226" s="609" t="s">
        <v>455</v>
      </c>
      <c r="F226" s="354" t="str">
        <f>$F$169</f>
        <v>Mobile Carbon Capture  90%</v>
      </c>
      <c r="G226" s="355" t="str">
        <f>$G$51</f>
        <v>BEV 250 mile</v>
      </c>
      <c r="H226" s="355" t="s">
        <v>445</v>
      </c>
      <c r="I226" s="973" t="s">
        <v>414</v>
      </c>
      <c r="J226" s="357" t="s">
        <v>413</v>
      </c>
      <c r="K226" s="452"/>
      <c r="L226" s="1156" t="s">
        <v>556</v>
      </c>
      <c r="M226" s="643" t="s">
        <v>487</v>
      </c>
      <c r="N226" s="644" t="s">
        <v>506</v>
      </c>
      <c r="O226" s="352" t="s">
        <v>454</v>
      </c>
      <c r="P226" s="609" t="s">
        <v>455</v>
      </c>
      <c r="Q226" s="354" t="str">
        <f>$Q$169</f>
        <v>Mobile Carbon Capture  90%</v>
      </c>
      <c r="R226" s="355" t="str">
        <f>$G$51</f>
        <v>BEV 250 mile</v>
      </c>
      <c r="S226" s="355" t="s">
        <v>445</v>
      </c>
      <c r="T226" s="973" t="s">
        <v>414</v>
      </c>
      <c r="U226" s="357" t="s">
        <v>413</v>
      </c>
      <c r="V226" s="452"/>
      <c r="W226" s="1152" t="s">
        <v>556</v>
      </c>
      <c r="X226" s="643" t="s">
        <v>487</v>
      </c>
      <c r="Y226" s="644" t="s">
        <v>506</v>
      </c>
      <c r="Z226" s="352" t="s">
        <v>454</v>
      </c>
      <c r="AA226" s="609" t="s">
        <v>552</v>
      </c>
      <c r="AB226" s="354" t="s">
        <v>553</v>
      </c>
      <c r="AC226" s="355" t="s">
        <v>523</v>
      </c>
      <c r="AD226" s="355" t="s">
        <v>445</v>
      </c>
      <c r="AE226" s="973" t="s">
        <v>414</v>
      </c>
      <c r="AF226" s="357" t="s">
        <v>413</v>
      </c>
      <c r="AG226" s="452"/>
      <c r="AH226" s="452"/>
      <c r="AI226" s="452"/>
      <c r="AJ226" s="452"/>
      <c r="AK226" s="452"/>
      <c r="AL226" s="452"/>
      <c r="AM226" s="452"/>
      <c r="AN226" s="452"/>
      <c r="AO226" s="452"/>
      <c r="AP226" s="452"/>
      <c r="AQ226" s="452"/>
      <c r="AR226" s="452"/>
      <c r="AS226" s="452"/>
      <c r="AT226" s="452"/>
      <c r="BU226" s="452"/>
      <c r="BV226" s="452"/>
      <c r="BW226" s="452"/>
      <c r="BX226" s="452"/>
      <c r="BY226" s="452"/>
    </row>
    <row r="227" spans="1:77" ht="15" thickBot="1">
      <c r="A227" s="1157"/>
      <c r="B227" s="640">
        <f t="shared" ref="B227:B242" si="229">M52</f>
        <v>0</v>
      </c>
      <c r="C227" s="742">
        <f t="shared" ref="C227:C242" si="230">N52</f>
        <v>0</v>
      </c>
      <c r="D227" s="624">
        <v>0</v>
      </c>
      <c r="E227" s="629">
        <v>0</v>
      </c>
      <c r="F227" s="626">
        <v>0</v>
      </c>
      <c r="G227" s="626">
        <v>0</v>
      </c>
      <c r="H227" s="626">
        <v>0</v>
      </c>
      <c r="I227" s="626">
        <v>0</v>
      </c>
      <c r="J227" s="627">
        <v>0</v>
      </c>
      <c r="K227" s="452"/>
      <c r="L227" s="1157"/>
      <c r="M227" s="640">
        <f t="shared" ref="M227:N242" si="231">M52</f>
        <v>0</v>
      </c>
      <c r="N227" s="742">
        <f t="shared" si="231"/>
        <v>0</v>
      </c>
      <c r="O227" s="633">
        <f t="shared" ref="O227:O242" si="232">D227*(1-$B$2)^MAX(0,($N227-1))</f>
        <v>0</v>
      </c>
      <c r="P227" s="633">
        <f t="shared" ref="P227:P242" si="233">E227*(1-$B$2)^MAX(0,($N227-1))</f>
        <v>0</v>
      </c>
      <c r="Q227" s="633">
        <f t="shared" ref="Q227:Q242" si="234">F227*(1-$B$2)^MAX(0,($N227-1))</f>
        <v>0</v>
      </c>
      <c r="R227" s="633">
        <f t="shared" ref="R227:R242" si="235">G227*(1-$B$2)^MAX(0,($N227-1))</f>
        <v>0</v>
      </c>
      <c r="S227" s="633">
        <f t="shared" ref="S227:S242" si="236">H227*(1-$B$2)^MAX(0,($N227-1))</f>
        <v>0</v>
      </c>
      <c r="T227" s="633">
        <f t="shared" ref="T227:T242" si="237">I227*(1-$B$2)^MAX(0,($N227-1))</f>
        <v>0</v>
      </c>
      <c r="U227" s="635">
        <f t="shared" ref="U227:U242" si="238">J227*(1-$B$2)^MAX(0,($N227-1))</f>
        <v>0</v>
      </c>
      <c r="V227" s="452"/>
      <c r="W227" s="1153"/>
      <c r="X227" s="640">
        <f t="shared" ref="X227:X242" si="239">M227</f>
        <v>0</v>
      </c>
      <c r="Y227" s="645">
        <f t="shared" ref="Y227:Y242" si="240">N227</f>
        <v>0</v>
      </c>
      <c r="Z227" s="624">
        <f>O227-$O227</f>
        <v>0</v>
      </c>
      <c r="AA227" s="629">
        <f t="shared" ref="AA227:AA243" si="241">P227-$O227</f>
        <v>0</v>
      </c>
      <c r="AB227" s="626">
        <f t="shared" ref="AB227:AB243" si="242">Q227-$O227</f>
        <v>0</v>
      </c>
      <c r="AC227" s="625">
        <f t="shared" ref="AC227:AC243" si="243">R227-$O227</f>
        <v>0</v>
      </c>
      <c r="AD227" s="626">
        <f t="shared" ref="AD227:AD243" si="244">S227-$O227</f>
        <v>0</v>
      </c>
      <c r="AE227" s="625">
        <f t="shared" ref="AE227:AE243" si="245">T227-$O227</f>
        <v>0</v>
      </c>
      <c r="AF227" s="627">
        <f t="shared" ref="AF227:AF243" si="246">U227-$O227</f>
        <v>0</v>
      </c>
      <c r="AG227" s="452"/>
      <c r="AH227" s="452"/>
      <c r="AI227" s="452"/>
      <c r="AJ227" s="452"/>
      <c r="AK227" s="452"/>
      <c r="AL227" s="452"/>
      <c r="AM227" s="452"/>
      <c r="AN227" s="452"/>
      <c r="AO227" s="452"/>
      <c r="AP227" s="452"/>
      <c r="AQ227" s="452"/>
      <c r="AR227" s="452"/>
      <c r="AS227" s="452"/>
      <c r="AT227" s="452"/>
      <c r="BU227" s="452"/>
      <c r="BV227" s="452"/>
      <c r="BW227" s="452"/>
      <c r="BX227" s="452"/>
      <c r="BY227" s="452"/>
    </row>
    <row r="228" spans="1:77">
      <c r="A228" s="1157"/>
      <c r="B228" s="640">
        <f t="shared" si="229"/>
        <v>101417.32283464503</v>
      </c>
      <c r="C228" s="742">
        <f t="shared" si="230"/>
        <v>1</v>
      </c>
      <c r="D228" s="628">
        <f>IF('TCO Calculation'!$K$3="Lookup Table",VLOOKUP($H$2+$C227,'Cost Projection'!$B$6:$Y$49,23,FALSE),$Q$2)*$B228/'TCO Calculation'!E$65*(VLOOKUP('TCO Calculation'!E$12, 'GHG FE &amp; Fuel '!$L$27:$N$35, 2, FALSE)+VLOOKUP('TCO Calculation'!E$12, 'GHG FE &amp; Fuel '!$L$27:$N$35, 3, FALSE)*(1-'TCO Calculation'!E$140))/1000000</f>
        <v>20564.98629557325</v>
      </c>
      <c r="E228" s="629">
        <f>IF('TCO Calculation'!$K$3="Lookup Table",VLOOKUP($H$2+$C227,'Cost Projection'!$B$6:$Y$49,23,FALSE),$Q$2)*$B228/'TCO Calculation'!F$65*(VLOOKUP('TCO Calculation'!F$12, 'GHG FE &amp; Fuel '!$L$27:$N$35, 2, FALSE)+VLOOKUP('TCO Calculation'!F$12, 'GHG FE &amp; Fuel '!$L$27:$N$35, 3, FALSE)*(1-'TCO Calculation'!F$140))/1000000</f>
        <v>11774.647608834142</v>
      </c>
      <c r="F228" s="629">
        <f>IF('TCO Calculation'!$K$3="Lookup Table",VLOOKUP($H$2+$C227,'Cost Projection'!$B$6:$Y$49,23,FALSE),$Q$2)*$B228/'TCO Calculation'!G$65*(VLOOKUP('TCO Calculation'!G$12, 'GHG FE &amp; Fuel '!$L$27:$N$35, 2, FALSE)+VLOOKUP('TCO Calculation'!G$12, 'GHG FE &amp; Fuel '!$L$27:$N$35, 3, FALSE)*(1-'TCO Calculation'!G$140))/1000000</f>
        <v>5000.4375276676274</v>
      </c>
      <c r="G228" s="630">
        <f>IF('TCO Calculation'!$K$3="Lookup Table",VLOOKUP($H$2+$C227,'Cost Projection'!$B$6:$Y$49,23,FALSE),$Q$2)*$B228*'TCO Calculation'!H$65/'TCO Calculation'!H$67*IF('TCO Calculation'!$J$3="Lookup Table",'GHG Electricity'!$AX3,$Q$2)/1000000</f>
        <v>18502.252477127913</v>
      </c>
      <c r="H228" s="630">
        <f>IF('TCO Calculation'!$K$3="Lookup Table",VLOOKUP($H$2+$C227,'Cost Projection'!$B$6:$Y$49,23,FALSE),$Q$2)*$B228*'TCO Calculation'!I$65/'TCO Calculation'!I$67*IF('TCO Calculation'!$J$3="Lookup Table",'GHG Electricity'!$AX3,$Q$2)/1000000</f>
        <v>18779.78626428483</v>
      </c>
      <c r="I228" s="630">
        <f>IF('TCO Calculation'!$K$3="Lookup Table",VLOOKUP($H$2+$C227,'Cost Projection'!$B$6:$Y$49,23,FALSE),$Q$2)*$B228/$I$2*'TCO Calculation'!J$69*VLOOKUP('TCO Calculation'!J$12, 'H2 FCV'!$C$70:$D$74, 2, FALSE)/1000</f>
        <v>6437.0055434875658</v>
      </c>
      <c r="J228" s="631">
        <f>IF('TCO Calculation'!$K$3="Lookup Table",VLOOKUP($H$2+$C227,'Cost Projection'!$B$6:$Y$49,23,FALSE),$Q$2)*$B228/$I$2*'TCO Calculation'!K$69*VLOOKUP('TCO Calculation'!K$12, 'H2 FCV'!$C$70:$D$74, 2, FALSE)/1000</f>
        <v>7276.6149622033372</v>
      </c>
      <c r="K228" s="452"/>
      <c r="L228" s="1157"/>
      <c r="M228" s="640">
        <f t="shared" si="231"/>
        <v>101417.32283464503</v>
      </c>
      <c r="N228" s="742">
        <f t="shared" si="231"/>
        <v>1</v>
      </c>
      <c r="O228" s="629">
        <f t="shared" si="232"/>
        <v>20564.98629557325</v>
      </c>
      <c r="P228" s="629">
        <f t="shared" si="233"/>
        <v>11774.647608834142</v>
      </c>
      <c r="Q228" s="629">
        <f t="shared" si="234"/>
        <v>5000.4375276676274</v>
      </c>
      <c r="R228" s="629">
        <f>G228*(1-$B$2)^MAX(0,($N228-1))</f>
        <v>18502.252477127913</v>
      </c>
      <c r="S228" s="629">
        <f t="shared" si="236"/>
        <v>18779.78626428483</v>
      </c>
      <c r="T228" s="629">
        <f t="shared" si="237"/>
        <v>6437.0055434875658</v>
      </c>
      <c r="U228" s="631">
        <f t="shared" si="238"/>
        <v>7276.6149622033372</v>
      </c>
      <c r="V228" s="452"/>
      <c r="W228" s="1153"/>
      <c r="X228" s="640">
        <f t="shared" si="239"/>
        <v>101417.32283464503</v>
      </c>
      <c r="Y228" s="645">
        <f t="shared" si="240"/>
        <v>1</v>
      </c>
      <c r="Z228" s="628">
        <f t="shared" ref="Z228:Z243" si="247">O228-$O228</f>
        <v>0</v>
      </c>
      <c r="AA228" s="629">
        <f t="shared" si="241"/>
        <v>-8790.3386867391073</v>
      </c>
      <c r="AB228" s="630">
        <f t="shared" si="242"/>
        <v>-15564.548767905622</v>
      </c>
      <c r="AC228" s="629">
        <f t="shared" si="243"/>
        <v>-2062.7338184453365</v>
      </c>
      <c r="AD228" s="630">
        <f t="shared" si="244"/>
        <v>-1785.2000312884193</v>
      </c>
      <c r="AE228" s="629">
        <f t="shared" si="245"/>
        <v>-14127.980752085685</v>
      </c>
      <c r="AF228" s="631">
        <f t="shared" si="246"/>
        <v>-13288.371333369912</v>
      </c>
      <c r="AG228" s="452"/>
      <c r="AH228" s="452"/>
      <c r="AI228" s="452"/>
      <c r="AJ228" s="452"/>
      <c r="AK228" s="452"/>
      <c r="AL228" s="452"/>
      <c r="AM228" s="452"/>
      <c r="AN228" s="452"/>
      <c r="AO228" s="452"/>
      <c r="AP228" s="452"/>
      <c r="AQ228" s="452"/>
      <c r="AR228" s="452"/>
      <c r="AS228" s="452"/>
      <c r="AT228" s="452"/>
      <c r="BU228" s="452"/>
      <c r="BV228" s="452"/>
      <c r="BW228" s="452"/>
      <c r="BX228" s="452"/>
      <c r="BY228" s="452"/>
    </row>
    <row r="229" spans="1:77">
      <c r="A229" s="1157"/>
      <c r="B229" s="640">
        <f t="shared" si="229"/>
        <v>112755.90551181062</v>
      </c>
      <c r="C229" s="742">
        <f t="shared" si="230"/>
        <v>2</v>
      </c>
      <c r="D229" s="624">
        <f>IF('TCO Calculation'!$K$3="Lookup Table",VLOOKUP($H$2+$C228,'Cost Projection'!$B$6:$Y$49,23,FALSE),$Q$2)*$B229/'TCO Calculation'!E$65*(VLOOKUP('TCO Calculation'!E$12, 'GHG FE &amp; Fuel '!$L$27:$N$35, 2, FALSE)+VLOOKUP('TCO Calculation'!E$12, 'GHG FE &amp; Fuel '!$L$27:$N$35, 3, FALSE)*(1-'TCO Calculation'!E$140))/1000000</f>
        <v>22864.177309985225</v>
      </c>
      <c r="E229" s="625">
        <f>IF('TCO Calculation'!$K$3="Lookup Table",VLOOKUP($H$2+$C228,'Cost Projection'!$B$6:$Y$49,23,FALSE),$Q$2)*$B229/'TCO Calculation'!F$65*(VLOOKUP('TCO Calculation'!F$12, 'GHG FE &amp; Fuel '!$L$27:$N$35, 2, FALSE)+VLOOKUP('TCO Calculation'!F$12, 'GHG FE &amp; Fuel '!$L$27:$N$35, 3, FALSE)*(1-'TCO Calculation'!F$140))/1000000</f>
        <v>13091.067838393274</v>
      </c>
      <c r="F229" s="625">
        <f>IF('TCO Calculation'!$K$3="Lookup Table",VLOOKUP($H$2+$C228,'Cost Projection'!$B$6:$Y$49,23,FALSE),$Q$2)*$B229/'TCO Calculation'!G$65*(VLOOKUP('TCO Calculation'!G$12, 'GHG FE &amp; Fuel '!$L$27:$N$35, 2, FALSE)+VLOOKUP('TCO Calculation'!G$12, 'GHG FE &amp; Fuel '!$L$27:$N$35, 3, FALSE)*(1-'TCO Calculation'!G$140))/1000000</f>
        <v>5559.4926549845195</v>
      </c>
      <c r="G229" s="626">
        <f>IF('TCO Calculation'!$K$3="Lookup Table",VLOOKUP($H$2+$C228,'Cost Projection'!$B$6:$Y$49,23,FALSE),$Q$2)*$B229*'TCO Calculation'!H$65/'TCO Calculation'!H$67*IF('TCO Calculation'!$J$3="Lookup Table",'GHG Electricity'!$AX4,$Q$2)/1000000</f>
        <v>20396.409388832406</v>
      </c>
      <c r="H229" s="626">
        <f>IF('TCO Calculation'!$K$3="Lookup Table",VLOOKUP($H$2+$C228,'Cost Projection'!$B$6:$Y$49,23,FALSE),$Q$2)*$B229*'TCO Calculation'!I$65/'TCO Calculation'!I$67*IF('TCO Calculation'!$J$3="Lookup Table",'GHG Electricity'!$AX4,$Q$2)/1000000</f>
        <v>20702.355529664896</v>
      </c>
      <c r="I229" s="626">
        <f>IF('TCO Calculation'!$K$3="Lookup Table",VLOOKUP($H$2+$C228,'Cost Projection'!$B$6:$Y$49,23,FALSE),$Q$2)*$B229/$I$2*'TCO Calculation'!J$69*VLOOKUP('TCO Calculation'!J$12, 'H2 FCV'!$C$70:$D$74, 2, FALSE)/1000</f>
        <v>7156.6707595296739</v>
      </c>
      <c r="J229" s="627">
        <f>IF('TCO Calculation'!$K$3="Lookup Table",VLOOKUP($H$2+$C228,'Cost Projection'!$B$6:$Y$49,23,FALSE),$Q$2)*$B229/$I$2*'TCO Calculation'!K$69*VLOOKUP('TCO Calculation'!K$12, 'H2 FCV'!$C$70:$D$74, 2, FALSE)/1000</f>
        <v>8090.1495542509356</v>
      </c>
      <c r="K229" s="452"/>
      <c r="L229" s="1157"/>
      <c r="M229" s="640">
        <f t="shared" si="231"/>
        <v>112755.90551181062</v>
      </c>
      <c r="N229" s="742">
        <f t="shared" si="231"/>
        <v>2</v>
      </c>
      <c r="O229" s="625">
        <f t="shared" si="232"/>
        <v>21707.249938099972</v>
      </c>
      <c r="P229" s="625">
        <f t="shared" si="233"/>
        <v>12428.659805770574</v>
      </c>
      <c r="Q229" s="625">
        <f t="shared" si="234"/>
        <v>5278.1823266423025</v>
      </c>
      <c r="R229" s="625">
        <f>G229*(1-$B$2)^MAX(0,($N229-1))</f>
        <v>19364.351073757487</v>
      </c>
      <c r="S229" s="625">
        <f t="shared" si="236"/>
        <v>19654.816339863853</v>
      </c>
      <c r="T229" s="625">
        <f t="shared" si="237"/>
        <v>6794.5432190974725</v>
      </c>
      <c r="U229" s="627">
        <f t="shared" si="238"/>
        <v>7680.787986805838</v>
      </c>
      <c r="V229" s="452"/>
      <c r="W229" s="1153"/>
      <c r="X229" s="640">
        <f t="shared" si="239"/>
        <v>112755.90551181062</v>
      </c>
      <c r="Y229" s="645">
        <f t="shared" si="240"/>
        <v>2</v>
      </c>
      <c r="Z229" s="624">
        <f t="shared" si="247"/>
        <v>0</v>
      </c>
      <c r="AA229" s="625">
        <f t="shared" si="241"/>
        <v>-9278.5901323293983</v>
      </c>
      <c r="AB229" s="626">
        <f t="shared" si="242"/>
        <v>-16429.067611457671</v>
      </c>
      <c r="AC229" s="625">
        <f t="shared" si="243"/>
        <v>-2342.8988643424855</v>
      </c>
      <c r="AD229" s="626">
        <f t="shared" si="244"/>
        <v>-2052.433598236119</v>
      </c>
      <c r="AE229" s="625">
        <f t="shared" si="245"/>
        <v>-14912.706719002501</v>
      </c>
      <c r="AF229" s="627">
        <f t="shared" si="246"/>
        <v>-14026.461951294135</v>
      </c>
      <c r="AG229" s="452"/>
      <c r="AH229" s="452"/>
      <c r="AI229" s="452"/>
      <c r="AJ229" s="452"/>
      <c r="AK229" s="452"/>
      <c r="AL229" s="452"/>
      <c r="AM229" s="452"/>
      <c r="AN229" s="452"/>
      <c r="AO229" s="452"/>
      <c r="AP229" s="452"/>
      <c r="AQ229" s="452"/>
      <c r="AR229" s="452"/>
      <c r="AS229" s="452"/>
      <c r="AT229" s="452"/>
      <c r="BU229" s="452"/>
      <c r="BV229" s="452"/>
      <c r="BW229" s="452"/>
      <c r="BX229" s="452"/>
      <c r="BY229" s="452"/>
    </row>
    <row r="230" spans="1:77">
      <c r="A230" s="1157"/>
      <c r="B230" s="640">
        <f t="shared" si="229"/>
        <v>107086.61417322783</v>
      </c>
      <c r="C230" s="742">
        <f t="shared" si="230"/>
        <v>3</v>
      </c>
      <c r="D230" s="624">
        <f>IF('TCO Calculation'!$K$3="Lookup Table",VLOOKUP($H$2+$C229,'Cost Projection'!$B$6:$Y$49,23,FALSE),$Q$2)*$B230/'TCO Calculation'!E$65*(VLOOKUP('TCO Calculation'!E$12, 'GHG FE &amp; Fuel '!$L$27:$N$35, 2, FALSE)+VLOOKUP('TCO Calculation'!E$12, 'GHG FE &amp; Fuel '!$L$27:$N$35, 3, FALSE)*(1-'TCO Calculation'!E$140))/1000000</f>
        <v>21714.581802779237</v>
      </c>
      <c r="E230" s="625">
        <f>IF('TCO Calculation'!$K$3="Lookup Table",VLOOKUP($H$2+$C229,'Cost Projection'!$B$6:$Y$49,23,FALSE),$Q$2)*$B230/'TCO Calculation'!F$65*(VLOOKUP('TCO Calculation'!F$12, 'GHG FE &amp; Fuel '!$L$27:$N$35, 2, FALSE)+VLOOKUP('TCO Calculation'!F$12, 'GHG FE &amp; Fuel '!$L$27:$N$35, 3, FALSE)*(1-'TCO Calculation'!F$140))/1000000</f>
        <v>12432.857723613708</v>
      </c>
      <c r="F230" s="625">
        <f>IF('TCO Calculation'!$K$3="Lookup Table",VLOOKUP($H$2+$C229,'Cost Projection'!$B$6:$Y$49,23,FALSE),$Q$2)*$B230/'TCO Calculation'!G$65*(VLOOKUP('TCO Calculation'!G$12, 'GHG FE &amp; Fuel '!$L$27:$N$35, 2, FALSE)+VLOOKUP('TCO Calculation'!G$12, 'GHG FE &amp; Fuel '!$L$27:$N$35, 3, FALSE)*(1-'TCO Calculation'!G$140))/1000000</f>
        <v>5279.9650913260739</v>
      </c>
      <c r="G230" s="626">
        <f>IF('TCO Calculation'!$K$3="Lookup Table",VLOOKUP($H$2+$C229,'Cost Projection'!$B$6:$Y$49,23,FALSE),$Q$2)*$B230*'TCO Calculation'!H$65/'TCO Calculation'!H$67*IF('TCO Calculation'!$J$3="Lookup Table",'GHG Electricity'!$AX5,$Q$2)/1000000</f>
        <v>19205.243313983181</v>
      </c>
      <c r="H230" s="626">
        <f>IF('TCO Calculation'!$K$3="Lookup Table",VLOOKUP($H$2+$C229,'Cost Projection'!$B$6:$Y$49,23,FALSE),$Q$2)*$B230*'TCO Calculation'!I$65/'TCO Calculation'!I$67*IF('TCO Calculation'!$J$3="Lookup Table",'GHG Electricity'!$AX5,$Q$2)/1000000</f>
        <v>19493.321963692928</v>
      </c>
      <c r="I230" s="626">
        <f>IF('TCO Calculation'!$K$3="Lookup Table",VLOOKUP($H$2+$C229,'Cost Projection'!$B$6:$Y$49,23,FALSE),$Q$2)*$B230/$I$2*'TCO Calculation'!J$69*VLOOKUP('TCO Calculation'!J$12, 'H2 FCV'!$C$70:$D$74, 2, FALSE)/1000</f>
        <v>6796.8381515086194</v>
      </c>
      <c r="J230" s="627">
        <f>IF('TCO Calculation'!$K$3="Lookup Table",VLOOKUP($H$2+$C229,'Cost Projection'!$B$6:$Y$49,23,FALSE),$Q$2)*$B230/$I$2*'TCO Calculation'!K$69*VLOOKUP('TCO Calculation'!K$12, 'H2 FCV'!$C$70:$D$74, 2, FALSE)/1000</f>
        <v>7683.3822582271359</v>
      </c>
      <c r="K230" s="452"/>
      <c r="L230" s="1157"/>
      <c r="M230" s="640">
        <f t="shared" si="231"/>
        <v>107086.61417322783</v>
      </c>
      <c r="N230" s="742">
        <f t="shared" si="231"/>
        <v>3</v>
      </c>
      <c r="O230" s="625">
        <f t="shared" si="232"/>
        <v>19572.663271002544</v>
      </c>
      <c r="P230" s="625">
        <f t="shared" si="233"/>
        <v>11206.485113585233</v>
      </c>
      <c r="Q230" s="625">
        <f t="shared" si="234"/>
        <v>4759.1512355051036</v>
      </c>
      <c r="R230" s="625">
        <f t="shared" si="235"/>
        <v>17310.845027379473</v>
      </c>
      <c r="S230" s="625">
        <f t="shared" si="236"/>
        <v>17570.507702790164</v>
      </c>
      <c r="T230" s="625">
        <f t="shared" si="237"/>
        <v>6126.4004831055445</v>
      </c>
      <c r="U230" s="627">
        <f t="shared" si="238"/>
        <v>6925.4961982932246</v>
      </c>
      <c r="V230" s="452"/>
      <c r="W230" s="1153"/>
      <c r="X230" s="640">
        <f t="shared" si="239"/>
        <v>107086.61417322783</v>
      </c>
      <c r="Y230" s="645">
        <f t="shared" si="240"/>
        <v>3</v>
      </c>
      <c r="Z230" s="624">
        <f t="shared" si="247"/>
        <v>0</v>
      </c>
      <c r="AA230" s="625">
        <f t="shared" si="241"/>
        <v>-8366.178157417311</v>
      </c>
      <c r="AB230" s="626">
        <f t="shared" si="242"/>
        <v>-14813.512035497441</v>
      </c>
      <c r="AC230" s="625">
        <f t="shared" si="243"/>
        <v>-2261.8182436230709</v>
      </c>
      <c r="AD230" s="626">
        <f t="shared" si="244"/>
        <v>-2002.1555682123799</v>
      </c>
      <c r="AE230" s="625">
        <f t="shared" si="245"/>
        <v>-13446.262787897</v>
      </c>
      <c r="AF230" s="627">
        <f t="shared" si="246"/>
        <v>-12647.167072709319</v>
      </c>
      <c r="AG230" s="452"/>
      <c r="AH230" s="452"/>
      <c r="AI230" s="452"/>
      <c r="AJ230" s="452"/>
      <c r="AK230" s="452"/>
      <c r="AL230" s="452"/>
      <c r="AM230" s="452"/>
      <c r="AN230" s="452"/>
      <c r="AO230" s="452"/>
      <c r="AP230" s="452"/>
      <c r="AQ230" s="452"/>
      <c r="AR230" s="452"/>
      <c r="AS230" s="452"/>
      <c r="AT230" s="452"/>
      <c r="BU230" s="452"/>
      <c r="BV230" s="452"/>
      <c r="BW230" s="452"/>
      <c r="BX230" s="452"/>
      <c r="BY230" s="452"/>
    </row>
    <row r="231" spans="1:77">
      <c r="A231" s="1157"/>
      <c r="B231" s="640">
        <f t="shared" si="229"/>
        <v>98897.637795275747</v>
      </c>
      <c r="C231" s="742">
        <f t="shared" si="230"/>
        <v>4</v>
      </c>
      <c r="D231" s="624">
        <f>IF('TCO Calculation'!$K$3="Lookup Table",VLOOKUP($H$2+$C230,'Cost Projection'!$B$6:$Y$49,23,FALSE),$Q$2)*$B231/'TCO Calculation'!E$65*(VLOOKUP('TCO Calculation'!E$12, 'GHG FE &amp; Fuel '!$L$27:$N$35, 2, FALSE)+VLOOKUP('TCO Calculation'!E$12, 'GHG FE &amp; Fuel '!$L$27:$N$35, 3, FALSE)*(1-'TCO Calculation'!E$140))/1000000</f>
        <v>20054.054959037421</v>
      </c>
      <c r="E231" s="625">
        <f>IF('TCO Calculation'!$K$3="Lookup Table",VLOOKUP($H$2+$C230,'Cost Projection'!$B$6:$Y$49,23,FALSE),$Q$2)*$B231/'TCO Calculation'!F$65*(VLOOKUP('TCO Calculation'!F$12, 'GHG FE &amp; Fuel '!$L$27:$N$35, 2, FALSE)+VLOOKUP('TCO Calculation'!F$12, 'GHG FE &amp; Fuel '!$L$27:$N$35, 3, FALSE)*(1-'TCO Calculation'!F$140))/1000000</f>
        <v>11482.109780043322</v>
      </c>
      <c r="F231" s="625">
        <f>IF('TCO Calculation'!$K$3="Lookup Table",VLOOKUP($H$2+$C230,'Cost Projection'!$B$6:$Y$49,23,FALSE),$Q$2)*$B231/'TCO Calculation'!G$65*(VLOOKUP('TCO Calculation'!G$12, 'GHG FE &amp; Fuel '!$L$27:$N$35, 2, FALSE)+VLOOKUP('TCO Calculation'!G$12, 'GHG FE &amp; Fuel '!$L$27:$N$35, 3, FALSE)*(1-'TCO Calculation'!G$140))/1000000</f>
        <v>4876.2030549305809</v>
      </c>
      <c r="G231" s="626">
        <f>IF('TCO Calculation'!$K$3="Lookup Table",VLOOKUP($H$2+$C230,'Cost Projection'!$B$6:$Y$49,23,FALSE),$Q$2)*$B231*'TCO Calculation'!H$65/'TCO Calculation'!H$67*IF('TCO Calculation'!$J$3="Lookup Table",'GHG Electricity'!$AX6,$Q$2)/1000000</f>
        <v>17583.625997956155</v>
      </c>
      <c r="H231" s="626">
        <f>IF('TCO Calculation'!$K$3="Lookup Table",VLOOKUP($H$2+$C230,'Cost Projection'!$B$6:$Y$49,23,FALSE),$Q$2)*$B231*'TCO Calculation'!I$65/'TCO Calculation'!I$67*IF('TCO Calculation'!$J$3="Lookup Table",'GHG Electricity'!$AX6,$Q$2)/1000000</f>
        <v>17847.380387925492</v>
      </c>
      <c r="I231" s="626">
        <f>IF('TCO Calculation'!$K$3="Lookup Table",VLOOKUP($H$2+$C230,'Cost Projection'!$B$6:$Y$49,23,FALSE),$Q$2)*$B231/$I$2*'TCO Calculation'!J$69*VLOOKUP('TCO Calculation'!J$12, 'H2 FCV'!$C$70:$D$74, 2, FALSE)/1000</f>
        <v>6277.0799399227062</v>
      </c>
      <c r="J231" s="627">
        <f>IF('TCO Calculation'!$K$3="Lookup Table",VLOOKUP($H$2+$C230,'Cost Projection'!$B$6:$Y$49,23,FALSE),$Q$2)*$B231/$I$2*'TCO Calculation'!K$69*VLOOKUP('TCO Calculation'!K$12, 'H2 FCV'!$C$70:$D$74, 2, FALSE)/1000</f>
        <v>7095.8294973039301</v>
      </c>
      <c r="K231" s="452"/>
      <c r="L231" s="1157"/>
      <c r="M231" s="640">
        <f t="shared" si="231"/>
        <v>98897.637795275747</v>
      </c>
      <c r="N231" s="742">
        <f t="shared" si="231"/>
        <v>4</v>
      </c>
      <c r="O231" s="625">
        <f t="shared" si="232"/>
        <v>17161.288129352466</v>
      </c>
      <c r="P231" s="625">
        <f t="shared" si="233"/>
        <v>9825.8329634914626</v>
      </c>
      <c r="Q231" s="625">
        <f t="shared" si="234"/>
        <v>4172.8182042894468</v>
      </c>
      <c r="R231" s="625">
        <f t="shared" si="235"/>
        <v>15047.21477656619</v>
      </c>
      <c r="S231" s="625">
        <f t="shared" si="236"/>
        <v>15272.922998214679</v>
      </c>
      <c r="T231" s="625">
        <f t="shared" si="237"/>
        <v>5371.6207360569952</v>
      </c>
      <c r="U231" s="627">
        <f t="shared" si="238"/>
        <v>6072.2669190209526</v>
      </c>
      <c r="V231" s="452"/>
      <c r="W231" s="1153"/>
      <c r="X231" s="640">
        <f t="shared" si="239"/>
        <v>98897.637795275747</v>
      </c>
      <c r="Y231" s="645">
        <f t="shared" si="240"/>
        <v>4</v>
      </c>
      <c r="Z231" s="624">
        <f t="shared" si="247"/>
        <v>0</v>
      </c>
      <c r="AA231" s="625">
        <f t="shared" si="241"/>
        <v>-7335.4551658610035</v>
      </c>
      <c r="AB231" s="626">
        <f t="shared" si="242"/>
        <v>-12988.469925063018</v>
      </c>
      <c r="AC231" s="625">
        <f t="shared" si="243"/>
        <v>-2114.0733527862758</v>
      </c>
      <c r="AD231" s="626">
        <f t="shared" si="244"/>
        <v>-1888.3651311377871</v>
      </c>
      <c r="AE231" s="625">
        <f t="shared" si="245"/>
        <v>-11789.667393295471</v>
      </c>
      <c r="AF231" s="627">
        <f t="shared" si="246"/>
        <v>-11089.021210331513</v>
      </c>
      <c r="AG231" s="452"/>
      <c r="AH231" s="452"/>
      <c r="AI231" s="452"/>
      <c r="AJ231" s="452"/>
      <c r="AK231" s="452"/>
      <c r="AL231" s="452"/>
      <c r="AM231" s="452"/>
      <c r="AN231" s="452"/>
      <c r="AO231" s="452"/>
      <c r="AP231" s="452"/>
      <c r="AQ231" s="452"/>
      <c r="AR231" s="452"/>
      <c r="AS231" s="452"/>
      <c r="AT231" s="452"/>
      <c r="BU231" s="452"/>
      <c r="BV231" s="452"/>
      <c r="BW231" s="452"/>
      <c r="BX231" s="452"/>
      <c r="BY231" s="452"/>
    </row>
    <row r="232" spans="1:77">
      <c r="A232" s="1157"/>
      <c r="B232" s="640">
        <f t="shared" si="229"/>
        <v>86299.212598425438</v>
      </c>
      <c r="C232" s="742">
        <f t="shared" si="230"/>
        <v>5</v>
      </c>
      <c r="D232" s="624">
        <f>IF('TCO Calculation'!$K$3="Lookup Table",VLOOKUP($H$2+$C231,'Cost Projection'!$B$6:$Y$49,23,FALSE),$Q$2)*$B232/'TCO Calculation'!E$65*(VLOOKUP('TCO Calculation'!E$12, 'GHG FE &amp; Fuel '!$L$27:$N$35, 2, FALSE)+VLOOKUP('TCO Calculation'!E$12, 'GHG FE &amp; Fuel '!$L$27:$N$35, 3, FALSE)*(1-'TCO Calculation'!E$140))/1000000</f>
        <v>17499.398276357519</v>
      </c>
      <c r="E232" s="625">
        <f>IF('TCO Calculation'!$K$3="Lookup Table",VLOOKUP($H$2+$C231,'Cost Projection'!$B$6:$Y$49,23,FALSE),$Q$2)*$B232/'TCO Calculation'!F$65*(VLOOKUP('TCO Calculation'!F$12, 'GHG FE &amp; Fuel '!$L$27:$N$35, 2, FALSE)+VLOOKUP('TCO Calculation'!F$12, 'GHG FE &amp; Fuel '!$L$27:$N$35, 3, FALSE)*(1-'TCO Calculation'!F$140))/1000000</f>
        <v>10019.420636088769</v>
      </c>
      <c r="F232" s="625">
        <f>IF('TCO Calculation'!$K$3="Lookup Table",VLOOKUP($H$2+$C231,'Cost Projection'!$B$6:$Y$49,23,FALSE),$Q$2)*$B232/'TCO Calculation'!G$65*(VLOOKUP('TCO Calculation'!G$12, 'GHG FE &amp; Fuel '!$L$27:$N$35, 2, FALSE)+VLOOKUP('TCO Calculation'!G$12, 'GHG FE &amp; Fuel '!$L$27:$N$35, 3, FALSE)*(1-'TCO Calculation'!G$140))/1000000</f>
        <v>4255.0306912451615</v>
      </c>
      <c r="G232" s="626">
        <f>IF('TCO Calculation'!$K$3="Lookup Table",VLOOKUP($H$2+$C231,'Cost Projection'!$B$6:$Y$49,23,FALSE),$Q$2)*$B232*'TCO Calculation'!H$65/'TCO Calculation'!H$67*IF('TCO Calculation'!$J$3="Lookup Table",'GHG Electricity'!$AX7,$Q$2)/1000000</f>
        <v>15210.180612376595</v>
      </c>
      <c r="H232" s="626">
        <f>IF('TCO Calculation'!$K$3="Lookup Table",VLOOKUP($H$2+$C231,'Cost Projection'!$B$6:$Y$49,23,FALSE),$Q$2)*$B232*'TCO Calculation'!I$65/'TCO Calculation'!I$67*IF('TCO Calculation'!$J$3="Lookup Table",'GHG Electricity'!$AX7,$Q$2)/1000000</f>
        <v>15438.333321562242</v>
      </c>
      <c r="I232" s="626">
        <f>IF('TCO Calculation'!$K$3="Lookup Table",VLOOKUP($H$2+$C231,'Cost Projection'!$B$6:$Y$49,23,FALSE),$Q$2)*$B232/$I$2*'TCO Calculation'!J$69*VLOOKUP('TCO Calculation'!J$12, 'H2 FCV'!$C$70:$D$74, 2, FALSE)/1000</f>
        <v>5477.4519220981647</v>
      </c>
      <c r="J232" s="627">
        <f>IF('TCO Calculation'!$K$3="Lookup Table",VLOOKUP($H$2+$C231,'Cost Projection'!$B$6:$Y$49,23,FALSE),$Q$2)*$B232/$I$2*'TCO Calculation'!K$69*VLOOKUP('TCO Calculation'!K$12, 'H2 FCV'!$C$70:$D$74, 2, FALSE)/1000</f>
        <v>6191.9021728066218</v>
      </c>
      <c r="K232" s="452"/>
      <c r="L232" s="1157"/>
      <c r="M232" s="640">
        <f t="shared" si="231"/>
        <v>86299.212598425438</v>
      </c>
      <c r="N232" s="742">
        <f t="shared" si="231"/>
        <v>5</v>
      </c>
      <c r="O232" s="625">
        <f t="shared" si="232"/>
        <v>14217.394854464928</v>
      </c>
      <c r="P232" s="625">
        <f t="shared" si="233"/>
        <v>8140.2832912663453</v>
      </c>
      <c r="Q232" s="625">
        <f t="shared" si="234"/>
        <v>3457.0018065724817</v>
      </c>
      <c r="R232" s="625">
        <f t="shared" si="235"/>
        <v>12357.518822007019</v>
      </c>
      <c r="S232" s="625">
        <f t="shared" si="236"/>
        <v>12542.881604337123</v>
      </c>
      <c r="T232" s="625">
        <f t="shared" si="237"/>
        <v>4450.1585450529619</v>
      </c>
      <c r="U232" s="627">
        <f t="shared" si="238"/>
        <v>5030.614007451175</v>
      </c>
      <c r="V232" s="452"/>
      <c r="W232" s="1153"/>
      <c r="X232" s="640">
        <f t="shared" si="239"/>
        <v>86299.212598425438</v>
      </c>
      <c r="Y232" s="645">
        <f t="shared" si="240"/>
        <v>5</v>
      </c>
      <c r="Z232" s="624">
        <f t="shared" si="247"/>
        <v>0</v>
      </c>
      <c r="AA232" s="625">
        <f t="shared" si="241"/>
        <v>-6077.1115631985831</v>
      </c>
      <c r="AB232" s="626">
        <f t="shared" si="242"/>
        <v>-10760.393047892447</v>
      </c>
      <c r="AC232" s="625">
        <f t="shared" si="243"/>
        <v>-1859.8760324579089</v>
      </c>
      <c r="AD232" s="626">
        <f t="shared" si="244"/>
        <v>-1674.5132501278058</v>
      </c>
      <c r="AE232" s="625">
        <f t="shared" si="245"/>
        <v>-9767.2363094119664</v>
      </c>
      <c r="AF232" s="627">
        <f t="shared" si="246"/>
        <v>-9186.7808470137534</v>
      </c>
      <c r="AG232" s="452"/>
      <c r="AH232" s="452"/>
      <c r="AI232" s="452"/>
      <c r="AJ232" s="452"/>
      <c r="AK232" s="452"/>
      <c r="AL232" s="452"/>
      <c r="AM232" s="452"/>
      <c r="AN232" s="452"/>
      <c r="AO232" s="452"/>
      <c r="AP232" s="452"/>
      <c r="AQ232" s="452"/>
      <c r="AR232" s="452"/>
      <c r="AS232" s="452"/>
      <c r="AT232" s="452"/>
      <c r="BU232" s="452"/>
      <c r="BV232" s="452"/>
      <c r="BW232" s="452"/>
      <c r="BX232" s="452"/>
      <c r="BY232" s="452"/>
    </row>
    <row r="233" spans="1:77">
      <c r="A233" s="1157"/>
      <c r="B233" s="640">
        <f t="shared" si="229"/>
        <v>76850.393700787565</v>
      </c>
      <c r="C233" s="742">
        <f t="shared" si="230"/>
        <v>6</v>
      </c>
      <c r="D233" s="624">
        <f>IF('TCO Calculation'!$K$3="Lookup Table",VLOOKUP($H$2+$C232,'Cost Projection'!$B$6:$Y$49,23,FALSE),$Q$2)*$B233/'TCO Calculation'!E$65*(VLOOKUP('TCO Calculation'!E$12, 'GHG FE &amp; Fuel '!$L$27:$N$35, 2, FALSE)+VLOOKUP('TCO Calculation'!E$12, 'GHG FE &amp; Fuel '!$L$27:$N$35, 3, FALSE)*(1-'TCO Calculation'!E$140))/1000000</f>
        <v>15583.405764347559</v>
      </c>
      <c r="E233" s="625">
        <f>IF('TCO Calculation'!$K$3="Lookup Table",VLOOKUP($H$2+$C232,'Cost Projection'!$B$6:$Y$49,23,FALSE),$Q$2)*$B233/'TCO Calculation'!F$65*(VLOOKUP('TCO Calculation'!F$12, 'GHG FE &amp; Fuel '!$L$27:$N$35, 2, FALSE)+VLOOKUP('TCO Calculation'!F$12, 'GHG FE &amp; Fuel '!$L$27:$N$35, 3, FALSE)*(1-'TCO Calculation'!F$140))/1000000</f>
        <v>8922.4037781228417</v>
      </c>
      <c r="F233" s="625">
        <f>IF('TCO Calculation'!$K$3="Lookup Table",VLOOKUP($H$2+$C232,'Cost Projection'!$B$6:$Y$49,23,FALSE),$Q$2)*$B233/'TCO Calculation'!G$65*(VLOOKUP('TCO Calculation'!G$12, 'GHG FE &amp; Fuel '!$L$27:$N$35, 2, FALSE)+VLOOKUP('TCO Calculation'!G$12, 'GHG FE &amp; Fuel '!$L$27:$N$35, 3, FALSE)*(1-'TCO Calculation'!G$140))/1000000</f>
        <v>3789.1514184810903</v>
      </c>
      <c r="G233" s="626">
        <f>IF('TCO Calculation'!$K$3="Lookup Table",VLOOKUP($H$2+$C232,'Cost Projection'!$B$6:$Y$49,23,FALSE),$Q$2)*$B233*'TCO Calculation'!H$65/'TCO Calculation'!H$67*IF('TCO Calculation'!$J$3="Lookup Table",'GHG Electricity'!$AX8,$Q$2)/1000000</f>
        <v>13425.955366083166</v>
      </c>
      <c r="H233" s="626">
        <f>IF('TCO Calculation'!$K$3="Lookup Table",VLOOKUP($H$2+$C232,'Cost Projection'!$B$6:$Y$49,23,FALSE),$Q$2)*$B233*'TCO Calculation'!I$65/'TCO Calculation'!I$67*IF('TCO Calculation'!$J$3="Lookup Table",'GHG Electricity'!$AX8,$Q$2)/1000000</f>
        <v>13627.344696574413</v>
      </c>
      <c r="I233" s="626">
        <f>IF('TCO Calculation'!$K$3="Lookup Table",VLOOKUP($H$2+$C232,'Cost Projection'!$B$6:$Y$49,23,FALSE),$Q$2)*$B233/$I$2*'TCO Calculation'!J$69*VLOOKUP('TCO Calculation'!J$12, 'H2 FCV'!$C$70:$D$74, 2, FALSE)/1000</f>
        <v>4877.730908729749</v>
      </c>
      <c r="J233" s="627">
        <f>IF('TCO Calculation'!$K$3="Lookup Table",VLOOKUP($H$2+$C232,'Cost Projection'!$B$6:$Y$49,23,FALSE),$Q$2)*$B233/$I$2*'TCO Calculation'!K$69*VLOOKUP('TCO Calculation'!K$12, 'H2 FCV'!$C$70:$D$74, 2, FALSE)/1000</f>
        <v>5513.9566794336297</v>
      </c>
      <c r="K233" s="452"/>
      <c r="L233" s="1157"/>
      <c r="M233" s="640">
        <f t="shared" si="231"/>
        <v>76850.393700787565</v>
      </c>
      <c r="N233" s="742">
        <f t="shared" si="231"/>
        <v>6</v>
      </c>
      <c r="O233" s="625">
        <f t="shared" si="232"/>
        <v>12020.112046198081</v>
      </c>
      <c r="P233" s="625">
        <f t="shared" si="233"/>
        <v>6882.2114213200603</v>
      </c>
      <c r="Q233" s="625">
        <f t="shared" si="234"/>
        <v>2922.7259624051767</v>
      </c>
      <c r="R233" s="625">
        <f t="shared" si="235"/>
        <v>10355.983170045543</v>
      </c>
      <c r="S233" s="625">
        <f t="shared" si="236"/>
        <v>10511.322917596226</v>
      </c>
      <c r="T233" s="625">
        <f t="shared" si="237"/>
        <v>3762.3914143513871</v>
      </c>
      <c r="U233" s="627">
        <f t="shared" si="238"/>
        <v>4253.1381205711332</v>
      </c>
      <c r="V233" s="452"/>
      <c r="W233" s="1153"/>
      <c r="X233" s="640">
        <f t="shared" si="239"/>
        <v>76850.393700787565</v>
      </c>
      <c r="Y233" s="645">
        <f t="shared" si="240"/>
        <v>6</v>
      </c>
      <c r="Z233" s="624">
        <f t="shared" si="247"/>
        <v>0</v>
      </c>
      <c r="AA233" s="625">
        <f t="shared" si="241"/>
        <v>-5137.9006248780206</v>
      </c>
      <c r="AB233" s="626">
        <f t="shared" si="242"/>
        <v>-9097.3860837929042</v>
      </c>
      <c r="AC233" s="625">
        <f t="shared" si="243"/>
        <v>-1664.1288761525375</v>
      </c>
      <c r="AD233" s="626">
        <f t="shared" si="244"/>
        <v>-1508.7891286018548</v>
      </c>
      <c r="AE233" s="625">
        <f t="shared" si="245"/>
        <v>-8257.7206318466942</v>
      </c>
      <c r="AF233" s="627">
        <f t="shared" si="246"/>
        <v>-7766.9739256269477</v>
      </c>
      <c r="AG233" s="452"/>
      <c r="AH233" s="452"/>
      <c r="AI233" s="452"/>
      <c r="AJ233" s="452"/>
      <c r="AK233" s="452"/>
      <c r="AL233" s="452"/>
      <c r="AM233" s="452"/>
      <c r="AN233" s="452"/>
      <c r="AO233" s="452"/>
      <c r="AP233" s="452"/>
      <c r="AQ233" s="452"/>
      <c r="AR233" s="452"/>
      <c r="AS233" s="452"/>
      <c r="AT233" s="452"/>
      <c r="BU233" s="452"/>
      <c r="BV233" s="452"/>
      <c r="BW233" s="452"/>
      <c r="BX233" s="452"/>
      <c r="BY233" s="452"/>
    </row>
    <row r="234" spans="1:77">
      <c r="A234" s="1157"/>
      <c r="B234" s="640">
        <f t="shared" si="229"/>
        <v>69291.338582677359</v>
      </c>
      <c r="C234" s="742">
        <f t="shared" si="230"/>
        <v>7</v>
      </c>
      <c r="D234" s="624">
        <f>IF('TCO Calculation'!$K$3="Lookup Table",VLOOKUP($H$2+$C233,'Cost Projection'!$B$6:$Y$49,23,FALSE),$Q$2)*$B234/'TCO Calculation'!E$65*(VLOOKUP('TCO Calculation'!E$12, 'GHG FE &amp; Fuel '!$L$27:$N$35, 2, FALSE)+VLOOKUP('TCO Calculation'!E$12, 'GHG FE &amp; Fuel '!$L$27:$N$35, 3, FALSE)*(1-'TCO Calculation'!E$140))/1000000</f>
        <v>14050.611754739613</v>
      </c>
      <c r="E234" s="625">
        <f>IF('TCO Calculation'!$K$3="Lookup Table",VLOOKUP($H$2+$C233,'Cost Projection'!$B$6:$Y$49,23,FALSE),$Q$2)*$B234/'TCO Calculation'!F$65*(VLOOKUP('TCO Calculation'!F$12, 'GHG FE &amp; Fuel '!$L$27:$N$35, 2, FALSE)+VLOOKUP('TCO Calculation'!F$12, 'GHG FE &amp; Fuel '!$L$27:$N$35, 3, FALSE)*(1-'TCO Calculation'!F$140))/1000000</f>
        <v>8044.7902917501078</v>
      </c>
      <c r="F234" s="625">
        <f>IF('TCO Calculation'!$K$3="Lookup Table",VLOOKUP($H$2+$C233,'Cost Projection'!$B$6:$Y$49,23,FALSE),$Q$2)*$B234/'TCO Calculation'!G$65*(VLOOKUP('TCO Calculation'!G$12, 'GHG FE &amp; Fuel '!$L$27:$N$35, 2, FALSE)+VLOOKUP('TCO Calculation'!G$12, 'GHG FE &amp; Fuel '!$L$27:$N$35, 3, FALSE)*(1-'TCO Calculation'!G$140))/1000000</f>
        <v>3416.4480002698378</v>
      </c>
      <c r="G234" s="626">
        <f>IF('TCO Calculation'!$K$3="Lookup Table",VLOOKUP($H$2+$C233,'Cost Projection'!$B$6:$Y$49,23,FALSE),$Q$2)*$B234*'TCO Calculation'!H$65/'TCO Calculation'!H$67*IF('TCO Calculation'!$J$3="Lookup Table",'GHG Electricity'!$AX9,$Q$2)/1000000</f>
        <v>11959.137222928784</v>
      </c>
      <c r="H234" s="626">
        <f>IF('TCO Calculation'!$K$3="Lookup Table",VLOOKUP($H$2+$C233,'Cost Projection'!$B$6:$Y$49,23,FALSE),$Q$2)*$B234*'TCO Calculation'!I$65/'TCO Calculation'!I$67*IF('TCO Calculation'!$J$3="Lookup Table",'GHG Electricity'!$AX9,$Q$2)/1000000</f>
        <v>12138.524281272717</v>
      </c>
      <c r="I234" s="626">
        <f>IF('TCO Calculation'!$K$3="Lookup Table",VLOOKUP($H$2+$C233,'Cost Projection'!$B$6:$Y$49,23,FALSE),$Q$2)*$B234/$I$2*'TCO Calculation'!J$69*VLOOKUP('TCO Calculation'!J$12, 'H2 FCV'!$C$70:$D$74, 2, FALSE)/1000</f>
        <v>4397.9540980350221</v>
      </c>
      <c r="J234" s="627">
        <f>IF('TCO Calculation'!$K$3="Lookup Table",VLOOKUP($H$2+$C233,'Cost Projection'!$B$6:$Y$49,23,FALSE),$Q$2)*$B234/$I$2*'TCO Calculation'!K$69*VLOOKUP('TCO Calculation'!K$12, 'H2 FCV'!$C$70:$D$74, 2, FALSE)/1000</f>
        <v>4971.6002847352429</v>
      </c>
      <c r="K234" s="452"/>
      <c r="L234" s="1157"/>
      <c r="M234" s="640">
        <f t="shared" si="231"/>
        <v>69291.338582677359</v>
      </c>
      <c r="N234" s="742">
        <f t="shared" si="231"/>
        <v>7</v>
      </c>
      <c r="O234" s="625">
        <f t="shared" si="232"/>
        <v>10289.412962562717</v>
      </c>
      <c r="P234" s="625">
        <f t="shared" si="233"/>
        <v>5891.2857997880301</v>
      </c>
      <c r="Q234" s="625">
        <f t="shared" si="234"/>
        <v>2501.9013373592006</v>
      </c>
      <c r="R234" s="625">
        <f t="shared" si="235"/>
        <v>8757.8038387660326</v>
      </c>
      <c r="S234" s="625">
        <f t="shared" si="236"/>
        <v>8889.1708963475248</v>
      </c>
      <c r="T234" s="625">
        <f t="shared" si="237"/>
        <v>3220.6687292325655</v>
      </c>
      <c r="U234" s="627">
        <f t="shared" si="238"/>
        <v>3640.7559547846399</v>
      </c>
      <c r="V234" s="452"/>
      <c r="W234" s="1153"/>
      <c r="X234" s="640">
        <f t="shared" si="239"/>
        <v>69291.338582677359</v>
      </c>
      <c r="Y234" s="645">
        <f t="shared" si="240"/>
        <v>7</v>
      </c>
      <c r="Z234" s="624">
        <f t="shared" si="247"/>
        <v>0</v>
      </c>
      <c r="AA234" s="625">
        <f t="shared" si="241"/>
        <v>-4398.1271627746873</v>
      </c>
      <c r="AB234" s="626">
        <f t="shared" si="242"/>
        <v>-7787.5116252035168</v>
      </c>
      <c r="AC234" s="625">
        <f t="shared" si="243"/>
        <v>-1531.6091237966848</v>
      </c>
      <c r="AD234" s="626">
        <f t="shared" si="244"/>
        <v>-1400.2420662151926</v>
      </c>
      <c r="AE234" s="625">
        <f t="shared" si="245"/>
        <v>-7068.7442333301515</v>
      </c>
      <c r="AF234" s="627">
        <f t="shared" si="246"/>
        <v>-6648.657007778078</v>
      </c>
      <c r="AG234" s="452"/>
      <c r="AH234" s="452"/>
      <c r="AI234" s="452"/>
      <c r="AJ234" s="452"/>
      <c r="AK234" s="452"/>
      <c r="AL234" s="452"/>
      <c r="AM234" s="452"/>
      <c r="AN234" s="452"/>
      <c r="AO234" s="452"/>
      <c r="AP234" s="452"/>
      <c r="AQ234" s="452"/>
      <c r="AR234" s="452"/>
      <c r="AS234" s="452"/>
      <c r="AT234" s="452"/>
      <c r="BU234" s="452"/>
      <c r="BV234" s="452"/>
      <c r="BW234" s="452"/>
      <c r="BX234" s="452"/>
      <c r="BY234" s="452"/>
    </row>
    <row r="235" spans="1:77">
      <c r="A235" s="1157"/>
      <c r="B235" s="640">
        <f t="shared" si="229"/>
        <v>62992.125984252147</v>
      </c>
      <c r="C235" s="742">
        <f t="shared" si="230"/>
        <v>8</v>
      </c>
      <c r="D235" s="624">
        <f>IF('TCO Calculation'!$K$3="Lookup Table",VLOOKUP($H$2+$C234,'Cost Projection'!$B$6:$Y$49,23,FALSE),$Q$2)*$B235/'TCO Calculation'!E$65*(VLOOKUP('TCO Calculation'!E$12, 'GHG FE &amp; Fuel '!$L$27:$N$35, 2, FALSE)+VLOOKUP('TCO Calculation'!E$12, 'GHG FE &amp; Fuel '!$L$27:$N$35, 3, FALSE)*(1-'TCO Calculation'!E$140))/1000000</f>
        <v>12773.283413399648</v>
      </c>
      <c r="E235" s="625">
        <f>IF('TCO Calculation'!$K$3="Lookup Table",VLOOKUP($H$2+$C234,'Cost Projection'!$B$6:$Y$49,23,FALSE),$Q$2)*$B235/'TCO Calculation'!F$65*(VLOOKUP('TCO Calculation'!F$12, 'GHG FE &amp; Fuel '!$L$27:$N$35, 2, FALSE)+VLOOKUP('TCO Calculation'!F$12, 'GHG FE &amp; Fuel '!$L$27:$N$35, 3, FALSE)*(1-'TCO Calculation'!F$140))/1000000</f>
        <v>7313.4457197728252</v>
      </c>
      <c r="F235" s="625">
        <f>IF('TCO Calculation'!$K$3="Lookup Table",VLOOKUP($H$2+$C234,'Cost Projection'!$B$6:$Y$49,23,FALSE),$Q$2)*$B235/'TCO Calculation'!G$65*(VLOOKUP('TCO Calculation'!G$12, 'GHG FE &amp; Fuel '!$L$27:$N$35, 2, FALSE)+VLOOKUP('TCO Calculation'!G$12, 'GHG FE &amp; Fuel '!$L$27:$N$35, 3, FALSE)*(1-'TCO Calculation'!G$140))/1000000</f>
        <v>3105.8618184271254</v>
      </c>
      <c r="G235" s="626">
        <f>IF('TCO Calculation'!$K$3="Lookup Table",VLOOKUP($H$2+$C234,'Cost Projection'!$B$6:$Y$49,23,FALSE),$Q$2)*$B235*'TCO Calculation'!H$65/'TCO Calculation'!H$67*IF('TCO Calculation'!$J$3="Lookup Table",'GHG Electricity'!$AX10,$Q$2)/1000000</f>
        <v>10739.004412261358</v>
      </c>
      <c r="H235" s="626">
        <f>IF('TCO Calculation'!$K$3="Lookup Table",VLOOKUP($H$2+$C234,'Cost Projection'!$B$6:$Y$49,23,FALSE),$Q$2)*$B235*'TCO Calculation'!I$65/'TCO Calculation'!I$67*IF('TCO Calculation'!$J$3="Lookup Table",'GHG Electricity'!$AX10,$Q$2)/1000000</f>
        <v>10900.089478445276</v>
      </c>
      <c r="I235" s="626">
        <f>IF('TCO Calculation'!$K$3="Lookup Table",VLOOKUP($H$2+$C234,'Cost Projection'!$B$6:$Y$49,23,FALSE),$Q$2)*$B235/$I$2*'TCO Calculation'!J$69*VLOOKUP('TCO Calculation'!J$12, 'H2 FCV'!$C$70:$D$74, 2, FALSE)/1000</f>
        <v>3998.1400891227472</v>
      </c>
      <c r="J235" s="627">
        <f>IF('TCO Calculation'!$K$3="Lookup Table",VLOOKUP($H$2+$C234,'Cost Projection'!$B$6:$Y$49,23,FALSE),$Q$2)*$B235/$I$2*'TCO Calculation'!K$69*VLOOKUP('TCO Calculation'!K$12, 'H2 FCV'!$C$70:$D$74, 2, FALSE)/1000</f>
        <v>4519.6366224865851</v>
      </c>
      <c r="K235" s="452"/>
      <c r="L235" s="1157"/>
      <c r="M235" s="640">
        <f t="shared" si="231"/>
        <v>62992.125984252147</v>
      </c>
      <c r="N235" s="742">
        <f t="shared" si="231"/>
        <v>8</v>
      </c>
      <c r="O235" s="625">
        <f t="shared" si="232"/>
        <v>8880.6987878700402</v>
      </c>
      <c r="P235" s="625">
        <f t="shared" si="233"/>
        <v>5084.7152166534142</v>
      </c>
      <c r="Q235" s="625">
        <f t="shared" si="234"/>
        <v>2159.368299717114</v>
      </c>
      <c r="R235" s="625">
        <f t="shared" si="235"/>
        <v>7466.3546075282356</v>
      </c>
      <c r="S235" s="625">
        <f t="shared" si="236"/>
        <v>7578.3499266411573</v>
      </c>
      <c r="T235" s="625">
        <f t="shared" si="237"/>
        <v>2779.7299013939978</v>
      </c>
      <c r="U235" s="627">
        <f t="shared" si="238"/>
        <v>3142.3033667932159</v>
      </c>
      <c r="V235" s="452"/>
      <c r="W235" s="1153"/>
      <c r="X235" s="640">
        <f t="shared" si="239"/>
        <v>62992.125984252147</v>
      </c>
      <c r="Y235" s="645">
        <f t="shared" si="240"/>
        <v>8</v>
      </c>
      <c r="Z235" s="624">
        <f t="shared" si="247"/>
        <v>0</v>
      </c>
      <c r="AA235" s="625">
        <f t="shared" si="241"/>
        <v>-3795.9835712166259</v>
      </c>
      <c r="AB235" s="626">
        <f t="shared" si="242"/>
        <v>-6721.3304881529257</v>
      </c>
      <c r="AC235" s="625">
        <f t="shared" si="243"/>
        <v>-1414.3441803418045</v>
      </c>
      <c r="AD235" s="626">
        <f t="shared" si="244"/>
        <v>-1302.3488612288829</v>
      </c>
      <c r="AE235" s="625">
        <f t="shared" si="245"/>
        <v>-6100.9688864760428</v>
      </c>
      <c r="AF235" s="627">
        <f t="shared" si="246"/>
        <v>-5738.3954210768243</v>
      </c>
      <c r="AG235" s="452"/>
      <c r="AH235" s="452"/>
      <c r="AI235" s="452"/>
      <c r="AJ235" s="452"/>
      <c r="AK235" s="452"/>
      <c r="AL235" s="452"/>
      <c r="AM235" s="452"/>
      <c r="AN235" s="452"/>
      <c r="AO235" s="452"/>
      <c r="AP235" s="452"/>
      <c r="AQ235" s="452"/>
      <c r="AR235" s="452"/>
      <c r="AS235" s="452"/>
      <c r="AT235" s="452"/>
      <c r="BU235" s="452"/>
      <c r="BV235" s="452"/>
      <c r="BW235" s="452"/>
      <c r="BX235" s="452"/>
      <c r="BY235" s="452"/>
    </row>
    <row r="236" spans="1:77">
      <c r="A236" s="1157"/>
      <c r="B236" s="640">
        <f t="shared" si="229"/>
        <v>56062.992125984332</v>
      </c>
      <c r="C236" s="742">
        <f t="shared" si="230"/>
        <v>9</v>
      </c>
      <c r="D236" s="624">
        <f>IF('TCO Calculation'!$K$3="Lookup Table",VLOOKUP($H$2+$C235,'Cost Projection'!$B$6:$Y$49,23,FALSE),$Q$2)*$B236/'TCO Calculation'!E$65*(VLOOKUP('TCO Calculation'!E$12, 'GHG FE &amp; Fuel '!$L$27:$N$35, 2, FALSE)+VLOOKUP('TCO Calculation'!E$12, 'GHG FE &amp; Fuel '!$L$27:$N$35, 3, FALSE)*(1-'TCO Calculation'!E$140))/1000000</f>
        <v>11368.222237925671</v>
      </c>
      <c r="E236" s="625">
        <f>IF('TCO Calculation'!$K$3="Lookup Table",VLOOKUP($H$2+$C235,'Cost Projection'!$B$6:$Y$49,23,FALSE),$Q$2)*$B236/'TCO Calculation'!F$65*(VLOOKUP('TCO Calculation'!F$12, 'GHG FE &amp; Fuel '!$L$27:$N$35, 2, FALSE)+VLOOKUP('TCO Calculation'!F$12, 'GHG FE &amp; Fuel '!$L$27:$N$35, 3, FALSE)*(1-'TCO Calculation'!F$140))/1000000</f>
        <v>6508.9666905978056</v>
      </c>
      <c r="F236" s="625">
        <f>IF('TCO Calculation'!$K$3="Lookup Table",VLOOKUP($H$2+$C235,'Cost Projection'!$B$6:$Y$49,23,FALSE),$Q$2)*$B236/'TCO Calculation'!G$65*(VLOOKUP('TCO Calculation'!G$12, 'GHG FE &amp; Fuel '!$L$27:$N$35, 2, FALSE)+VLOOKUP('TCO Calculation'!G$12, 'GHG FE &amp; Fuel '!$L$27:$N$35, 3, FALSE)*(1-'TCO Calculation'!G$140))/1000000</f>
        <v>2764.2170184001379</v>
      </c>
      <c r="G236" s="626">
        <f>IF('TCO Calculation'!$K$3="Lookup Table",VLOOKUP($H$2+$C235,'Cost Projection'!$B$6:$Y$49,23,FALSE),$Q$2)*$B236*'TCO Calculation'!H$65/'TCO Calculation'!H$67*IF('TCO Calculation'!$J$3="Lookup Table",'GHG Electricity'!$AX11,$Q$2)/1000000</f>
        <v>9439.3986461828226</v>
      </c>
      <c r="H236" s="626">
        <f>IF('TCO Calculation'!$K$3="Lookup Table",VLOOKUP($H$2+$C235,'Cost Projection'!$B$6:$Y$49,23,FALSE),$Q$2)*$B236*'TCO Calculation'!I$65/'TCO Calculation'!I$67*IF('TCO Calculation'!$J$3="Lookup Table",'GHG Electricity'!$AX11,$Q$2)/1000000</f>
        <v>9580.9896258755634</v>
      </c>
      <c r="I236" s="626">
        <f>IF('TCO Calculation'!$K$3="Lookup Table",VLOOKUP($H$2+$C235,'Cost Projection'!$B$6:$Y$49,23,FALSE),$Q$2)*$B236/$I$2*'TCO Calculation'!J$69*VLOOKUP('TCO Calculation'!J$12, 'H2 FCV'!$C$70:$D$74, 2, FALSE)/1000</f>
        <v>3558.3446793192402</v>
      </c>
      <c r="J236" s="627">
        <f>IF('TCO Calculation'!$K$3="Lookup Table",VLOOKUP($H$2+$C235,'Cost Projection'!$B$6:$Y$49,23,FALSE),$Q$2)*$B236/$I$2*'TCO Calculation'!K$69*VLOOKUP('TCO Calculation'!K$12, 'H2 FCV'!$C$70:$D$74, 2, FALSE)/1000</f>
        <v>4022.4765940130555</v>
      </c>
      <c r="K236" s="452"/>
      <c r="L236" s="1157"/>
      <c r="M236" s="640">
        <f t="shared" si="231"/>
        <v>56062.992125984332</v>
      </c>
      <c r="N236" s="742">
        <f t="shared" si="231"/>
        <v>9</v>
      </c>
      <c r="O236" s="625">
        <f t="shared" si="232"/>
        <v>7503.8885319913861</v>
      </c>
      <c r="P236" s="625">
        <f t="shared" si="233"/>
        <v>4296.4114777547638</v>
      </c>
      <c r="Q236" s="625">
        <f t="shared" si="234"/>
        <v>1824.5927947387686</v>
      </c>
      <c r="R236" s="625">
        <f t="shared" si="235"/>
        <v>6230.7187322290474</v>
      </c>
      <c r="S236" s="625">
        <f t="shared" si="236"/>
        <v>6324.1795132124826</v>
      </c>
      <c r="T236" s="625">
        <f t="shared" si="237"/>
        <v>2348.7772558612778</v>
      </c>
      <c r="U236" s="627">
        <f t="shared" si="238"/>
        <v>2655.1395066257933</v>
      </c>
      <c r="V236" s="452"/>
      <c r="W236" s="1153"/>
      <c r="X236" s="640">
        <f t="shared" si="239"/>
        <v>56062.992125984332</v>
      </c>
      <c r="Y236" s="645">
        <f t="shared" si="240"/>
        <v>9</v>
      </c>
      <c r="Z236" s="624">
        <f t="shared" si="247"/>
        <v>0</v>
      </c>
      <c r="AA236" s="625">
        <f t="shared" si="241"/>
        <v>-3207.4770542366223</v>
      </c>
      <c r="AB236" s="626">
        <f t="shared" si="242"/>
        <v>-5679.295737252618</v>
      </c>
      <c r="AC236" s="625">
        <f t="shared" si="243"/>
        <v>-1273.1697997623387</v>
      </c>
      <c r="AD236" s="626">
        <f t="shared" si="244"/>
        <v>-1179.7090187789036</v>
      </c>
      <c r="AE236" s="625">
        <f t="shared" si="245"/>
        <v>-5155.1112761301083</v>
      </c>
      <c r="AF236" s="627">
        <f t="shared" si="246"/>
        <v>-4848.7490253655924</v>
      </c>
      <c r="AG236" s="452"/>
      <c r="AH236" s="452"/>
      <c r="AI236" s="452"/>
      <c r="AJ236" s="452"/>
      <c r="AK236" s="452"/>
      <c r="AL236" s="452"/>
      <c r="AM236" s="452"/>
      <c r="AN236" s="452"/>
      <c r="AO236" s="452"/>
      <c r="AP236" s="452"/>
      <c r="AQ236" s="452"/>
      <c r="AR236" s="452"/>
      <c r="AS236" s="452"/>
      <c r="AT236" s="452"/>
      <c r="BU236" s="452"/>
      <c r="BV236" s="452"/>
      <c r="BW236" s="452"/>
      <c r="BX236" s="452"/>
      <c r="BY236" s="452"/>
    </row>
    <row r="237" spans="1:77">
      <c r="A237" s="1157"/>
      <c r="B237" s="640">
        <f t="shared" si="229"/>
        <v>49763.779527559134</v>
      </c>
      <c r="C237" s="742">
        <f t="shared" si="230"/>
        <v>10</v>
      </c>
      <c r="D237" s="624">
        <f>IF('TCO Calculation'!$K$3="Lookup Table",VLOOKUP($H$2+$C236,'Cost Projection'!$B$6:$Y$49,23,FALSE),$Q$2)*$B237/'TCO Calculation'!E$65*(VLOOKUP('TCO Calculation'!E$12, 'GHG FE &amp; Fuel '!$L$27:$N$35, 2, FALSE)+VLOOKUP('TCO Calculation'!E$12, 'GHG FE &amp; Fuel '!$L$27:$N$35, 3, FALSE)*(1-'TCO Calculation'!E$140))/1000000</f>
        <v>10090.893896585709</v>
      </c>
      <c r="E237" s="625">
        <f>IF('TCO Calculation'!$K$3="Lookup Table",VLOOKUP($H$2+$C236,'Cost Projection'!$B$6:$Y$49,23,FALSE),$Q$2)*$B237/'TCO Calculation'!F$65*(VLOOKUP('TCO Calculation'!F$12, 'GHG FE &amp; Fuel '!$L$27:$N$35, 2, FALSE)+VLOOKUP('TCO Calculation'!F$12, 'GHG FE &amp; Fuel '!$L$27:$N$35, 3, FALSE)*(1-'TCO Calculation'!F$140))/1000000</f>
        <v>5777.6221186205248</v>
      </c>
      <c r="F237" s="625">
        <f>IF('TCO Calculation'!$K$3="Lookup Table",VLOOKUP($H$2+$C236,'Cost Projection'!$B$6:$Y$49,23,FALSE),$Q$2)*$B237/'TCO Calculation'!G$65*(VLOOKUP('TCO Calculation'!G$12, 'GHG FE &amp; Fuel '!$L$27:$N$35, 2, FALSE)+VLOOKUP('TCO Calculation'!G$12, 'GHG FE &amp; Fuel '!$L$27:$N$35, 3, FALSE)*(1-'TCO Calculation'!G$140))/1000000</f>
        <v>2453.6308365574259</v>
      </c>
      <c r="G237" s="626">
        <f>IF('TCO Calculation'!$K$3="Lookup Table",VLOOKUP($H$2+$C236,'Cost Projection'!$B$6:$Y$49,23,FALSE),$Q$2)*$B237*'TCO Calculation'!H$65/'TCO Calculation'!H$67*IF('TCO Calculation'!$J$3="Lookup Table",'GHG Electricity'!$AX12,$Q$2)/1000000</f>
        <v>8273.7706277616962</v>
      </c>
      <c r="H237" s="626">
        <f>IF('TCO Calculation'!$K$3="Lookup Table",VLOOKUP($H$2+$C236,'Cost Projection'!$B$6:$Y$49,23,FALSE),$Q$2)*$B237*'TCO Calculation'!I$65/'TCO Calculation'!I$67*IF('TCO Calculation'!$J$3="Lookup Table",'GHG Electricity'!$AX12,$Q$2)/1000000</f>
        <v>8397.8771871781209</v>
      </c>
      <c r="I237" s="626">
        <f>IF('TCO Calculation'!$K$3="Lookup Table",VLOOKUP($H$2+$C236,'Cost Projection'!$B$6:$Y$49,23,FALSE),$Q$2)*$B237/$I$2*'TCO Calculation'!J$69*VLOOKUP('TCO Calculation'!J$12, 'H2 FCV'!$C$70:$D$74, 2, FALSE)/1000</f>
        <v>3158.5306704069667</v>
      </c>
      <c r="J237" s="627">
        <f>IF('TCO Calculation'!$K$3="Lookup Table",VLOOKUP($H$2+$C236,'Cost Projection'!$B$6:$Y$49,23,FALSE),$Q$2)*$B237/$I$2*'TCO Calculation'!K$69*VLOOKUP('TCO Calculation'!K$12, 'H2 FCV'!$C$70:$D$74, 2, FALSE)/1000</f>
        <v>3570.5129317643973</v>
      </c>
      <c r="K237" s="452"/>
      <c r="L237" s="1157"/>
      <c r="M237" s="640">
        <f t="shared" si="231"/>
        <v>49763.779527559134</v>
      </c>
      <c r="N237" s="742">
        <f t="shared" si="231"/>
        <v>10</v>
      </c>
      <c r="O237" s="625">
        <f t="shared" si="232"/>
        <v>6323.7207866240142</v>
      </c>
      <c r="P237" s="625">
        <f t="shared" si="233"/>
        <v>3620.6969831623542</v>
      </c>
      <c r="Q237" s="625">
        <f t="shared" si="234"/>
        <v>1537.6315005244267</v>
      </c>
      <c r="R237" s="625">
        <f t="shared" si="235"/>
        <v>5184.9732876726475</v>
      </c>
      <c r="S237" s="625">
        <f t="shared" si="236"/>
        <v>5262.7478869877368</v>
      </c>
      <c r="T237" s="625">
        <f t="shared" si="237"/>
        <v>1979.3752922523722</v>
      </c>
      <c r="U237" s="627">
        <f t="shared" si="238"/>
        <v>2237.5546781983339</v>
      </c>
      <c r="V237" s="452"/>
      <c r="W237" s="1153"/>
      <c r="X237" s="640">
        <f t="shared" si="239"/>
        <v>49763.779527559134</v>
      </c>
      <c r="Y237" s="645">
        <f t="shared" si="240"/>
        <v>10</v>
      </c>
      <c r="Z237" s="624">
        <f t="shared" si="247"/>
        <v>0</v>
      </c>
      <c r="AA237" s="625">
        <f t="shared" si="241"/>
        <v>-2703.02380346166</v>
      </c>
      <c r="AB237" s="626">
        <f t="shared" si="242"/>
        <v>-4786.0892860995873</v>
      </c>
      <c r="AC237" s="625">
        <f t="shared" si="243"/>
        <v>-1138.7474989513667</v>
      </c>
      <c r="AD237" s="626">
        <f t="shared" si="244"/>
        <v>-1060.9728996362774</v>
      </c>
      <c r="AE237" s="625">
        <f t="shared" si="245"/>
        <v>-4344.3454943716424</v>
      </c>
      <c r="AF237" s="627">
        <f t="shared" si="246"/>
        <v>-4086.1661084256802</v>
      </c>
      <c r="AG237" s="452"/>
      <c r="AH237" s="452"/>
      <c r="AI237" s="452"/>
      <c r="AJ237" s="452"/>
      <c r="AK237" s="452"/>
      <c r="AL237" s="452"/>
      <c r="AM237" s="452"/>
      <c r="AN237" s="452"/>
      <c r="AO237" s="452"/>
      <c r="AP237" s="452"/>
      <c r="AQ237" s="452"/>
      <c r="AR237" s="452"/>
      <c r="AS237" s="452"/>
      <c r="AT237" s="452"/>
      <c r="BU237" s="452"/>
      <c r="BV237" s="452"/>
      <c r="BW237" s="452"/>
      <c r="BX237" s="452"/>
      <c r="BY237" s="452"/>
    </row>
    <row r="238" spans="1:77">
      <c r="A238" s="1157"/>
      <c r="B238" s="640">
        <f t="shared" si="229"/>
        <v>44724.409448818951</v>
      </c>
      <c r="C238" s="742">
        <f t="shared" si="230"/>
        <v>11</v>
      </c>
      <c r="D238" s="624">
        <f>IF('TCO Calculation'!$K$3="Lookup Table",VLOOKUP($H$2+$C237,'Cost Projection'!$B$6:$Y$49,23,FALSE),$Q$2)*$B238/'TCO Calculation'!E$65*(VLOOKUP('TCO Calculation'!E$12, 'GHG FE &amp; Fuel '!$L$27:$N$35, 2, FALSE)+VLOOKUP('TCO Calculation'!E$12, 'GHG FE &amp; Fuel '!$L$27:$N$35, 3, FALSE)*(1-'TCO Calculation'!E$140))/1000000</f>
        <v>9069.0312235137353</v>
      </c>
      <c r="E238" s="625">
        <f>IF('TCO Calculation'!$K$3="Lookup Table",VLOOKUP($H$2+$C237,'Cost Projection'!$B$6:$Y$49,23,FALSE),$Q$2)*$B238/'TCO Calculation'!F$65*(VLOOKUP('TCO Calculation'!F$12, 'GHG FE &amp; Fuel '!$L$27:$N$35, 2, FALSE)+VLOOKUP('TCO Calculation'!F$12, 'GHG FE &amp; Fuel '!$L$27:$N$35, 3, FALSE)*(1-'TCO Calculation'!F$140))/1000000</f>
        <v>5192.5464610386971</v>
      </c>
      <c r="F238" s="625">
        <f>IF('TCO Calculation'!$K$3="Lookup Table",VLOOKUP($H$2+$C237,'Cost Projection'!$B$6:$Y$49,23,FALSE),$Q$2)*$B238/'TCO Calculation'!G$65*(VLOOKUP('TCO Calculation'!G$12, 'GHG FE &amp; Fuel '!$L$27:$N$35, 2, FALSE)+VLOOKUP('TCO Calculation'!G$12, 'GHG FE &amp; Fuel '!$L$27:$N$35, 3, FALSE)*(1-'TCO Calculation'!G$140))/1000000</f>
        <v>2205.1618910832558</v>
      </c>
      <c r="G238" s="626">
        <f>IF('TCO Calculation'!$K$3="Lookup Table",VLOOKUP($H$2+$C237,'Cost Projection'!$B$6:$Y$49,23,FALSE),$Q$2)*$B238*'TCO Calculation'!H$65/'TCO Calculation'!H$67*IF('TCO Calculation'!$J$3="Lookup Table",'GHG Electricity'!$AX13,$Q$2)/1000000</f>
        <v>7341.5340900601404</v>
      </c>
      <c r="H238" s="626">
        <f>IF('TCO Calculation'!$K$3="Lookup Table",VLOOKUP($H$2+$C237,'Cost Projection'!$B$6:$Y$49,23,FALSE),$Q$2)*$B238*'TCO Calculation'!I$65/'TCO Calculation'!I$67*IF('TCO Calculation'!$J$3="Lookup Table",'GHG Electricity'!$AX13,$Q$2)/1000000</f>
        <v>7451.6571014110414</v>
      </c>
      <c r="I238" s="626">
        <f>IF('TCO Calculation'!$K$3="Lookup Table",VLOOKUP($H$2+$C237,'Cost Projection'!$B$6:$Y$49,23,FALSE),$Q$2)*$B238/$I$2*'TCO Calculation'!J$69*VLOOKUP('TCO Calculation'!J$12, 'H2 FCV'!$C$70:$D$74, 2, FALSE)/1000</f>
        <v>2838.6794632771462</v>
      </c>
      <c r="J238" s="627">
        <f>IF('TCO Calculation'!$K$3="Lookup Table",VLOOKUP($H$2+$C237,'Cost Projection'!$B$6:$Y$49,23,FALSE),$Q$2)*$B238/$I$2*'TCO Calculation'!K$69*VLOOKUP('TCO Calculation'!K$12, 'H2 FCV'!$C$70:$D$74, 2, FALSE)/1000</f>
        <v>3208.9420019654699</v>
      </c>
      <c r="K238" s="452"/>
      <c r="L238" s="1157"/>
      <c r="M238" s="640">
        <f t="shared" si="231"/>
        <v>44724.409448818951</v>
      </c>
      <c r="N238" s="742">
        <f t="shared" si="231"/>
        <v>11</v>
      </c>
      <c r="O238" s="625">
        <f t="shared" si="232"/>
        <v>5395.7667918010056</v>
      </c>
      <c r="P238" s="625">
        <f t="shared" si="233"/>
        <v>3089.3894914280754</v>
      </c>
      <c r="Q238" s="625">
        <f t="shared" si="234"/>
        <v>1311.9967292208889</v>
      </c>
      <c r="R238" s="625">
        <f t="shared" si="235"/>
        <v>4367.9644349789378</v>
      </c>
      <c r="S238" s="625">
        <f t="shared" si="236"/>
        <v>4433.4839015036214</v>
      </c>
      <c r="T238" s="625">
        <f t="shared" si="237"/>
        <v>1688.9182541135763</v>
      </c>
      <c r="U238" s="627">
        <f t="shared" si="238"/>
        <v>1909.2119394327385</v>
      </c>
      <c r="V238" s="452"/>
      <c r="W238" s="1153"/>
      <c r="X238" s="640">
        <f t="shared" si="239"/>
        <v>44724.409448818951</v>
      </c>
      <c r="Y238" s="645">
        <f t="shared" si="240"/>
        <v>11</v>
      </c>
      <c r="Z238" s="624">
        <f t="shared" si="247"/>
        <v>0</v>
      </c>
      <c r="AA238" s="625">
        <f t="shared" si="241"/>
        <v>-2306.3773003729302</v>
      </c>
      <c r="AB238" s="626">
        <f t="shared" si="242"/>
        <v>-4083.7700625801167</v>
      </c>
      <c r="AC238" s="625">
        <f t="shared" si="243"/>
        <v>-1027.8023568220678</v>
      </c>
      <c r="AD238" s="626">
        <f t="shared" si="244"/>
        <v>-962.28289029738426</v>
      </c>
      <c r="AE238" s="625">
        <f t="shared" si="245"/>
        <v>-3706.8485376874296</v>
      </c>
      <c r="AF238" s="627">
        <f t="shared" si="246"/>
        <v>-3486.5548523682673</v>
      </c>
      <c r="AG238" s="452"/>
      <c r="AH238" s="452"/>
      <c r="AI238" s="452"/>
      <c r="AJ238" s="452"/>
      <c r="AK238" s="452"/>
      <c r="AL238" s="452"/>
      <c r="AM238" s="452"/>
      <c r="AN238" s="452"/>
      <c r="AO238" s="452"/>
      <c r="AP238" s="452"/>
      <c r="AQ238" s="452"/>
      <c r="AR238" s="452"/>
      <c r="AS238" s="452"/>
      <c r="AT238" s="452"/>
      <c r="BU238" s="452"/>
      <c r="BV238" s="452"/>
      <c r="BW238" s="452"/>
      <c r="BX238" s="452"/>
      <c r="BY238" s="452"/>
    </row>
    <row r="239" spans="1:77">
      <c r="A239" s="1157"/>
      <c r="B239" s="640">
        <f t="shared" si="229"/>
        <v>39685.039370078855</v>
      </c>
      <c r="C239" s="742">
        <f t="shared" si="230"/>
        <v>12</v>
      </c>
      <c r="D239" s="624">
        <f>IF('TCO Calculation'!$K$3="Lookup Table",VLOOKUP($H$2+$C238,'Cost Projection'!$B$6:$Y$49,23,FALSE),$Q$2)*$B239/'TCO Calculation'!E$65*(VLOOKUP('TCO Calculation'!E$12, 'GHG FE &amp; Fuel '!$L$27:$N$35, 2, FALSE)+VLOOKUP('TCO Calculation'!E$12, 'GHG FE &amp; Fuel '!$L$27:$N$35, 3, FALSE)*(1-'TCO Calculation'!E$140))/1000000</f>
        <v>8047.1685504417783</v>
      </c>
      <c r="E239" s="625">
        <f>IF('TCO Calculation'!$K$3="Lookup Table",VLOOKUP($H$2+$C238,'Cost Projection'!$B$6:$Y$49,23,FALSE),$Q$2)*$B239/'TCO Calculation'!F$65*(VLOOKUP('TCO Calculation'!F$12, 'GHG FE &amp; Fuel '!$L$27:$N$35, 2, FALSE)+VLOOKUP('TCO Calculation'!F$12, 'GHG FE &amp; Fuel '!$L$27:$N$35, 3, FALSE)*(1-'TCO Calculation'!F$140))/1000000</f>
        <v>4607.4708034568803</v>
      </c>
      <c r="F239" s="625">
        <f>IF('TCO Calculation'!$K$3="Lookup Table",VLOOKUP($H$2+$C238,'Cost Projection'!$B$6:$Y$49,23,FALSE),$Q$2)*$B239/'TCO Calculation'!G$65*(VLOOKUP('TCO Calculation'!G$12, 'GHG FE &amp; Fuel '!$L$27:$N$35, 2, FALSE)+VLOOKUP('TCO Calculation'!G$12, 'GHG FE &amp; Fuel '!$L$27:$N$35, 3, FALSE)*(1-'TCO Calculation'!G$140))/1000000</f>
        <v>1956.6929456090893</v>
      </c>
      <c r="G239" s="626">
        <f>IF('TCO Calculation'!$K$3="Lookup Table",VLOOKUP($H$2+$C238,'Cost Projection'!$B$6:$Y$49,23,FALSE),$Q$2)*$B239*'TCO Calculation'!H$65/'TCO Calculation'!H$67*IF('TCO Calculation'!$J$3="Lookup Table",'GHG Electricity'!$AX14,$Q$2)/1000000</f>
        <v>6486.4776170816003</v>
      </c>
      <c r="H239" s="626">
        <f>IF('TCO Calculation'!$K$3="Lookup Table",VLOOKUP($H$2+$C238,'Cost Projection'!$B$6:$Y$49,23,FALSE),$Q$2)*$B239*'TCO Calculation'!I$65/'TCO Calculation'!I$67*IF('TCO Calculation'!$J$3="Lookup Table",'GHG Electricity'!$AX14,$Q$2)/1000000</f>
        <v>6583.7747813378246</v>
      </c>
      <c r="I239" s="626">
        <f>IF('TCO Calculation'!$K$3="Lookup Table",VLOOKUP($H$2+$C238,'Cost Projection'!$B$6:$Y$49,23,FALSE),$Q$2)*$B239/$I$2*'TCO Calculation'!J$69*VLOOKUP('TCO Calculation'!J$12, 'H2 FCV'!$C$70:$D$74, 2, FALSE)/1000</f>
        <v>2518.8282561473311</v>
      </c>
      <c r="J239" s="627">
        <f>IF('TCO Calculation'!$K$3="Lookup Table",VLOOKUP($H$2+$C238,'Cost Projection'!$B$6:$Y$49,23,FALSE),$Q$2)*$B239/$I$2*'TCO Calculation'!K$69*VLOOKUP('TCO Calculation'!K$12, 'H2 FCV'!$C$70:$D$74, 2, FALSE)/1000</f>
        <v>2847.3710721665489</v>
      </c>
      <c r="K239" s="452"/>
      <c r="L239" s="1157"/>
      <c r="M239" s="640">
        <f t="shared" si="231"/>
        <v>39685.039370078855</v>
      </c>
      <c r="N239" s="742">
        <f t="shared" si="231"/>
        <v>12</v>
      </c>
      <c r="O239" s="625">
        <f t="shared" si="232"/>
        <v>4545.530739500854</v>
      </c>
      <c r="P239" s="625">
        <f t="shared" si="233"/>
        <v>2602.5800301295021</v>
      </c>
      <c r="Q239" s="625">
        <f t="shared" si="234"/>
        <v>1105.2593065845883</v>
      </c>
      <c r="R239" s="625">
        <f t="shared" si="235"/>
        <v>3663.9574795422927</v>
      </c>
      <c r="S239" s="625">
        <f t="shared" si="236"/>
        <v>3718.9168417354272</v>
      </c>
      <c r="T239" s="625">
        <f t="shared" si="237"/>
        <v>1422.7875549111577</v>
      </c>
      <c r="U239" s="627">
        <f t="shared" si="238"/>
        <v>1608.3685403343527</v>
      </c>
      <c r="V239" s="452"/>
      <c r="W239" s="1153"/>
      <c r="X239" s="640">
        <f t="shared" si="239"/>
        <v>39685.039370078855</v>
      </c>
      <c r="Y239" s="645">
        <f t="shared" si="240"/>
        <v>12</v>
      </c>
      <c r="Z239" s="624">
        <f t="shared" si="247"/>
        <v>0</v>
      </c>
      <c r="AA239" s="625">
        <f t="shared" si="241"/>
        <v>-1942.9507093713519</v>
      </c>
      <c r="AB239" s="626">
        <f t="shared" si="242"/>
        <v>-3440.2714329162654</v>
      </c>
      <c r="AC239" s="625">
        <f t="shared" si="243"/>
        <v>-881.57325995856127</v>
      </c>
      <c r="AD239" s="626">
        <f t="shared" si="244"/>
        <v>-826.61389776542683</v>
      </c>
      <c r="AE239" s="625">
        <f t="shared" si="245"/>
        <v>-3122.7431845896963</v>
      </c>
      <c r="AF239" s="627">
        <f t="shared" si="246"/>
        <v>-2937.1621991665015</v>
      </c>
      <c r="AG239" s="452"/>
      <c r="AH239" s="452"/>
      <c r="AI239" s="452"/>
      <c r="AJ239" s="452"/>
      <c r="AK239" s="452"/>
      <c r="AL239" s="452"/>
      <c r="AM239" s="452"/>
      <c r="AN239" s="452"/>
      <c r="AO239" s="452"/>
      <c r="AP239" s="452"/>
      <c r="AQ239" s="452"/>
      <c r="AR239" s="452"/>
      <c r="AS239" s="452"/>
      <c r="AT239" s="452"/>
      <c r="BU239" s="452"/>
      <c r="BV239" s="452"/>
      <c r="BW239" s="452"/>
      <c r="BX239" s="452"/>
      <c r="BY239" s="452"/>
    </row>
    <row r="240" spans="1:77">
      <c r="A240" s="1157"/>
      <c r="B240" s="640">
        <f t="shared" si="229"/>
        <v>34960.629921259933</v>
      </c>
      <c r="C240" s="742">
        <f t="shared" si="230"/>
        <v>13</v>
      </c>
      <c r="D240" s="624">
        <f>IF('TCO Calculation'!$K$3="Lookup Table",VLOOKUP($H$2+$C239,'Cost Projection'!$B$6:$Y$49,23,FALSE),$Q$2)*$B240/'TCO Calculation'!E$65*(VLOOKUP('TCO Calculation'!E$12, 'GHG FE &amp; Fuel '!$L$27:$N$35, 2, FALSE)+VLOOKUP('TCO Calculation'!E$12, 'GHG FE &amp; Fuel '!$L$27:$N$35, 3, FALSE)*(1-'TCO Calculation'!E$140))/1000000</f>
        <v>7089.172294436803</v>
      </c>
      <c r="E240" s="625">
        <f>IF('TCO Calculation'!$K$3="Lookup Table",VLOOKUP($H$2+$C239,'Cost Projection'!$B$6:$Y$49,23,FALSE),$Q$2)*$B240/'TCO Calculation'!F$65*(VLOOKUP('TCO Calculation'!F$12, 'GHG FE &amp; Fuel '!$L$27:$N$35, 2, FALSE)+VLOOKUP('TCO Calculation'!F$12, 'GHG FE &amp; Fuel '!$L$27:$N$35, 3, FALSE)*(1-'TCO Calculation'!F$140))/1000000</f>
        <v>4058.962374473917</v>
      </c>
      <c r="F240" s="625">
        <f>IF('TCO Calculation'!$K$3="Lookup Table",VLOOKUP($H$2+$C239,'Cost Projection'!$B$6:$Y$49,23,FALSE),$Q$2)*$B240/'TCO Calculation'!G$65*(VLOOKUP('TCO Calculation'!G$12, 'GHG FE &amp; Fuel '!$L$27:$N$35, 2, FALSE)+VLOOKUP('TCO Calculation'!G$12, 'GHG FE &amp; Fuel '!$L$27:$N$35, 3, FALSE)*(1-'TCO Calculation'!G$140))/1000000</f>
        <v>1723.7533092270546</v>
      </c>
      <c r="G240" s="626">
        <f>IF('TCO Calculation'!$K$3="Lookup Table",VLOOKUP($H$2+$C239,'Cost Projection'!$B$6:$Y$49,23,FALSE),$Q$2)*$B240*'TCO Calculation'!H$65/'TCO Calculation'!H$67*IF('TCO Calculation'!$J$3="Lookup Table",'GHG Electricity'!$AX15,$Q$2)/1000000</f>
        <v>5640.4970234533457</v>
      </c>
      <c r="H240" s="626">
        <f>IF('TCO Calculation'!$K$3="Lookup Table",VLOOKUP($H$2+$C239,'Cost Projection'!$B$6:$Y$49,23,FALSE),$Q$2)*$B240*'TCO Calculation'!I$65/'TCO Calculation'!I$67*IF('TCO Calculation'!$J$3="Lookup Table",'GHG Electricity'!$AX15,$Q$2)/1000000</f>
        <v>5725.1044788051449</v>
      </c>
      <c r="I240" s="626">
        <f>IF('TCO Calculation'!$K$3="Lookup Table",VLOOKUP($H$2+$C239,'Cost Projection'!$B$6:$Y$49,23,FALSE),$Q$2)*$B240/$I$2*'TCO Calculation'!J$69*VLOOKUP('TCO Calculation'!J$12, 'H2 FCV'!$C$70:$D$74, 2, FALSE)/1000</f>
        <v>2218.9677494631242</v>
      </c>
      <c r="J240" s="627">
        <f>IF('TCO Calculation'!$K$3="Lookup Table",VLOOKUP($H$2+$C239,'Cost Projection'!$B$6:$Y$49,23,FALSE),$Q$2)*$B240/$I$2*'TCO Calculation'!K$69*VLOOKUP('TCO Calculation'!K$12, 'H2 FCV'!$C$70:$D$74, 2, FALSE)/1000</f>
        <v>2508.3983254800542</v>
      </c>
      <c r="K240" s="452"/>
      <c r="L240" s="1157"/>
      <c r="M240" s="640">
        <f t="shared" si="231"/>
        <v>34960.629921259933</v>
      </c>
      <c r="N240" s="742">
        <f t="shared" si="231"/>
        <v>13</v>
      </c>
      <c r="O240" s="625">
        <f t="shared" si="232"/>
        <v>3801.7736835961441</v>
      </c>
      <c r="P240" s="625">
        <f t="shared" si="233"/>
        <v>2176.7359710091214</v>
      </c>
      <c r="Q240" s="625">
        <f t="shared" si="234"/>
        <v>924.41256832957379</v>
      </c>
      <c r="R240" s="625">
        <f t="shared" si="235"/>
        <v>3024.8796693790773</v>
      </c>
      <c r="S240" s="625">
        <f t="shared" si="236"/>
        <v>3070.2528644197632</v>
      </c>
      <c r="T240" s="625">
        <f t="shared" si="237"/>
        <v>1189.9856350335274</v>
      </c>
      <c r="U240" s="627">
        <f t="shared" si="238"/>
        <v>1345.2011526465965</v>
      </c>
      <c r="V240" s="452"/>
      <c r="W240" s="1153"/>
      <c r="X240" s="640">
        <f t="shared" si="239"/>
        <v>34960.629921259933</v>
      </c>
      <c r="Y240" s="645">
        <f t="shared" si="240"/>
        <v>13</v>
      </c>
      <c r="Z240" s="624">
        <f t="shared" si="247"/>
        <v>0</v>
      </c>
      <c r="AA240" s="625">
        <f t="shared" si="241"/>
        <v>-1625.0377125870227</v>
      </c>
      <c r="AB240" s="626">
        <f t="shared" si="242"/>
        <v>-2877.3611152665703</v>
      </c>
      <c r="AC240" s="625">
        <f t="shared" si="243"/>
        <v>-776.8940142170668</v>
      </c>
      <c r="AD240" s="626">
        <f t="shared" si="244"/>
        <v>-731.52081917638088</v>
      </c>
      <c r="AE240" s="625">
        <f t="shared" si="245"/>
        <v>-2611.7880485626165</v>
      </c>
      <c r="AF240" s="627">
        <f t="shared" si="246"/>
        <v>-2456.5725309495474</v>
      </c>
      <c r="AG240" s="452"/>
      <c r="AH240" s="452"/>
      <c r="AI240" s="452"/>
      <c r="AJ240" s="452"/>
      <c r="AK240" s="452"/>
      <c r="AL240" s="452"/>
      <c r="AM240" s="452"/>
      <c r="AN240" s="452"/>
      <c r="AO240" s="452"/>
      <c r="AP240" s="452"/>
      <c r="AQ240" s="452"/>
      <c r="AR240" s="452"/>
      <c r="AS240" s="452"/>
      <c r="AT240" s="452"/>
      <c r="BU240" s="452"/>
      <c r="BV240" s="452"/>
      <c r="BW240" s="452"/>
      <c r="BX240" s="452"/>
      <c r="BY240" s="452"/>
    </row>
    <row r="241" spans="1:77">
      <c r="A241" s="1157"/>
      <c r="B241" s="640">
        <f t="shared" si="229"/>
        <v>31496.062992126026</v>
      </c>
      <c r="C241" s="742">
        <f t="shared" si="230"/>
        <v>14</v>
      </c>
      <c r="D241" s="624">
        <f>IF('TCO Calculation'!$K$3="Lookup Table",VLOOKUP($H$2+$C240,'Cost Projection'!$B$6:$Y$49,23,FALSE),$Q$2)*$B241/'TCO Calculation'!E$65*(VLOOKUP('TCO Calculation'!E$12, 'GHG FE &amp; Fuel '!$L$27:$N$35, 2, FALSE)+VLOOKUP('TCO Calculation'!E$12, 'GHG FE &amp; Fuel '!$L$27:$N$35, 3, FALSE)*(1-'TCO Calculation'!E$140))/1000000</f>
        <v>6386.6417066998156</v>
      </c>
      <c r="E241" s="625">
        <f>IF('TCO Calculation'!$K$3="Lookup Table",VLOOKUP($H$2+$C240,'Cost Projection'!$B$6:$Y$49,23,FALSE),$Q$2)*$B241/'TCO Calculation'!F$65*(VLOOKUP('TCO Calculation'!F$12, 'GHG FE &amp; Fuel '!$L$27:$N$35, 2, FALSE)+VLOOKUP('TCO Calculation'!F$12, 'GHG FE &amp; Fuel '!$L$27:$N$35, 3, FALSE)*(1-'TCO Calculation'!F$140))/1000000</f>
        <v>3656.7228598864072</v>
      </c>
      <c r="F241" s="625">
        <f>IF('TCO Calculation'!$K$3="Lookup Table",VLOOKUP($H$2+$C240,'Cost Projection'!$B$6:$Y$49,23,FALSE),$Q$2)*$B241/'TCO Calculation'!G$65*(VLOOKUP('TCO Calculation'!G$12, 'GHG FE &amp; Fuel '!$L$27:$N$35, 2, FALSE)+VLOOKUP('TCO Calculation'!G$12, 'GHG FE &amp; Fuel '!$L$27:$N$35, 3, FALSE)*(1-'TCO Calculation'!G$140))/1000000</f>
        <v>1552.9309092135609</v>
      </c>
      <c r="G241" s="626">
        <f>IF('TCO Calculation'!$K$3="Lookup Table",VLOOKUP($H$2+$C240,'Cost Projection'!$B$6:$Y$49,23,FALSE),$Q$2)*$B241*'TCO Calculation'!H$65/'TCO Calculation'!H$67*IF('TCO Calculation'!$J$3="Lookup Table",'GHG Electricity'!$AX16,$Q$2)/1000000</f>
        <v>5015.0595911210121</v>
      </c>
      <c r="H241" s="626">
        <f>IF('TCO Calculation'!$K$3="Lookup Table",VLOOKUP($H$2+$C240,'Cost Projection'!$B$6:$Y$49,23,FALSE),$Q$2)*$B241*'TCO Calculation'!I$65/'TCO Calculation'!I$67*IF('TCO Calculation'!$J$3="Lookup Table",'GHG Electricity'!$AX16,$Q$2)/1000000</f>
        <v>5090.2854849878277</v>
      </c>
      <c r="I241" s="626">
        <f>IF('TCO Calculation'!$K$3="Lookup Table",VLOOKUP($H$2+$C240,'Cost Projection'!$B$6:$Y$49,23,FALSE),$Q$2)*$B241/$I$2*'TCO Calculation'!J$69*VLOOKUP('TCO Calculation'!J$12, 'H2 FCV'!$C$70:$D$74, 2, FALSE)/1000</f>
        <v>1999.0700445613709</v>
      </c>
      <c r="J241" s="627">
        <f>IF('TCO Calculation'!$K$3="Lookup Table",VLOOKUP($H$2+$C240,'Cost Projection'!$B$6:$Y$49,23,FALSE),$Q$2)*$B241/$I$2*'TCO Calculation'!K$69*VLOOKUP('TCO Calculation'!K$12, 'H2 FCV'!$C$70:$D$74, 2, FALSE)/1000</f>
        <v>2259.8183112432898</v>
      </c>
      <c r="K241" s="452"/>
      <c r="L241" s="1157"/>
      <c r="M241" s="640">
        <f t="shared" si="231"/>
        <v>31496.062992126026</v>
      </c>
      <c r="N241" s="742">
        <f t="shared" si="231"/>
        <v>14</v>
      </c>
      <c r="O241" s="625">
        <f t="shared" si="232"/>
        <v>3251.7152569425007</v>
      </c>
      <c r="P241" s="625">
        <f t="shared" si="233"/>
        <v>1861.7956134018536</v>
      </c>
      <c r="Q241" s="625">
        <f t="shared" si="234"/>
        <v>790.66422736224911</v>
      </c>
      <c r="R241" s="625">
        <f t="shared" si="235"/>
        <v>2553.3835364236602</v>
      </c>
      <c r="S241" s="625">
        <f t="shared" si="236"/>
        <v>2591.6842894700148</v>
      </c>
      <c r="T241" s="625">
        <f t="shared" si="237"/>
        <v>1017.8129386493962</v>
      </c>
      <c r="U241" s="627">
        <f t="shared" si="238"/>
        <v>1150.5711480384484</v>
      </c>
      <c r="V241" s="452"/>
      <c r="W241" s="1153"/>
      <c r="X241" s="640">
        <f t="shared" si="239"/>
        <v>31496.062992126026</v>
      </c>
      <c r="Y241" s="645">
        <f t="shared" si="240"/>
        <v>14</v>
      </c>
      <c r="Z241" s="624">
        <f t="shared" si="247"/>
        <v>0</v>
      </c>
      <c r="AA241" s="625">
        <f t="shared" si="241"/>
        <v>-1389.919643540647</v>
      </c>
      <c r="AB241" s="626">
        <f t="shared" si="242"/>
        <v>-2461.0510295802515</v>
      </c>
      <c r="AC241" s="625">
        <f t="shared" si="243"/>
        <v>-698.33172051884048</v>
      </c>
      <c r="AD241" s="626">
        <f t="shared" si="244"/>
        <v>-660.03096747248583</v>
      </c>
      <c r="AE241" s="625">
        <f t="shared" si="245"/>
        <v>-2233.9023182931046</v>
      </c>
      <c r="AF241" s="627">
        <f t="shared" si="246"/>
        <v>-2101.1441089040522</v>
      </c>
      <c r="AG241" s="452"/>
      <c r="AH241" s="452"/>
      <c r="AI241" s="452"/>
      <c r="AJ241" s="452"/>
      <c r="AK241" s="452"/>
      <c r="AL241" s="452"/>
      <c r="AM241" s="452"/>
      <c r="AN241" s="452"/>
      <c r="AO241" s="452"/>
      <c r="AP241" s="452"/>
      <c r="AQ241" s="452"/>
      <c r="AR241" s="452"/>
      <c r="AS241" s="452"/>
      <c r="AT241" s="452"/>
      <c r="BU241" s="452"/>
      <c r="BV241" s="452"/>
      <c r="BW241" s="452"/>
      <c r="BX241" s="452"/>
      <c r="BY241" s="452"/>
    </row>
    <row r="242" spans="1:77" ht="15" thickBot="1">
      <c r="A242" s="1158"/>
      <c r="B242" s="672">
        <f t="shared" si="229"/>
        <v>27716.53543307096</v>
      </c>
      <c r="C242" s="743">
        <f t="shared" si="230"/>
        <v>15</v>
      </c>
      <c r="D242" s="632">
        <f>IF('TCO Calculation'!$K$3="Lookup Table",VLOOKUP($H$2+$C241,'Cost Projection'!$B$6:$Y$49,23,FALSE),$Q$2)*$B242/'TCO Calculation'!E$65*(VLOOKUP('TCO Calculation'!E$12, 'GHG FE &amp; Fuel '!$L$27:$N$35, 2, FALSE)+VLOOKUP('TCO Calculation'!E$12, 'GHG FE &amp; Fuel '!$L$27:$N$35, 3, FALSE)*(1-'TCO Calculation'!E$140))/1000000</f>
        <v>5620.2447018958483</v>
      </c>
      <c r="E242" s="633">
        <f>IF('TCO Calculation'!$K$3="Lookup Table",VLOOKUP($H$2+$C241,'Cost Projection'!$B$6:$Y$49,23,FALSE),$Q$2)*$B242/'TCO Calculation'!F$65*(VLOOKUP('TCO Calculation'!F$12, 'GHG FE &amp; Fuel '!$L$27:$N$35, 2, FALSE)+VLOOKUP('TCO Calculation'!F$12, 'GHG FE &amp; Fuel '!$L$27:$N$35, 3, FALSE)*(1-'TCO Calculation'!F$140))/1000000</f>
        <v>3217.9161167000452</v>
      </c>
      <c r="F242" s="633">
        <f>IF('TCO Calculation'!$K$3="Lookup Table",VLOOKUP($H$2+$C241,'Cost Projection'!$B$6:$Y$49,23,FALSE),$Q$2)*$B242/'TCO Calculation'!G$65*(VLOOKUP('TCO Calculation'!G$12, 'GHG FE &amp; Fuel '!$L$27:$N$35, 2, FALSE)+VLOOKUP('TCO Calculation'!G$12, 'GHG FE &amp; Fuel '!$L$27:$N$35, 3, FALSE)*(1-'TCO Calculation'!G$140))/1000000</f>
        <v>1366.5792001079362</v>
      </c>
      <c r="G242" s="626">
        <f>IF('TCO Calculation'!$K$3="Lookup Table",VLOOKUP($H$2+$C241,'Cost Projection'!$B$6:$Y$49,23,FALSE),$Q$2)*$B242*'TCO Calculation'!H$65/'TCO Calculation'!H$67*IF('TCO Calculation'!$J$3="Lookup Table",'GHG Electricity'!$AX17,$Q$2)/1000000</f>
        <v>4354.7594924099822</v>
      </c>
      <c r="H242" s="634">
        <f>IF('TCO Calculation'!$K$3="Lookup Table",VLOOKUP($H$2+$C241,'Cost Projection'!$B$6:$Y$49,23,FALSE),$Q$2)*$B242*'TCO Calculation'!I$65/'TCO Calculation'!I$67*IF('TCO Calculation'!$J$3="Lookup Table",'GHG Electricity'!$AX17,$Q$2)/1000000</f>
        <v>4420.0808847961307</v>
      </c>
      <c r="I242" s="634">
        <f>IF('TCO Calculation'!$K$3="Lookup Table",VLOOKUP($H$2+$C241,'Cost Projection'!$B$6:$Y$49,23,FALSE),$Q$2)*$B242/$I$2*'TCO Calculation'!J$69*VLOOKUP('TCO Calculation'!J$12, 'H2 FCV'!$C$70:$D$74, 2, FALSE)/1000</f>
        <v>1759.1816392140097</v>
      </c>
      <c r="J242" s="635">
        <f>IF('TCO Calculation'!$K$3="Lookup Table",VLOOKUP($H$2+$C241,'Cost Projection'!$B$6:$Y$49,23,FALSE),$Q$2)*$B242/$I$2*'TCO Calculation'!K$69*VLOOKUP('TCO Calculation'!K$12, 'H2 FCV'!$C$70:$D$74, 2, FALSE)/1000</f>
        <v>1988.6401138940985</v>
      </c>
      <c r="K242" s="452"/>
      <c r="L242" s="1158"/>
      <c r="M242" s="672">
        <f t="shared" si="231"/>
        <v>27716.53543307096</v>
      </c>
      <c r="N242" s="743">
        <f t="shared" si="231"/>
        <v>15</v>
      </c>
      <c r="O242" s="633">
        <f t="shared" si="232"/>
        <v>2716.7170491482702</v>
      </c>
      <c r="P242" s="633">
        <f t="shared" si="233"/>
        <v>1555.4781047200768</v>
      </c>
      <c r="Q242" s="633">
        <f t="shared" si="234"/>
        <v>660.57782336279422</v>
      </c>
      <c r="R242" s="633">
        <f t="shared" si="235"/>
        <v>2105.0060959053426</v>
      </c>
      <c r="S242" s="633">
        <f t="shared" si="236"/>
        <v>2136.581187343922</v>
      </c>
      <c r="T242" s="633">
        <f t="shared" si="237"/>
        <v>850.35421147928992</v>
      </c>
      <c r="U242" s="635">
        <f t="shared" si="238"/>
        <v>961.26997819398025</v>
      </c>
      <c r="V242" s="452"/>
      <c r="W242" s="1153"/>
      <c r="X242" s="640">
        <f t="shared" si="239"/>
        <v>27716.53543307096</v>
      </c>
      <c r="Y242" s="646">
        <f t="shared" si="240"/>
        <v>15</v>
      </c>
      <c r="Z242" s="624">
        <f t="shared" si="247"/>
        <v>0</v>
      </c>
      <c r="AA242" s="625">
        <f t="shared" si="241"/>
        <v>-1161.2389444281935</v>
      </c>
      <c r="AB242" s="626">
        <f t="shared" si="242"/>
        <v>-2056.1392257854759</v>
      </c>
      <c r="AC242" s="625">
        <f t="shared" si="243"/>
        <v>-611.71095324292764</v>
      </c>
      <c r="AD242" s="626">
        <f t="shared" si="244"/>
        <v>-580.13586180434822</v>
      </c>
      <c r="AE242" s="625">
        <f t="shared" si="245"/>
        <v>-1866.3628376689803</v>
      </c>
      <c r="AF242" s="627">
        <f t="shared" si="246"/>
        <v>-1755.44707095429</v>
      </c>
      <c r="AG242" s="452"/>
      <c r="AH242" s="452"/>
      <c r="AI242" s="452"/>
      <c r="AJ242" s="452"/>
      <c r="AK242" s="452"/>
      <c r="AL242" s="452"/>
      <c r="AM242" s="452"/>
      <c r="AN242" s="452"/>
      <c r="AO242" s="452"/>
      <c r="AP242" s="452"/>
      <c r="AQ242" s="452"/>
      <c r="AR242" s="452"/>
      <c r="AS242" s="452"/>
      <c r="AT242" s="452"/>
      <c r="BU242" s="452"/>
      <c r="BV242" s="452"/>
      <c r="BW242" s="452"/>
      <c r="BX242" s="452"/>
      <c r="BY242" s="452"/>
    </row>
    <row r="243" spans="1:77" ht="15" thickBot="1">
      <c r="A243" s="452"/>
      <c r="B243" s="459"/>
      <c r="C243" s="452"/>
      <c r="D243" s="636">
        <f>SUM(D227:D242)</f>
        <v>202775.87418771884</v>
      </c>
      <c r="E243" s="637">
        <f>SUM(E227:E242)</f>
        <v>116100.95080139325</v>
      </c>
      <c r="F243" s="638">
        <f>SUM(F227:F242)</f>
        <v>49305.55636753048</v>
      </c>
      <c r="G243" s="638">
        <f>SUM(G227:G242)</f>
        <v>173573.30587962014</v>
      </c>
      <c r="H243" s="638">
        <f t="shared" ref="H243:J243" si="248">SUM(H227:H242)</f>
        <v>176176.90546781447</v>
      </c>
      <c r="I243" s="638">
        <f t="shared" si="248"/>
        <v>63470.473914823437</v>
      </c>
      <c r="J243" s="639">
        <f t="shared" si="248"/>
        <v>71749.231381974329</v>
      </c>
      <c r="K243" s="452"/>
      <c r="L243" s="452"/>
      <c r="M243" s="459"/>
      <c r="N243" s="452"/>
      <c r="O243" s="636">
        <f>SUM(O227:O242)</f>
        <v>157952.91912472816</v>
      </c>
      <c r="P243" s="637">
        <f>SUM(P227:P242)</f>
        <v>90437.20889231503</v>
      </c>
      <c r="Q243" s="638">
        <f>SUM(Q227:Q242)</f>
        <v>38406.721650281732</v>
      </c>
      <c r="R243" s="638">
        <f>SUM(R227:R242)</f>
        <v>136293.20702930889</v>
      </c>
      <c r="S243" s="638">
        <f t="shared" ref="S243:U243" si="249">SUM(S227:S242)</f>
        <v>138337.60513474853</v>
      </c>
      <c r="T243" s="638">
        <f t="shared" si="249"/>
        <v>49440.529714079079</v>
      </c>
      <c r="U243" s="639">
        <f t="shared" si="249"/>
        <v>55889.294459393765</v>
      </c>
      <c r="V243" s="452"/>
      <c r="W243" s="1154"/>
      <c r="X243" s="1150" t="s">
        <v>110</v>
      </c>
      <c r="Y243" s="1151"/>
      <c r="Z243" s="636">
        <f t="shared" si="247"/>
        <v>0</v>
      </c>
      <c r="AA243" s="637">
        <f t="shared" si="241"/>
        <v>-67515.710232413127</v>
      </c>
      <c r="AB243" s="638">
        <f t="shared" si="242"/>
        <v>-119546.19747444642</v>
      </c>
      <c r="AC243" s="637">
        <f t="shared" si="243"/>
        <v>-21659.712095419265</v>
      </c>
      <c r="AD243" s="638">
        <f t="shared" si="244"/>
        <v>-19615.313989979622</v>
      </c>
      <c r="AE243" s="637">
        <f t="shared" si="245"/>
        <v>-108512.38941064908</v>
      </c>
      <c r="AF243" s="639">
        <f t="shared" si="246"/>
        <v>-102063.62466533438</v>
      </c>
      <c r="AG243" s="452"/>
      <c r="AH243" s="452"/>
      <c r="AI243" s="452"/>
      <c r="AJ243" s="452"/>
      <c r="AK243" s="452"/>
      <c r="AL243" s="452"/>
      <c r="AM243" s="452"/>
      <c r="AN243" s="452"/>
      <c r="AO243" s="452"/>
      <c r="AP243" s="452"/>
      <c r="AQ243" s="452"/>
      <c r="AR243" s="452"/>
      <c r="AS243" s="452"/>
      <c r="AT243" s="452"/>
      <c r="BU243" s="452"/>
      <c r="BV243" s="452"/>
      <c r="BW243" s="452"/>
      <c r="BX243" s="452"/>
      <c r="BY243" s="452"/>
    </row>
    <row r="244" spans="1:77">
      <c r="A244" s="452"/>
      <c r="B244" s="452"/>
      <c r="C244" s="452"/>
      <c r="D244" s="452"/>
      <c r="E244" s="452"/>
      <c r="F244" s="452"/>
      <c r="G244" s="452"/>
      <c r="H244" s="452"/>
      <c r="I244" s="452"/>
      <c r="J244" s="452"/>
      <c r="K244" s="452"/>
      <c r="L244" s="452"/>
      <c r="M244" s="452"/>
      <c r="N244" s="452"/>
      <c r="O244" s="452"/>
      <c r="P244" s="452"/>
      <c r="Q244" s="452"/>
      <c r="R244" s="452"/>
      <c r="S244" s="452"/>
      <c r="T244" s="452"/>
      <c r="U244" s="452"/>
      <c r="V244" s="452"/>
      <c r="W244" s="452"/>
      <c r="X244" s="452"/>
      <c r="Y244" s="452"/>
      <c r="Z244" s="452"/>
      <c r="AA244" s="452"/>
      <c r="AB244" s="452"/>
      <c r="AC244" s="452"/>
      <c r="AD244" s="452"/>
      <c r="AE244" s="452"/>
      <c r="AF244" s="452"/>
      <c r="AG244" s="452"/>
      <c r="AH244" s="452"/>
      <c r="AI244" s="452"/>
      <c r="AJ244" s="452"/>
      <c r="AK244" s="452"/>
      <c r="AL244" s="452"/>
      <c r="AM244" s="452"/>
      <c r="AN244" s="452"/>
      <c r="AO244" s="452"/>
      <c r="AP244" s="452"/>
      <c r="AQ244" s="452"/>
      <c r="AR244" s="452"/>
      <c r="AS244" s="452"/>
      <c r="AT244" s="452"/>
      <c r="BU244" s="452"/>
      <c r="BV244" s="452"/>
      <c r="BW244" s="452"/>
      <c r="BX244" s="452"/>
      <c r="BY244" s="452"/>
    </row>
    <row r="245" spans="1:77">
      <c r="A245" s="452"/>
      <c r="B245" s="452"/>
      <c r="C245" s="452"/>
      <c r="D245" s="452"/>
      <c r="E245" s="452"/>
      <c r="F245" s="452"/>
      <c r="G245" s="452"/>
      <c r="H245" s="452"/>
      <c r="I245" s="452"/>
      <c r="J245" s="452"/>
      <c r="K245" s="452"/>
      <c r="L245" s="452"/>
      <c r="M245" s="452"/>
      <c r="N245" s="452"/>
      <c r="O245" s="452"/>
      <c r="P245" s="452"/>
      <c r="Q245" s="452"/>
      <c r="R245" s="452"/>
      <c r="S245" s="452"/>
      <c r="T245" s="452"/>
      <c r="U245" s="452"/>
      <c r="V245" s="452"/>
      <c r="W245" s="452"/>
      <c r="X245" s="452"/>
      <c r="Y245" s="452"/>
      <c r="Z245" s="452"/>
      <c r="AA245" s="452"/>
      <c r="AB245" s="452"/>
      <c r="AC245" s="452"/>
      <c r="AD245" s="452"/>
      <c r="AE245" s="452"/>
      <c r="AF245" s="452"/>
      <c r="AG245" s="452"/>
      <c r="AH245" s="452"/>
      <c r="AI245" s="452"/>
      <c r="AJ245" s="452"/>
      <c r="AK245" s="452"/>
      <c r="AL245" s="452"/>
      <c r="AM245" s="452"/>
      <c r="AN245" s="452"/>
      <c r="AO245" s="452"/>
      <c r="AP245" s="452"/>
      <c r="AQ245" s="452"/>
      <c r="AR245" s="452"/>
      <c r="AS245" s="452"/>
      <c r="AT245" s="452"/>
      <c r="BU245" s="452"/>
      <c r="BV245" s="452"/>
      <c r="BW245" s="452"/>
      <c r="BX245" s="452"/>
      <c r="BY245" s="452"/>
    </row>
    <row r="246" spans="1:77">
      <c r="A246" s="452"/>
      <c r="B246" s="452"/>
      <c r="C246" s="452"/>
      <c r="D246" s="452"/>
      <c r="E246" s="452"/>
      <c r="F246" s="452"/>
      <c r="G246" s="452"/>
      <c r="H246" s="452"/>
      <c r="I246" s="452"/>
      <c r="J246" s="452"/>
      <c r="K246" s="452"/>
      <c r="L246" s="452"/>
      <c r="M246" s="452"/>
      <c r="N246" s="452"/>
      <c r="O246" s="452"/>
      <c r="P246" s="452"/>
      <c r="Q246" s="452"/>
      <c r="R246" s="452"/>
      <c r="S246" s="452"/>
      <c r="T246" s="452"/>
      <c r="U246" s="452"/>
      <c r="V246" s="452"/>
      <c r="W246" s="452"/>
      <c r="X246" s="452"/>
      <c r="Y246" s="452"/>
      <c r="Z246" s="452"/>
      <c r="AA246" s="452"/>
      <c r="AB246" s="452"/>
      <c r="AC246" s="452"/>
      <c r="AD246" s="452"/>
      <c r="AE246" s="452"/>
      <c r="AF246" s="452"/>
      <c r="AG246" s="452"/>
      <c r="AH246" s="452"/>
      <c r="AI246" s="452"/>
      <c r="AJ246" s="452"/>
      <c r="AK246" s="452"/>
      <c r="AL246" s="452"/>
      <c r="AM246" s="452"/>
      <c r="AN246" s="452"/>
      <c r="AO246" s="452"/>
      <c r="AP246" s="452"/>
      <c r="AQ246" s="452"/>
      <c r="AR246" s="452"/>
      <c r="AS246" s="452"/>
      <c r="AT246" s="452"/>
      <c r="BU246" s="452"/>
      <c r="BV246" s="452"/>
      <c r="BW246" s="452"/>
      <c r="BX246" s="452"/>
      <c r="BY246" s="452"/>
    </row>
    <row r="247" spans="1:77">
      <c r="J247">
        <f>IF('TCO Calculation'!$J$3="Lookup Table",'GHG Electricity'!$AX17,$Q$2)/1000000</f>
        <v>4.8163204774641014E-4</v>
      </c>
      <c r="V247" s="452"/>
      <c r="W247" s="452"/>
      <c r="X247" s="452"/>
      <c r="Y247" s="452"/>
      <c r="Z247" s="452"/>
      <c r="AA247" s="452"/>
      <c r="AB247" s="452"/>
      <c r="AC247" s="452"/>
      <c r="AD247" s="452"/>
      <c r="AE247" s="452"/>
      <c r="AF247" s="452"/>
      <c r="AG247" s="452"/>
      <c r="AH247" s="452"/>
      <c r="AI247" s="452"/>
      <c r="AJ247" s="452"/>
      <c r="AK247" s="452"/>
      <c r="AL247" s="452"/>
      <c r="AM247" s="452"/>
      <c r="AN247" s="452"/>
      <c r="AO247" s="452"/>
      <c r="AP247" s="452"/>
      <c r="AQ247" s="452"/>
      <c r="AR247" s="452"/>
      <c r="AS247" s="452"/>
      <c r="AT247" s="452"/>
      <c r="BU247" s="452"/>
      <c r="BV247" s="452"/>
      <c r="BW247" s="452"/>
      <c r="BX247" s="452"/>
      <c r="BY247" s="452"/>
    </row>
    <row r="248" spans="1:77">
      <c r="V248" s="452"/>
      <c r="W248" s="452"/>
      <c r="X248" s="452"/>
      <c r="Y248" s="452"/>
      <c r="Z248" s="452"/>
      <c r="AA248" s="452"/>
      <c r="AB248" s="452"/>
      <c r="AC248" s="452"/>
      <c r="AD248" s="452"/>
      <c r="AE248" s="452"/>
      <c r="AF248" s="452"/>
      <c r="AG248" s="452"/>
      <c r="AH248" s="452"/>
      <c r="AI248" s="452"/>
      <c r="AJ248" s="452"/>
      <c r="AK248" s="452"/>
      <c r="AL248" s="452"/>
      <c r="AM248" s="452"/>
      <c r="AN248" s="452"/>
      <c r="AO248" s="452"/>
      <c r="AP248" s="452"/>
      <c r="AQ248" s="452"/>
      <c r="AR248" s="452"/>
      <c r="AS248" s="452"/>
      <c r="AT248" s="452"/>
      <c r="BU248" s="452"/>
      <c r="BV248" s="452"/>
      <c r="BW248" s="452"/>
      <c r="BX248" s="452"/>
      <c r="BY248" s="452"/>
    </row>
    <row r="249" spans="1:77">
      <c r="V249" s="452"/>
      <c r="W249" s="452"/>
      <c r="X249" s="452"/>
      <c r="Y249" s="452"/>
      <c r="Z249" s="452"/>
      <c r="AA249" s="452"/>
      <c r="AB249" s="452"/>
      <c r="AC249" s="452"/>
      <c r="AD249" s="452"/>
      <c r="AE249" s="452"/>
      <c r="AF249" s="452"/>
      <c r="AG249" s="452"/>
      <c r="AH249" s="452"/>
      <c r="AI249" s="452"/>
      <c r="AJ249" s="452"/>
      <c r="AK249" s="452"/>
      <c r="AL249" s="452"/>
      <c r="AM249" s="452"/>
      <c r="AN249" s="452"/>
      <c r="AO249" s="452"/>
      <c r="AP249" s="452"/>
      <c r="AQ249" s="452"/>
      <c r="AR249" s="452"/>
      <c r="AS249" s="452"/>
      <c r="AT249" s="452"/>
      <c r="BU249" s="452"/>
      <c r="BV249" s="452"/>
      <c r="BW249" s="452"/>
      <c r="BX249" s="452"/>
      <c r="BY249" s="452"/>
    </row>
    <row r="250" spans="1:77">
      <c r="V250" s="452"/>
      <c r="W250" s="452"/>
      <c r="X250" s="452"/>
      <c r="Y250" s="452"/>
      <c r="Z250" s="452"/>
      <c r="AA250" s="452"/>
      <c r="AB250" s="452"/>
      <c r="AC250" s="452"/>
      <c r="AD250" s="452"/>
      <c r="AE250" s="452"/>
      <c r="AF250" s="452"/>
      <c r="AG250" s="452"/>
      <c r="AH250" s="452"/>
      <c r="AI250" s="452"/>
      <c r="AJ250" s="452"/>
      <c r="AK250" s="452"/>
      <c r="AL250" s="452"/>
      <c r="AM250" s="452"/>
      <c r="AN250" s="452"/>
      <c r="AO250" s="452"/>
      <c r="AP250" s="452"/>
      <c r="AQ250" s="452"/>
      <c r="AR250" s="452"/>
      <c r="AS250" s="452"/>
      <c r="AT250" s="452"/>
      <c r="BU250" s="452"/>
      <c r="BV250" s="452"/>
      <c r="BW250" s="452"/>
      <c r="BX250" s="452"/>
      <c r="BY250" s="452"/>
    </row>
    <row r="251" spans="1:77">
      <c r="V251" s="452"/>
      <c r="W251" s="452"/>
      <c r="X251" s="452"/>
      <c r="Y251" s="452"/>
      <c r="Z251" s="452"/>
      <c r="AA251" s="452"/>
      <c r="AB251" s="452"/>
      <c r="AC251" s="452"/>
      <c r="AD251" s="452"/>
      <c r="AE251" s="452"/>
      <c r="AF251" s="452"/>
      <c r="AG251" s="452"/>
      <c r="AH251" s="452"/>
      <c r="AI251" s="452"/>
      <c r="AJ251" s="452"/>
      <c r="AK251" s="452"/>
      <c r="AL251" s="452"/>
      <c r="AM251" s="452"/>
      <c r="AN251" s="452"/>
      <c r="AO251" s="452"/>
      <c r="AP251" s="452"/>
      <c r="AQ251" s="452"/>
      <c r="AR251" s="452"/>
      <c r="AS251" s="452"/>
      <c r="AT251" s="452"/>
      <c r="BU251" s="452"/>
      <c r="BV251" s="452"/>
      <c r="BW251" s="452"/>
      <c r="BX251" s="452"/>
      <c r="BY251" s="452"/>
    </row>
    <row r="252" spans="1:77">
      <c r="E252">
        <f>VLOOKUP($H$2+$C227,'Cost Projection'!$B$6:$Y$49,23)</f>
        <v>150</v>
      </c>
      <c r="V252" s="452"/>
      <c r="W252" s="452"/>
      <c r="X252" s="452"/>
      <c r="Y252" s="452"/>
      <c r="Z252" s="452"/>
      <c r="AA252" s="452"/>
      <c r="AB252" s="452"/>
      <c r="AC252" s="452"/>
      <c r="AD252" s="452"/>
      <c r="AE252" s="452"/>
      <c r="AF252" s="452"/>
      <c r="AG252" s="452"/>
      <c r="AH252" s="452"/>
      <c r="AI252" s="452"/>
      <c r="AJ252" s="452"/>
      <c r="AK252" s="452"/>
      <c r="AL252" s="452"/>
      <c r="AM252" s="452"/>
      <c r="AN252" s="452"/>
      <c r="AO252" s="452"/>
      <c r="AP252" s="452"/>
      <c r="AQ252" s="452"/>
      <c r="AR252" s="452"/>
      <c r="AS252" s="452"/>
      <c r="AT252" s="452"/>
      <c r="BU252" s="452"/>
      <c r="BV252" s="452"/>
      <c r="BW252" s="452"/>
      <c r="BX252" s="452"/>
      <c r="BY252" s="452"/>
    </row>
    <row r="253" spans="1:77">
      <c r="V253" s="452"/>
      <c r="W253" s="452"/>
      <c r="X253" s="452"/>
      <c r="Y253" s="452"/>
      <c r="Z253" s="452"/>
      <c r="AA253" s="452"/>
      <c r="AB253" s="452"/>
      <c r="AC253" s="452"/>
      <c r="AD253" s="452"/>
      <c r="AE253" s="452"/>
      <c r="AF253" s="452"/>
      <c r="AG253" s="452"/>
      <c r="AH253" s="452"/>
      <c r="AI253" s="452"/>
      <c r="AJ253" s="452"/>
      <c r="AK253" s="452"/>
      <c r="AL253" s="452"/>
      <c r="AM253" s="452"/>
      <c r="AN253" s="452"/>
      <c r="AO253" s="452"/>
      <c r="AP253" s="452"/>
      <c r="AQ253" s="452"/>
      <c r="AR253" s="452"/>
      <c r="AS253" s="452"/>
      <c r="AT253" s="452"/>
      <c r="BU253" s="452"/>
      <c r="BV253" s="452"/>
      <c r="BW253" s="452"/>
      <c r="BX253" s="452"/>
      <c r="BY253" s="452"/>
    </row>
    <row r="254" spans="1:77">
      <c r="V254" s="452"/>
      <c r="W254" s="452"/>
      <c r="X254" s="452"/>
      <c r="Y254" s="452"/>
      <c r="Z254" s="452"/>
      <c r="AA254" s="452"/>
      <c r="AB254" s="452"/>
      <c r="AC254" s="452"/>
      <c r="AD254" s="452"/>
      <c r="AE254" s="452"/>
      <c r="AF254" s="452"/>
      <c r="AG254" s="452"/>
      <c r="AH254" s="452"/>
      <c r="AI254" s="452"/>
      <c r="AJ254" s="452"/>
      <c r="AK254" s="452"/>
      <c r="AL254" s="452"/>
      <c r="AM254" s="452"/>
      <c r="AN254" s="452"/>
      <c r="AO254" s="452"/>
      <c r="AP254" s="452"/>
      <c r="AQ254" s="452"/>
      <c r="AR254" s="452"/>
      <c r="AS254" s="452"/>
      <c r="AT254" s="452"/>
      <c r="BU254" s="452"/>
      <c r="BV254" s="452"/>
      <c r="BW254" s="452"/>
      <c r="BX254" s="452"/>
      <c r="BY254" s="452"/>
    </row>
    <row r="255" spans="1:77">
      <c r="V255" s="452"/>
      <c r="W255" s="452"/>
      <c r="X255" s="452"/>
      <c r="Y255" s="452"/>
      <c r="Z255" s="452"/>
      <c r="AA255" s="452"/>
      <c r="AB255" s="452"/>
      <c r="AC255" s="452"/>
      <c r="AD255" s="452"/>
      <c r="AE255" s="452"/>
      <c r="AF255" s="452"/>
      <c r="AG255" s="452"/>
      <c r="AH255" s="452"/>
      <c r="AI255" s="452"/>
      <c r="AJ255" s="452"/>
      <c r="AK255" s="452"/>
      <c r="AL255" s="452"/>
      <c r="AM255" s="452"/>
      <c r="AN255" s="452"/>
      <c r="AO255" s="452"/>
      <c r="AP255" s="452"/>
      <c r="AQ255" s="452"/>
      <c r="AR255" s="452"/>
      <c r="AS255" s="452"/>
      <c r="AT255" s="452"/>
      <c r="BU255" s="452"/>
      <c r="BV255" s="452"/>
      <c r="BW255" s="452"/>
      <c r="BX255" s="452"/>
      <c r="BY255" s="452"/>
    </row>
    <row r="256" spans="1:77">
      <c r="V256" s="452"/>
      <c r="W256" s="452"/>
      <c r="X256" s="452"/>
      <c r="Y256" s="452"/>
      <c r="Z256" s="452"/>
      <c r="AA256" s="452"/>
      <c r="AB256" s="452"/>
      <c r="AC256" s="452"/>
      <c r="AD256" s="452"/>
      <c r="AE256" s="452"/>
      <c r="AF256" s="452"/>
      <c r="AG256" s="452"/>
      <c r="AH256" s="452"/>
      <c r="AI256" s="452"/>
      <c r="AJ256" s="452"/>
      <c r="AK256" s="452"/>
      <c r="AL256" s="452"/>
      <c r="AM256" s="452"/>
      <c r="AN256" s="452"/>
      <c r="AO256" s="452"/>
      <c r="AP256" s="452"/>
      <c r="AQ256" s="452"/>
      <c r="AR256" s="452"/>
      <c r="AS256" s="452"/>
      <c r="AT256" s="452"/>
      <c r="BU256" s="452"/>
      <c r="BV256" s="452"/>
      <c r="BW256" s="452"/>
      <c r="BX256" s="452"/>
      <c r="BY256" s="452"/>
    </row>
    <row r="257" spans="22:77">
      <c r="V257" s="452"/>
      <c r="W257" s="452"/>
      <c r="X257" s="452"/>
      <c r="Y257" s="452"/>
      <c r="Z257" s="452"/>
      <c r="AA257" s="452"/>
      <c r="AB257" s="452"/>
      <c r="AC257" s="452"/>
      <c r="AD257" s="452"/>
      <c r="AE257" s="452"/>
      <c r="AF257" s="452"/>
      <c r="AG257" s="452"/>
      <c r="AH257" s="452"/>
      <c r="AI257" s="452"/>
      <c r="AJ257" s="452"/>
      <c r="AK257" s="452"/>
      <c r="AL257" s="452"/>
      <c r="AM257" s="452"/>
      <c r="AN257" s="452"/>
      <c r="AO257" s="452"/>
      <c r="AP257" s="452"/>
      <c r="AQ257" s="452"/>
      <c r="AR257" s="452"/>
      <c r="AS257" s="452"/>
      <c r="AT257" s="452"/>
      <c r="BU257" s="452"/>
      <c r="BV257" s="452"/>
      <c r="BW257" s="452"/>
      <c r="BX257" s="452"/>
      <c r="BY257" s="452"/>
    </row>
    <row r="258" spans="22:77">
      <c r="V258" s="452"/>
      <c r="W258" s="452"/>
      <c r="X258" s="452"/>
      <c r="Y258" s="452"/>
      <c r="Z258" s="452"/>
      <c r="AA258" s="452"/>
      <c r="AB258" s="452"/>
      <c r="AC258" s="452"/>
      <c r="AD258" s="452"/>
      <c r="AE258" s="452"/>
      <c r="AF258" s="452"/>
      <c r="AG258" s="452"/>
      <c r="AH258" s="452"/>
      <c r="AI258" s="452"/>
      <c r="AJ258" s="452"/>
      <c r="AK258" s="452"/>
      <c r="AL258" s="452"/>
      <c r="AM258" s="452"/>
      <c r="AN258" s="452"/>
      <c r="AO258" s="452"/>
      <c r="AP258" s="452"/>
      <c r="AQ258" s="452"/>
      <c r="AR258" s="452"/>
      <c r="AS258" s="452"/>
      <c r="AT258" s="452"/>
      <c r="BU258" s="452"/>
      <c r="BV258" s="452"/>
      <c r="BW258" s="452"/>
      <c r="BX258" s="452"/>
      <c r="BY258" s="452"/>
    </row>
    <row r="259" spans="22:77">
      <c r="V259" s="452"/>
      <c r="W259" s="452"/>
      <c r="X259" s="452"/>
      <c r="Y259" s="452"/>
      <c r="Z259" s="452"/>
      <c r="AA259" s="452"/>
      <c r="AB259" s="452"/>
      <c r="AC259" s="452"/>
      <c r="AD259" s="452"/>
      <c r="AE259" s="452"/>
      <c r="AF259" s="452"/>
      <c r="AG259" s="452"/>
      <c r="AH259" s="452"/>
      <c r="AI259" s="452"/>
      <c r="AJ259" s="452"/>
      <c r="AK259" s="452"/>
      <c r="AL259" s="452"/>
      <c r="AM259" s="452"/>
      <c r="AN259" s="452"/>
      <c r="AO259" s="452"/>
      <c r="AP259" s="452"/>
      <c r="AQ259" s="452"/>
      <c r="AR259" s="452"/>
      <c r="AS259" s="452"/>
      <c r="AT259" s="452"/>
      <c r="BU259" s="452"/>
      <c r="BV259" s="452"/>
      <c r="BW259" s="452"/>
      <c r="BX259" s="452"/>
      <c r="BY259" s="452"/>
    </row>
    <row r="260" spans="22:77">
      <c r="V260" s="452"/>
      <c r="W260" s="452"/>
      <c r="X260" s="452"/>
      <c r="Y260" s="452"/>
      <c r="Z260" s="452"/>
      <c r="AA260" s="452"/>
      <c r="AB260" s="452"/>
      <c r="AC260" s="452"/>
      <c r="AD260" s="452"/>
      <c r="AE260" s="452"/>
      <c r="AF260" s="452"/>
      <c r="AG260" s="452"/>
      <c r="AH260" s="452"/>
      <c r="AI260" s="452"/>
      <c r="AJ260" s="452"/>
      <c r="AK260" s="452"/>
      <c r="AL260" s="452"/>
      <c r="AM260" s="452"/>
      <c r="AN260" s="452"/>
      <c r="AO260" s="452"/>
      <c r="AP260" s="452"/>
      <c r="AQ260" s="452"/>
      <c r="AR260" s="452"/>
      <c r="AS260" s="452"/>
      <c r="AT260" s="452"/>
      <c r="BU260" s="452"/>
      <c r="BV260" s="452"/>
      <c r="BW260" s="452"/>
      <c r="BX260" s="452"/>
      <c r="BY260" s="452"/>
    </row>
    <row r="261" spans="22:77">
      <c r="V261" s="452"/>
      <c r="W261" s="452"/>
      <c r="X261" s="452"/>
      <c r="Y261" s="452"/>
      <c r="Z261" s="452"/>
      <c r="AA261" s="452"/>
      <c r="AB261" s="452"/>
      <c r="AC261" s="452"/>
      <c r="AD261" s="452"/>
      <c r="AE261" s="452"/>
      <c r="AF261" s="452"/>
      <c r="AG261" s="452"/>
      <c r="AH261" s="452"/>
      <c r="AI261" s="452"/>
      <c r="AJ261" s="452"/>
      <c r="AK261" s="452"/>
      <c r="AL261" s="452"/>
      <c r="AM261" s="452"/>
      <c r="AN261" s="452"/>
      <c r="AO261" s="452"/>
      <c r="AP261" s="452"/>
      <c r="AQ261" s="452"/>
      <c r="AR261" s="452"/>
      <c r="AS261" s="452"/>
      <c r="AT261" s="452"/>
      <c r="BU261" s="452"/>
      <c r="BV261" s="452"/>
      <c r="BW261" s="452"/>
      <c r="BX261" s="452"/>
      <c r="BY261" s="452"/>
    </row>
    <row r="262" spans="22:77">
      <c r="V262" s="452"/>
      <c r="W262" s="452"/>
      <c r="X262" s="452"/>
      <c r="Y262" s="452"/>
      <c r="Z262" s="452"/>
      <c r="AA262" s="452"/>
      <c r="AB262" s="452"/>
      <c r="AC262" s="452"/>
      <c r="AD262" s="452"/>
      <c r="AE262" s="452"/>
      <c r="AF262" s="452"/>
      <c r="AG262" s="452"/>
      <c r="AH262" s="452"/>
      <c r="AI262" s="452"/>
      <c r="AJ262" s="452"/>
      <c r="AK262" s="452"/>
      <c r="AL262" s="452"/>
      <c r="AM262" s="452"/>
      <c r="AN262" s="452"/>
      <c r="AO262" s="452"/>
      <c r="AP262" s="452"/>
      <c r="AQ262" s="452"/>
      <c r="AR262" s="452"/>
      <c r="AS262" s="452"/>
      <c r="AT262" s="452"/>
      <c r="BU262" s="452"/>
      <c r="BV262" s="452"/>
      <c r="BW262" s="452"/>
      <c r="BX262" s="452"/>
      <c r="BY262" s="452"/>
    </row>
    <row r="263" spans="22:77">
      <c r="V263" s="452"/>
      <c r="W263" s="452"/>
      <c r="X263" s="452"/>
      <c r="Y263" s="452"/>
      <c r="Z263" s="452"/>
      <c r="AA263" s="452"/>
      <c r="AB263" s="452"/>
      <c r="AC263" s="452"/>
      <c r="AD263" s="452"/>
      <c r="AE263" s="452"/>
      <c r="AF263" s="452"/>
      <c r="AG263" s="452"/>
      <c r="AH263" s="452"/>
      <c r="AI263" s="452"/>
      <c r="AJ263" s="452"/>
      <c r="AK263" s="452"/>
      <c r="AL263" s="452"/>
      <c r="AM263" s="452"/>
      <c r="AN263" s="452"/>
      <c r="AO263" s="452"/>
      <c r="AP263" s="452"/>
      <c r="AQ263" s="452"/>
      <c r="AR263" s="452"/>
      <c r="AS263" s="452"/>
      <c r="AT263" s="452"/>
      <c r="BU263" s="452"/>
      <c r="BV263" s="452"/>
      <c r="BW263" s="452"/>
      <c r="BX263" s="452"/>
      <c r="BY263" s="452"/>
    </row>
    <row r="264" spans="22:77">
      <c r="V264" s="452"/>
      <c r="W264" s="452"/>
      <c r="X264" s="452"/>
      <c r="Y264" s="452"/>
      <c r="Z264" s="452"/>
      <c r="AA264" s="452"/>
      <c r="AB264" s="452"/>
      <c r="AC264" s="452"/>
      <c r="AD264" s="452"/>
      <c r="AE264" s="452"/>
      <c r="AF264" s="452"/>
      <c r="AG264" s="452"/>
      <c r="AH264" s="452"/>
      <c r="AI264" s="452"/>
      <c r="AJ264" s="452"/>
      <c r="AK264" s="452"/>
      <c r="AL264" s="452"/>
      <c r="AM264" s="452"/>
      <c r="AN264" s="452"/>
      <c r="AO264" s="452"/>
      <c r="AP264" s="452"/>
      <c r="AQ264" s="452"/>
      <c r="AR264" s="452"/>
      <c r="AS264" s="452"/>
      <c r="AT264" s="452"/>
      <c r="BU264" s="452"/>
      <c r="BV264" s="452"/>
      <c r="BW264" s="452"/>
      <c r="BX264" s="452"/>
      <c r="BY264" s="452"/>
    </row>
    <row r="265" spans="22:77">
      <c r="V265" s="452"/>
      <c r="W265" s="452"/>
      <c r="X265" s="452"/>
      <c r="Y265" s="452"/>
      <c r="Z265" s="452"/>
      <c r="AA265" s="452"/>
      <c r="AB265" s="452"/>
      <c r="AC265" s="452"/>
      <c r="AD265" s="452"/>
      <c r="AE265" s="452"/>
      <c r="AF265" s="452"/>
      <c r="AG265" s="452"/>
      <c r="AH265" s="452"/>
      <c r="AI265" s="452"/>
      <c r="AJ265" s="452"/>
      <c r="AK265" s="452"/>
      <c r="AL265" s="452"/>
      <c r="AM265" s="452"/>
      <c r="AN265" s="452"/>
      <c r="AO265" s="452"/>
      <c r="AP265" s="452"/>
      <c r="AQ265" s="452"/>
      <c r="AR265" s="452"/>
      <c r="AS265" s="452"/>
      <c r="AT265" s="452"/>
      <c r="BU265" s="452"/>
      <c r="BV265" s="452"/>
      <c r="BW265" s="452"/>
      <c r="BX265" s="452"/>
      <c r="BY265" s="452"/>
    </row>
    <row r="266" spans="22:77">
      <c r="V266" s="452"/>
      <c r="W266" s="452"/>
      <c r="X266" s="452"/>
      <c r="Y266" s="452"/>
      <c r="Z266" s="452"/>
      <c r="AA266" s="452"/>
      <c r="AB266" s="452"/>
      <c r="AC266" s="452"/>
      <c r="AD266" s="452"/>
      <c r="AE266" s="452"/>
      <c r="AF266" s="452"/>
      <c r="AG266" s="452"/>
      <c r="AH266" s="452"/>
      <c r="AI266" s="452"/>
      <c r="AJ266" s="452"/>
      <c r="AK266" s="452"/>
      <c r="AL266" s="452"/>
      <c r="AM266" s="452"/>
      <c r="AN266" s="452"/>
      <c r="AO266" s="452"/>
      <c r="AP266" s="452"/>
      <c r="AQ266" s="452"/>
      <c r="AR266" s="452"/>
      <c r="AS266" s="452"/>
      <c r="AT266" s="452"/>
      <c r="BU266" s="452"/>
      <c r="BV266" s="452"/>
      <c r="BW266" s="452"/>
      <c r="BX266" s="452"/>
      <c r="BY266" s="452"/>
    </row>
  </sheetData>
  <mergeCells count="52">
    <mergeCell ref="AH112:AH129"/>
    <mergeCell ref="AI129:AJ129"/>
    <mergeCell ref="AH93:AH110"/>
    <mergeCell ref="AI110:AJ110"/>
    <mergeCell ref="AH5:AJ5"/>
    <mergeCell ref="B87:C87"/>
    <mergeCell ref="A51:A68"/>
    <mergeCell ref="B68:C68"/>
    <mergeCell ref="A70:A87"/>
    <mergeCell ref="L70:L87"/>
    <mergeCell ref="L51:L68"/>
    <mergeCell ref="W51:W68"/>
    <mergeCell ref="L93:L110"/>
    <mergeCell ref="M110:N110"/>
    <mergeCell ref="L112:L128"/>
    <mergeCell ref="L131:L147"/>
    <mergeCell ref="M87:N87"/>
    <mergeCell ref="M68:N68"/>
    <mergeCell ref="W70:W87"/>
    <mergeCell ref="W93:W110"/>
    <mergeCell ref="X148:Y148"/>
    <mergeCell ref="A226:A242"/>
    <mergeCell ref="B110:C110"/>
    <mergeCell ref="A112:A128"/>
    <mergeCell ref="A131:A147"/>
    <mergeCell ref="A150:A166"/>
    <mergeCell ref="A93:A110"/>
    <mergeCell ref="A169:A185"/>
    <mergeCell ref="A188:A204"/>
    <mergeCell ref="A207:A223"/>
    <mergeCell ref="L169:L185"/>
    <mergeCell ref="L188:L204"/>
    <mergeCell ref="L207:L223"/>
    <mergeCell ref="L226:L242"/>
    <mergeCell ref="L150:L166"/>
    <mergeCell ref="W150:W167"/>
    <mergeCell ref="A4:A5"/>
    <mergeCell ref="X167:Y167"/>
    <mergeCell ref="W112:W129"/>
    <mergeCell ref="X243:Y243"/>
    <mergeCell ref="X186:Y186"/>
    <mergeCell ref="W188:W205"/>
    <mergeCell ref="X205:Y205"/>
    <mergeCell ref="W207:W224"/>
    <mergeCell ref="X224:Y224"/>
    <mergeCell ref="W169:W186"/>
    <mergeCell ref="W226:W243"/>
    <mergeCell ref="X110:Y110"/>
    <mergeCell ref="X68:Y68"/>
    <mergeCell ref="X87:Y87"/>
    <mergeCell ref="X129:Y129"/>
    <mergeCell ref="W131:W148"/>
  </mergeCells>
  <phoneticPr fontId="22" type="noConversion"/>
  <conditionalFormatting sqref="H2:P2">
    <cfRule type="expression" dxfId="1" priority="2">
      <formula>H1048573&lt;&gt;"Manual Input"</formula>
    </cfRule>
  </conditionalFormatting>
  <conditionalFormatting sqref="J2">
    <cfRule type="expression" dxfId="0" priority="1">
      <formula>J1048573="Lookup Table"</formula>
    </cfRule>
  </conditionalFormatting>
  <dataValidations disablePrompts="1" count="1">
    <dataValidation type="list" allowBlank="1" showInputMessage="1" showErrorMessage="1" sqref="AH5" xr:uid="{E81154BB-C7DB-467C-9F7B-AB46A415BB57}">
      <formula1>$Z$51:$AF$51</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B2B55-D51E-4409-B388-BEFB9BAF2055}">
  <sheetPr codeName="Sheet12">
    <tabColor rgb="FF7030A0"/>
  </sheetPr>
  <dimension ref="A1:T65"/>
  <sheetViews>
    <sheetView topLeftCell="A4" zoomScale="70" zoomScaleNormal="70" workbookViewId="0">
      <selection activeCell="F51" sqref="F51"/>
    </sheetView>
  </sheetViews>
  <sheetFormatPr defaultColWidth="9.1796875" defaultRowHeight="14.5"/>
  <cols>
    <col min="1" max="1" width="9.1796875" style="298"/>
    <col min="2" max="2" width="21.54296875" style="298" bestFit="1" customWidth="1"/>
    <col min="3" max="5" width="25.54296875" style="298" customWidth="1"/>
    <col min="6" max="6" width="17.453125" style="298" customWidth="1"/>
    <col min="7" max="7" width="16.81640625" style="298" customWidth="1"/>
    <col min="8" max="9" width="25.54296875" style="298" customWidth="1"/>
    <col min="10" max="10" width="9.1796875" style="298"/>
    <col min="11" max="11" width="28" style="298" bestFit="1" customWidth="1"/>
    <col min="12" max="12" width="10.54296875" style="298" bestFit="1" customWidth="1"/>
    <col min="13" max="19" width="9.1796875" style="298"/>
    <col min="20" max="20" width="10.1796875" style="298" bestFit="1" customWidth="1"/>
    <col min="21" max="16384" width="9.1796875" style="298"/>
  </cols>
  <sheetData>
    <row r="1" spans="1:20">
      <c r="A1" s="423"/>
      <c r="B1" s="423"/>
      <c r="C1" s="423"/>
      <c r="D1" s="423"/>
      <c r="E1" s="423"/>
      <c r="F1" s="423"/>
      <c r="G1" s="423"/>
      <c r="H1" s="423"/>
      <c r="I1" s="423"/>
      <c r="J1" s="423"/>
      <c r="K1" s="423"/>
      <c r="L1" s="423"/>
      <c r="M1" s="423"/>
      <c r="N1" s="423"/>
      <c r="O1" s="423"/>
      <c r="P1" s="423"/>
    </row>
    <row r="2" spans="1:20" ht="84" customHeight="1">
      <c r="A2" s="423"/>
      <c r="B2" s="423"/>
      <c r="C2" s="423"/>
      <c r="D2" s="423"/>
      <c r="E2" s="423"/>
      <c r="F2" s="423"/>
      <c r="G2" s="423"/>
      <c r="H2" s="423"/>
      <c r="I2" s="423"/>
      <c r="J2" s="423"/>
      <c r="K2" s="423"/>
      <c r="L2" s="423"/>
      <c r="M2" s="423"/>
      <c r="N2" s="423"/>
      <c r="O2" s="423"/>
      <c r="P2" s="423"/>
      <c r="Q2" s="423"/>
      <c r="R2" s="423"/>
      <c r="S2" s="423"/>
      <c r="T2" s="423"/>
    </row>
    <row r="3" spans="1:20" ht="52" customHeight="1" thickBot="1">
      <c r="A3" s="423"/>
      <c r="B3" s="423"/>
      <c r="C3" s="423"/>
      <c r="D3" s="423"/>
      <c r="E3" s="423"/>
      <c r="F3" s="423"/>
      <c r="G3" s="423"/>
      <c r="H3" s="423"/>
      <c r="I3" s="423"/>
      <c r="J3" s="423"/>
      <c r="K3" s="423"/>
      <c r="L3" s="423"/>
      <c r="M3" s="423"/>
      <c r="N3" s="423"/>
      <c r="O3" s="423"/>
      <c r="P3" s="423"/>
      <c r="Q3" s="423"/>
      <c r="R3" s="423"/>
      <c r="S3" s="423"/>
      <c r="T3" s="423"/>
    </row>
    <row r="4" spans="1:20" ht="21.5" thickBot="1">
      <c r="A4" s="423"/>
      <c r="B4" s="423"/>
      <c r="C4" s="423"/>
      <c r="D4" s="423"/>
      <c r="F4" s="1167" t="s">
        <v>3</v>
      </c>
      <c r="G4" s="1168"/>
      <c r="I4" s="423"/>
      <c r="J4" s="423"/>
      <c r="K4" s="423"/>
      <c r="L4" s="423"/>
      <c r="M4" s="423"/>
      <c r="N4" s="423"/>
      <c r="O4" s="423"/>
      <c r="P4" s="423"/>
      <c r="Q4" s="423"/>
      <c r="R4" s="423"/>
      <c r="S4" s="423"/>
      <c r="T4" s="423"/>
    </row>
    <row r="5" spans="1:20" ht="42">
      <c r="B5" s="351"/>
      <c r="C5" s="352" t="s">
        <v>454</v>
      </c>
      <c r="D5" s="354" t="s">
        <v>529</v>
      </c>
      <c r="E5" s="354" t="s">
        <v>530</v>
      </c>
      <c r="F5" s="355" t="s">
        <v>523</v>
      </c>
      <c r="G5" s="355" t="s">
        <v>445</v>
      </c>
      <c r="H5" s="973" t="s">
        <v>414</v>
      </c>
      <c r="I5" s="357" t="s">
        <v>413</v>
      </c>
      <c r="J5" s="423"/>
      <c r="K5" s="423"/>
      <c r="L5" s="423"/>
      <c r="M5" s="423"/>
      <c r="N5" s="423"/>
      <c r="O5" s="423"/>
      <c r="P5" s="423"/>
      <c r="Q5" s="423"/>
      <c r="R5" s="423"/>
      <c r="S5" s="423"/>
      <c r="T5" s="423"/>
    </row>
    <row r="6" spans="1:20" ht="22" customHeight="1">
      <c r="A6" s="423"/>
      <c r="B6" s="775" t="s">
        <v>438</v>
      </c>
      <c r="C6" s="776">
        <f>'Cash flow Analysis'!O110</f>
        <v>134772.82276765615</v>
      </c>
      <c r="D6" s="777">
        <f>'Cash flow Analysis'!P110</f>
        <v>156242.96003482855</v>
      </c>
      <c r="E6" s="777">
        <f>'Cash flow Analysis'!Q110</f>
        <v>163399.67245721936</v>
      </c>
      <c r="F6" s="777">
        <f>'Cash flow Analysis'!R110</f>
        <v>150538.1958953827</v>
      </c>
      <c r="G6" s="777">
        <f>'Cash flow Analysis'!S110</f>
        <v>212525.98136703076</v>
      </c>
      <c r="H6" s="777">
        <f ca="1">'Cash flow Analysis'!T110</f>
        <v>213563.65749058002</v>
      </c>
      <c r="I6" s="778">
        <f ca="1">'Cash flow Analysis'!U110</f>
        <v>154107.73025976686</v>
      </c>
      <c r="J6" s="423"/>
      <c r="K6" s="423"/>
      <c r="L6" s="423"/>
      <c r="M6" s="423"/>
      <c r="N6" s="423"/>
      <c r="O6" s="423"/>
      <c r="P6" s="423"/>
      <c r="Q6" s="423"/>
      <c r="R6" s="423"/>
      <c r="S6" s="423"/>
      <c r="T6" s="423"/>
    </row>
    <row r="7" spans="1:20" ht="22" customHeight="1">
      <c r="A7" s="423"/>
      <c r="B7" s="779" t="s">
        <v>439</v>
      </c>
      <c r="C7" s="776">
        <f ca="1">'Cash flow Analysis'!O129</f>
        <v>213208.20869353539</v>
      </c>
      <c r="D7" s="777">
        <f ca="1">'Cash flow Analysis'!P129</f>
        <v>220540.8714880723</v>
      </c>
      <c r="E7" s="777">
        <f ca="1">'Cash flow Analysis'!Q129</f>
        <v>264044.83752493805</v>
      </c>
      <c r="F7" s="777">
        <f>'Cash flow Analysis'!R129</f>
        <v>264467.35983198235</v>
      </c>
      <c r="G7" s="777">
        <f>'Cash flow Analysis'!S129</f>
        <v>248951.23045474305</v>
      </c>
      <c r="H7" s="777">
        <f>'Cash flow Analysis'!T129</f>
        <v>352038.83491472201</v>
      </c>
      <c r="I7" s="778">
        <f>'Cash flow Analysis'!U129</f>
        <v>397956.94381664245</v>
      </c>
      <c r="J7" s="423"/>
      <c r="K7" s="423"/>
      <c r="L7" s="423"/>
      <c r="M7" s="423"/>
      <c r="N7" s="423"/>
      <c r="O7" s="423"/>
      <c r="P7" s="423"/>
      <c r="Q7" s="423"/>
      <c r="R7" s="423"/>
      <c r="S7" s="423"/>
      <c r="T7" s="423"/>
    </row>
    <row r="8" spans="1:20" ht="22" customHeight="1">
      <c r="A8" s="423"/>
      <c r="B8" s="779" t="s">
        <v>440</v>
      </c>
      <c r="C8" s="776">
        <f>'Cash flow Analysis'!O148</f>
        <v>0</v>
      </c>
      <c r="D8" s="777">
        <f>'Cash flow Analysis'!P148</f>
        <v>12158.215108383969</v>
      </c>
      <c r="E8" s="777">
        <f>'Cash flow Analysis'!Q148</f>
        <v>26202.655708682632</v>
      </c>
      <c r="F8" s="777">
        <f>'Cash flow Analysis'!R148</f>
        <v>59225.236175298523</v>
      </c>
      <c r="G8" s="777">
        <f>'Cash flow Analysis'!S148</f>
        <v>60113.614717927994</v>
      </c>
      <c r="H8" s="777">
        <f>'Cash flow Analysis'!T148</f>
        <v>0</v>
      </c>
      <c r="I8" s="778">
        <f>'Cash flow Analysis'!U148</f>
        <v>0</v>
      </c>
      <c r="J8" s="423"/>
      <c r="K8" s="423"/>
      <c r="L8" s="423"/>
      <c r="M8" s="423"/>
      <c r="N8" s="423"/>
      <c r="O8" s="423"/>
      <c r="P8" s="423"/>
      <c r="Q8" s="423"/>
      <c r="R8" s="423"/>
      <c r="S8" s="423"/>
      <c r="T8" s="423"/>
    </row>
    <row r="9" spans="1:20" ht="22" customHeight="1">
      <c r="A9" s="423"/>
      <c r="B9" s="779" t="s">
        <v>442</v>
      </c>
      <c r="C9" s="776">
        <f>'Cash flow Analysis'!O205</f>
        <v>57058.063735793796</v>
      </c>
      <c r="D9" s="777">
        <f>'Cash flow Analysis'!P205</f>
        <v>59570.034133692548</v>
      </c>
      <c r="E9" s="777">
        <f>'Cash flow Analysis'!Q205</f>
        <v>60407.357599658797</v>
      </c>
      <c r="F9" s="777">
        <f>'Cash flow Analysis'!R205</f>
        <v>58902.58620511349</v>
      </c>
      <c r="G9" s="777">
        <f>'Cash flow Analysis'!S205</f>
        <v>66155.054142249544</v>
      </c>
      <c r="H9" s="777">
        <f ca="1">'Cash flow Analysis'!T205</f>
        <v>66276.460525102419</v>
      </c>
      <c r="I9" s="778">
        <f ca="1">'Cash flow Analysis'!U205</f>
        <v>59320.215796672965</v>
      </c>
      <c r="J9" s="423"/>
      <c r="K9" s="423"/>
      <c r="L9" s="423"/>
      <c r="M9" s="423"/>
      <c r="N9" s="423"/>
      <c r="O9" s="423"/>
      <c r="P9" s="423"/>
      <c r="Q9" s="423"/>
      <c r="R9" s="423"/>
      <c r="S9" s="423"/>
      <c r="T9" s="423"/>
    </row>
    <row r="10" spans="1:20" ht="22" customHeight="1">
      <c r="A10" s="423"/>
      <c r="B10" s="779" t="s">
        <v>483</v>
      </c>
      <c r="C10" s="776">
        <f>'Cash flow Analysis'!O167</f>
        <v>119488.98942017501</v>
      </c>
      <c r="D10" s="777">
        <f>'Cash flow Analysis'!P167</f>
        <v>136645.4483424194</v>
      </c>
      <c r="E10" s="777">
        <f>'Cash flow Analysis'!Q167</f>
        <v>142523.82361020017</v>
      </c>
      <c r="F10" s="777">
        <f>'Cash flow Analysis'!R167</f>
        <v>90019.166122763971</v>
      </c>
      <c r="G10" s="777">
        <f>'Cash flow Analysis'!S167</f>
        <v>100648.11415574618</v>
      </c>
      <c r="H10" s="777">
        <f>'Cash flow Analysis'!T167</f>
        <v>109780.59284078539</v>
      </c>
      <c r="I10" s="778">
        <f>'Cash flow Analysis'!U167</f>
        <v>121655.88819204345</v>
      </c>
      <c r="J10" s="423"/>
      <c r="K10" s="423"/>
      <c r="L10" s="423"/>
      <c r="M10" s="423"/>
      <c r="N10" s="423"/>
      <c r="O10" s="423"/>
      <c r="P10" s="423"/>
      <c r="Q10" s="423"/>
      <c r="R10" s="423"/>
      <c r="S10" s="423"/>
      <c r="T10" s="423"/>
    </row>
    <row r="11" spans="1:20" ht="22" customHeight="1">
      <c r="A11" s="423"/>
      <c r="B11" s="779" t="s">
        <v>441</v>
      </c>
      <c r="C11" s="776">
        <f>'Cash flow Analysis'!O186</f>
        <v>0</v>
      </c>
      <c r="D11" s="777">
        <f>'Cash flow Analysis'!P186</f>
        <v>0</v>
      </c>
      <c r="E11" s="777">
        <f>'Cash flow Analysis'!Q186</f>
        <v>0</v>
      </c>
      <c r="F11" s="777">
        <f>'Cash flow Analysis'!R186</f>
        <v>0</v>
      </c>
      <c r="G11" s="777">
        <f>'Cash flow Analysis'!S186</f>
        <v>0</v>
      </c>
      <c r="H11" s="777">
        <f>'Cash flow Analysis'!T186</f>
        <v>0</v>
      </c>
      <c r="I11" s="778">
        <f>'Cash flow Analysis'!U186</f>
        <v>0</v>
      </c>
      <c r="J11" s="423"/>
      <c r="K11" s="423"/>
      <c r="L11" s="423"/>
      <c r="M11" s="423"/>
      <c r="N11" s="423"/>
      <c r="O11" s="423"/>
      <c r="P11" s="423"/>
      <c r="Q11" s="423"/>
      <c r="R11" s="423"/>
      <c r="S11" s="423"/>
      <c r="T11" s="423"/>
    </row>
    <row r="12" spans="1:20" ht="22" customHeight="1">
      <c r="A12" s="423"/>
      <c r="B12" s="779" t="s">
        <v>443</v>
      </c>
      <c r="C12" s="776">
        <f>'Cash flow Analysis'!O224</f>
        <v>0</v>
      </c>
      <c r="D12" s="777">
        <f>'Cash flow Analysis'!P224</f>
        <v>14170.716922210595</v>
      </c>
      <c r="E12" s="777">
        <f>'Cash flow Analysis'!Q224</f>
        <v>20852.144338608829</v>
      </c>
      <c r="F12" s="777">
        <f>'Cash flow Analysis'!R224</f>
        <v>151380.43324025575</v>
      </c>
      <c r="G12" s="777">
        <f>'Cash flow Analysis'!S224</f>
        <v>83988.085938911914</v>
      </c>
      <c r="H12" s="777">
        <f>'Cash flow Analysis'!T224</f>
        <v>2845.1203721189172</v>
      </c>
      <c r="I12" s="778">
        <f>'Cash flow Analysis'!U224</f>
        <v>6761.7432845010453</v>
      </c>
      <c r="J12" s="423"/>
      <c r="K12" s="423"/>
      <c r="L12" s="423"/>
      <c r="M12" s="423"/>
      <c r="N12" s="423"/>
      <c r="O12" s="423"/>
      <c r="P12" s="423"/>
      <c r="Q12" s="423"/>
      <c r="R12" s="423"/>
      <c r="S12" s="423"/>
      <c r="T12" s="423"/>
    </row>
    <row r="13" spans="1:20" ht="22" customHeight="1">
      <c r="A13" s="423"/>
      <c r="B13" s="779" t="s">
        <v>444</v>
      </c>
      <c r="C13" s="776">
        <f>'Cash flow Analysis'!O243</f>
        <v>157952.91912472816</v>
      </c>
      <c r="D13" s="777">
        <f>'Cash flow Analysis'!P243</f>
        <v>90437.20889231503</v>
      </c>
      <c r="E13" s="777">
        <f>'Cash flow Analysis'!Q243</f>
        <v>38406.721650281732</v>
      </c>
      <c r="F13" s="777">
        <f>'Cash flow Analysis'!R243</f>
        <v>136293.20702930889</v>
      </c>
      <c r="G13" s="777">
        <f>'Cash flow Analysis'!S243</f>
        <v>138337.60513474853</v>
      </c>
      <c r="H13" s="777">
        <f>'Cash flow Analysis'!T243</f>
        <v>49440.529714079079</v>
      </c>
      <c r="I13" s="778">
        <f>'Cash flow Analysis'!U243</f>
        <v>55889.294459393765</v>
      </c>
      <c r="J13" s="423"/>
      <c r="K13" s="423"/>
      <c r="L13" s="423"/>
      <c r="M13" s="423"/>
      <c r="N13" s="423"/>
      <c r="O13" s="423"/>
      <c r="P13" s="423"/>
      <c r="Q13" s="423"/>
      <c r="R13" s="423"/>
      <c r="S13" s="423"/>
      <c r="T13" s="423"/>
    </row>
    <row r="14" spans="1:20" ht="22" customHeight="1" thickBot="1">
      <c r="A14" s="423"/>
      <c r="B14" s="780" t="s">
        <v>437</v>
      </c>
      <c r="C14" s="781">
        <f t="shared" ref="C14:I14" ca="1" si="0">SUM(C6:C13)</f>
        <v>682481.00374188856</v>
      </c>
      <c r="D14" s="781">
        <f t="shared" ca="1" si="0"/>
        <v>689765.45492192241</v>
      </c>
      <c r="E14" s="781">
        <f t="shared" ca="1" si="0"/>
        <v>715837.21288958949</v>
      </c>
      <c r="F14" s="781">
        <f t="shared" si="0"/>
        <v>910826.18450010568</v>
      </c>
      <c r="G14" s="781">
        <f t="shared" si="0"/>
        <v>910719.68591135787</v>
      </c>
      <c r="H14" s="781">
        <f t="shared" ca="1" si="0"/>
        <v>793945.19585738785</v>
      </c>
      <c r="I14" s="782">
        <f t="shared" ca="1" si="0"/>
        <v>795691.81580902042</v>
      </c>
      <c r="J14" s="423"/>
      <c r="K14" s="423"/>
      <c r="L14" s="423"/>
      <c r="M14" s="423"/>
      <c r="N14" s="423"/>
      <c r="O14" s="423"/>
      <c r="P14" s="423"/>
      <c r="Q14" s="423"/>
      <c r="R14" s="423"/>
      <c r="S14" s="423"/>
      <c r="T14" s="423"/>
    </row>
    <row r="15" spans="1:20">
      <c r="A15" s="423"/>
      <c r="B15" s="423"/>
      <c r="C15" s="423"/>
      <c r="D15" s="423"/>
      <c r="E15" s="423"/>
      <c r="F15" s="423"/>
      <c r="G15" s="423"/>
      <c r="H15" s="423"/>
      <c r="I15" s="423"/>
      <c r="J15" s="423"/>
      <c r="K15" s="423"/>
      <c r="L15" s="423"/>
      <c r="M15" s="423"/>
      <c r="N15" s="423"/>
      <c r="O15" s="423"/>
      <c r="P15" s="423"/>
      <c r="Q15" s="423"/>
      <c r="R15" s="423"/>
      <c r="S15" s="423"/>
      <c r="T15" s="423"/>
    </row>
    <row r="16" spans="1:20">
      <c r="A16" s="423"/>
      <c r="B16" s="423"/>
      <c r="C16" s="423"/>
      <c r="D16" s="423"/>
      <c r="E16" s="423"/>
      <c r="F16" s="423"/>
      <c r="G16" s="423"/>
      <c r="H16" s="423"/>
      <c r="I16" s="423"/>
      <c r="J16" s="423"/>
      <c r="K16" s="423"/>
      <c r="L16" s="423"/>
      <c r="M16" s="423"/>
      <c r="N16" s="423"/>
      <c r="O16" s="423"/>
      <c r="P16" s="423"/>
      <c r="Q16" s="423"/>
      <c r="R16" s="423"/>
      <c r="S16" s="423"/>
      <c r="T16" s="423"/>
    </row>
    <row r="17" spans="1:20">
      <c r="A17" s="423"/>
      <c r="B17" s="423"/>
      <c r="C17" s="423"/>
      <c r="D17" s="423"/>
      <c r="E17" s="423"/>
      <c r="F17" s="423"/>
      <c r="G17" s="423"/>
      <c r="H17" s="423"/>
      <c r="I17" s="423"/>
      <c r="J17" s="423"/>
      <c r="K17" s="423"/>
      <c r="L17" s="423"/>
      <c r="M17" s="423"/>
      <c r="N17" s="423"/>
      <c r="O17" s="423"/>
      <c r="P17" s="423"/>
      <c r="Q17" s="423"/>
      <c r="R17" s="423"/>
      <c r="S17" s="423"/>
      <c r="T17" s="423"/>
    </row>
    <row r="18" spans="1:20">
      <c r="A18" s="423"/>
      <c r="B18" s="423"/>
      <c r="C18" s="423"/>
      <c r="D18" s="423"/>
      <c r="E18" s="423"/>
      <c r="F18" s="423"/>
      <c r="G18" s="423"/>
      <c r="H18" s="423"/>
      <c r="I18" s="423"/>
      <c r="J18" s="423"/>
      <c r="K18" s="423"/>
      <c r="L18" s="423"/>
      <c r="M18" s="423"/>
      <c r="N18" s="423"/>
      <c r="O18" s="423"/>
      <c r="P18" s="423"/>
      <c r="Q18" s="423"/>
      <c r="R18" s="423"/>
      <c r="S18" s="423"/>
      <c r="T18" s="423"/>
    </row>
    <row r="19" spans="1:20">
      <c r="A19" s="423"/>
      <c r="B19" s="423"/>
      <c r="C19" s="423"/>
      <c r="D19" s="423"/>
      <c r="E19" s="423"/>
      <c r="F19" s="423"/>
      <c r="G19" s="423"/>
      <c r="H19" s="423"/>
      <c r="I19" s="423"/>
      <c r="J19" s="423"/>
      <c r="K19" s="423"/>
      <c r="L19" s="423"/>
      <c r="M19" s="423"/>
      <c r="N19" s="423"/>
      <c r="O19" s="423"/>
      <c r="P19" s="423"/>
      <c r="Q19" s="423"/>
      <c r="R19" s="423"/>
      <c r="S19" s="423"/>
      <c r="T19" s="423"/>
    </row>
    <row r="20" spans="1:20" ht="21" customHeight="1">
      <c r="A20" s="423"/>
      <c r="B20" s="423"/>
      <c r="C20" s="423"/>
      <c r="D20" s="423"/>
      <c r="E20" s="423"/>
      <c r="F20" s="423"/>
      <c r="G20" s="423"/>
      <c r="H20" s="423"/>
      <c r="I20" s="423"/>
      <c r="J20" s="423"/>
      <c r="K20" s="423"/>
      <c r="L20" s="423"/>
      <c r="M20" s="423"/>
      <c r="N20" s="423"/>
      <c r="O20" s="423"/>
      <c r="P20" s="423"/>
      <c r="Q20" s="423"/>
      <c r="R20" s="423"/>
      <c r="S20" s="423"/>
      <c r="T20" s="423"/>
    </row>
    <row r="21" spans="1:20" ht="21" customHeight="1">
      <c r="A21" s="423"/>
      <c r="B21" s="423"/>
      <c r="C21" s="423"/>
      <c r="D21" s="423"/>
      <c r="E21" s="423"/>
      <c r="F21" s="423"/>
      <c r="G21" s="423"/>
      <c r="H21" s="423"/>
      <c r="I21" s="423"/>
      <c r="J21" s="423"/>
      <c r="K21" s="423"/>
      <c r="L21" s="423"/>
      <c r="M21" s="423"/>
      <c r="N21" s="423"/>
      <c r="O21" s="423"/>
      <c r="P21" s="423"/>
      <c r="Q21" s="423"/>
      <c r="R21" s="423"/>
      <c r="S21" s="423"/>
      <c r="T21" s="423"/>
    </row>
    <row r="22" spans="1:20" ht="21" customHeight="1">
      <c r="A22" s="423"/>
      <c r="B22" s="423"/>
      <c r="C22" s="423"/>
      <c r="D22" s="423"/>
      <c r="E22" s="423"/>
      <c r="F22" s="423"/>
      <c r="G22" s="423"/>
      <c r="H22" s="423"/>
      <c r="I22" s="423"/>
      <c r="J22" s="423"/>
      <c r="K22" s="423"/>
      <c r="L22" s="423"/>
      <c r="M22" s="423"/>
      <c r="N22" s="423"/>
      <c r="O22" s="423"/>
      <c r="P22" s="423"/>
      <c r="Q22" s="423"/>
      <c r="R22" s="423"/>
      <c r="S22" s="423"/>
      <c r="T22" s="423"/>
    </row>
    <row r="23" spans="1:20" ht="21" customHeight="1">
      <c r="A23" s="423"/>
      <c r="B23" s="423"/>
      <c r="C23" s="423"/>
      <c r="D23" s="423"/>
      <c r="E23" s="423"/>
      <c r="F23" s="423"/>
      <c r="G23" s="423"/>
      <c r="H23" s="423"/>
      <c r="I23" s="423"/>
      <c r="J23" s="423"/>
      <c r="K23" s="423"/>
      <c r="L23" s="423"/>
      <c r="M23" s="423"/>
      <c r="N23" s="423"/>
      <c r="O23" s="423"/>
      <c r="P23" s="423"/>
      <c r="Q23" s="423"/>
      <c r="R23" s="423" t="s">
        <v>485</v>
      </c>
      <c r="S23" s="423"/>
      <c r="T23" s="423"/>
    </row>
    <row r="24" spans="1:20" ht="21" customHeight="1">
      <c r="A24" s="423"/>
      <c r="B24" s="423"/>
      <c r="C24" s="423"/>
      <c r="D24" s="423"/>
      <c r="E24" s="423"/>
      <c r="F24" s="423"/>
      <c r="G24" s="423"/>
      <c r="H24" s="423"/>
      <c r="I24" s="423"/>
      <c r="J24" s="423"/>
      <c r="K24" s="423"/>
      <c r="L24" s="423"/>
      <c r="M24" s="423"/>
      <c r="N24" s="423"/>
      <c r="O24" s="423"/>
      <c r="P24" s="423"/>
      <c r="Q24" s="423"/>
      <c r="R24" s="423"/>
      <c r="S24" s="423"/>
      <c r="T24" s="423"/>
    </row>
    <row r="25" spans="1:20" ht="21" customHeight="1">
      <c r="A25" s="423"/>
      <c r="B25" s="423"/>
      <c r="C25" s="423"/>
      <c r="D25" s="423"/>
      <c r="E25" s="423"/>
      <c r="F25" s="423"/>
      <c r="G25" s="423"/>
      <c r="H25" s="423"/>
      <c r="I25" s="423"/>
      <c r="J25" s="423"/>
      <c r="K25" s="423"/>
      <c r="L25" s="423"/>
      <c r="M25" s="423"/>
      <c r="N25" s="423"/>
      <c r="O25" s="423"/>
      <c r="P25" s="423"/>
      <c r="Q25" s="423"/>
      <c r="R25" s="423"/>
      <c r="S25" s="423"/>
      <c r="T25" s="423"/>
    </row>
    <row r="26" spans="1:20" ht="21" customHeight="1">
      <c r="A26" s="423"/>
      <c r="B26" s="423"/>
      <c r="C26" s="423"/>
      <c r="D26" s="423"/>
      <c r="E26" s="423"/>
      <c r="F26" s="423"/>
      <c r="G26" s="423"/>
      <c r="H26" s="423"/>
      <c r="I26" s="423"/>
      <c r="J26" s="423"/>
      <c r="K26" s="423"/>
      <c r="L26" s="423"/>
      <c r="M26" s="423"/>
      <c r="N26" s="423"/>
      <c r="O26" s="423"/>
      <c r="P26" s="423"/>
      <c r="Q26" s="423"/>
      <c r="R26" s="423"/>
      <c r="S26" s="423"/>
      <c r="T26" s="423"/>
    </row>
    <row r="27" spans="1:20">
      <c r="A27" s="423"/>
      <c r="B27" s="423"/>
      <c r="C27" s="423"/>
      <c r="D27" s="423"/>
      <c r="E27" s="423"/>
      <c r="F27" s="423"/>
      <c r="G27" s="423"/>
      <c r="H27" s="423"/>
      <c r="I27" s="423"/>
      <c r="J27" s="423"/>
      <c r="K27" s="423"/>
      <c r="L27" s="423"/>
      <c r="M27" s="423"/>
      <c r="N27" s="423"/>
      <c r="O27" s="423"/>
      <c r="P27" s="423"/>
      <c r="Q27" s="423"/>
      <c r="R27" s="423"/>
      <c r="S27" s="423"/>
      <c r="T27" s="423"/>
    </row>
    <row r="28" spans="1:20">
      <c r="A28" s="423"/>
      <c r="B28" s="423"/>
      <c r="C28" s="423"/>
      <c r="D28" s="423"/>
      <c r="E28" s="423"/>
      <c r="F28" s="423"/>
      <c r="G28" s="423"/>
      <c r="H28" s="423"/>
      <c r="I28" s="423"/>
      <c r="J28" s="423"/>
      <c r="K28" s="423"/>
      <c r="L28" s="423"/>
      <c r="M28" s="423"/>
      <c r="N28" s="423"/>
      <c r="O28" s="423"/>
      <c r="P28" s="423"/>
      <c r="Q28" s="423"/>
      <c r="R28" s="423"/>
      <c r="S28" s="423"/>
      <c r="T28" s="423"/>
    </row>
    <row r="29" spans="1:20">
      <c r="A29" s="423"/>
      <c r="B29" s="423"/>
      <c r="C29" s="423"/>
      <c r="D29" s="423"/>
      <c r="E29" s="423"/>
      <c r="F29" s="423"/>
      <c r="G29" s="423"/>
      <c r="H29" s="423"/>
      <c r="I29" s="423"/>
      <c r="J29" s="423"/>
      <c r="K29" s="423"/>
      <c r="L29" s="423"/>
      <c r="M29" s="423"/>
      <c r="N29" s="423"/>
      <c r="O29" s="423"/>
      <c r="P29" s="423"/>
      <c r="Q29" s="423"/>
      <c r="R29" s="423"/>
      <c r="S29" s="423"/>
      <c r="T29" s="423"/>
    </row>
    <row r="30" spans="1:20">
      <c r="A30" s="423"/>
      <c r="B30" s="423"/>
      <c r="C30" s="423"/>
      <c r="D30" s="423"/>
      <c r="E30" s="423"/>
      <c r="F30" s="423"/>
      <c r="G30" s="423"/>
      <c r="H30" s="423"/>
      <c r="I30" s="423"/>
      <c r="J30" s="423"/>
      <c r="K30" s="423"/>
      <c r="L30" s="423"/>
      <c r="M30" s="423"/>
      <c r="N30" s="423"/>
      <c r="O30" s="423"/>
      <c r="P30" s="423"/>
      <c r="Q30" s="423"/>
      <c r="R30" s="423"/>
      <c r="S30" s="423"/>
      <c r="T30" s="423"/>
    </row>
    <row r="31" spans="1:20">
      <c r="A31" s="423"/>
      <c r="B31" s="423"/>
      <c r="C31" s="423"/>
      <c r="D31" s="423"/>
      <c r="E31" s="423"/>
      <c r="F31" s="423"/>
      <c r="G31" s="423"/>
      <c r="H31" s="423"/>
      <c r="I31" s="423"/>
      <c r="J31" s="423"/>
      <c r="K31" s="423"/>
      <c r="L31" s="423"/>
      <c r="M31" s="423"/>
      <c r="N31" s="423"/>
      <c r="O31" s="423"/>
      <c r="P31" s="423"/>
      <c r="Q31" s="423"/>
      <c r="R31" s="423"/>
      <c r="S31" s="423"/>
      <c r="T31" s="423"/>
    </row>
    <row r="32" spans="1:20">
      <c r="A32" s="423"/>
      <c r="B32" s="423"/>
      <c r="C32" s="423"/>
      <c r="D32" s="423"/>
      <c r="E32" s="423"/>
      <c r="F32" s="423"/>
      <c r="G32" s="423"/>
      <c r="H32" s="423"/>
      <c r="I32" s="423"/>
      <c r="J32" s="423"/>
      <c r="K32" s="423"/>
      <c r="L32" s="423"/>
      <c r="M32" s="423"/>
      <c r="N32" s="423"/>
      <c r="O32" s="423"/>
      <c r="P32" s="423"/>
      <c r="Q32" s="423"/>
      <c r="R32" s="423"/>
      <c r="S32" s="423"/>
      <c r="T32" s="423"/>
    </row>
    <row r="33" spans="1:20">
      <c r="A33" s="423"/>
      <c r="B33" s="423"/>
      <c r="C33" s="423"/>
      <c r="D33" s="423"/>
      <c r="E33" s="423"/>
      <c r="F33" s="423"/>
      <c r="G33" s="423"/>
      <c r="H33" s="423"/>
      <c r="I33" s="423"/>
      <c r="J33" s="423"/>
      <c r="K33" s="423"/>
      <c r="L33" s="423"/>
      <c r="M33" s="423"/>
      <c r="N33" s="423"/>
      <c r="O33" s="423"/>
      <c r="P33" s="423"/>
      <c r="Q33" s="423"/>
      <c r="R33" s="423"/>
      <c r="S33" s="423"/>
      <c r="T33" s="423"/>
    </row>
    <row r="34" spans="1:20">
      <c r="A34" s="423"/>
      <c r="B34" s="423"/>
      <c r="C34" s="423"/>
      <c r="D34" s="423"/>
      <c r="E34" s="423"/>
      <c r="F34" s="423"/>
      <c r="G34" s="423"/>
      <c r="H34" s="423"/>
      <c r="I34" s="423"/>
      <c r="J34" s="423"/>
      <c r="K34" s="423"/>
      <c r="L34" s="423"/>
      <c r="M34" s="423"/>
      <c r="N34" s="423"/>
      <c r="O34" s="423"/>
      <c r="P34" s="423"/>
      <c r="Q34" s="423"/>
      <c r="R34" s="423"/>
      <c r="S34" s="423"/>
      <c r="T34" s="423"/>
    </row>
    <row r="35" spans="1:20">
      <c r="A35" s="423"/>
      <c r="B35" s="423"/>
      <c r="C35" s="423"/>
      <c r="D35" s="423"/>
      <c r="E35" s="423"/>
      <c r="F35" s="423"/>
      <c r="G35" s="423"/>
      <c r="H35" s="423"/>
      <c r="I35" s="423"/>
      <c r="J35" s="423"/>
      <c r="K35" s="423"/>
      <c r="L35" s="423"/>
      <c r="M35" s="423"/>
      <c r="N35" s="423"/>
      <c r="O35" s="423"/>
      <c r="P35" s="423"/>
      <c r="Q35" s="423"/>
      <c r="R35" s="423"/>
      <c r="S35" s="423"/>
      <c r="T35" s="423"/>
    </row>
    <row r="36" spans="1:20">
      <c r="A36" s="423"/>
      <c r="B36" s="423"/>
      <c r="C36" s="423"/>
      <c r="D36" s="423"/>
      <c r="E36" s="423"/>
      <c r="F36" s="423"/>
      <c r="G36" s="423"/>
      <c r="H36" s="423"/>
      <c r="I36" s="423"/>
      <c r="J36" s="423"/>
      <c r="K36" s="423"/>
      <c r="L36" s="423"/>
      <c r="M36" s="423"/>
      <c r="N36" s="423"/>
      <c r="O36" s="423"/>
      <c r="P36" s="423"/>
      <c r="Q36" s="423"/>
      <c r="R36" s="423"/>
      <c r="S36" s="423"/>
      <c r="T36" s="423"/>
    </row>
    <row r="37" spans="1:20">
      <c r="A37" s="423"/>
      <c r="B37" s="423"/>
      <c r="C37" s="423"/>
      <c r="D37" s="423"/>
      <c r="E37" s="423"/>
      <c r="F37" s="423"/>
      <c r="G37" s="423"/>
      <c r="H37" s="423"/>
      <c r="I37" s="423"/>
      <c r="J37" s="423"/>
      <c r="K37" s="423"/>
      <c r="L37" s="423"/>
      <c r="M37" s="423"/>
      <c r="N37" s="423"/>
      <c r="O37" s="423"/>
      <c r="P37" s="423"/>
      <c r="Q37" s="423"/>
      <c r="R37" s="423"/>
      <c r="S37" s="423"/>
      <c r="T37" s="423"/>
    </row>
    <row r="38" spans="1:20">
      <c r="A38" s="423"/>
      <c r="B38" s="423"/>
      <c r="C38" s="423"/>
      <c r="D38" s="423"/>
      <c r="E38" s="423"/>
      <c r="F38" s="423"/>
      <c r="G38" s="423"/>
      <c r="H38" s="423"/>
      <c r="I38" s="423"/>
      <c r="J38" s="423"/>
      <c r="K38" s="423"/>
      <c r="L38" s="423"/>
      <c r="M38" s="423"/>
      <c r="N38" s="423"/>
      <c r="O38" s="423"/>
      <c r="P38" s="423"/>
      <c r="Q38" s="423"/>
      <c r="R38" s="423"/>
      <c r="S38" s="423"/>
      <c r="T38" s="423"/>
    </row>
    <row r="39" spans="1:20">
      <c r="A39" s="423"/>
      <c r="B39" s="423"/>
      <c r="C39" s="423"/>
      <c r="D39" s="423"/>
      <c r="E39" s="423"/>
      <c r="F39" s="423"/>
      <c r="G39" s="423"/>
      <c r="H39" s="423"/>
      <c r="I39" s="423"/>
      <c r="J39" s="423"/>
      <c r="K39" s="423"/>
      <c r="L39" s="423"/>
      <c r="M39" s="423"/>
      <c r="N39" s="423"/>
      <c r="O39" s="423"/>
      <c r="P39" s="423"/>
      <c r="Q39" s="423"/>
      <c r="R39" s="423"/>
      <c r="S39" s="423"/>
      <c r="T39" s="423"/>
    </row>
    <row r="40" spans="1:20">
      <c r="A40" s="423"/>
      <c r="B40" s="423"/>
      <c r="C40" s="423"/>
      <c r="D40" s="423"/>
      <c r="E40" s="423"/>
      <c r="F40" s="423"/>
      <c r="G40" s="423"/>
      <c r="H40" s="423"/>
      <c r="I40" s="423"/>
      <c r="J40" s="423"/>
      <c r="K40" s="423"/>
      <c r="L40" s="423"/>
      <c r="M40" s="423"/>
      <c r="N40" s="423"/>
      <c r="O40" s="423"/>
      <c r="P40" s="423"/>
      <c r="Q40" s="423"/>
      <c r="R40" s="423"/>
      <c r="S40" s="423"/>
      <c r="T40" s="423"/>
    </row>
    <row r="41" spans="1:20">
      <c r="A41" s="423"/>
      <c r="B41" s="423"/>
      <c r="C41" s="423"/>
      <c r="D41" s="423"/>
      <c r="E41" s="423"/>
      <c r="F41" s="423"/>
      <c r="G41" s="423"/>
      <c r="H41" s="423"/>
      <c r="I41" s="423"/>
      <c r="J41" s="423"/>
      <c r="K41" s="423"/>
      <c r="L41" s="423"/>
      <c r="M41" s="423"/>
      <c r="N41" s="423"/>
      <c r="O41" s="423"/>
      <c r="P41" s="423"/>
      <c r="Q41" s="423"/>
      <c r="R41" s="423"/>
      <c r="S41" s="423"/>
      <c r="T41" s="423"/>
    </row>
    <row r="42" spans="1:20">
      <c r="A42" s="423"/>
      <c r="B42" s="423"/>
      <c r="C42" s="423"/>
      <c r="D42" s="423"/>
      <c r="E42" s="423"/>
      <c r="F42" s="423"/>
      <c r="G42" s="423"/>
      <c r="H42" s="423"/>
      <c r="I42" s="423"/>
      <c r="J42" s="423"/>
      <c r="K42" s="423"/>
      <c r="L42" s="423"/>
      <c r="M42" s="423"/>
      <c r="N42" s="423"/>
      <c r="O42" s="423"/>
      <c r="P42" s="423"/>
      <c r="Q42" s="423"/>
      <c r="R42" s="423"/>
      <c r="S42" s="423"/>
      <c r="T42" s="423"/>
    </row>
    <row r="43" spans="1:20">
      <c r="A43" s="423"/>
      <c r="B43" s="423"/>
      <c r="C43" s="423"/>
      <c r="D43" s="423"/>
      <c r="E43" s="423"/>
      <c r="F43" s="423"/>
      <c r="G43" s="423"/>
      <c r="H43" s="423"/>
      <c r="I43" s="423"/>
      <c r="J43" s="423"/>
      <c r="K43" s="423"/>
      <c r="L43" s="423"/>
      <c r="M43" s="423"/>
      <c r="N43" s="423"/>
      <c r="O43" s="423"/>
      <c r="P43" s="423"/>
      <c r="Q43" s="423"/>
      <c r="R43" s="423"/>
      <c r="S43" s="423"/>
      <c r="T43" s="423"/>
    </row>
    <row r="44" spans="1:20">
      <c r="A44" s="423"/>
      <c r="B44" s="423"/>
      <c r="C44" s="423"/>
      <c r="D44" s="423"/>
      <c r="E44" s="423"/>
      <c r="F44" s="423"/>
      <c r="G44" s="423"/>
      <c r="H44" s="423"/>
      <c r="I44" s="423"/>
      <c r="J44" s="423"/>
      <c r="K44" s="423"/>
      <c r="L44" s="423"/>
      <c r="M44" s="423"/>
      <c r="N44" s="423"/>
      <c r="O44" s="423"/>
      <c r="P44" s="423"/>
      <c r="Q44" s="423"/>
      <c r="R44" s="423"/>
      <c r="S44" s="423"/>
      <c r="T44" s="423"/>
    </row>
    <row r="45" spans="1:20">
      <c r="A45" s="423"/>
      <c r="B45" s="423"/>
      <c r="C45" s="423"/>
      <c r="D45" s="423"/>
      <c r="E45" s="423"/>
      <c r="F45" s="423"/>
      <c r="G45" s="423"/>
      <c r="H45" s="423"/>
      <c r="I45" s="423"/>
      <c r="J45" s="423"/>
      <c r="K45" s="423"/>
      <c r="L45" s="423"/>
      <c r="M45" s="423"/>
      <c r="N45" s="423"/>
      <c r="O45" s="423"/>
      <c r="P45" s="423"/>
      <c r="Q45" s="423"/>
      <c r="R45" s="423"/>
      <c r="S45" s="423"/>
      <c r="T45" s="423"/>
    </row>
    <row r="46" spans="1:20">
      <c r="A46" s="423"/>
      <c r="B46" s="423"/>
      <c r="C46" s="423"/>
      <c r="D46" s="423"/>
      <c r="E46" s="423"/>
      <c r="F46" s="423"/>
      <c r="G46" s="423"/>
      <c r="H46" s="423"/>
      <c r="I46" s="423"/>
      <c r="J46" s="423"/>
      <c r="K46" s="423"/>
      <c r="L46" s="423"/>
      <c r="M46" s="423"/>
      <c r="N46" s="423"/>
      <c r="O46" s="423"/>
      <c r="P46" s="423"/>
      <c r="Q46" s="423"/>
      <c r="R46" s="423"/>
      <c r="S46" s="423"/>
      <c r="T46" s="423"/>
    </row>
    <row r="47" spans="1:20">
      <c r="A47" s="423"/>
      <c r="B47" s="423"/>
      <c r="C47" s="423"/>
      <c r="D47" s="423"/>
      <c r="E47" s="423"/>
      <c r="F47" s="423"/>
      <c r="G47" s="423"/>
      <c r="H47" s="423"/>
      <c r="I47" s="423"/>
      <c r="J47" s="423"/>
      <c r="K47" s="423"/>
      <c r="L47" s="423"/>
      <c r="M47" s="423"/>
      <c r="N47" s="423"/>
      <c r="O47" s="423"/>
      <c r="P47" s="423"/>
      <c r="Q47" s="423"/>
      <c r="R47" s="423"/>
      <c r="S47" s="423"/>
      <c r="T47" s="423"/>
    </row>
    <row r="48" spans="1:20">
      <c r="A48" s="423"/>
      <c r="B48" s="423"/>
      <c r="C48" s="423"/>
      <c r="D48" s="423"/>
      <c r="E48" s="423"/>
      <c r="F48" s="423"/>
      <c r="G48" s="423"/>
      <c r="H48" s="423"/>
      <c r="I48" s="423"/>
      <c r="J48" s="423"/>
      <c r="K48" s="423"/>
      <c r="L48" s="423"/>
      <c r="M48" s="423"/>
      <c r="N48" s="423"/>
      <c r="O48" s="423"/>
      <c r="P48" s="423"/>
      <c r="Q48" s="423"/>
      <c r="R48" s="423"/>
      <c r="S48" s="423"/>
      <c r="T48" s="423"/>
    </row>
    <row r="49" spans="1:20">
      <c r="A49" s="423"/>
      <c r="B49" s="423"/>
      <c r="C49" s="423"/>
      <c r="D49" s="423"/>
      <c r="E49" s="423"/>
      <c r="F49" s="423"/>
      <c r="G49" s="423"/>
      <c r="H49" s="423"/>
      <c r="I49" s="423"/>
      <c r="J49" s="423"/>
      <c r="K49" s="423"/>
      <c r="L49" s="423"/>
      <c r="M49" s="423"/>
      <c r="N49" s="423"/>
      <c r="O49" s="423"/>
      <c r="P49" s="423"/>
      <c r="Q49" s="423"/>
      <c r="R49" s="423"/>
      <c r="S49" s="423"/>
      <c r="T49" s="423"/>
    </row>
    <row r="50" spans="1:20">
      <c r="A50" s="423"/>
      <c r="B50" s="423"/>
      <c r="C50" s="423"/>
      <c r="D50" s="424"/>
      <c r="E50" s="423"/>
      <c r="F50" s="423"/>
      <c r="G50" s="423"/>
      <c r="H50" s="423"/>
      <c r="I50" s="423"/>
      <c r="J50" s="423"/>
      <c r="K50" s="423"/>
      <c r="L50" s="423"/>
      <c r="M50" s="423"/>
      <c r="N50" s="423"/>
      <c r="O50" s="423"/>
      <c r="P50" s="423"/>
      <c r="Q50" s="423"/>
      <c r="R50" s="423"/>
      <c r="S50" s="423"/>
      <c r="T50" s="423"/>
    </row>
    <row r="51" spans="1:20">
      <c r="A51" s="423"/>
      <c r="B51" s="423"/>
      <c r="C51" s="423"/>
      <c r="D51" s="423"/>
      <c r="E51" s="423"/>
      <c r="F51" s="423"/>
      <c r="G51" s="423"/>
      <c r="H51" s="423"/>
      <c r="I51" s="423"/>
      <c r="J51" s="423"/>
      <c r="K51" s="423"/>
      <c r="L51" s="423"/>
      <c r="M51" s="423"/>
      <c r="N51" s="423"/>
      <c r="O51" s="423"/>
      <c r="P51" s="423"/>
      <c r="Q51" s="423"/>
      <c r="R51" s="423"/>
      <c r="S51" s="423"/>
      <c r="T51" s="423"/>
    </row>
    <row r="52" spans="1:20">
      <c r="A52" s="423"/>
      <c r="B52" s="423"/>
      <c r="C52" s="423"/>
      <c r="D52" s="423"/>
      <c r="E52" s="423"/>
      <c r="F52" s="423"/>
      <c r="G52" s="423"/>
      <c r="H52" s="423"/>
      <c r="I52" s="423"/>
      <c r="J52" s="423"/>
      <c r="K52" s="423"/>
      <c r="L52" s="423"/>
      <c r="M52" s="423"/>
      <c r="N52" s="423"/>
      <c r="O52" s="423"/>
      <c r="P52" s="423"/>
      <c r="Q52" s="423"/>
      <c r="R52" s="423"/>
      <c r="S52" s="423"/>
      <c r="T52" s="423"/>
    </row>
    <row r="53" spans="1:20">
      <c r="A53" s="423"/>
      <c r="B53" s="423"/>
      <c r="C53" s="423"/>
      <c r="D53" s="423"/>
      <c r="E53" s="423"/>
      <c r="F53" s="423"/>
      <c r="G53" s="423"/>
      <c r="H53" s="423"/>
      <c r="I53" s="423"/>
      <c r="J53" s="423"/>
      <c r="K53" s="423"/>
      <c r="L53" s="423"/>
      <c r="M53" s="423"/>
      <c r="N53" s="423"/>
      <c r="O53" s="423"/>
      <c r="P53" s="423"/>
      <c r="Q53" s="423"/>
      <c r="R53" s="423"/>
      <c r="S53" s="423"/>
      <c r="T53" s="423"/>
    </row>
    <row r="54" spans="1:20">
      <c r="A54" s="423"/>
      <c r="B54" s="423"/>
      <c r="C54" s="423"/>
      <c r="D54" s="423"/>
      <c r="E54" s="423"/>
      <c r="F54" s="423"/>
      <c r="G54" s="423"/>
      <c r="H54" s="423"/>
      <c r="I54" s="423"/>
      <c r="J54" s="423"/>
      <c r="K54" s="423"/>
      <c r="L54" s="423"/>
      <c r="M54" s="423"/>
      <c r="N54" s="423"/>
      <c r="O54" s="423"/>
      <c r="P54" s="423"/>
      <c r="Q54" s="423"/>
      <c r="R54" s="423"/>
      <c r="S54" s="423"/>
      <c r="T54" s="423"/>
    </row>
    <row r="55" spans="1:20">
      <c r="A55" s="423"/>
      <c r="B55" s="423"/>
      <c r="C55" s="423"/>
      <c r="D55" s="423"/>
      <c r="E55" s="423"/>
      <c r="F55" s="423"/>
      <c r="G55" s="423"/>
      <c r="H55" s="423"/>
      <c r="I55" s="423"/>
      <c r="J55" s="423"/>
      <c r="K55" s="423"/>
      <c r="L55" s="423"/>
      <c r="M55" s="423"/>
      <c r="N55" s="423"/>
      <c r="O55" s="423"/>
      <c r="P55" s="423"/>
      <c r="Q55" s="423"/>
      <c r="R55" s="423"/>
      <c r="S55" s="423"/>
      <c r="T55" s="423"/>
    </row>
    <row r="56" spans="1:20">
      <c r="A56" s="423"/>
      <c r="B56" s="423"/>
      <c r="C56" s="423"/>
      <c r="D56" s="423"/>
      <c r="E56" s="423"/>
      <c r="F56" s="423"/>
      <c r="G56" s="423"/>
      <c r="H56" s="423"/>
      <c r="I56" s="423"/>
      <c r="J56" s="423"/>
      <c r="K56" s="423"/>
      <c r="L56" s="423"/>
      <c r="M56" s="423"/>
      <c r="N56" s="423"/>
      <c r="O56" s="423"/>
      <c r="P56" s="423"/>
      <c r="Q56" s="423"/>
      <c r="R56" s="423"/>
      <c r="S56" s="423"/>
      <c r="T56" s="423"/>
    </row>
    <row r="57" spans="1:20">
      <c r="A57" s="423"/>
      <c r="B57" s="423"/>
      <c r="C57" s="423"/>
      <c r="D57" s="423"/>
      <c r="E57" s="423"/>
      <c r="F57" s="423"/>
      <c r="G57" s="423"/>
      <c r="H57" s="423"/>
      <c r="I57" s="423"/>
      <c r="J57" s="423"/>
      <c r="K57" s="423"/>
      <c r="L57" s="423"/>
      <c r="M57" s="423"/>
      <c r="N57" s="423"/>
      <c r="O57" s="423"/>
      <c r="P57" s="423"/>
      <c r="Q57" s="423"/>
      <c r="R57" s="423"/>
      <c r="S57" s="423"/>
      <c r="T57" s="423"/>
    </row>
    <row r="58" spans="1:20">
      <c r="A58" s="423"/>
      <c r="B58" s="423"/>
      <c r="C58" s="423"/>
      <c r="D58" s="423"/>
      <c r="E58" s="423"/>
      <c r="F58" s="423"/>
      <c r="G58" s="423"/>
      <c r="H58" s="423"/>
      <c r="I58" s="423"/>
      <c r="J58" s="423"/>
      <c r="K58" s="423"/>
      <c r="L58" s="423"/>
      <c r="M58" s="423"/>
      <c r="N58" s="423"/>
      <c r="O58" s="423"/>
      <c r="P58" s="423"/>
      <c r="Q58" s="423"/>
      <c r="R58" s="423"/>
      <c r="S58" s="423"/>
      <c r="T58" s="423"/>
    </row>
    <row r="59" spans="1:20">
      <c r="A59" s="423"/>
      <c r="B59" s="423"/>
      <c r="C59" s="423"/>
      <c r="D59" s="423"/>
      <c r="E59" s="423"/>
      <c r="F59" s="423"/>
      <c r="G59" s="423"/>
      <c r="H59" s="423"/>
      <c r="I59" s="423"/>
      <c r="J59" s="423"/>
      <c r="K59" s="423"/>
      <c r="L59" s="423"/>
      <c r="M59" s="423"/>
      <c r="N59" s="423"/>
      <c r="O59" s="423"/>
      <c r="P59" s="423"/>
      <c r="Q59" s="423"/>
      <c r="R59" s="423"/>
      <c r="S59" s="423"/>
      <c r="T59" s="423"/>
    </row>
    <row r="60" spans="1:20">
      <c r="A60" s="423"/>
      <c r="B60" s="423"/>
      <c r="C60" s="423"/>
      <c r="D60" s="423"/>
      <c r="E60" s="423"/>
      <c r="F60" s="423"/>
      <c r="G60" s="423"/>
      <c r="H60" s="423"/>
      <c r="I60" s="423"/>
      <c r="J60" s="423"/>
      <c r="K60" s="423"/>
      <c r="L60" s="423"/>
      <c r="M60" s="423"/>
      <c r="N60" s="423"/>
      <c r="O60" s="423"/>
      <c r="P60" s="423"/>
      <c r="Q60" s="423"/>
      <c r="R60" s="423"/>
      <c r="S60" s="423"/>
      <c r="T60" s="423"/>
    </row>
    <row r="61" spans="1:20">
      <c r="A61" s="423"/>
      <c r="B61" s="423"/>
      <c r="C61" s="423"/>
      <c r="D61" s="423"/>
      <c r="E61" s="423"/>
      <c r="F61" s="423"/>
      <c r="G61" s="423"/>
      <c r="H61" s="423"/>
      <c r="I61" s="423"/>
      <c r="J61" s="423"/>
      <c r="K61" s="423"/>
      <c r="L61" s="423"/>
      <c r="M61" s="423"/>
      <c r="N61" s="423"/>
      <c r="O61" s="423"/>
      <c r="P61" s="423"/>
      <c r="Q61" s="423"/>
      <c r="R61" s="423"/>
      <c r="S61" s="423"/>
      <c r="T61" s="423"/>
    </row>
    <row r="62" spans="1:20">
      <c r="A62" s="423"/>
      <c r="B62" s="423"/>
      <c r="C62" s="423"/>
      <c r="D62" s="423"/>
      <c r="E62" s="423"/>
      <c r="F62" s="423"/>
      <c r="G62" s="423"/>
      <c r="H62" s="423"/>
      <c r="I62" s="423"/>
      <c r="J62" s="423"/>
      <c r="K62" s="423"/>
      <c r="L62" s="423"/>
      <c r="M62" s="423"/>
      <c r="N62" s="423"/>
      <c r="O62" s="423"/>
      <c r="P62" s="423"/>
      <c r="Q62" s="423"/>
      <c r="R62" s="423"/>
      <c r="S62" s="423"/>
      <c r="T62" s="423"/>
    </row>
    <row r="63" spans="1:20">
      <c r="A63" s="423"/>
      <c r="B63" s="423"/>
      <c r="C63" s="423"/>
      <c r="D63" s="423"/>
      <c r="E63" s="423"/>
      <c r="F63" s="423"/>
      <c r="G63" s="423"/>
      <c r="H63" s="423"/>
      <c r="I63" s="423"/>
      <c r="J63" s="423"/>
      <c r="K63" s="423"/>
      <c r="L63" s="423"/>
      <c r="M63" s="423"/>
      <c r="N63" s="423"/>
      <c r="O63" s="423"/>
      <c r="P63" s="423"/>
      <c r="Q63" s="423"/>
      <c r="R63" s="423"/>
      <c r="S63" s="423"/>
      <c r="T63" s="423"/>
    </row>
    <row r="64" spans="1:20">
      <c r="A64" s="423"/>
      <c r="B64" s="423"/>
      <c r="C64" s="423"/>
      <c r="D64" s="423"/>
      <c r="E64" s="423"/>
      <c r="F64" s="423"/>
      <c r="G64" s="423"/>
      <c r="H64" s="423"/>
      <c r="I64" s="423"/>
      <c r="J64" s="423"/>
      <c r="K64" s="423"/>
      <c r="L64" s="423"/>
      <c r="M64" s="423"/>
      <c r="N64" s="423"/>
      <c r="O64" s="423"/>
      <c r="P64" s="423"/>
    </row>
    <row r="65" spans="1:16">
      <c r="A65" s="423"/>
      <c r="B65" s="423"/>
      <c r="C65" s="423"/>
      <c r="D65" s="423"/>
      <c r="E65" s="423"/>
      <c r="F65" s="423"/>
      <c r="G65" s="423"/>
      <c r="H65" s="423"/>
      <c r="I65" s="423"/>
      <c r="J65" s="423"/>
      <c r="K65" s="423"/>
      <c r="L65" s="423"/>
      <c r="M65" s="423"/>
      <c r="N65" s="423"/>
      <c r="O65" s="423"/>
      <c r="P65" s="423"/>
    </row>
  </sheetData>
  <mergeCells count="1">
    <mergeCell ref="F4:G4"/>
  </mergeCells>
  <pageMargins left="0.7" right="0.7" top="0.75" bottom="0.75" header="0.3" footer="0.3"/>
  <pageSetup orientation="portrait" r:id="rId1"/>
  <headerFooter>
    <oddFooter>&amp;C&amp;1#&amp;"Calibri"&amp;14&amp;K008000Classification: General Use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tabColor rgb="FF7030A0"/>
  </sheetPr>
  <dimension ref="A1:R65"/>
  <sheetViews>
    <sheetView zoomScale="55" zoomScaleNormal="55" workbookViewId="0">
      <selection activeCell="H92" sqref="H92"/>
    </sheetView>
  </sheetViews>
  <sheetFormatPr defaultColWidth="9.1796875" defaultRowHeight="14.5"/>
  <cols>
    <col min="1" max="1" width="9.1796875" style="298"/>
    <col min="2" max="2" width="21.54296875" style="298" bestFit="1" customWidth="1"/>
    <col min="3" max="5" width="25.54296875" style="298" customWidth="1"/>
    <col min="6" max="6" width="17.453125" style="298" customWidth="1"/>
    <col min="7" max="7" width="16.81640625" style="298" customWidth="1"/>
    <col min="8" max="9" width="25.54296875" style="298" customWidth="1"/>
    <col min="10" max="10" width="9.1796875" style="298"/>
    <col min="11" max="11" width="28" style="298" bestFit="1" customWidth="1"/>
    <col min="12" max="12" width="10.54296875" style="298" bestFit="1" customWidth="1"/>
    <col min="13" max="19" width="9.1796875" style="298"/>
    <col min="20" max="20" width="10.1796875" style="298" bestFit="1" customWidth="1"/>
    <col min="21" max="16384" width="9.1796875" style="298"/>
  </cols>
  <sheetData>
    <row r="1" spans="1:16">
      <c r="A1" s="423"/>
      <c r="B1" s="423"/>
      <c r="C1" s="423"/>
      <c r="D1" s="423"/>
      <c r="E1" s="423"/>
      <c r="F1" s="423"/>
      <c r="G1" s="423"/>
      <c r="H1" s="423"/>
      <c r="I1" s="423"/>
      <c r="J1" s="423"/>
      <c r="K1" s="423"/>
      <c r="L1" s="423"/>
      <c r="M1" s="423"/>
      <c r="N1" s="423"/>
      <c r="O1" s="423"/>
      <c r="P1" s="423"/>
    </row>
    <row r="2" spans="1:16" ht="84" customHeight="1">
      <c r="A2" s="423"/>
      <c r="B2" s="423"/>
      <c r="C2" s="423"/>
      <c r="D2" s="423"/>
      <c r="E2" s="423"/>
      <c r="F2" s="423"/>
      <c r="G2" s="423"/>
      <c r="H2" s="423"/>
      <c r="I2" s="423"/>
      <c r="J2" s="423"/>
      <c r="K2" s="423"/>
      <c r="L2" s="423"/>
      <c r="M2" s="423"/>
      <c r="N2" s="423"/>
      <c r="O2" s="423"/>
      <c r="P2" s="423"/>
    </row>
    <row r="3" spans="1:16" ht="15" thickBot="1">
      <c r="A3" s="423"/>
      <c r="B3" s="423"/>
      <c r="C3" s="423"/>
      <c r="D3" s="423"/>
      <c r="E3" s="423"/>
      <c r="F3" s="423"/>
      <c r="G3" s="423"/>
      <c r="H3" s="423"/>
      <c r="I3" s="423"/>
      <c r="J3" s="423"/>
      <c r="K3" s="423"/>
      <c r="L3" s="423"/>
      <c r="M3" s="423"/>
      <c r="N3" s="423"/>
      <c r="O3" s="423"/>
      <c r="P3" s="423"/>
    </row>
    <row r="4" spans="1:16" ht="21.5" thickBot="1">
      <c r="A4" s="423"/>
      <c r="B4" s="423"/>
      <c r="C4" s="423"/>
      <c r="D4" s="423"/>
      <c r="F4" s="1167" t="s">
        <v>3</v>
      </c>
      <c r="G4" s="1168"/>
      <c r="I4" s="423"/>
      <c r="J4" s="423"/>
      <c r="K4" s="423"/>
      <c r="L4" s="423"/>
      <c r="M4" s="423"/>
      <c r="N4" s="423"/>
      <c r="O4" s="423"/>
      <c r="P4" s="423"/>
    </row>
    <row r="5" spans="1:16" ht="42">
      <c r="B5" s="351"/>
      <c r="C5" s="352" t="s">
        <v>454</v>
      </c>
      <c r="D5" s="354" t="s">
        <v>529</v>
      </c>
      <c r="E5" s="354" t="s">
        <v>530</v>
      </c>
      <c r="F5" s="355" t="s">
        <v>523</v>
      </c>
      <c r="G5" s="355" t="s">
        <v>445</v>
      </c>
      <c r="H5" s="973" t="s">
        <v>414</v>
      </c>
      <c r="I5" s="357" t="s">
        <v>413</v>
      </c>
      <c r="J5" s="423"/>
      <c r="K5" s="423"/>
      <c r="L5" s="423"/>
      <c r="M5" s="423"/>
      <c r="N5" s="423"/>
      <c r="O5" s="423"/>
    </row>
    <row r="6" spans="1:16">
      <c r="A6" s="423"/>
      <c r="B6" s="425" t="s">
        <v>438</v>
      </c>
      <c r="C6" s="737">
        <f>'Cash flow Analysis'!D110</f>
        <v>147675.89642360058</v>
      </c>
      <c r="D6" s="427">
        <f>'Cash flow Analysis'!E110</f>
        <v>171201.57246240764</v>
      </c>
      <c r="E6" s="427">
        <f>'Cash flow Analysis'!F110</f>
        <v>179043.46447534332</v>
      </c>
      <c r="F6" s="427">
        <f>'Cash flow Analysis'!G110</f>
        <v>164950.63743799072</v>
      </c>
      <c r="G6" s="427">
        <f>'Cash flow Analysis'!H110</f>
        <v>232873.09835298421</v>
      </c>
      <c r="H6" s="427">
        <f ca="1">'Cash flow Analysis'!I110</f>
        <v>234010.12100039655</v>
      </c>
      <c r="I6" s="428">
        <f ca="1">'Cash flow Analysis'!J110</f>
        <v>168861.91699903429</v>
      </c>
      <c r="J6" s="423"/>
      <c r="K6" s="423"/>
      <c r="L6" s="423"/>
      <c r="M6" s="423"/>
      <c r="N6" s="423"/>
      <c r="O6" s="423"/>
    </row>
    <row r="7" spans="1:16">
      <c r="A7" s="423"/>
      <c r="B7" s="426" t="s">
        <v>439</v>
      </c>
      <c r="C7" s="737">
        <f ca="1">'Cash flow Analysis'!D129</f>
        <v>278055.48822141456</v>
      </c>
      <c r="D7" s="427">
        <f ca="1">'Cash flow Analysis'!E129</f>
        <v>287618.16698362335</v>
      </c>
      <c r="E7" s="427">
        <f ca="1">'Cash flow Analysis'!F129</f>
        <v>344352.29396223865</v>
      </c>
      <c r="F7" s="427">
        <f>'Cash flow Analysis'!G129</f>
        <v>344897.40985320543</v>
      </c>
      <c r="G7" s="427">
        <f>'Cash flow Analysis'!H129</f>
        <v>324662.50133157568</v>
      </c>
      <c r="H7" s="427">
        <f>'Cash flow Analysis'!I129</f>
        <v>459101.2002651855</v>
      </c>
      <c r="I7" s="428">
        <f>'Cash flow Analysis'!J129</f>
        <v>518983.96551716625</v>
      </c>
      <c r="J7" s="423"/>
      <c r="K7" s="423"/>
      <c r="L7" s="423"/>
      <c r="M7" s="423"/>
      <c r="N7" s="423"/>
      <c r="O7" s="423"/>
    </row>
    <row r="8" spans="1:16">
      <c r="A8" s="423"/>
      <c r="B8" s="426" t="s">
        <v>440</v>
      </c>
      <c r="C8" s="737">
        <f>'Cash flow Analysis'!D148</f>
        <v>0</v>
      </c>
      <c r="D8" s="427">
        <f>'Cash flow Analysis'!E148</f>
        <v>15608.402243063851</v>
      </c>
      <c r="E8" s="427">
        <f>'Cash flow Analysis'!F148</f>
        <v>33638.292010116624</v>
      </c>
      <c r="F8" s="427">
        <f>'Cash flow Analysis'!G148</f>
        <v>64895.426714959605</v>
      </c>
      <c r="G8" s="427">
        <f>'Cash flow Analysis'!H148</f>
        <v>65868.858115683994</v>
      </c>
      <c r="H8" s="427">
        <f>'Cash flow Analysis'!I148</f>
        <v>0</v>
      </c>
      <c r="I8" s="428">
        <f>'Cash flow Analysis'!J148</f>
        <v>0</v>
      </c>
      <c r="J8" s="423"/>
      <c r="K8" s="423"/>
      <c r="L8" s="423"/>
      <c r="M8" s="423"/>
      <c r="N8" s="423"/>
      <c r="O8" s="423"/>
    </row>
    <row r="9" spans="1:16">
      <c r="A9" s="423"/>
      <c r="B9" s="426" t="s">
        <v>483</v>
      </c>
      <c r="C9" s="737">
        <f>'Cash flow Analysis'!D167</f>
        <v>155828.08775788924</v>
      </c>
      <c r="D9" s="427">
        <f>'Cash flow Analysis'!E167</f>
        <v>178202.18431292067</v>
      </c>
      <c r="E9" s="427">
        <f>'Cash flow Analysis'!F167</f>
        <v>185868.29632496924</v>
      </c>
      <c r="F9" s="427">
        <f>'Cash flow Analysis'!G167</f>
        <v>117395.87544039948</v>
      </c>
      <c r="G9" s="427">
        <f>'Cash flow Analysis'!H167</f>
        <v>131257.30865608572</v>
      </c>
      <c r="H9" s="427">
        <f>'Cash flow Analysis'!I167</f>
        <v>143167.16492723653</v>
      </c>
      <c r="I9" s="428">
        <f>'Cash flow Analysis'!J167</f>
        <v>158653.98572241058</v>
      </c>
      <c r="J9" s="423"/>
      <c r="K9" s="423"/>
      <c r="L9" s="423"/>
      <c r="M9" s="423"/>
      <c r="N9" s="423"/>
      <c r="O9" s="423"/>
    </row>
    <row r="10" spans="1:16">
      <c r="A10" s="423"/>
      <c r="B10" s="426" t="s">
        <v>441</v>
      </c>
      <c r="C10" s="737">
        <f>'Cash flow Analysis'!D186</f>
        <v>0</v>
      </c>
      <c r="D10" s="427">
        <f>'Cash flow Analysis'!E186</f>
        <v>0</v>
      </c>
      <c r="E10" s="427">
        <f>'Cash flow Analysis'!F186</f>
        <v>0</v>
      </c>
      <c r="F10" s="427">
        <f>'Cash flow Analysis'!G186</f>
        <v>0</v>
      </c>
      <c r="G10" s="427">
        <f>'Cash flow Analysis'!H186</f>
        <v>0</v>
      </c>
      <c r="H10" s="427">
        <f>'Cash flow Analysis'!I186</f>
        <v>0</v>
      </c>
      <c r="I10" s="428">
        <f>'Cash flow Analysis'!J186</f>
        <v>0</v>
      </c>
      <c r="J10" s="423"/>
      <c r="K10" s="423"/>
      <c r="L10" s="423"/>
      <c r="M10" s="423"/>
      <c r="N10" s="423"/>
      <c r="O10" s="423"/>
    </row>
    <row r="11" spans="1:16">
      <c r="A11" s="423"/>
      <c r="B11" s="426" t="s">
        <v>442</v>
      </c>
      <c r="C11" s="737">
        <f>'Cash flow Analysis'!D205</f>
        <v>81580.500249410732</v>
      </c>
      <c r="D11" s="427">
        <f>'Cash flow Analysis'!E205</f>
        <v>85172.066248236166</v>
      </c>
      <c r="E11" s="427">
        <f>'Cash flow Analysis'!F205</f>
        <v>86369.254914511315</v>
      </c>
      <c r="F11" s="427">
        <f>'Cash flow Analysis'!G205</f>
        <v>84217.762292952189</v>
      </c>
      <c r="G11" s="427">
        <f>'Cash flow Analysis'!H205</f>
        <v>94587.198681365931</v>
      </c>
      <c r="H11" s="427">
        <f ca="1">'Cash flow Analysis'!I205</f>
        <v>94760.78314599958</v>
      </c>
      <c r="I11" s="428">
        <f ca="1">'Cash flow Analysis'!J205</f>
        <v>84814.880890529239</v>
      </c>
      <c r="J11" s="423"/>
      <c r="K11" s="423"/>
      <c r="L11" s="423"/>
      <c r="M11" s="423"/>
      <c r="N11" s="423"/>
      <c r="O11" s="423"/>
    </row>
    <row r="12" spans="1:16">
      <c r="A12" s="423"/>
      <c r="B12" s="426" t="s">
        <v>443</v>
      </c>
      <c r="C12" s="737">
        <f>'Cash flow Analysis'!D224</f>
        <v>0</v>
      </c>
      <c r="D12" s="427">
        <f>'Cash flow Analysis'!E224</f>
        <v>18480.328027392272</v>
      </c>
      <c r="E12" s="427">
        <f>'Cash flow Analysis'!F224</f>
        <v>27193.413004880142</v>
      </c>
      <c r="F12" s="427">
        <f>'Cash flow Analysis'!G224</f>
        <v>197418.38599738761</v>
      </c>
      <c r="G12" s="427">
        <f>'Cash flow Analysis'!H224</f>
        <v>109530.61775661931</v>
      </c>
      <c r="H12" s="427">
        <f>'Cash flow Analysis'!I224</f>
        <v>3710.3809244657346</v>
      </c>
      <c r="I12" s="428">
        <f>'Cash flow Analysis'!J224</f>
        <v>8818.130700129941</v>
      </c>
      <c r="J12" s="423"/>
      <c r="K12" s="423"/>
      <c r="L12" s="423"/>
      <c r="M12" s="423"/>
      <c r="N12" s="423"/>
      <c r="O12" s="423"/>
    </row>
    <row r="13" spans="1:16">
      <c r="A13" s="423"/>
      <c r="B13" s="426" t="s">
        <v>444</v>
      </c>
      <c r="C13" s="737">
        <f>'Cash flow Analysis'!D243</f>
        <v>202775.87418771884</v>
      </c>
      <c r="D13" s="427">
        <f>'Cash flow Analysis'!E243</f>
        <v>116100.95080139325</v>
      </c>
      <c r="E13" s="427">
        <f>'Cash flow Analysis'!F243</f>
        <v>49305.55636753048</v>
      </c>
      <c r="F13" s="427">
        <f>'Cash flow Analysis'!G243</f>
        <v>173573.30587962014</v>
      </c>
      <c r="G13" s="427">
        <f>'Cash flow Analysis'!H243</f>
        <v>176176.90546781447</v>
      </c>
      <c r="H13" s="427">
        <f>'Cash flow Analysis'!I243</f>
        <v>63470.473914823437</v>
      </c>
      <c r="I13" s="428">
        <f>'Cash flow Analysis'!J243</f>
        <v>71749.231381974329</v>
      </c>
      <c r="J13" s="423"/>
      <c r="K13" s="423"/>
      <c r="L13" s="423"/>
      <c r="M13" s="423"/>
      <c r="N13" s="423"/>
      <c r="O13" s="423"/>
    </row>
    <row r="14" spans="1:16" ht="15" thickBot="1">
      <c r="A14" s="423"/>
      <c r="B14" s="429" t="s">
        <v>437</v>
      </c>
      <c r="C14" s="430">
        <f ca="1">SUM(C6:C13)</f>
        <v>865915.84684003401</v>
      </c>
      <c r="D14" s="430">
        <f t="shared" ref="D14" ca="1" si="0">SUM(D6:D13)</f>
        <v>872383.67107903725</v>
      </c>
      <c r="E14" s="430">
        <f t="shared" ref="E14" ca="1" si="1">SUM(E6:E13)</f>
        <v>905770.57105958986</v>
      </c>
      <c r="F14" s="430">
        <f>SUM(F6:F13)</f>
        <v>1147348.8036165151</v>
      </c>
      <c r="G14" s="430">
        <f>SUM(G6:G13)</f>
        <v>1134956.4883621293</v>
      </c>
      <c r="H14" s="430">
        <f ca="1">SUM(H6:H13)</f>
        <v>998220.12417810713</v>
      </c>
      <c r="I14" s="431">
        <f ca="1">SUM(I6:I13)</f>
        <v>1011882.1112112446</v>
      </c>
      <c r="J14" s="423"/>
      <c r="K14" s="423"/>
      <c r="L14" s="423"/>
      <c r="M14" s="423"/>
      <c r="N14" s="423"/>
      <c r="O14" s="423"/>
    </row>
    <row r="15" spans="1:16">
      <c r="A15" s="423"/>
      <c r="B15" s="423"/>
      <c r="C15" s="423"/>
      <c r="D15" s="423"/>
      <c r="E15" s="423"/>
      <c r="F15" s="423"/>
      <c r="G15" s="423"/>
      <c r="H15" s="423"/>
      <c r="I15" s="423"/>
      <c r="J15" s="423"/>
      <c r="K15" s="423"/>
      <c r="L15" s="423"/>
      <c r="M15" s="423"/>
      <c r="N15" s="423"/>
      <c r="O15" s="423"/>
      <c r="P15" s="423"/>
    </row>
    <row r="16" spans="1:16">
      <c r="A16" s="423"/>
      <c r="B16" s="423"/>
      <c r="C16" s="423"/>
      <c r="D16" s="423"/>
      <c r="E16" s="423"/>
      <c r="F16" s="423"/>
      <c r="G16" s="423"/>
      <c r="H16" s="423"/>
      <c r="I16" s="423"/>
      <c r="J16" s="423"/>
      <c r="K16" s="423"/>
      <c r="L16" s="423"/>
      <c r="M16" s="423"/>
      <c r="N16" s="423"/>
      <c r="O16" s="423"/>
      <c r="P16" s="423"/>
    </row>
    <row r="17" spans="1:18">
      <c r="A17" s="423"/>
      <c r="B17" s="423"/>
      <c r="C17" s="423"/>
      <c r="D17" s="423"/>
      <c r="E17" s="423"/>
      <c r="F17" s="423"/>
      <c r="G17" s="423"/>
      <c r="H17" s="423"/>
      <c r="I17" s="423"/>
      <c r="J17" s="423"/>
      <c r="K17" s="423"/>
      <c r="L17" s="423"/>
      <c r="M17" s="423"/>
      <c r="N17" s="423"/>
      <c r="O17" s="423"/>
      <c r="P17" s="423"/>
    </row>
    <row r="18" spans="1:18">
      <c r="A18" s="423"/>
      <c r="B18" s="423"/>
      <c r="C18" s="423"/>
      <c r="D18" s="423"/>
      <c r="E18" s="423"/>
      <c r="F18" s="423"/>
      <c r="G18" s="423"/>
      <c r="H18" s="423"/>
      <c r="I18" s="423"/>
      <c r="J18" s="423"/>
      <c r="K18" s="423"/>
      <c r="L18" s="423"/>
      <c r="M18" s="423"/>
      <c r="N18" s="423"/>
      <c r="O18" s="423"/>
      <c r="P18" s="423"/>
    </row>
    <row r="19" spans="1:18">
      <c r="A19" s="423"/>
      <c r="B19" s="423"/>
      <c r="C19" s="423"/>
      <c r="D19" s="423"/>
      <c r="E19" s="423"/>
      <c r="F19" s="423"/>
      <c r="G19" s="423"/>
      <c r="H19" s="423"/>
      <c r="I19" s="423"/>
      <c r="J19" s="423"/>
      <c r="K19" s="423"/>
      <c r="L19" s="423"/>
      <c r="M19" s="423"/>
      <c r="N19" s="423"/>
      <c r="O19" s="423"/>
      <c r="P19" s="423"/>
    </row>
    <row r="20" spans="1:18" ht="21" customHeight="1">
      <c r="A20" s="423"/>
      <c r="B20" s="423"/>
      <c r="C20" s="423"/>
      <c r="D20" s="423"/>
      <c r="E20" s="423"/>
      <c r="F20" s="423"/>
      <c r="G20" s="423"/>
      <c r="H20" s="423"/>
      <c r="I20" s="423"/>
      <c r="J20" s="423"/>
      <c r="K20" s="423"/>
      <c r="L20" s="423"/>
      <c r="M20" s="423"/>
      <c r="N20" s="423"/>
      <c r="O20" s="423"/>
      <c r="P20" s="423"/>
    </row>
    <row r="21" spans="1:18" ht="21" customHeight="1">
      <c r="A21" s="423"/>
      <c r="B21" s="423"/>
      <c r="C21" s="423"/>
      <c r="D21" s="423"/>
      <c r="E21" s="423"/>
      <c r="F21" s="423"/>
      <c r="G21" s="423"/>
      <c r="H21" s="423"/>
      <c r="I21" s="423"/>
      <c r="J21" s="423"/>
      <c r="K21" s="423"/>
      <c r="L21" s="423"/>
      <c r="M21" s="423"/>
      <c r="N21" s="423"/>
      <c r="O21" s="423"/>
      <c r="P21" s="423"/>
    </row>
    <row r="22" spans="1:18" ht="21" customHeight="1">
      <c r="A22" s="423"/>
      <c r="B22" s="423"/>
      <c r="C22" s="423"/>
      <c r="D22" s="423"/>
      <c r="E22" s="423"/>
      <c r="F22" s="423"/>
      <c r="G22" s="423"/>
      <c r="H22" s="423"/>
      <c r="I22" s="423"/>
      <c r="J22" s="423"/>
      <c r="K22" s="423"/>
      <c r="L22" s="423"/>
      <c r="M22" s="423"/>
      <c r="N22" s="423"/>
      <c r="O22" s="423"/>
      <c r="P22" s="423"/>
    </row>
    <row r="23" spans="1:18" ht="21" customHeight="1">
      <c r="A23" s="423"/>
      <c r="B23" s="423"/>
      <c r="C23" s="423"/>
      <c r="D23" s="423"/>
      <c r="E23" s="423"/>
      <c r="F23" s="423"/>
      <c r="G23" s="423"/>
      <c r="H23" s="423"/>
      <c r="I23" s="423"/>
      <c r="J23" s="423"/>
      <c r="K23" s="423"/>
      <c r="L23" s="423"/>
      <c r="M23" s="423"/>
      <c r="N23" s="423"/>
      <c r="O23" s="423"/>
      <c r="P23" s="423"/>
      <c r="R23" s="298" t="s">
        <v>485</v>
      </c>
    </row>
    <row r="24" spans="1:18" ht="21" customHeight="1">
      <c r="A24" s="423"/>
      <c r="B24" s="423"/>
      <c r="C24" s="423"/>
      <c r="D24" s="423"/>
      <c r="E24" s="423"/>
      <c r="F24" s="423"/>
      <c r="G24" s="423"/>
      <c r="H24" s="423"/>
      <c r="I24" s="423"/>
      <c r="J24" s="423"/>
      <c r="K24" s="423"/>
      <c r="L24" s="423"/>
      <c r="M24" s="423"/>
      <c r="N24" s="423"/>
      <c r="O24" s="423"/>
      <c r="P24" s="423"/>
    </row>
    <row r="25" spans="1:18" ht="21" customHeight="1">
      <c r="A25" s="423"/>
      <c r="B25" s="423"/>
      <c r="C25" s="423"/>
      <c r="D25" s="423"/>
      <c r="E25" s="423"/>
      <c r="F25" s="423"/>
      <c r="G25" s="423"/>
      <c r="H25" s="423"/>
      <c r="I25" s="423"/>
      <c r="J25" s="423"/>
      <c r="K25" s="423"/>
      <c r="L25" s="423"/>
      <c r="M25" s="423"/>
      <c r="N25" s="423"/>
      <c r="O25" s="423"/>
      <c r="P25" s="423"/>
    </row>
    <row r="26" spans="1:18" ht="21" customHeight="1">
      <c r="A26" s="423"/>
      <c r="B26" s="423"/>
      <c r="C26" s="423"/>
      <c r="D26" s="423"/>
      <c r="E26" s="423"/>
      <c r="F26" s="423"/>
      <c r="G26" s="423"/>
      <c r="H26" s="423"/>
      <c r="I26" s="423"/>
      <c r="J26" s="423"/>
      <c r="K26" s="423"/>
      <c r="L26" s="423"/>
      <c r="M26" s="423"/>
      <c r="N26" s="423"/>
      <c r="O26" s="423"/>
      <c r="P26" s="423"/>
    </row>
    <row r="27" spans="1:18">
      <c r="A27" s="423"/>
      <c r="B27" s="423"/>
      <c r="C27" s="423"/>
      <c r="D27" s="423"/>
      <c r="E27" s="423"/>
      <c r="F27" s="423"/>
      <c r="G27" s="423"/>
      <c r="H27" s="423"/>
      <c r="I27" s="423"/>
      <c r="J27" s="423"/>
      <c r="K27" s="423"/>
      <c r="L27" s="423"/>
      <c r="M27" s="423"/>
      <c r="N27" s="423"/>
      <c r="O27" s="423"/>
      <c r="P27" s="423"/>
    </row>
    <row r="28" spans="1:18">
      <c r="A28" s="423"/>
      <c r="B28" s="423"/>
      <c r="C28" s="423"/>
      <c r="D28" s="423"/>
      <c r="E28" s="423"/>
      <c r="F28" s="423"/>
      <c r="G28" s="423"/>
      <c r="H28" s="423"/>
      <c r="I28" s="423"/>
      <c r="J28" s="423"/>
      <c r="K28" s="423"/>
      <c r="L28" s="423"/>
      <c r="M28" s="423"/>
      <c r="N28" s="423"/>
      <c r="O28" s="423"/>
      <c r="P28" s="423"/>
    </row>
    <row r="29" spans="1:18">
      <c r="A29" s="423"/>
      <c r="B29" s="423"/>
      <c r="C29" s="423"/>
      <c r="D29" s="423"/>
      <c r="E29" s="423"/>
      <c r="F29" s="423"/>
      <c r="G29" s="423"/>
      <c r="H29" s="423"/>
      <c r="I29" s="423"/>
      <c r="J29" s="423"/>
      <c r="K29" s="423"/>
      <c r="L29" s="423"/>
      <c r="M29" s="423"/>
      <c r="N29" s="423"/>
      <c r="O29" s="423"/>
      <c r="P29" s="423"/>
    </row>
    <row r="30" spans="1:18">
      <c r="A30" s="423"/>
      <c r="B30" s="423"/>
      <c r="C30" s="423"/>
      <c r="D30" s="423"/>
      <c r="E30" s="423"/>
      <c r="F30" s="423"/>
      <c r="G30" s="423"/>
      <c r="H30" s="423"/>
      <c r="I30" s="423"/>
      <c r="J30" s="423"/>
      <c r="K30" s="423"/>
      <c r="L30" s="423"/>
      <c r="M30" s="423"/>
      <c r="N30" s="423"/>
      <c r="O30" s="423"/>
      <c r="P30" s="423"/>
    </row>
    <row r="31" spans="1:18">
      <c r="A31" s="423"/>
      <c r="B31" s="423"/>
      <c r="C31" s="423"/>
      <c r="D31" s="423"/>
      <c r="E31" s="423"/>
      <c r="F31" s="423"/>
      <c r="G31" s="423"/>
      <c r="H31" s="423"/>
      <c r="I31" s="423"/>
      <c r="J31" s="423"/>
      <c r="K31" s="423"/>
      <c r="L31" s="423"/>
      <c r="M31" s="423"/>
      <c r="N31" s="423"/>
      <c r="O31" s="423"/>
      <c r="P31" s="423"/>
    </row>
    <row r="32" spans="1:18">
      <c r="A32" s="423"/>
      <c r="B32" s="423"/>
      <c r="C32" s="423"/>
      <c r="D32" s="423"/>
      <c r="E32" s="423"/>
      <c r="F32" s="423"/>
      <c r="G32" s="423"/>
      <c r="H32" s="423"/>
      <c r="I32" s="423"/>
      <c r="J32" s="423"/>
      <c r="K32" s="423"/>
      <c r="L32" s="423"/>
      <c r="M32" s="423"/>
      <c r="N32" s="423"/>
      <c r="O32" s="423"/>
      <c r="P32" s="423"/>
    </row>
    <row r="33" spans="1:16">
      <c r="A33" s="423"/>
      <c r="B33" s="423"/>
      <c r="C33" s="423"/>
      <c r="D33" s="423"/>
      <c r="E33" s="423"/>
      <c r="F33" s="423"/>
      <c r="G33" s="423"/>
      <c r="H33" s="423"/>
      <c r="I33" s="423"/>
      <c r="J33" s="423"/>
      <c r="K33" s="423"/>
      <c r="L33" s="423"/>
      <c r="M33" s="423"/>
      <c r="N33" s="423"/>
      <c r="O33" s="423"/>
      <c r="P33" s="423"/>
    </row>
    <row r="34" spans="1:16">
      <c r="A34" s="423"/>
      <c r="B34" s="423"/>
      <c r="C34" s="423"/>
      <c r="D34" s="423"/>
      <c r="E34" s="423"/>
      <c r="F34" s="423"/>
      <c r="G34" s="423"/>
      <c r="H34" s="423"/>
      <c r="I34" s="423"/>
      <c r="J34" s="423"/>
      <c r="K34" s="423"/>
      <c r="L34" s="423"/>
      <c r="M34" s="423"/>
      <c r="N34" s="423"/>
      <c r="O34" s="423"/>
      <c r="P34" s="423"/>
    </row>
    <row r="35" spans="1:16">
      <c r="A35" s="423"/>
      <c r="B35" s="423"/>
      <c r="C35" s="423"/>
      <c r="D35" s="423"/>
      <c r="E35" s="423"/>
      <c r="F35" s="423"/>
      <c r="G35" s="423"/>
      <c r="H35" s="423"/>
      <c r="I35" s="423"/>
      <c r="J35" s="423"/>
      <c r="K35" s="423"/>
      <c r="L35" s="423"/>
      <c r="M35" s="423"/>
      <c r="N35" s="423"/>
      <c r="O35" s="423"/>
      <c r="P35" s="423"/>
    </row>
    <row r="36" spans="1:16">
      <c r="A36" s="423"/>
      <c r="B36" s="423"/>
      <c r="C36" s="423"/>
      <c r="D36" s="423"/>
      <c r="E36" s="423"/>
      <c r="F36" s="423"/>
      <c r="G36" s="423"/>
      <c r="H36" s="423"/>
      <c r="I36" s="423"/>
      <c r="J36" s="423"/>
      <c r="K36" s="423"/>
      <c r="L36" s="423"/>
      <c r="M36" s="423"/>
      <c r="N36" s="423"/>
      <c r="O36" s="423"/>
      <c r="P36" s="423"/>
    </row>
    <row r="37" spans="1:16">
      <c r="A37" s="423"/>
      <c r="B37" s="423"/>
      <c r="C37" s="423"/>
      <c r="D37" s="423"/>
      <c r="E37" s="423"/>
      <c r="F37" s="423"/>
      <c r="G37" s="423"/>
      <c r="H37" s="423"/>
      <c r="I37" s="423"/>
      <c r="J37" s="423"/>
      <c r="K37" s="423"/>
      <c r="L37" s="423"/>
      <c r="M37" s="423"/>
      <c r="N37" s="423"/>
      <c r="O37" s="423"/>
      <c r="P37" s="423"/>
    </row>
    <row r="38" spans="1:16">
      <c r="A38" s="423"/>
      <c r="B38" s="423"/>
      <c r="C38" s="423"/>
      <c r="D38" s="423"/>
      <c r="E38" s="423"/>
      <c r="F38" s="423"/>
      <c r="G38" s="423"/>
      <c r="H38" s="423"/>
      <c r="I38" s="423"/>
      <c r="J38" s="423"/>
      <c r="K38" s="423"/>
      <c r="L38" s="423"/>
      <c r="M38" s="423"/>
      <c r="N38" s="423"/>
      <c r="O38" s="423"/>
      <c r="P38" s="423"/>
    </row>
    <row r="39" spans="1:16">
      <c r="A39" s="423"/>
      <c r="B39" s="423"/>
      <c r="C39" s="423"/>
      <c r="D39" s="423"/>
      <c r="E39" s="423"/>
      <c r="F39" s="423"/>
      <c r="G39" s="423"/>
      <c r="H39" s="423"/>
      <c r="I39" s="423"/>
      <c r="J39" s="423"/>
      <c r="K39" s="423"/>
      <c r="L39" s="423"/>
      <c r="M39" s="423"/>
      <c r="N39" s="423"/>
      <c r="O39" s="423"/>
      <c r="P39" s="423"/>
    </row>
    <row r="40" spans="1:16">
      <c r="A40" s="423"/>
      <c r="B40" s="423"/>
      <c r="C40" s="423"/>
      <c r="D40" s="423"/>
      <c r="E40" s="423"/>
      <c r="F40" s="423"/>
      <c r="G40" s="423"/>
      <c r="H40" s="423"/>
      <c r="I40" s="423"/>
      <c r="J40" s="423"/>
      <c r="K40" s="423"/>
      <c r="L40" s="423"/>
      <c r="M40" s="423"/>
      <c r="N40" s="423"/>
      <c r="O40" s="423"/>
      <c r="P40" s="423"/>
    </row>
    <row r="41" spans="1:16">
      <c r="A41" s="423"/>
      <c r="B41" s="423"/>
      <c r="C41" s="423"/>
      <c r="D41" s="423"/>
      <c r="E41" s="423"/>
      <c r="F41" s="423"/>
      <c r="G41" s="423"/>
      <c r="H41" s="423"/>
      <c r="I41" s="423"/>
      <c r="J41" s="423"/>
      <c r="K41" s="423"/>
      <c r="L41" s="423"/>
      <c r="M41" s="423"/>
      <c r="N41" s="423"/>
      <c r="O41" s="423"/>
      <c r="P41" s="423"/>
    </row>
    <row r="42" spans="1:16">
      <c r="A42" s="423"/>
      <c r="B42" s="423"/>
      <c r="C42" s="423"/>
      <c r="D42" s="423"/>
      <c r="E42" s="423"/>
      <c r="F42" s="423"/>
      <c r="G42" s="423"/>
      <c r="H42" s="423"/>
      <c r="I42" s="423"/>
      <c r="J42" s="423"/>
      <c r="K42" s="423"/>
      <c r="L42" s="423"/>
      <c r="M42" s="423"/>
      <c r="N42" s="423"/>
      <c r="O42" s="423"/>
      <c r="P42" s="423"/>
    </row>
    <row r="43" spans="1:16">
      <c r="A43" s="423"/>
      <c r="B43" s="423"/>
      <c r="C43" s="423"/>
      <c r="D43" s="423"/>
      <c r="E43" s="423"/>
      <c r="F43" s="423"/>
      <c r="G43" s="423"/>
      <c r="H43" s="423"/>
      <c r="I43" s="423"/>
      <c r="J43" s="423"/>
      <c r="K43" s="423"/>
      <c r="L43" s="423"/>
      <c r="M43" s="423"/>
      <c r="N43" s="423"/>
      <c r="O43" s="423"/>
      <c r="P43" s="423"/>
    </row>
    <row r="44" spans="1:16">
      <c r="A44" s="423"/>
      <c r="B44" s="423"/>
      <c r="C44" s="423"/>
      <c r="D44" s="423"/>
      <c r="E44" s="423"/>
      <c r="F44" s="423"/>
      <c r="G44" s="423"/>
      <c r="H44" s="423"/>
      <c r="I44" s="423"/>
      <c r="J44" s="423"/>
      <c r="K44" s="423"/>
      <c r="L44" s="423"/>
      <c r="M44" s="423"/>
      <c r="N44" s="423"/>
      <c r="O44" s="423"/>
      <c r="P44" s="423"/>
    </row>
    <row r="45" spans="1:16">
      <c r="A45" s="423"/>
      <c r="B45" s="423"/>
      <c r="C45" s="423"/>
      <c r="D45" s="423"/>
      <c r="E45" s="423"/>
      <c r="F45" s="423"/>
      <c r="G45" s="423"/>
      <c r="H45" s="423"/>
      <c r="I45" s="423"/>
      <c r="J45" s="423"/>
      <c r="K45" s="423"/>
      <c r="L45" s="423"/>
      <c r="M45" s="423"/>
      <c r="N45" s="423"/>
      <c r="O45" s="423"/>
      <c r="P45" s="423"/>
    </row>
    <row r="46" spans="1:16">
      <c r="A46" s="423"/>
      <c r="B46" s="423"/>
      <c r="C46" s="423"/>
      <c r="D46" s="423"/>
      <c r="E46" s="423"/>
      <c r="F46" s="423"/>
      <c r="G46" s="423"/>
      <c r="H46" s="423"/>
      <c r="I46" s="423"/>
      <c r="J46" s="423"/>
      <c r="K46" s="423"/>
      <c r="L46" s="423"/>
      <c r="M46" s="423"/>
      <c r="N46" s="423"/>
      <c r="O46" s="423"/>
      <c r="P46" s="423"/>
    </row>
    <row r="47" spans="1:16">
      <c r="A47" s="423"/>
      <c r="B47" s="423"/>
      <c r="C47" s="423"/>
      <c r="D47" s="423"/>
      <c r="E47" s="423"/>
      <c r="F47" s="423"/>
      <c r="G47" s="423"/>
      <c r="H47" s="423"/>
      <c r="I47" s="423"/>
      <c r="J47" s="423"/>
      <c r="K47" s="423"/>
      <c r="L47" s="423"/>
      <c r="M47" s="423"/>
      <c r="N47" s="423"/>
      <c r="O47" s="423"/>
      <c r="P47" s="423"/>
    </row>
    <row r="48" spans="1:16">
      <c r="A48" s="423"/>
      <c r="B48" s="423"/>
      <c r="C48" s="423"/>
      <c r="D48" s="423"/>
      <c r="E48" s="423"/>
      <c r="F48" s="423"/>
      <c r="G48" s="423"/>
      <c r="H48" s="423"/>
      <c r="I48" s="423"/>
      <c r="J48" s="423"/>
      <c r="K48" s="423"/>
      <c r="L48" s="423"/>
      <c r="M48" s="423"/>
      <c r="N48" s="423"/>
      <c r="O48" s="423"/>
      <c r="P48" s="423"/>
    </row>
    <row r="49" spans="1:16">
      <c r="A49" s="423"/>
      <c r="B49" s="423"/>
      <c r="C49" s="423"/>
      <c r="D49" s="423"/>
      <c r="E49" s="423"/>
      <c r="F49" s="423"/>
      <c r="G49" s="423"/>
      <c r="H49" s="423"/>
      <c r="I49" s="423"/>
      <c r="J49" s="423"/>
      <c r="K49" s="423"/>
      <c r="L49" s="423"/>
      <c r="M49" s="423"/>
      <c r="N49" s="423"/>
      <c r="O49" s="423"/>
      <c r="P49" s="423"/>
    </row>
    <row r="50" spans="1:16">
      <c r="A50" s="423"/>
      <c r="B50" s="423"/>
      <c r="C50" s="423"/>
      <c r="D50" s="424"/>
      <c r="E50" s="423"/>
      <c r="F50" s="423"/>
      <c r="G50" s="423"/>
      <c r="H50" s="423"/>
      <c r="I50" s="423"/>
      <c r="J50" s="423"/>
      <c r="K50" s="423"/>
      <c r="L50" s="423"/>
      <c r="M50" s="423"/>
      <c r="N50" s="423"/>
      <c r="O50" s="423"/>
      <c r="P50" s="423"/>
    </row>
    <row r="51" spans="1:16">
      <c r="A51" s="423"/>
      <c r="B51" s="423"/>
      <c r="C51" s="423"/>
      <c r="D51" s="423"/>
      <c r="E51" s="423"/>
      <c r="F51" s="423"/>
      <c r="G51" s="423"/>
      <c r="H51" s="423"/>
      <c r="I51" s="423"/>
      <c r="J51" s="423"/>
      <c r="K51" s="423"/>
      <c r="L51" s="423"/>
      <c r="M51" s="423"/>
      <c r="N51" s="423"/>
      <c r="O51" s="423"/>
    </row>
    <row r="52" spans="1:16">
      <c r="A52" s="423"/>
      <c r="B52" s="423"/>
      <c r="C52" s="423"/>
      <c r="D52" s="423"/>
      <c r="E52" s="423"/>
      <c r="F52" s="423"/>
      <c r="G52" s="423"/>
      <c r="H52" s="423"/>
      <c r="I52" s="423"/>
      <c r="J52" s="423"/>
      <c r="K52" s="423"/>
      <c r="L52" s="423"/>
      <c r="M52" s="423"/>
      <c r="N52" s="423"/>
      <c r="O52" s="423"/>
      <c r="P52" s="423"/>
    </row>
    <row r="53" spans="1:16">
      <c r="A53" s="423"/>
      <c r="B53" s="423"/>
      <c r="C53" s="423"/>
      <c r="D53" s="423"/>
      <c r="E53" s="423"/>
      <c r="F53" s="423"/>
      <c r="G53" s="423"/>
      <c r="H53" s="423"/>
      <c r="I53" s="423"/>
      <c r="J53" s="423"/>
      <c r="K53" s="423"/>
      <c r="L53" s="423"/>
      <c r="M53" s="423"/>
      <c r="N53" s="423"/>
      <c r="O53" s="423"/>
      <c r="P53" s="423"/>
    </row>
    <row r="54" spans="1:16">
      <c r="A54" s="423"/>
      <c r="B54" s="423"/>
      <c r="C54" s="423"/>
      <c r="D54" s="423"/>
      <c r="E54" s="423"/>
      <c r="F54" s="423"/>
      <c r="G54" s="423"/>
      <c r="H54" s="423"/>
      <c r="I54" s="423"/>
      <c r="J54" s="423"/>
      <c r="K54" s="423"/>
      <c r="L54" s="423"/>
      <c r="M54" s="423"/>
      <c r="N54" s="423"/>
      <c r="O54" s="423"/>
      <c r="P54" s="423"/>
    </row>
    <row r="55" spans="1:16">
      <c r="A55" s="423"/>
      <c r="B55" s="423"/>
      <c r="C55" s="423"/>
      <c r="D55" s="423"/>
      <c r="E55" s="423"/>
      <c r="F55" s="423"/>
      <c r="G55" s="423"/>
      <c r="H55" s="423"/>
      <c r="I55" s="423"/>
      <c r="J55" s="423"/>
      <c r="K55" s="423"/>
      <c r="L55" s="423"/>
      <c r="M55" s="423"/>
      <c r="N55" s="423"/>
      <c r="O55" s="423"/>
      <c r="P55" s="423"/>
    </row>
    <row r="56" spans="1:16">
      <c r="A56" s="423"/>
      <c r="B56" s="423"/>
      <c r="C56" s="423"/>
      <c r="D56" s="423"/>
      <c r="E56" s="423"/>
      <c r="F56" s="423"/>
      <c r="G56" s="423"/>
      <c r="H56" s="423"/>
      <c r="I56" s="423"/>
      <c r="J56" s="423"/>
      <c r="K56" s="423"/>
      <c r="L56" s="423"/>
      <c r="M56" s="423"/>
      <c r="N56" s="423"/>
      <c r="O56" s="423"/>
      <c r="P56" s="423"/>
    </row>
    <row r="57" spans="1:16">
      <c r="A57" s="423"/>
      <c r="B57" s="423"/>
      <c r="C57" s="423"/>
      <c r="D57" s="423"/>
      <c r="E57" s="423"/>
      <c r="F57" s="423"/>
      <c r="G57" s="423"/>
      <c r="H57" s="423"/>
      <c r="I57" s="423"/>
      <c r="J57" s="423"/>
      <c r="K57" s="423"/>
      <c r="L57" s="423"/>
      <c r="M57" s="423"/>
      <c r="N57" s="423"/>
      <c r="O57" s="423"/>
      <c r="P57" s="423"/>
    </row>
    <row r="58" spans="1:16">
      <c r="A58" s="423"/>
      <c r="B58" s="423"/>
      <c r="C58" s="423"/>
      <c r="D58" s="423"/>
      <c r="E58" s="423"/>
      <c r="F58" s="423"/>
      <c r="G58" s="423"/>
      <c r="H58" s="423"/>
      <c r="I58" s="423"/>
      <c r="J58" s="423"/>
      <c r="K58" s="423"/>
      <c r="L58" s="423"/>
      <c r="M58" s="423"/>
      <c r="N58" s="423"/>
      <c r="O58" s="423"/>
      <c r="P58" s="423"/>
    </row>
    <row r="59" spans="1:16">
      <c r="A59" s="423"/>
      <c r="B59" s="423"/>
      <c r="C59" s="423"/>
      <c r="D59" s="423"/>
      <c r="E59" s="423"/>
      <c r="F59" s="423"/>
      <c r="G59" s="423"/>
      <c r="H59" s="423"/>
      <c r="I59" s="423"/>
      <c r="J59" s="423"/>
      <c r="K59" s="423"/>
      <c r="L59" s="423"/>
      <c r="M59" s="423"/>
      <c r="N59" s="423"/>
      <c r="O59" s="423"/>
      <c r="P59" s="423"/>
    </row>
    <row r="60" spans="1:16">
      <c r="A60" s="423"/>
      <c r="B60" s="423"/>
      <c r="C60" s="423"/>
      <c r="D60" s="423"/>
      <c r="E60" s="423"/>
      <c r="F60" s="423"/>
      <c r="G60" s="423"/>
      <c r="H60" s="423"/>
      <c r="I60" s="423"/>
      <c r="J60" s="423"/>
      <c r="K60" s="423"/>
      <c r="L60" s="423"/>
      <c r="M60" s="423"/>
      <c r="N60" s="423"/>
      <c r="O60" s="423"/>
      <c r="P60" s="423"/>
    </row>
    <row r="61" spans="1:16">
      <c r="A61" s="423"/>
      <c r="B61" s="423"/>
      <c r="C61" s="423"/>
      <c r="D61" s="423"/>
      <c r="E61" s="423"/>
      <c r="F61" s="423"/>
      <c r="G61" s="423"/>
      <c r="H61" s="423"/>
      <c r="I61" s="423"/>
      <c r="J61" s="423"/>
      <c r="K61" s="423"/>
      <c r="L61" s="423"/>
      <c r="M61" s="423"/>
      <c r="N61" s="423"/>
      <c r="O61" s="423"/>
      <c r="P61" s="423"/>
    </row>
    <row r="62" spans="1:16">
      <c r="A62" s="423"/>
      <c r="B62" s="423"/>
      <c r="C62" s="423"/>
      <c r="D62" s="423"/>
      <c r="E62" s="423"/>
      <c r="F62" s="423"/>
      <c r="G62" s="423"/>
      <c r="H62" s="423"/>
      <c r="I62" s="423"/>
      <c r="J62" s="423"/>
      <c r="K62" s="423"/>
      <c r="L62" s="423"/>
      <c r="M62" s="423"/>
      <c r="N62" s="423"/>
      <c r="O62" s="423"/>
      <c r="P62" s="423"/>
    </row>
    <row r="63" spans="1:16">
      <c r="A63" s="423"/>
      <c r="B63" s="423"/>
      <c r="C63" s="423"/>
      <c r="D63" s="423"/>
      <c r="E63" s="423"/>
      <c r="F63" s="423"/>
      <c r="G63" s="423"/>
      <c r="H63" s="423"/>
      <c r="I63" s="423"/>
      <c r="J63" s="423"/>
      <c r="K63" s="423"/>
      <c r="L63" s="423"/>
      <c r="M63" s="423"/>
      <c r="N63" s="423"/>
      <c r="O63" s="423"/>
      <c r="P63" s="423"/>
    </row>
    <row r="64" spans="1:16">
      <c r="A64" s="423"/>
      <c r="B64" s="423"/>
      <c r="C64" s="423"/>
      <c r="D64" s="423"/>
      <c r="E64" s="423"/>
      <c r="F64" s="423"/>
      <c r="G64" s="423"/>
      <c r="H64" s="423"/>
      <c r="I64" s="423"/>
      <c r="J64" s="423"/>
      <c r="K64" s="423"/>
      <c r="L64" s="423"/>
      <c r="M64" s="423"/>
      <c r="N64" s="423"/>
      <c r="O64" s="423"/>
      <c r="P64" s="423"/>
    </row>
    <row r="65" spans="1:16">
      <c r="A65" s="423"/>
      <c r="B65" s="423"/>
      <c r="C65" s="423"/>
      <c r="D65" s="423"/>
      <c r="E65" s="423"/>
      <c r="F65" s="423"/>
      <c r="G65" s="423"/>
      <c r="H65" s="423"/>
      <c r="I65" s="423"/>
      <c r="J65" s="423"/>
      <c r="K65" s="423"/>
      <c r="L65" s="423"/>
      <c r="M65" s="423"/>
      <c r="N65" s="423"/>
      <c r="O65" s="423"/>
      <c r="P65" s="423"/>
    </row>
  </sheetData>
  <mergeCells count="1">
    <mergeCell ref="F4:G4"/>
  </mergeCells>
  <phoneticPr fontId="22" type="noConversion"/>
  <pageMargins left="0.7" right="0.7" top="0.75" bottom="0.75" header="0.3" footer="0.3"/>
  <pageSetup orientation="portrait" r:id="rId1"/>
  <headerFooter>
    <oddFooter>&amp;C&amp;1#&amp;"Calibri"&amp;14&amp;K008000Classification: General Use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rgb="FFFFFF00"/>
  </sheetPr>
  <dimension ref="A1:AK412"/>
  <sheetViews>
    <sheetView topLeftCell="A69" zoomScale="85" zoomScaleNormal="85" workbookViewId="0">
      <selection activeCell="C5" sqref="C5"/>
    </sheetView>
  </sheetViews>
  <sheetFormatPr defaultRowHeight="14.5"/>
  <cols>
    <col min="1" max="1" width="3.1796875" style="452" bestFit="1" customWidth="1"/>
    <col min="2" max="2" width="30.54296875" style="452" bestFit="1" customWidth="1"/>
    <col min="3" max="3" width="10.81640625" style="452" bestFit="1" customWidth="1"/>
    <col min="4" max="4" width="37.81640625" style="452" bestFit="1" customWidth="1"/>
    <col min="5" max="5" width="18.453125" style="452" bestFit="1" customWidth="1"/>
    <col min="6" max="6" width="17.1796875" style="452" bestFit="1" customWidth="1"/>
    <col min="7" max="7" width="18.26953125" style="452" bestFit="1" customWidth="1"/>
    <col min="8" max="8" width="17.81640625" style="452" bestFit="1" customWidth="1"/>
    <col min="9" max="9" width="13.54296875" style="452" bestFit="1" customWidth="1"/>
    <col min="10" max="10" width="16.81640625" style="452" bestFit="1" customWidth="1"/>
    <col min="11" max="11" width="11.81640625" style="452" bestFit="1" customWidth="1"/>
    <col min="12" max="12" width="18.1796875" style="452" bestFit="1" customWidth="1"/>
    <col min="13" max="13" width="17.453125" style="452" bestFit="1" customWidth="1"/>
    <col min="14" max="14" width="52.26953125" style="452" bestFit="1" customWidth="1"/>
    <col min="15" max="15" width="51.453125" style="452" bestFit="1" customWidth="1"/>
    <col min="16" max="22" width="14.1796875" style="452" customWidth="1"/>
    <col min="23" max="23" width="8.7265625" style="452"/>
    <col min="24" max="30" width="14.1796875" style="452" customWidth="1"/>
    <col min="31" max="34" width="8.7265625" style="452"/>
    <col min="36" max="37" width="8.7265625" style="452"/>
  </cols>
  <sheetData>
    <row r="1" spans="1:37">
      <c r="B1" s="453"/>
      <c r="C1" s="453"/>
      <c r="D1" s="453"/>
      <c r="E1" s="453"/>
      <c r="F1" s="453"/>
      <c r="G1" s="453"/>
      <c r="H1" s="453"/>
      <c r="I1" s="453"/>
      <c r="J1" s="453"/>
      <c r="K1" s="453"/>
      <c r="L1" s="453"/>
      <c r="M1" s="453"/>
      <c r="AI1" s="452"/>
    </row>
    <row r="2" spans="1:37" ht="15" thickBot="1">
      <c r="B2" s="453"/>
      <c r="C2" s="453"/>
      <c r="D2" s="453"/>
      <c r="E2" s="453"/>
      <c r="F2" s="453"/>
      <c r="G2" s="453"/>
      <c r="H2" s="453"/>
      <c r="I2" s="456"/>
      <c r="J2" s="453"/>
      <c r="K2" s="453"/>
      <c r="L2" s="510"/>
      <c r="M2" s="453"/>
      <c r="AI2" s="452"/>
    </row>
    <row r="3" spans="1:37" ht="29.5" thickBot="1">
      <c r="B3" s="453"/>
      <c r="C3" s="453"/>
      <c r="D3" s="453"/>
      <c r="E3" s="453"/>
      <c r="F3" s="453"/>
      <c r="G3" s="453"/>
      <c r="H3" s="512" t="s">
        <v>225</v>
      </c>
      <c r="I3" s="453"/>
      <c r="J3" s="453"/>
      <c r="K3" s="453"/>
      <c r="L3" s="453"/>
      <c r="M3" s="453"/>
      <c r="AI3" s="452"/>
    </row>
    <row r="4" spans="1:37" ht="37" customHeight="1">
      <c r="A4" s="454"/>
      <c r="B4"/>
      <c r="C4" s="519" t="s">
        <v>245</v>
      </c>
      <c r="D4" s="513" t="s">
        <v>482</v>
      </c>
      <c r="E4" s="513" t="s">
        <v>12</v>
      </c>
      <c r="F4" s="513" t="s">
        <v>114</v>
      </c>
      <c r="G4" s="513" t="s">
        <v>480</v>
      </c>
      <c r="H4" s="513" t="s">
        <v>231</v>
      </c>
      <c r="I4" s="513" t="s">
        <v>352</v>
      </c>
      <c r="J4" s="513" t="s">
        <v>479</v>
      </c>
      <c r="K4" s="513" t="s">
        <v>353</v>
      </c>
      <c r="L4" s="513" t="s">
        <v>477</v>
      </c>
      <c r="M4" s="514" t="s">
        <v>481</v>
      </c>
      <c r="AI4" s="452"/>
    </row>
    <row r="5" spans="1:37" s="451" customFormat="1" ht="15" thickBot="1">
      <c r="A5" s="455"/>
      <c r="C5" s="543">
        <v>2025</v>
      </c>
      <c r="D5" s="613">
        <v>1500000</v>
      </c>
      <c r="E5" s="520">
        <v>100</v>
      </c>
      <c r="F5" s="520">
        <v>3.73</v>
      </c>
      <c r="G5" s="520">
        <v>17.5</v>
      </c>
      <c r="H5" s="520">
        <v>369.08</v>
      </c>
      <c r="I5" s="521">
        <v>0.12790000000000001</v>
      </c>
      <c r="J5" s="522">
        <v>0.5</v>
      </c>
      <c r="K5" s="520">
        <v>30000</v>
      </c>
      <c r="L5" s="523">
        <v>7.15</v>
      </c>
      <c r="M5" s="533">
        <v>3.44E-2</v>
      </c>
      <c r="N5" s="457"/>
      <c r="O5" s="457"/>
      <c r="P5" s="457"/>
      <c r="Q5" s="457"/>
      <c r="R5" s="457"/>
      <c r="S5" s="457"/>
      <c r="T5" s="457"/>
      <c r="U5" s="457"/>
      <c r="V5" s="457"/>
      <c r="W5" s="457"/>
      <c r="X5" s="457"/>
      <c r="Y5" s="457"/>
      <c r="Z5" s="457"/>
      <c r="AA5" s="457"/>
      <c r="AB5" s="457"/>
      <c r="AC5" s="457"/>
      <c r="AD5" s="457"/>
      <c r="AE5" s="457"/>
      <c r="AF5" s="457"/>
      <c r="AG5" s="457"/>
      <c r="AH5" s="457"/>
      <c r="AI5" s="457"/>
      <c r="AJ5" s="457"/>
      <c r="AK5" s="457"/>
    </row>
    <row r="6" spans="1:37" s="451" customFormat="1">
      <c r="A6" s="457"/>
      <c r="B6" s="1224" t="s">
        <v>472</v>
      </c>
      <c r="C6" s="1225"/>
      <c r="D6" s="515">
        <v>-0.2</v>
      </c>
      <c r="E6" s="515">
        <v>-0.5</v>
      </c>
      <c r="F6" s="515">
        <v>-0.2</v>
      </c>
      <c r="G6" s="515">
        <v>-0.5</v>
      </c>
      <c r="H6" s="515">
        <v>-0.2</v>
      </c>
      <c r="I6" s="515">
        <v>-0.2</v>
      </c>
      <c r="J6" s="515">
        <v>0.5</v>
      </c>
      <c r="K6" s="515">
        <v>-0.5</v>
      </c>
      <c r="L6" s="515">
        <v>0.2</v>
      </c>
      <c r="M6" s="516">
        <v>-0.2</v>
      </c>
      <c r="N6" s="457"/>
      <c r="O6" s="457"/>
      <c r="P6" s="457"/>
      <c r="Q6" s="457"/>
      <c r="R6" s="457"/>
      <c r="S6" s="457"/>
      <c r="T6" s="457"/>
      <c r="U6" s="457"/>
      <c r="V6" s="457"/>
      <c r="W6" s="457"/>
      <c r="X6" s="457"/>
      <c r="Y6" s="457"/>
      <c r="Z6" s="457"/>
      <c r="AA6" s="457"/>
      <c r="AB6" s="457"/>
      <c r="AC6" s="457"/>
      <c r="AD6" s="457"/>
      <c r="AE6" s="457"/>
      <c r="AF6" s="457"/>
      <c r="AG6" s="457"/>
      <c r="AH6" s="457"/>
      <c r="AI6" s="457"/>
      <c r="AJ6" s="457"/>
      <c r="AK6" s="457"/>
    </row>
    <row r="7" spans="1:37" s="451" customFormat="1">
      <c r="A7" s="455"/>
      <c r="B7" s="1217" t="s">
        <v>341</v>
      </c>
      <c r="C7" s="1218"/>
      <c r="D7" s="464">
        <v>0</v>
      </c>
      <c r="E7" s="464">
        <v>0</v>
      </c>
      <c r="F7" s="464">
        <v>0</v>
      </c>
      <c r="G7" s="464">
        <v>0</v>
      </c>
      <c r="H7" s="464">
        <v>0</v>
      </c>
      <c r="I7" s="464">
        <v>0</v>
      </c>
      <c r="J7" s="464">
        <v>0</v>
      </c>
      <c r="K7" s="464">
        <v>0</v>
      </c>
      <c r="L7" s="464">
        <v>0</v>
      </c>
      <c r="M7" s="470">
        <v>0</v>
      </c>
      <c r="N7" s="457"/>
      <c r="O7" s="457"/>
      <c r="P7" s="457"/>
      <c r="Q7" s="457"/>
      <c r="R7" s="457"/>
      <c r="S7" s="457"/>
      <c r="T7" s="457"/>
      <c r="U7" s="457"/>
      <c r="V7" s="457"/>
      <c r="W7" s="457"/>
      <c r="X7" s="457"/>
      <c r="Y7" s="457"/>
      <c r="Z7" s="457"/>
      <c r="AA7" s="457"/>
      <c r="AB7" s="457"/>
      <c r="AC7" s="457"/>
      <c r="AD7" s="457"/>
      <c r="AE7" s="457"/>
      <c r="AF7" s="457"/>
      <c r="AG7" s="457"/>
      <c r="AH7" s="457"/>
      <c r="AI7" s="457"/>
      <c r="AJ7" s="457"/>
      <c r="AK7" s="457"/>
    </row>
    <row r="8" spans="1:37" s="451" customFormat="1" ht="15" thickBot="1">
      <c r="A8" s="457"/>
      <c r="B8" s="1226" t="s">
        <v>473</v>
      </c>
      <c r="C8" s="1227"/>
      <c r="D8" s="517">
        <v>0.2</v>
      </c>
      <c r="E8" s="517">
        <v>1</v>
      </c>
      <c r="F8" s="517">
        <v>0.5</v>
      </c>
      <c r="G8" s="517">
        <v>0.5</v>
      </c>
      <c r="H8" s="517">
        <v>0.2</v>
      </c>
      <c r="I8" s="517">
        <v>0.5</v>
      </c>
      <c r="J8" s="517">
        <v>-0.25</v>
      </c>
      <c r="K8" s="517">
        <v>1</v>
      </c>
      <c r="L8" s="517">
        <v>-0.2</v>
      </c>
      <c r="M8" s="518">
        <v>0.2</v>
      </c>
      <c r="N8" s="457"/>
      <c r="O8" s="457"/>
      <c r="P8" s="457"/>
      <c r="Q8" s="457"/>
      <c r="R8" s="457"/>
      <c r="S8" s="457"/>
      <c r="T8" s="457"/>
      <c r="U8" s="457"/>
      <c r="V8" s="457"/>
      <c r="W8" s="457"/>
      <c r="X8" s="457"/>
      <c r="Y8" s="457"/>
      <c r="Z8" s="457"/>
      <c r="AA8" s="457"/>
      <c r="AB8" s="457"/>
      <c r="AC8" s="457"/>
      <c r="AD8" s="457"/>
      <c r="AE8" s="457"/>
      <c r="AF8" s="457"/>
      <c r="AG8" s="457"/>
      <c r="AH8" s="457"/>
      <c r="AI8" s="457"/>
      <c r="AJ8" s="457"/>
      <c r="AK8" s="457"/>
    </row>
    <row r="9" spans="1:37" ht="15" thickBot="1">
      <c r="B9" s="1228"/>
      <c r="C9" s="1228"/>
      <c r="D9" s="463"/>
      <c r="E9" s="453"/>
      <c r="F9" s="453"/>
      <c r="G9" s="453"/>
      <c r="H9" s="453"/>
      <c r="I9" s="453"/>
      <c r="J9" s="453"/>
      <c r="K9" s="453"/>
      <c r="L9" s="453"/>
      <c r="M9" s="453"/>
      <c r="AI9" s="452"/>
    </row>
    <row r="10" spans="1:37">
      <c r="B10" s="1229" t="s">
        <v>474</v>
      </c>
      <c r="C10" s="1230"/>
      <c r="D10" s="524">
        <f>D5*(1+D6)</f>
        <v>1200000</v>
      </c>
      <c r="E10" s="525">
        <f>E5*(1+E6)</f>
        <v>50</v>
      </c>
      <c r="F10" s="526">
        <f>F5*(1+F6)</f>
        <v>2.984</v>
      </c>
      <c r="G10" s="537">
        <f>G5*(1+G6)</f>
        <v>8.75</v>
      </c>
      <c r="H10" s="526">
        <f t="shared" ref="H10:M10" si="0">H5*(1+H6)</f>
        <v>295.26400000000001</v>
      </c>
      <c r="I10" s="534">
        <f t="shared" si="0"/>
        <v>0.10232000000000002</v>
      </c>
      <c r="J10" s="515">
        <f t="shared" si="0"/>
        <v>0.75</v>
      </c>
      <c r="K10" s="525">
        <f t="shared" si="0"/>
        <v>15000</v>
      </c>
      <c r="L10" s="526">
        <f t="shared" si="0"/>
        <v>8.58</v>
      </c>
      <c r="M10" s="540">
        <f t="shared" si="0"/>
        <v>2.7520000000000003E-2</v>
      </c>
      <c r="AI10" s="452"/>
    </row>
    <row r="11" spans="1:37">
      <c r="B11" s="1217" t="s">
        <v>475</v>
      </c>
      <c r="C11" s="1218"/>
      <c r="D11" s="463">
        <f>D5</f>
        <v>1500000</v>
      </c>
      <c r="E11" s="467">
        <f>E5</f>
        <v>100</v>
      </c>
      <c r="F11" s="466">
        <f>F5</f>
        <v>3.73</v>
      </c>
      <c r="G11" s="538">
        <f>G5</f>
        <v>17.5</v>
      </c>
      <c r="H11" s="466">
        <f t="shared" ref="H11:M11" si="1">H5</f>
        <v>369.08</v>
      </c>
      <c r="I11" s="535">
        <f t="shared" si="1"/>
        <v>0.12790000000000001</v>
      </c>
      <c r="J11" s="465">
        <f t="shared" si="1"/>
        <v>0.5</v>
      </c>
      <c r="K11" s="467">
        <f t="shared" si="1"/>
        <v>30000</v>
      </c>
      <c r="L11" s="466">
        <f t="shared" si="1"/>
        <v>7.15</v>
      </c>
      <c r="M11" s="541">
        <f t="shared" si="1"/>
        <v>3.44E-2</v>
      </c>
      <c r="AI11" s="452"/>
    </row>
    <row r="12" spans="1:37" ht="15" thickBot="1">
      <c r="B12" s="1219" t="s">
        <v>476</v>
      </c>
      <c r="C12" s="1220"/>
      <c r="D12" s="471">
        <f>D5*(1+D8)</f>
        <v>1800000</v>
      </c>
      <c r="E12" s="471">
        <f>E5*(1+E8)</f>
        <v>200</v>
      </c>
      <c r="F12" s="511">
        <f>F5*(1+F8)</f>
        <v>5.5949999999999998</v>
      </c>
      <c r="G12" s="539">
        <f>G5*(1+G8)</f>
        <v>26.25</v>
      </c>
      <c r="H12" s="511">
        <f t="shared" ref="H12:M12" si="2">H5*(1+H8)</f>
        <v>442.89599999999996</v>
      </c>
      <c r="I12" s="536">
        <f t="shared" si="2"/>
        <v>0.19185000000000002</v>
      </c>
      <c r="J12" s="517">
        <f t="shared" si="2"/>
        <v>0.375</v>
      </c>
      <c r="K12" s="471">
        <f t="shared" si="2"/>
        <v>60000</v>
      </c>
      <c r="L12" s="511">
        <f t="shared" si="2"/>
        <v>5.7200000000000006</v>
      </c>
      <c r="M12" s="542">
        <f t="shared" si="2"/>
        <v>4.1279999999999997E-2</v>
      </c>
      <c r="AI12" s="452"/>
    </row>
    <row r="13" spans="1:37">
      <c r="B13" s="462"/>
      <c r="D13" s="458"/>
      <c r="E13" s="458"/>
      <c r="G13" s="459"/>
      <c r="AI13" s="452"/>
    </row>
    <row r="14" spans="1:37" ht="19" thickBot="1">
      <c r="B14" s="462"/>
      <c r="C14" s="460"/>
      <c r="D14" s="458"/>
      <c r="E14" s="458"/>
      <c r="G14" s="460"/>
      <c r="H14" s="460"/>
      <c r="I14" s="460"/>
      <c r="Q14" s="529"/>
      <c r="R14" s="529"/>
      <c r="S14" s="529"/>
      <c r="T14" s="529"/>
      <c r="U14" s="529"/>
      <c r="V14" s="529"/>
      <c r="AI14" s="452"/>
    </row>
    <row r="15" spans="1:37" ht="29.5" thickBot="1">
      <c r="B15" s="468" t="s">
        <v>316</v>
      </c>
      <c r="C15" s="475" t="s">
        <v>245</v>
      </c>
      <c r="D15" s="479" t="str">
        <f t="shared" ref="D15:M15" si="3">D4</f>
        <v>Total Vehicle Mile (million)</v>
      </c>
      <c r="E15" s="479" t="str">
        <f t="shared" si="3"/>
        <v>Carbon Price ($/ton)</v>
      </c>
      <c r="F15" s="479" t="str">
        <f t="shared" si="3"/>
        <v>Diesel Price ($/gal)</v>
      </c>
      <c r="G15" s="479" t="str">
        <f t="shared" si="3"/>
        <v xml:space="preserve">Revenue Loss ($/kg) </v>
      </c>
      <c r="H15" s="479" t="str">
        <f t="shared" si="3"/>
        <v>Electricity Carbon Intensity (g/kWh)</v>
      </c>
      <c r="I15" s="479" t="str">
        <f t="shared" si="3"/>
        <v>Electricity Cost ($/kWh)</v>
      </c>
      <c r="J15" s="479" t="str">
        <f t="shared" si="3"/>
        <v>MCC Efficiency (%)</v>
      </c>
      <c r="K15" s="479" t="str">
        <f t="shared" si="3"/>
        <v>MCC Cost ($)</v>
      </c>
      <c r="L15" s="479" t="str">
        <f t="shared" si="3"/>
        <v>Fuel Economy (mpg)</v>
      </c>
      <c r="M15" s="479" t="str">
        <f t="shared" si="3"/>
        <v>MCC FE penalty (%)</v>
      </c>
      <c r="O15" s="583" t="s">
        <v>355</v>
      </c>
      <c r="P15" s="352" t="s">
        <v>267</v>
      </c>
      <c r="Q15" s="353" t="s">
        <v>323</v>
      </c>
      <c r="R15" s="354" t="s">
        <v>178</v>
      </c>
      <c r="S15" s="355" t="s">
        <v>188</v>
      </c>
      <c r="T15" s="355" t="s">
        <v>324</v>
      </c>
      <c r="U15" s="589" t="s">
        <v>325</v>
      </c>
      <c r="V15" s="357" t="s">
        <v>326</v>
      </c>
      <c r="AI15" s="452"/>
    </row>
    <row r="16" spans="1:37">
      <c r="A16" s="452">
        <v>1</v>
      </c>
      <c r="B16" s="1172" t="str">
        <f>D4</f>
        <v>Total Vehicle Mile (million)</v>
      </c>
      <c r="C16" s="476">
        <v>2025</v>
      </c>
      <c r="D16" s="472">
        <v>1200000</v>
      </c>
      <c r="E16" s="480">
        <v>100</v>
      </c>
      <c r="F16" s="480">
        <v>3.73</v>
      </c>
      <c r="G16" s="480">
        <v>17.5</v>
      </c>
      <c r="H16" s="480">
        <v>369.08</v>
      </c>
      <c r="I16" s="480">
        <v>0.12790000000000001</v>
      </c>
      <c r="J16" s="480">
        <v>0.5</v>
      </c>
      <c r="K16" s="480">
        <v>30000</v>
      </c>
      <c r="L16" s="480">
        <v>7.15</v>
      </c>
      <c r="M16" s="480">
        <v>3.44E-2</v>
      </c>
      <c r="O16" s="1221" t="str">
        <f>$B16</f>
        <v>Total Vehicle Mile (million)</v>
      </c>
      <c r="P16" s="544">
        <v>1432317.23</v>
      </c>
      <c r="Q16" s="549">
        <v>1363568.89</v>
      </c>
      <c r="R16" s="554">
        <v>1528799.77</v>
      </c>
      <c r="S16" s="559">
        <v>1663753.79</v>
      </c>
      <c r="T16" s="559">
        <v>1926069.76</v>
      </c>
      <c r="U16" s="590">
        <v>2236549.66</v>
      </c>
      <c r="V16" s="564">
        <v>1791914.36</v>
      </c>
      <c r="AI16" s="452"/>
    </row>
    <row r="17" spans="1:35">
      <c r="A17" s="452">
        <v>2</v>
      </c>
      <c r="B17" s="1173"/>
      <c r="C17" s="477">
        <v>2025</v>
      </c>
      <c r="D17" s="469">
        <v>1500000</v>
      </c>
      <c r="E17" s="481">
        <v>100</v>
      </c>
      <c r="F17" s="481">
        <v>3.73</v>
      </c>
      <c r="G17" s="481">
        <v>17.5</v>
      </c>
      <c r="H17" s="481">
        <v>369.08</v>
      </c>
      <c r="I17" s="481">
        <v>0.12790000000000001</v>
      </c>
      <c r="J17" s="481">
        <v>0.5</v>
      </c>
      <c r="K17" s="481">
        <v>30000</v>
      </c>
      <c r="L17" s="481">
        <v>7.15</v>
      </c>
      <c r="M17" s="481">
        <v>3.44E-2</v>
      </c>
      <c r="O17" s="1222"/>
      <c r="P17" s="545">
        <v>1743334.55</v>
      </c>
      <c r="Q17" s="550">
        <v>1648164.11</v>
      </c>
      <c r="R17" s="555">
        <v>1831422.72</v>
      </c>
      <c r="S17" s="560">
        <v>1933255.79</v>
      </c>
      <c r="T17" s="560">
        <v>2177546.46</v>
      </c>
      <c r="U17" s="591">
        <v>2584192.56</v>
      </c>
      <c r="V17" s="565">
        <v>2167666.36</v>
      </c>
      <c r="AI17" s="452"/>
    </row>
    <row r="18" spans="1:35" ht="15" thickBot="1">
      <c r="A18" s="452">
        <v>3</v>
      </c>
      <c r="B18" s="1174"/>
      <c r="C18" s="478">
        <v>2025</v>
      </c>
      <c r="D18" s="473">
        <v>1800000</v>
      </c>
      <c r="E18" s="482">
        <v>100</v>
      </c>
      <c r="F18" s="482">
        <v>3.73</v>
      </c>
      <c r="G18" s="482">
        <v>17.5</v>
      </c>
      <c r="H18" s="482">
        <v>369.08</v>
      </c>
      <c r="I18" s="482">
        <v>0.12790000000000001</v>
      </c>
      <c r="J18" s="482">
        <v>0.5</v>
      </c>
      <c r="K18" s="482">
        <v>30000</v>
      </c>
      <c r="L18" s="482">
        <v>7.15</v>
      </c>
      <c r="M18" s="482">
        <v>3.44E-2</v>
      </c>
      <c r="O18" s="1223"/>
      <c r="P18" s="546">
        <v>2054351.86</v>
      </c>
      <c r="Q18" s="551">
        <v>1932759.34</v>
      </c>
      <c r="R18" s="556">
        <v>2134045.67</v>
      </c>
      <c r="S18" s="561">
        <v>2202757.7799999998</v>
      </c>
      <c r="T18" s="561">
        <v>2429023.16</v>
      </c>
      <c r="U18" s="592">
        <v>2931835.47</v>
      </c>
      <c r="V18" s="566">
        <v>2543418.36</v>
      </c>
      <c r="AI18" s="452"/>
    </row>
    <row r="19" spans="1:35">
      <c r="A19" s="452">
        <v>4</v>
      </c>
      <c r="B19" s="1175" t="str">
        <f>E4</f>
        <v>Carbon Price ($/ton)</v>
      </c>
      <c r="C19" s="476">
        <v>2025</v>
      </c>
      <c r="D19" s="480">
        <v>1500000</v>
      </c>
      <c r="E19" s="483">
        <v>50</v>
      </c>
      <c r="F19" s="480">
        <v>3.73</v>
      </c>
      <c r="G19" s="480">
        <v>17.5</v>
      </c>
      <c r="H19" s="480">
        <v>369.08</v>
      </c>
      <c r="I19" s="480">
        <v>0.12790000000000001</v>
      </c>
      <c r="J19" s="480">
        <v>0.5</v>
      </c>
      <c r="K19" s="480">
        <v>30000</v>
      </c>
      <c r="L19" s="480">
        <v>7.15</v>
      </c>
      <c r="M19" s="480">
        <v>3.44E-2</v>
      </c>
      <c r="O19" s="1235" t="str">
        <f>$B19</f>
        <v>Carbon Price ($/ton)</v>
      </c>
      <c r="P19" s="547">
        <v>1610161.36</v>
      </c>
      <c r="Q19" s="552">
        <v>1526159.35</v>
      </c>
      <c r="R19" s="557">
        <v>1748875.06</v>
      </c>
      <c r="S19" s="562">
        <v>1863407.2</v>
      </c>
      <c r="T19" s="562">
        <v>2102488.3199999998</v>
      </c>
      <c r="U19" s="593">
        <v>2562226.0699999998</v>
      </c>
      <c r="V19" s="567">
        <v>2145636.4300000002</v>
      </c>
      <c r="AI19" s="452"/>
    </row>
    <row r="20" spans="1:35">
      <c r="A20" s="452">
        <v>5</v>
      </c>
      <c r="B20" s="1176"/>
      <c r="C20" s="477">
        <v>2025</v>
      </c>
      <c r="D20" s="481">
        <v>1500000</v>
      </c>
      <c r="E20" s="484">
        <v>100</v>
      </c>
      <c r="F20" s="481">
        <v>3.73</v>
      </c>
      <c r="G20" s="481">
        <v>17.5</v>
      </c>
      <c r="H20" s="481">
        <v>369.08</v>
      </c>
      <c r="I20" s="481">
        <v>0.12790000000000001</v>
      </c>
      <c r="J20" s="481">
        <v>0.5</v>
      </c>
      <c r="K20" s="481">
        <v>30000</v>
      </c>
      <c r="L20" s="481">
        <v>7.15</v>
      </c>
      <c r="M20" s="481">
        <v>3.44E-2</v>
      </c>
      <c r="O20" s="1236"/>
      <c r="P20" s="545">
        <v>1743334.55</v>
      </c>
      <c r="Q20" s="550">
        <v>1648164.11</v>
      </c>
      <c r="R20" s="555">
        <v>1831422.72</v>
      </c>
      <c r="S20" s="560">
        <v>1933255.79</v>
      </c>
      <c r="T20" s="560">
        <v>2177546.46</v>
      </c>
      <c r="U20" s="591">
        <v>2584192.56</v>
      </c>
      <c r="V20" s="565">
        <v>2167666.36</v>
      </c>
      <c r="AI20" s="452"/>
    </row>
    <row r="21" spans="1:35" ht="15" thickBot="1">
      <c r="A21" s="452">
        <v>6</v>
      </c>
      <c r="B21" s="1177"/>
      <c r="C21" s="478">
        <v>2025</v>
      </c>
      <c r="D21" s="482">
        <v>1500000</v>
      </c>
      <c r="E21" s="485">
        <v>200</v>
      </c>
      <c r="F21" s="482">
        <v>3.73</v>
      </c>
      <c r="G21" s="482">
        <v>17.5</v>
      </c>
      <c r="H21" s="482">
        <v>369.08</v>
      </c>
      <c r="I21" s="482">
        <v>0.12790000000000001</v>
      </c>
      <c r="J21" s="482">
        <v>0.5</v>
      </c>
      <c r="K21" s="482">
        <v>30000</v>
      </c>
      <c r="L21" s="482">
        <v>7.15</v>
      </c>
      <c r="M21" s="482">
        <v>3.44E-2</v>
      </c>
      <c r="O21" s="1237"/>
      <c r="P21" s="546">
        <v>2009680.91</v>
      </c>
      <c r="Q21" s="551">
        <v>1892173.65</v>
      </c>
      <c r="R21" s="556">
        <v>1996518.05</v>
      </c>
      <c r="S21" s="561">
        <v>2072952.96</v>
      </c>
      <c r="T21" s="561">
        <v>2327662.75</v>
      </c>
      <c r="U21" s="592">
        <v>2628125.54</v>
      </c>
      <c r="V21" s="566">
        <v>2211726.23</v>
      </c>
      <c r="AI21" s="452"/>
    </row>
    <row r="22" spans="1:35">
      <c r="A22" s="452">
        <v>7</v>
      </c>
      <c r="B22" s="1178" t="str">
        <f>F4</f>
        <v>Diesel Price ($/gal)</v>
      </c>
      <c r="C22" s="476">
        <v>2025</v>
      </c>
      <c r="D22" s="480">
        <v>1500000</v>
      </c>
      <c r="E22" s="480">
        <v>100</v>
      </c>
      <c r="F22" s="486">
        <v>2.984</v>
      </c>
      <c r="G22" s="480">
        <v>17.5</v>
      </c>
      <c r="H22" s="480">
        <v>369.08</v>
      </c>
      <c r="I22" s="480">
        <v>0.12790000000000001</v>
      </c>
      <c r="J22" s="480">
        <v>0.5</v>
      </c>
      <c r="K22" s="480">
        <v>30000</v>
      </c>
      <c r="L22" s="480">
        <v>7.15</v>
      </c>
      <c r="M22" s="480">
        <v>3.44E-2</v>
      </c>
      <c r="O22" s="1238" t="str">
        <f>$B22</f>
        <v>Diesel Price ($/gal)</v>
      </c>
      <c r="P22" s="547">
        <v>1580570.91</v>
      </c>
      <c r="Q22" s="552">
        <v>1509049.89</v>
      </c>
      <c r="R22" s="557">
        <v>1669535.5</v>
      </c>
      <c r="S22" s="562">
        <v>1933255.79</v>
      </c>
      <c r="T22" s="562">
        <v>2177546.46</v>
      </c>
      <c r="U22" s="593">
        <v>2584192.56</v>
      </c>
      <c r="V22" s="567">
        <v>2167666.36</v>
      </c>
      <c r="AI22" s="452"/>
    </row>
    <row r="23" spans="1:35">
      <c r="A23" s="452">
        <v>8</v>
      </c>
      <c r="B23" s="1179"/>
      <c r="C23" s="477">
        <v>2025</v>
      </c>
      <c r="D23" s="481">
        <v>1500000</v>
      </c>
      <c r="E23" s="481">
        <v>100</v>
      </c>
      <c r="F23" s="487">
        <v>3.73</v>
      </c>
      <c r="G23" s="481">
        <v>17.5</v>
      </c>
      <c r="H23" s="481">
        <v>369.08</v>
      </c>
      <c r="I23" s="481">
        <v>0.12790000000000001</v>
      </c>
      <c r="J23" s="481">
        <v>0.5</v>
      </c>
      <c r="K23" s="481">
        <v>30000</v>
      </c>
      <c r="L23" s="481">
        <v>7.15</v>
      </c>
      <c r="M23" s="481">
        <v>3.44E-2</v>
      </c>
      <c r="O23" s="1239"/>
      <c r="P23" s="545">
        <v>1743334.55</v>
      </c>
      <c r="Q23" s="550">
        <v>1648164.11</v>
      </c>
      <c r="R23" s="555">
        <v>1831422.72</v>
      </c>
      <c r="S23" s="560">
        <v>1933255.79</v>
      </c>
      <c r="T23" s="560">
        <v>2177546.46</v>
      </c>
      <c r="U23" s="591">
        <v>2584192.56</v>
      </c>
      <c r="V23" s="565">
        <v>2167666.36</v>
      </c>
      <c r="AI23" s="452"/>
    </row>
    <row r="24" spans="1:35" ht="15" thickBot="1">
      <c r="A24" s="452">
        <v>9</v>
      </c>
      <c r="B24" s="1180"/>
      <c r="C24" s="478">
        <v>2025</v>
      </c>
      <c r="D24" s="482">
        <v>1500000</v>
      </c>
      <c r="E24" s="482">
        <v>100</v>
      </c>
      <c r="F24" s="488">
        <v>5.5949999999999998</v>
      </c>
      <c r="G24" s="482">
        <v>17.5</v>
      </c>
      <c r="H24" s="482">
        <v>369.08</v>
      </c>
      <c r="I24" s="482">
        <v>0.12790000000000001</v>
      </c>
      <c r="J24" s="482">
        <v>0.5</v>
      </c>
      <c r="K24" s="482">
        <v>30000</v>
      </c>
      <c r="L24" s="482">
        <v>7.15</v>
      </c>
      <c r="M24" s="482">
        <v>3.44E-2</v>
      </c>
      <c r="O24" s="1240"/>
      <c r="P24" s="548">
        <v>2150243.64</v>
      </c>
      <c r="Q24" s="553">
        <v>1995949.66</v>
      </c>
      <c r="R24" s="558">
        <v>2236140.7599999998</v>
      </c>
      <c r="S24" s="563">
        <v>1933255.79</v>
      </c>
      <c r="T24" s="563">
        <v>2177546.46</v>
      </c>
      <c r="U24" s="594">
        <v>2584192.56</v>
      </c>
      <c r="V24" s="568">
        <v>2167666.36</v>
      </c>
      <c r="AI24" s="452"/>
    </row>
    <row r="25" spans="1:35">
      <c r="A25" s="452">
        <v>10</v>
      </c>
      <c r="B25" s="1181" t="str">
        <f>G4</f>
        <v xml:space="preserve">Revenue Loss ($/kg) </v>
      </c>
      <c r="C25" s="476">
        <v>2025</v>
      </c>
      <c r="D25" s="480">
        <v>1500000</v>
      </c>
      <c r="E25" s="480">
        <v>100</v>
      </c>
      <c r="F25" s="480">
        <v>3.73</v>
      </c>
      <c r="G25" s="489">
        <v>8.75</v>
      </c>
      <c r="H25" s="480">
        <v>369.08</v>
      </c>
      <c r="I25" s="480">
        <v>0.12790000000000001</v>
      </c>
      <c r="J25" s="480">
        <v>0.5</v>
      </c>
      <c r="K25" s="480">
        <v>30000</v>
      </c>
      <c r="L25" s="480">
        <v>7.15</v>
      </c>
      <c r="M25" s="480">
        <v>3.44E-2</v>
      </c>
      <c r="O25" s="1241" t="str">
        <f>$B25</f>
        <v xml:space="preserve">Revenue Loss ($/kg) </v>
      </c>
      <c r="P25" s="547">
        <v>1743334.55</v>
      </c>
      <c r="Q25" s="552">
        <v>1639414.11</v>
      </c>
      <c r="R25" s="557">
        <v>1805172.72</v>
      </c>
      <c r="S25" s="562">
        <v>1911390.36</v>
      </c>
      <c r="T25" s="562">
        <v>2130870.79</v>
      </c>
      <c r="U25" s="593">
        <v>2574622.39</v>
      </c>
      <c r="V25" s="567">
        <v>2155139.7000000002</v>
      </c>
      <c r="AI25" s="452"/>
    </row>
    <row r="26" spans="1:35">
      <c r="A26" s="452">
        <v>11</v>
      </c>
      <c r="B26" s="1182"/>
      <c r="C26" s="477">
        <v>2025</v>
      </c>
      <c r="D26" s="481">
        <v>1500000</v>
      </c>
      <c r="E26" s="481">
        <v>100</v>
      </c>
      <c r="F26" s="481">
        <v>3.73</v>
      </c>
      <c r="G26" s="490">
        <v>17.5</v>
      </c>
      <c r="H26" s="481">
        <v>369.08</v>
      </c>
      <c r="I26" s="481">
        <v>0.12790000000000001</v>
      </c>
      <c r="J26" s="481">
        <v>0.5</v>
      </c>
      <c r="K26" s="481">
        <v>30000</v>
      </c>
      <c r="L26" s="481">
        <v>7.15</v>
      </c>
      <c r="M26" s="481">
        <v>3.44E-2</v>
      </c>
      <c r="O26" s="1242"/>
      <c r="P26" s="545">
        <v>1743334.55</v>
      </c>
      <c r="Q26" s="550">
        <v>1648164.11</v>
      </c>
      <c r="R26" s="555">
        <v>1831422.72</v>
      </c>
      <c r="S26" s="560">
        <v>1933255.79</v>
      </c>
      <c r="T26" s="560">
        <v>2177546.46</v>
      </c>
      <c r="U26" s="591">
        <v>2584192.56</v>
      </c>
      <c r="V26" s="565">
        <v>2167666.36</v>
      </c>
      <c r="AI26" s="452"/>
    </row>
    <row r="27" spans="1:35" ht="15" thickBot="1">
      <c r="A27" s="452">
        <v>12</v>
      </c>
      <c r="B27" s="1183"/>
      <c r="C27" s="478">
        <v>2025</v>
      </c>
      <c r="D27" s="482">
        <v>1500000</v>
      </c>
      <c r="E27" s="482">
        <v>100</v>
      </c>
      <c r="F27" s="482">
        <v>3.73</v>
      </c>
      <c r="G27" s="491">
        <v>26.25</v>
      </c>
      <c r="H27" s="482">
        <v>369.08</v>
      </c>
      <c r="I27" s="482">
        <v>0.12790000000000001</v>
      </c>
      <c r="J27" s="482">
        <v>0.5</v>
      </c>
      <c r="K27" s="482">
        <v>30000</v>
      </c>
      <c r="L27" s="482">
        <v>7.15</v>
      </c>
      <c r="M27" s="482">
        <v>3.44E-2</v>
      </c>
      <c r="O27" s="1243"/>
      <c r="P27" s="546">
        <v>1743334.55</v>
      </c>
      <c r="Q27" s="551">
        <v>1656914.11</v>
      </c>
      <c r="R27" s="556">
        <v>1857672.72</v>
      </c>
      <c r="S27" s="561">
        <v>1955121.21</v>
      </c>
      <c r="T27" s="561">
        <v>2224222.13</v>
      </c>
      <c r="U27" s="592">
        <v>2593762.73</v>
      </c>
      <c r="V27" s="566">
        <v>2180193.0299999998</v>
      </c>
      <c r="AI27" s="452"/>
    </row>
    <row r="28" spans="1:35">
      <c r="A28" s="452">
        <v>13</v>
      </c>
      <c r="B28" s="1184" t="str">
        <f>H4</f>
        <v>Electricity Carbon Intensity (g/kWh)</v>
      </c>
      <c r="C28" s="476">
        <v>2025</v>
      </c>
      <c r="D28" s="480">
        <v>1500000</v>
      </c>
      <c r="E28" s="480">
        <v>100</v>
      </c>
      <c r="F28" s="480">
        <v>3.73</v>
      </c>
      <c r="G28" s="480">
        <v>17.5</v>
      </c>
      <c r="H28" s="492">
        <v>295.26400000000001</v>
      </c>
      <c r="I28" s="480">
        <v>0.12790000000000001</v>
      </c>
      <c r="J28" s="480">
        <v>0.5</v>
      </c>
      <c r="K28" s="480">
        <v>30000</v>
      </c>
      <c r="L28" s="480">
        <v>7.15</v>
      </c>
      <c r="M28" s="480">
        <v>3.44E-2</v>
      </c>
      <c r="O28" s="1244" t="str">
        <f>$B28</f>
        <v>Electricity Carbon Intensity (g/kWh)</v>
      </c>
      <c r="P28" s="547">
        <v>1743334.55</v>
      </c>
      <c r="Q28" s="552">
        <v>1648164.11</v>
      </c>
      <c r="R28" s="557">
        <v>1831422.72</v>
      </c>
      <c r="S28" s="562">
        <v>1908668.65</v>
      </c>
      <c r="T28" s="562">
        <v>2152344.64</v>
      </c>
      <c r="U28" s="593">
        <v>2584192.56</v>
      </c>
      <c r="V28" s="567">
        <v>2167666.36</v>
      </c>
      <c r="AI28" s="452"/>
    </row>
    <row r="29" spans="1:35">
      <c r="A29" s="452">
        <v>14</v>
      </c>
      <c r="B29" s="1185"/>
      <c r="C29" s="477">
        <v>2025</v>
      </c>
      <c r="D29" s="481">
        <v>1500000</v>
      </c>
      <c r="E29" s="481">
        <v>100</v>
      </c>
      <c r="F29" s="481">
        <v>3.73</v>
      </c>
      <c r="G29" s="481">
        <v>17.5</v>
      </c>
      <c r="H29" s="493">
        <v>369.08</v>
      </c>
      <c r="I29" s="481">
        <v>0.12790000000000001</v>
      </c>
      <c r="J29" s="481">
        <v>0.5</v>
      </c>
      <c r="K29" s="481">
        <v>30000</v>
      </c>
      <c r="L29" s="481">
        <v>7.15</v>
      </c>
      <c r="M29" s="481">
        <v>3.44E-2</v>
      </c>
      <c r="O29" s="1245"/>
      <c r="P29" s="545">
        <v>1743334.55</v>
      </c>
      <c r="Q29" s="550">
        <v>1648164.11</v>
      </c>
      <c r="R29" s="555">
        <v>1831422.72</v>
      </c>
      <c r="S29" s="560">
        <v>1933255.79</v>
      </c>
      <c r="T29" s="560">
        <v>2177546.46</v>
      </c>
      <c r="U29" s="591">
        <v>2584192.56</v>
      </c>
      <c r="V29" s="565">
        <v>2167666.36</v>
      </c>
      <c r="AI29" s="452"/>
    </row>
    <row r="30" spans="1:35" ht="15" thickBot="1">
      <c r="A30" s="452">
        <v>15</v>
      </c>
      <c r="B30" s="1186"/>
      <c r="C30" s="478">
        <v>2025</v>
      </c>
      <c r="D30" s="482">
        <v>1500000</v>
      </c>
      <c r="E30" s="482">
        <v>100</v>
      </c>
      <c r="F30" s="482">
        <v>3.73</v>
      </c>
      <c r="G30" s="482">
        <v>17.5</v>
      </c>
      <c r="H30" s="494">
        <v>442.89599999999996</v>
      </c>
      <c r="I30" s="482">
        <v>0.12790000000000001</v>
      </c>
      <c r="J30" s="482">
        <v>0.5</v>
      </c>
      <c r="K30" s="482">
        <v>30000</v>
      </c>
      <c r="L30" s="482">
        <v>7.15</v>
      </c>
      <c r="M30" s="482">
        <v>3.44E-2</v>
      </c>
      <c r="O30" s="1246"/>
      <c r="P30" s="546">
        <v>1743334.55</v>
      </c>
      <c r="Q30" s="551">
        <v>1648164.11</v>
      </c>
      <c r="R30" s="556">
        <v>1831422.72</v>
      </c>
      <c r="S30" s="561">
        <v>1957842.93</v>
      </c>
      <c r="T30" s="561">
        <v>2202748.2799999998</v>
      </c>
      <c r="U30" s="592">
        <v>2584192.56</v>
      </c>
      <c r="V30" s="566">
        <v>2167666.36</v>
      </c>
      <c r="AI30" s="452"/>
    </row>
    <row r="31" spans="1:35">
      <c r="A31" s="452">
        <v>16</v>
      </c>
      <c r="B31" s="1193" t="str">
        <f>I4</f>
        <v>Electricity Cost ($/kWh)</v>
      </c>
      <c r="C31" s="476">
        <v>2025</v>
      </c>
      <c r="D31" s="480">
        <v>1500000</v>
      </c>
      <c r="E31" s="480">
        <v>100</v>
      </c>
      <c r="F31" s="480">
        <v>3.73</v>
      </c>
      <c r="G31" s="480">
        <v>17.5</v>
      </c>
      <c r="H31" s="480">
        <v>369.08</v>
      </c>
      <c r="I31" s="495">
        <v>0.10232000000000002</v>
      </c>
      <c r="J31" s="480">
        <v>0.5</v>
      </c>
      <c r="K31" s="480">
        <v>30000</v>
      </c>
      <c r="L31" s="480">
        <v>7.15</v>
      </c>
      <c r="M31" s="480">
        <v>3.44E-2</v>
      </c>
      <c r="O31" s="1247" t="str">
        <f>$B31</f>
        <v>Electricity Cost ($/kWh)</v>
      </c>
      <c r="P31" s="547">
        <v>1743334.55</v>
      </c>
      <c r="Q31" s="552">
        <v>1648164.11</v>
      </c>
      <c r="R31" s="557">
        <v>1831422.72</v>
      </c>
      <c r="S31" s="562">
        <v>1848052.17</v>
      </c>
      <c r="T31" s="562">
        <v>2090212.75</v>
      </c>
      <c r="U31" s="593">
        <v>2584192.56</v>
      </c>
      <c r="V31" s="567">
        <v>2167666.36</v>
      </c>
      <c r="AI31" s="452"/>
    </row>
    <row r="32" spans="1:35">
      <c r="A32" s="452">
        <v>17</v>
      </c>
      <c r="B32" s="1194"/>
      <c r="C32" s="477">
        <v>2025</v>
      </c>
      <c r="D32" s="481">
        <v>1500000</v>
      </c>
      <c r="E32" s="481">
        <v>100</v>
      </c>
      <c r="F32" s="481">
        <v>3.73</v>
      </c>
      <c r="G32" s="481">
        <v>17.5</v>
      </c>
      <c r="H32" s="481">
        <v>369.08</v>
      </c>
      <c r="I32" s="496">
        <v>0.12790000000000001</v>
      </c>
      <c r="J32" s="481">
        <v>0.5</v>
      </c>
      <c r="K32" s="481">
        <v>30000</v>
      </c>
      <c r="L32" s="481">
        <v>7.15</v>
      </c>
      <c r="M32" s="481">
        <v>3.44E-2</v>
      </c>
      <c r="O32" s="1248"/>
      <c r="P32" s="545">
        <v>1743334.55</v>
      </c>
      <c r="Q32" s="550">
        <v>1648164.11</v>
      </c>
      <c r="R32" s="555">
        <v>1831422.72</v>
      </c>
      <c r="S32" s="560">
        <v>1933255.79</v>
      </c>
      <c r="T32" s="560">
        <v>2177546.46</v>
      </c>
      <c r="U32" s="591">
        <v>2584192.56</v>
      </c>
      <c r="V32" s="565">
        <v>2167666.36</v>
      </c>
      <c r="AI32" s="452"/>
    </row>
    <row r="33" spans="1:35" ht="15" thickBot="1">
      <c r="A33" s="452">
        <v>18</v>
      </c>
      <c r="B33" s="1195"/>
      <c r="C33" s="478">
        <v>2025</v>
      </c>
      <c r="D33" s="482">
        <v>1500000</v>
      </c>
      <c r="E33" s="482">
        <v>100</v>
      </c>
      <c r="F33" s="482">
        <v>3.73</v>
      </c>
      <c r="G33" s="482">
        <v>17.5</v>
      </c>
      <c r="H33" s="482">
        <v>369.08</v>
      </c>
      <c r="I33" s="497">
        <v>0.19185000000000002</v>
      </c>
      <c r="J33" s="482">
        <v>0.5</v>
      </c>
      <c r="K33" s="482">
        <v>30000</v>
      </c>
      <c r="L33" s="482">
        <v>7.15</v>
      </c>
      <c r="M33" s="482">
        <v>3.44E-2</v>
      </c>
      <c r="O33" s="1249"/>
      <c r="P33" s="546">
        <v>1743334.55</v>
      </c>
      <c r="Q33" s="551">
        <v>1648164.11</v>
      </c>
      <c r="R33" s="556">
        <v>1831422.72</v>
      </c>
      <c r="S33" s="561">
        <v>2146264.83</v>
      </c>
      <c r="T33" s="561">
        <v>2395880.73</v>
      </c>
      <c r="U33" s="592">
        <v>2584192.56</v>
      </c>
      <c r="V33" s="566">
        <v>2167666.36</v>
      </c>
      <c r="AI33" s="452"/>
    </row>
    <row r="34" spans="1:35">
      <c r="A34" s="452">
        <v>19</v>
      </c>
      <c r="B34" s="1199" t="str">
        <f>J4</f>
        <v>MCC Efficiency (%)</v>
      </c>
      <c r="C34" s="476">
        <v>2025</v>
      </c>
      <c r="D34" s="480">
        <v>1500000</v>
      </c>
      <c r="E34" s="480">
        <v>100</v>
      </c>
      <c r="F34" s="480">
        <v>3.73</v>
      </c>
      <c r="G34" s="480">
        <v>17.5</v>
      </c>
      <c r="H34" s="480">
        <v>369.08</v>
      </c>
      <c r="I34" s="480">
        <v>0.12790000000000001</v>
      </c>
      <c r="J34" s="498">
        <v>0.75</v>
      </c>
      <c r="K34" s="480">
        <v>30000</v>
      </c>
      <c r="L34" s="480">
        <v>7.15</v>
      </c>
      <c r="M34" s="480">
        <v>3.44E-2</v>
      </c>
      <c r="O34" s="1208" t="str">
        <f>$B34</f>
        <v>MCC Efficiency (%)</v>
      </c>
      <c r="P34" s="547">
        <v>1743334.55</v>
      </c>
      <c r="Q34" s="552">
        <v>1648164.11</v>
      </c>
      <c r="R34" s="557">
        <v>1803629.57</v>
      </c>
      <c r="S34" s="562">
        <v>1933255.79</v>
      </c>
      <c r="T34" s="562">
        <v>2177546.46</v>
      </c>
      <c r="U34" s="593">
        <v>2584192.56</v>
      </c>
      <c r="V34" s="567">
        <v>2167666.36</v>
      </c>
      <c r="AI34" s="452"/>
    </row>
    <row r="35" spans="1:35">
      <c r="A35" s="452">
        <v>20</v>
      </c>
      <c r="B35" s="1200"/>
      <c r="C35" s="477">
        <v>2025</v>
      </c>
      <c r="D35" s="481">
        <v>1500000</v>
      </c>
      <c r="E35" s="481">
        <v>100</v>
      </c>
      <c r="F35" s="481">
        <v>3.73</v>
      </c>
      <c r="G35" s="481">
        <v>17.5</v>
      </c>
      <c r="H35" s="481">
        <v>369.08</v>
      </c>
      <c r="I35" s="481">
        <v>0.12790000000000001</v>
      </c>
      <c r="J35" s="499">
        <v>0.5</v>
      </c>
      <c r="K35" s="481">
        <v>30000</v>
      </c>
      <c r="L35" s="481">
        <v>7.15</v>
      </c>
      <c r="M35" s="481">
        <v>3.44E-2</v>
      </c>
      <c r="O35" s="1209"/>
      <c r="P35" s="545">
        <v>1743334.55</v>
      </c>
      <c r="Q35" s="550">
        <v>1648164.11</v>
      </c>
      <c r="R35" s="555">
        <v>1831422.72</v>
      </c>
      <c r="S35" s="560">
        <v>1933255.79</v>
      </c>
      <c r="T35" s="560">
        <v>2177546.46</v>
      </c>
      <c r="U35" s="591">
        <v>2584192.56</v>
      </c>
      <c r="V35" s="565">
        <v>2167666.36</v>
      </c>
      <c r="AI35" s="452"/>
    </row>
    <row r="36" spans="1:35" ht="15" thickBot="1">
      <c r="A36" s="452">
        <v>21</v>
      </c>
      <c r="B36" s="1201"/>
      <c r="C36" s="478">
        <v>2025</v>
      </c>
      <c r="D36" s="482">
        <v>1500000</v>
      </c>
      <c r="E36" s="482">
        <v>100</v>
      </c>
      <c r="F36" s="482">
        <v>3.73</v>
      </c>
      <c r="G36" s="482">
        <v>17.5</v>
      </c>
      <c r="H36" s="482">
        <v>369.08</v>
      </c>
      <c r="I36" s="482">
        <v>0.12790000000000001</v>
      </c>
      <c r="J36" s="500">
        <v>0.375</v>
      </c>
      <c r="K36" s="482">
        <v>30000</v>
      </c>
      <c r="L36" s="482">
        <v>7.15</v>
      </c>
      <c r="M36" s="482">
        <v>3.44E-2</v>
      </c>
      <c r="O36" s="1210"/>
      <c r="P36" s="546">
        <v>1743334.55</v>
      </c>
      <c r="Q36" s="551">
        <v>1648164.11</v>
      </c>
      <c r="R36" s="556">
        <v>1845319.3</v>
      </c>
      <c r="S36" s="561">
        <v>1933255.79</v>
      </c>
      <c r="T36" s="561">
        <v>2177546.46</v>
      </c>
      <c r="U36" s="592">
        <v>2584192.56</v>
      </c>
      <c r="V36" s="566">
        <v>2167666.36</v>
      </c>
      <c r="AI36" s="452"/>
    </row>
    <row r="37" spans="1:35">
      <c r="A37" s="452">
        <v>22</v>
      </c>
      <c r="B37" s="1202" t="str">
        <f>K4</f>
        <v>MCC Cost ($)</v>
      </c>
      <c r="C37" s="476">
        <v>2025</v>
      </c>
      <c r="D37" s="480">
        <v>1500000</v>
      </c>
      <c r="E37" s="480">
        <v>100</v>
      </c>
      <c r="F37" s="480">
        <v>3.73</v>
      </c>
      <c r="G37" s="480">
        <v>17.5</v>
      </c>
      <c r="H37" s="480">
        <v>369.08</v>
      </c>
      <c r="I37" s="480">
        <v>0.12790000000000001</v>
      </c>
      <c r="J37" s="480">
        <v>0.5</v>
      </c>
      <c r="K37" s="501">
        <v>15000</v>
      </c>
      <c r="L37" s="480">
        <v>7.15</v>
      </c>
      <c r="M37" s="480">
        <v>3.44E-2</v>
      </c>
      <c r="O37" s="1211" t="str">
        <f>$B37</f>
        <v>MCC Cost ($)</v>
      </c>
      <c r="P37" s="547">
        <v>1743334.55</v>
      </c>
      <c r="Q37" s="552">
        <v>1648164.11</v>
      </c>
      <c r="R37" s="557">
        <v>1793142.72</v>
      </c>
      <c r="S37" s="562">
        <v>1933255.79</v>
      </c>
      <c r="T37" s="562">
        <v>2177546.46</v>
      </c>
      <c r="U37" s="593">
        <v>2584192.56</v>
      </c>
      <c r="V37" s="567">
        <v>2167666.36</v>
      </c>
      <c r="AI37" s="452"/>
    </row>
    <row r="38" spans="1:35">
      <c r="A38" s="452">
        <v>23</v>
      </c>
      <c r="B38" s="1203"/>
      <c r="C38" s="477">
        <v>2025</v>
      </c>
      <c r="D38" s="481">
        <v>1500000</v>
      </c>
      <c r="E38" s="481">
        <v>100</v>
      </c>
      <c r="F38" s="481">
        <v>3.73</v>
      </c>
      <c r="G38" s="481">
        <v>17.5</v>
      </c>
      <c r="H38" s="481">
        <v>369.08</v>
      </c>
      <c r="I38" s="481">
        <v>0.12790000000000001</v>
      </c>
      <c r="J38" s="481">
        <v>0.5</v>
      </c>
      <c r="K38" s="502">
        <v>30000</v>
      </c>
      <c r="L38" s="481">
        <v>7.15</v>
      </c>
      <c r="M38" s="481">
        <v>3.44E-2</v>
      </c>
      <c r="O38" s="1212"/>
      <c r="P38" s="545">
        <v>1743334.55</v>
      </c>
      <c r="Q38" s="550">
        <v>1648164.11</v>
      </c>
      <c r="R38" s="555">
        <v>1831422.72</v>
      </c>
      <c r="S38" s="560">
        <v>1933255.79</v>
      </c>
      <c r="T38" s="560">
        <v>2177546.46</v>
      </c>
      <c r="U38" s="591">
        <v>2584192.56</v>
      </c>
      <c r="V38" s="565">
        <v>2167666.36</v>
      </c>
      <c r="AI38" s="452"/>
    </row>
    <row r="39" spans="1:35" ht="15" thickBot="1">
      <c r="A39" s="452">
        <v>24</v>
      </c>
      <c r="B39" s="1204"/>
      <c r="C39" s="478">
        <v>2025</v>
      </c>
      <c r="D39" s="482">
        <v>1500000</v>
      </c>
      <c r="E39" s="482">
        <v>100</v>
      </c>
      <c r="F39" s="482">
        <v>3.73</v>
      </c>
      <c r="G39" s="482">
        <v>17.5</v>
      </c>
      <c r="H39" s="482">
        <v>369.08</v>
      </c>
      <c r="I39" s="482">
        <v>0.12790000000000001</v>
      </c>
      <c r="J39" s="482">
        <v>0.5</v>
      </c>
      <c r="K39" s="503">
        <v>60000</v>
      </c>
      <c r="L39" s="482">
        <v>7.15</v>
      </c>
      <c r="M39" s="482">
        <v>3.44E-2</v>
      </c>
      <c r="O39" s="1213"/>
      <c r="P39" s="546">
        <v>1743334.55</v>
      </c>
      <c r="Q39" s="551">
        <v>1648164.11</v>
      </c>
      <c r="R39" s="556">
        <v>1907982.72</v>
      </c>
      <c r="S39" s="561">
        <v>1933255.79</v>
      </c>
      <c r="T39" s="561">
        <v>2177546.46</v>
      </c>
      <c r="U39" s="592">
        <v>2584192.56</v>
      </c>
      <c r="V39" s="566">
        <v>2167666.36</v>
      </c>
      <c r="AI39" s="452"/>
    </row>
    <row r="40" spans="1:35">
      <c r="A40" s="452">
        <v>25</v>
      </c>
      <c r="B40" s="1205" t="str">
        <f>L4</f>
        <v>Fuel Economy (mpg)</v>
      </c>
      <c r="C40" s="476">
        <v>2025</v>
      </c>
      <c r="D40" s="480">
        <v>1500000</v>
      </c>
      <c r="E40" s="480">
        <v>100</v>
      </c>
      <c r="F40" s="480">
        <v>3.73</v>
      </c>
      <c r="G40" s="480">
        <v>17.5</v>
      </c>
      <c r="H40" s="480">
        <v>369.08</v>
      </c>
      <c r="I40" s="480">
        <v>0.12790000000000001</v>
      </c>
      <c r="J40" s="480">
        <v>0.5</v>
      </c>
      <c r="K40" s="480">
        <v>30000</v>
      </c>
      <c r="L40" s="504">
        <v>8.58</v>
      </c>
      <c r="M40" s="480">
        <v>3.44E-2</v>
      </c>
      <c r="O40" s="1214" t="str">
        <f>$B40</f>
        <v>Fuel Economy (mpg)</v>
      </c>
      <c r="P40" s="547">
        <v>1564473.45</v>
      </c>
      <c r="Q40" s="552">
        <v>1494252.11</v>
      </c>
      <c r="R40" s="557">
        <v>1661069.43</v>
      </c>
      <c r="S40" s="562">
        <v>1933255.79</v>
      </c>
      <c r="T40" s="562">
        <v>2177546.46</v>
      </c>
      <c r="U40" s="593">
        <v>2373052.91</v>
      </c>
      <c r="V40" s="567">
        <v>1921335.73</v>
      </c>
      <c r="AI40" s="452"/>
    </row>
    <row r="41" spans="1:35">
      <c r="A41" s="452">
        <v>26</v>
      </c>
      <c r="B41" s="1206"/>
      <c r="C41" s="477">
        <v>2025</v>
      </c>
      <c r="D41" s="481">
        <v>1500000</v>
      </c>
      <c r="E41" s="481">
        <v>100</v>
      </c>
      <c r="F41" s="481">
        <v>3.73</v>
      </c>
      <c r="G41" s="481">
        <v>17.5</v>
      </c>
      <c r="H41" s="481">
        <v>369.08</v>
      </c>
      <c r="I41" s="481">
        <v>0.12790000000000001</v>
      </c>
      <c r="J41" s="481">
        <v>0.5</v>
      </c>
      <c r="K41" s="481">
        <v>30000</v>
      </c>
      <c r="L41" s="505">
        <v>7.15</v>
      </c>
      <c r="M41" s="481">
        <v>3.44E-2</v>
      </c>
      <c r="O41" s="1215"/>
      <c r="P41" s="545">
        <v>1743334.55</v>
      </c>
      <c r="Q41" s="550">
        <v>1648164.11</v>
      </c>
      <c r="R41" s="555">
        <v>1831422.72</v>
      </c>
      <c r="S41" s="560">
        <v>1933255.79</v>
      </c>
      <c r="T41" s="560">
        <v>2177546.46</v>
      </c>
      <c r="U41" s="591">
        <v>2584192.56</v>
      </c>
      <c r="V41" s="565">
        <v>2167666.36</v>
      </c>
      <c r="AI41" s="452"/>
    </row>
    <row r="42" spans="1:35" ht="15" thickBot="1">
      <c r="A42" s="452">
        <v>27</v>
      </c>
      <c r="B42" s="1207"/>
      <c r="C42" s="478">
        <v>2025</v>
      </c>
      <c r="D42" s="482">
        <v>1500000</v>
      </c>
      <c r="E42" s="482">
        <v>100</v>
      </c>
      <c r="F42" s="482">
        <v>3.73</v>
      </c>
      <c r="G42" s="482">
        <v>17.5</v>
      </c>
      <c r="H42" s="482">
        <v>369.08</v>
      </c>
      <c r="I42" s="482">
        <v>0.12790000000000001</v>
      </c>
      <c r="J42" s="482">
        <v>0.5</v>
      </c>
      <c r="K42" s="482">
        <v>30000</v>
      </c>
      <c r="L42" s="506">
        <v>5.7200000000000006</v>
      </c>
      <c r="M42" s="482">
        <v>3.44E-2</v>
      </c>
      <c r="O42" s="1216"/>
      <c r="P42" s="546">
        <v>2011626.19</v>
      </c>
      <c r="Q42" s="551">
        <v>1879681.89</v>
      </c>
      <c r="R42" s="556">
        <v>2086952.66</v>
      </c>
      <c r="S42" s="561">
        <v>1933255.79</v>
      </c>
      <c r="T42" s="561">
        <v>2177546.46</v>
      </c>
      <c r="U42" s="592">
        <v>2900902.03</v>
      </c>
      <c r="V42" s="566">
        <v>2537162.3199999998</v>
      </c>
      <c r="AI42" s="452"/>
    </row>
    <row r="43" spans="1:35">
      <c r="A43" s="452">
        <v>28</v>
      </c>
      <c r="B43" s="1196" t="str">
        <f>M4</f>
        <v>MCC FE penalty (%)</v>
      </c>
      <c r="C43" s="476">
        <v>2025</v>
      </c>
      <c r="D43" s="480">
        <v>1500000</v>
      </c>
      <c r="E43" s="480">
        <v>100</v>
      </c>
      <c r="F43" s="480">
        <v>3.73</v>
      </c>
      <c r="G43" s="480">
        <v>17.5</v>
      </c>
      <c r="H43" s="480">
        <v>369.08</v>
      </c>
      <c r="I43" s="480">
        <v>0.12790000000000001</v>
      </c>
      <c r="J43" s="480">
        <v>0.5</v>
      </c>
      <c r="K43" s="480">
        <v>30000</v>
      </c>
      <c r="L43" s="480">
        <v>7.15</v>
      </c>
      <c r="M43" s="507">
        <v>2.7520000000000003E-2</v>
      </c>
      <c r="O43" s="1187" t="str">
        <f>$B43</f>
        <v>MCC FE penalty (%)</v>
      </c>
      <c r="P43" s="547">
        <v>1743334.55</v>
      </c>
      <c r="Q43" s="552">
        <v>1648164.11</v>
      </c>
      <c r="R43" s="557">
        <v>1824624.4</v>
      </c>
      <c r="S43" s="562">
        <v>1933255.79</v>
      </c>
      <c r="T43" s="562">
        <v>2177546.46</v>
      </c>
      <c r="U43" s="593">
        <v>2584192.56</v>
      </c>
      <c r="V43" s="567">
        <v>2167666.36</v>
      </c>
      <c r="AI43" s="452"/>
    </row>
    <row r="44" spans="1:35">
      <c r="A44" s="452">
        <v>29</v>
      </c>
      <c r="B44" s="1197"/>
      <c r="C44" s="477">
        <v>2025</v>
      </c>
      <c r="D44" s="481">
        <v>1500000</v>
      </c>
      <c r="E44" s="481">
        <v>100</v>
      </c>
      <c r="F44" s="481">
        <v>3.73</v>
      </c>
      <c r="G44" s="481">
        <v>17.5</v>
      </c>
      <c r="H44" s="481">
        <v>369.08</v>
      </c>
      <c r="I44" s="481">
        <v>0.12790000000000001</v>
      </c>
      <c r="J44" s="481">
        <v>0.5</v>
      </c>
      <c r="K44" s="481">
        <v>30000</v>
      </c>
      <c r="L44" s="481">
        <v>7.15</v>
      </c>
      <c r="M44" s="508">
        <v>3.44E-2</v>
      </c>
      <c r="O44" s="1188"/>
      <c r="P44" s="545">
        <v>1743334.55</v>
      </c>
      <c r="Q44" s="550">
        <v>1648164.11</v>
      </c>
      <c r="R44" s="555">
        <v>1831422.72</v>
      </c>
      <c r="S44" s="560">
        <v>1933255.79</v>
      </c>
      <c r="T44" s="560">
        <v>2177546.46</v>
      </c>
      <c r="U44" s="591">
        <v>2584192.56</v>
      </c>
      <c r="V44" s="565">
        <v>2167666.36</v>
      </c>
      <c r="AI44" s="452"/>
    </row>
    <row r="45" spans="1:35" ht="15" thickBot="1">
      <c r="A45" s="452">
        <v>30</v>
      </c>
      <c r="B45" s="1198"/>
      <c r="C45" s="478">
        <v>2025</v>
      </c>
      <c r="D45" s="482">
        <v>1500000</v>
      </c>
      <c r="E45" s="482">
        <v>100</v>
      </c>
      <c r="F45" s="482">
        <v>3.73</v>
      </c>
      <c r="G45" s="482">
        <v>17.5</v>
      </c>
      <c r="H45" s="482">
        <v>369.08</v>
      </c>
      <c r="I45" s="482">
        <v>0.12790000000000001</v>
      </c>
      <c r="J45" s="482">
        <v>0.5</v>
      </c>
      <c r="K45" s="482">
        <v>30000</v>
      </c>
      <c r="L45" s="482">
        <v>7.15</v>
      </c>
      <c r="M45" s="509">
        <v>4.1279999999999997E-2</v>
      </c>
      <c r="O45" s="1189"/>
      <c r="P45" s="546">
        <v>1743334.55</v>
      </c>
      <c r="Q45" s="551">
        <v>1648164.11</v>
      </c>
      <c r="R45" s="556">
        <v>1838221.04</v>
      </c>
      <c r="S45" s="561">
        <v>1933255.79</v>
      </c>
      <c r="T45" s="561">
        <v>2177546.46</v>
      </c>
      <c r="U45" s="592">
        <v>2584192.56</v>
      </c>
      <c r="V45" s="566">
        <v>2167666.36</v>
      </c>
      <c r="AI45" s="452"/>
    </row>
    <row r="46" spans="1:35">
      <c r="AI46" s="452"/>
    </row>
    <row r="47" spans="1:35" ht="15" thickBot="1">
      <c r="AI47" s="452"/>
    </row>
    <row r="48" spans="1:35" ht="21.5" thickBot="1">
      <c r="D48" s="596" t="s">
        <v>178</v>
      </c>
      <c r="P48" s="1190" t="s">
        <v>356</v>
      </c>
      <c r="Q48" s="1191"/>
      <c r="R48" s="1191"/>
      <c r="S48" s="1191"/>
      <c r="T48" s="1191"/>
      <c r="U48" s="1191"/>
      <c r="V48" s="1192"/>
      <c r="X48" s="1190" t="s">
        <v>343</v>
      </c>
      <c r="Y48" s="1191"/>
      <c r="Z48" s="1191"/>
      <c r="AA48" s="1191"/>
      <c r="AB48" s="1191"/>
      <c r="AC48" s="1191"/>
      <c r="AD48" s="1192"/>
      <c r="AI48" s="452"/>
    </row>
    <row r="49" spans="3:35" ht="21">
      <c r="C49" s="598" t="s">
        <v>344</v>
      </c>
      <c r="D49" s="599" t="s">
        <v>345</v>
      </c>
      <c r="E49" s="600" t="s">
        <v>346</v>
      </c>
      <c r="F49" s="600" t="s">
        <v>347</v>
      </c>
      <c r="G49" s="600" t="s">
        <v>348</v>
      </c>
      <c r="H49" s="600" t="s">
        <v>349</v>
      </c>
      <c r="I49" s="600" t="s">
        <v>350</v>
      </c>
      <c r="J49" s="601" t="s">
        <v>351</v>
      </c>
      <c r="O49" s="530" t="s">
        <v>342</v>
      </c>
      <c r="P49" s="352" t="s">
        <v>267</v>
      </c>
      <c r="Q49" s="353" t="s">
        <v>323</v>
      </c>
      <c r="R49" s="354" t="s">
        <v>178</v>
      </c>
      <c r="S49" s="355" t="s">
        <v>188</v>
      </c>
      <c r="T49" s="355" t="s">
        <v>324</v>
      </c>
      <c r="U49" s="589" t="s">
        <v>325</v>
      </c>
      <c r="V49" s="357" t="s">
        <v>326</v>
      </c>
      <c r="X49" s="576" t="s">
        <v>267</v>
      </c>
      <c r="Y49" s="353" t="s">
        <v>323</v>
      </c>
      <c r="Z49" s="354" t="s">
        <v>178</v>
      </c>
      <c r="AA49" s="355" t="s">
        <v>188</v>
      </c>
      <c r="AB49" s="355" t="s">
        <v>324</v>
      </c>
      <c r="AC49" s="356" t="s">
        <v>325</v>
      </c>
      <c r="AD49" s="357" t="s">
        <v>326</v>
      </c>
      <c r="AI49" s="452"/>
    </row>
    <row r="50" spans="3:35">
      <c r="C50" s="602">
        <v>1</v>
      </c>
      <c r="D50" s="597" t="str">
        <f t="shared" ref="D50:D59" ca="1" si="4">OFFSET(O$49,MATCH($C50,IF($D$48=$X$49, $X$50:$X$59,IF($D$48=$Y$49, $Y$50:$Y$59, IF($D$48=$Z$49, $Z$50:$Z$59, IF($D$48=$AA$49, $AA$50:$AA$59, IF($D$48=$AB$49, $AB$50:$AB$59, IF($D$48=$AC$49, $AC$50:$AC$59, $AD$50:$AD$59)))))),0),0)</f>
        <v xml:space="preserve">Total Vehicle Mile (million)
(1.2, 1.5, 1.8) </v>
      </c>
      <c r="E50" s="605">
        <f t="shared" ref="E50:E59" ca="1" si="5">OFFSET(P$15,MATCH($D50,$O$50:$O$59,0)*3-2,MATCH($D$48, $P$15:$V$15, 0)-1)</f>
        <v>1528799.77</v>
      </c>
      <c r="F50" s="605">
        <f t="shared" ref="F50:F59" ca="1" si="6">OFFSET(P$15,MATCH($D50,$O$50:$O$59,0)*3-1,MATCH($D$48, $P$15:$V$15, 0)-1)</f>
        <v>1831422.72</v>
      </c>
      <c r="G50" s="605">
        <f t="shared" ref="G50:G59" ca="1" si="7">OFFSET(P$15,MATCH($D50,$O$50:$O$59,0)*3,MATCH($D$48, $P$15:$V$15, 0)-1)</f>
        <v>2134045.67</v>
      </c>
      <c r="H50" s="605">
        <f ca="1">+E50</f>
        <v>1528799.77</v>
      </c>
      <c r="I50" s="605">
        <f ca="1">F50-E50</f>
        <v>302622.94999999995</v>
      </c>
      <c r="J50" s="606">
        <f ca="1">G50-F50</f>
        <v>302622.94999999995</v>
      </c>
      <c r="O50" s="531" t="str">
        <f>+D4&amp;"
("&amp;TEXT(D10,"0.0,,")&amp;", "&amp;TEXT(D11,"0.0,,")&amp;", "&amp;TEXT(D12,"0.0,,")&amp;") "</f>
        <v xml:space="preserve">Total Vehicle Mile (million)
(1.2, 1.5, 1.8) </v>
      </c>
      <c r="P50" s="545">
        <f t="shared" ref="P50:V50" si="8">ABS(P16-P18)</f>
        <v>622034.63000000012</v>
      </c>
      <c r="Q50" s="550">
        <f t="shared" si="8"/>
        <v>569190.45000000019</v>
      </c>
      <c r="R50" s="555">
        <f t="shared" si="8"/>
        <v>605245.89999999991</v>
      </c>
      <c r="S50" s="560">
        <f t="shared" si="8"/>
        <v>539003.98999999976</v>
      </c>
      <c r="T50" s="560">
        <f t="shared" si="8"/>
        <v>502953.40000000014</v>
      </c>
      <c r="U50" s="591">
        <f t="shared" si="8"/>
        <v>695285.81</v>
      </c>
      <c r="V50" s="565">
        <f t="shared" si="8"/>
        <v>751503.99999999977</v>
      </c>
      <c r="X50" s="570">
        <f>IF(P50=0, "NaN", RANK(P50, P$50:P$59))</f>
        <v>1</v>
      </c>
      <c r="Y50" s="571">
        <f t="shared" ref="Y50:AD50" si="9">IF(Q50=0, "NaN", RANK(Q50, Q$50:Q$59))</f>
        <v>1</v>
      </c>
      <c r="Z50" s="572">
        <f t="shared" si="9"/>
        <v>1</v>
      </c>
      <c r="AA50" s="573">
        <f t="shared" si="9"/>
        <v>1</v>
      </c>
      <c r="AB50" s="573">
        <f t="shared" si="9"/>
        <v>1</v>
      </c>
      <c r="AC50" s="574">
        <f t="shared" si="9"/>
        <v>1</v>
      </c>
      <c r="AD50" s="575">
        <f t="shared" si="9"/>
        <v>1</v>
      </c>
      <c r="AI50" s="452"/>
    </row>
    <row r="51" spans="3:35" ht="15" thickBot="1">
      <c r="C51" s="602">
        <v>2</v>
      </c>
      <c r="D51" s="597" t="str">
        <f t="shared" ca="1" si="4"/>
        <v xml:space="preserve">Diesel Price ($/gal)
(2.98, 3.73, 5.60) </v>
      </c>
      <c r="E51" s="605">
        <f t="shared" ca="1" si="5"/>
        <v>1669535.5</v>
      </c>
      <c r="F51" s="605">
        <f t="shared" ca="1" si="6"/>
        <v>1831422.72</v>
      </c>
      <c r="G51" s="605">
        <f t="shared" ca="1" si="7"/>
        <v>2236140.7599999998</v>
      </c>
      <c r="H51" s="605">
        <f t="shared" ref="H51:H57" ca="1" si="10">+E51</f>
        <v>1669535.5</v>
      </c>
      <c r="I51" s="605">
        <f t="shared" ref="I51:I57" ca="1" si="11">F51-E51</f>
        <v>161887.21999999997</v>
      </c>
      <c r="J51" s="606">
        <f t="shared" ref="J51:J57" ca="1" si="12">G51-F51</f>
        <v>404718.0399999998</v>
      </c>
      <c r="O51" s="531" t="str">
        <f>+E4&amp;"
("&amp;TEXT(E10,"0")&amp;", "&amp;TEXT(E11,"0")&amp;", "&amp;TEXT(E12,"0")&amp;") "</f>
        <v xml:space="preserve">Carbon Price ($/ton)
(50, 100, 200) </v>
      </c>
      <c r="P51" s="546">
        <f t="shared" ref="P51:V51" si="13">ABS(P19-P21)</f>
        <v>399519.54999999981</v>
      </c>
      <c r="Q51" s="551">
        <f t="shared" si="13"/>
        <v>366014.29999999981</v>
      </c>
      <c r="R51" s="556">
        <f t="shared" si="13"/>
        <v>247642.99</v>
      </c>
      <c r="S51" s="561">
        <f t="shared" si="13"/>
        <v>209545.76</v>
      </c>
      <c r="T51" s="561">
        <f t="shared" si="13"/>
        <v>225174.43000000017</v>
      </c>
      <c r="U51" s="592">
        <f t="shared" si="13"/>
        <v>65899.470000000205</v>
      </c>
      <c r="V51" s="566">
        <f t="shared" si="13"/>
        <v>66089.799999999814</v>
      </c>
      <c r="X51" s="570">
        <f t="shared" ref="X51:X59" si="14">IF(P51=0, "NaN", RANK(P51, P$50:P$59))</f>
        <v>4</v>
      </c>
      <c r="Y51" s="571">
        <f t="shared" ref="Y51:Y59" si="15">IF(Q51=0, "NaN", RANK(Q51, Q$50:Q$59))</f>
        <v>4</v>
      </c>
      <c r="Z51" s="572">
        <f t="shared" ref="Z51:Z59" si="16">IF(R51=0, "NaN", RANK(R51, R$50:R$59))</f>
        <v>4</v>
      </c>
      <c r="AA51" s="573">
        <f t="shared" ref="AA51:AA59" si="17">IF(S51=0, "NaN", RANK(S51, S$50:S$59))</f>
        <v>3</v>
      </c>
      <c r="AB51" s="573">
        <f t="shared" ref="AB51:AB59" si="18">IF(T51=0, "NaN", RANK(T51, T$50:T$59))</f>
        <v>3</v>
      </c>
      <c r="AC51" s="574">
        <f t="shared" ref="AC51:AC59" si="19">IF(U51=0, "NaN", RANK(U51, U$50:U$59))</f>
        <v>3</v>
      </c>
      <c r="AD51" s="575">
        <f t="shared" ref="AD51:AD59" si="20">IF(V51=0, "NaN", RANK(V51, V$50:V$59))</f>
        <v>3</v>
      </c>
      <c r="AI51" s="452"/>
    </row>
    <row r="52" spans="3:35" ht="15" thickBot="1">
      <c r="C52" s="602">
        <v>3</v>
      </c>
      <c r="D52" s="597" t="str">
        <f t="shared" ca="1" si="4"/>
        <v xml:space="preserve">Fuel Economy (mpg)
(8.58, 7.15, 5.72) </v>
      </c>
      <c r="E52" s="605">
        <f t="shared" ca="1" si="5"/>
        <v>1661069.43</v>
      </c>
      <c r="F52" s="605">
        <f t="shared" ca="1" si="6"/>
        <v>1831422.72</v>
      </c>
      <c r="G52" s="605">
        <f t="shared" ca="1" si="7"/>
        <v>2086952.66</v>
      </c>
      <c r="H52" s="605">
        <f t="shared" ca="1" si="10"/>
        <v>1661069.43</v>
      </c>
      <c r="I52" s="605">
        <f t="shared" ca="1" si="11"/>
        <v>170353.29000000004</v>
      </c>
      <c r="J52" s="606">
        <f t="shared" ca="1" si="12"/>
        <v>255529.93999999994</v>
      </c>
      <c r="O52" s="531" t="str">
        <f>+F4&amp;"
("&amp;TEXT(F10,"0.00")&amp;", "&amp;TEXT(F11,"0.00")&amp;", "&amp;TEXT(F12,"0.00")&amp;") "</f>
        <v xml:space="preserve">Diesel Price ($/gal)
(2.98, 3.73, 5.60) </v>
      </c>
      <c r="P52" s="546">
        <f t="shared" ref="P52:V52" si="21">ABS(P22-P24)</f>
        <v>569672.73000000021</v>
      </c>
      <c r="Q52" s="551">
        <f t="shared" si="21"/>
        <v>486899.77</v>
      </c>
      <c r="R52" s="556">
        <f t="shared" si="21"/>
        <v>566605.25999999978</v>
      </c>
      <c r="S52" s="561">
        <f t="shared" si="21"/>
        <v>0</v>
      </c>
      <c r="T52" s="561">
        <f t="shared" si="21"/>
        <v>0</v>
      </c>
      <c r="U52" s="592">
        <f t="shared" si="21"/>
        <v>0</v>
      </c>
      <c r="V52" s="566">
        <f t="shared" si="21"/>
        <v>0</v>
      </c>
      <c r="X52" s="570">
        <f t="shared" si="14"/>
        <v>2</v>
      </c>
      <c r="Y52" s="571">
        <f t="shared" si="15"/>
        <v>2</v>
      </c>
      <c r="Z52" s="572">
        <f t="shared" si="16"/>
        <v>2</v>
      </c>
      <c r="AA52" s="573" t="str">
        <f t="shared" si="17"/>
        <v>NaN</v>
      </c>
      <c r="AB52" s="573" t="str">
        <f t="shared" si="18"/>
        <v>NaN</v>
      </c>
      <c r="AC52" s="574" t="str">
        <f t="shared" si="19"/>
        <v>NaN</v>
      </c>
      <c r="AD52" s="575" t="str">
        <f t="shared" si="20"/>
        <v>NaN</v>
      </c>
      <c r="AI52" s="452"/>
    </row>
    <row r="53" spans="3:35" ht="15" thickBot="1">
      <c r="C53" s="602">
        <v>4</v>
      </c>
      <c r="D53" s="597" t="str">
        <f t="shared" ca="1" si="4"/>
        <v xml:space="preserve">Carbon Price ($/ton)
(50, 100, 200) </v>
      </c>
      <c r="E53" s="605">
        <f t="shared" ca="1" si="5"/>
        <v>1748875.06</v>
      </c>
      <c r="F53" s="605">
        <f t="shared" ca="1" si="6"/>
        <v>1831422.72</v>
      </c>
      <c r="G53" s="605">
        <f t="shared" ca="1" si="7"/>
        <v>1996518.05</v>
      </c>
      <c r="H53" s="605">
        <f t="shared" ca="1" si="10"/>
        <v>1748875.06</v>
      </c>
      <c r="I53" s="605">
        <f t="shared" ca="1" si="11"/>
        <v>82547.659999999916</v>
      </c>
      <c r="J53" s="606">
        <f t="shared" ca="1" si="12"/>
        <v>165095.33000000007</v>
      </c>
      <c r="O53" s="531" t="str">
        <f>+G4&amp;"
("&amp;TEXT(G10,"0.0")&amp;", "&amp;TEXT(G11,"0.0")&amp;", "&amp;TEXT(G12,"0.0")&amp;") "</f>
        <v xml:space="preserve">Revenue Loss ($/kg) 
(8.8, 17.5, 26.3) </v>
      </c>
      <c r="P53" s="546">
        <f t="shared" ref="P53:V53" si="22">ABS(P25-P27)</f>
        <v>0</v>
      </c>
      <c r="Q53" s="551">
        <f t="shared" si="22"/>
        <v>17500</v>
      </c>
      <c r="R53" s="556">
        <f t="shared" si="22"/>
        <v>52500</v>
      </c>
      <c r="S53" s="561">
        <f t="shared" si="22"/>
        <v>43730.84999999986</v>
      </c>
      <c r="T53" s="561">
        <f t="shared" si="22"/>
        <v>93351.339999999851</v>
      </c>
      <c r="U53" s="592">
        <f t="shared" si="22"/>
        <v>19140.339999999851</v>
      </c>
      <c r="V53" s="566">
        <f t="shared" si="22"/>
        <v>25053.329999999609</v>
      </c>
      <c r="X53" s="570" t="str">
        <f t="shared" si="14"/>
        <v>NaN</v>
      </c>
      <c r="Y53" s="571">
        <f t="shared" si="15"/>
        <v>5</v>
      </c>
      <c r="Z53" s="572">
        <f t="shared" si="16"/>
        <v>6</v>
      </c>
      <c r="AA53" s="573">
        <f t="shared" si="17"/>
        <v>5</v>
      </c>
      <c r="AB53" s="573">
        <f t="shared" si="18"/>
        <v>4</v>
      </c>
      <c r="AC53" s="574">
        <f t="shared" si="19"/>
        <v>4</v>
      </c>
      <c r="AD53" s="575">
        <f t="shared" si="20"/>
        <v>4</v>
      </c>
      <c r="AI53" s="452"/>
    </row>
    <row r="54" spans="3:35" ht="15" thickBot="1">
      <c r="C54" s="602">
        <v>5</v>
      </c>
      <c r="D54" s="597" t="str">
        <f t="shared" ca="1" si="4"/>
        <v xml:space="preserve">MCC Cost ($)
(15,000, 30,000, 60,000) </v>
      </c>
      <c r="E54" s="605">
        <f t="shared" ca="1" si="5"/>
        <v>1793142.72</v>
      </c>
      <c r="F54" s="605">
        <f t="shared" ca="1" si="6"/>
        <v>1831422.72</v>
      </c>
      <c r="G54" s="605">
        <f t="shared" ca="1" si="7"/>
        <v>1907982.72</v>
      </c>
      <c r="H54" s="605">
        <f t="shared" ca="1" si="10"/>
        <v>1793142.72</v>
      </c>
      <c r="I54" s="605">
        <f t="shared" ca="1" si="11"/>
        <v>38280</v>
      </c>
      <c r="J54" s="606">
        <f t="shared" ca="1" si="12"/>
        <v>76560</v>
      </c>
      <c r="O54" s="531" t="str">
        <f>+H4&amp;"
("&amp;TEXT(H10,"000")&amp;", "&amp;TEXT(H11,"000")&amp;", "&amp;TEXT(H12,"000")&amp;") "</f>
        <v xml:space="preserve">Electricity Carbon Intensity (g/kWh)
(295, 369, 443) </v>
      </c>
      <c r="P54" s="546">
        <f t="shared" ref="P54:V54" si="23">ABS(P28-P30)</f>
        <v>0</v>
      </c>
      <c r="Q54" s="551">
        <f t="shared" si="23"/>
        <v>0</v>
      </c>
      <c r="R54" s="556">
        <f t="shared" si="23"/>
        <v>0</v>
      </c>
      <c r="S54" s="561">
        <f t="shared" si="23"/>
        <v>49174.280000000028</v>
      </c>
      <c r="T54" s="561">
        <f t="shared" si="23"/>
        <v>50403.639999999665</v>
      </c>
      <c r="U54" s="592">
        <f t="shared" si="23"/>
        <v>0</v>
      </c>
      <c r="V54" s="566">
        <f t="shared" si="23"/>
        <v>0</v>
      </c>
      <c r="X54" s="570" t="str">
        <f t="shared" si="14"/>
        <v>NaN</v>
      </c>
      <c r="Y54" s="571" t="str">
        <f t="shared" si="15"/>
        <v>NaN</v>
      </c>
      <c r="Z54" s="572" t="str">
        <f t="shared" si="16"/>
        <v>NaN</v>
      </c>
      <c r="AA54" s="573">
        <f t="shared" si="17"/>
        <v>4</v>
      </c>
      <c r="AB54" s="573">
        <f t="shared" si="18"/>
        <v>5</v>
      </c>
      <c r="AC54" s="574" t="str">
        <f t="shared" si="19"/>
        <v>NaN</v>
      </c>
      <c r="AD54" s="575" t="str">
        <f t="shared" si="20"/>
        <v>NaN</v>
      </c>
      <c r="AI54" s="452"/>
    </row>
    <row r="55" spans="3:35" ht="15" thickBot="1">
      <c r="C55" s="602">
        <v>6</v>
      </c>
      <c r="D55" s="597" t="str">
        <f t="shared" ca="1" si="4"/>
        <v xml:space="preserve">Revenue Loss ($/kg) 
(8.8, 17.5, 26.3) </v>
      </c>
      <c r="E55" s="605">
        <f t="shared" ca="1" si="5"/>
        <v>1805172.72</v>
      </c>
      <c r="F55" s="605">
        <f t="shared" ca="1" si="6"/>
        <v>1831422.72</v>
      </c>
      <c r="G55" s="605">
        <f t="shared" ca="1" si="7"/>
        <v>1857672.72</v>
      </c>
      <c r="H55" s="605">
        <f t="shared" ca="1" si="10"/>
        <v>1805172.72</v>
      </c>
      <c r="I55" s="605">
        <f t="shared" ca="1" si="11"/>
        <v>26250</v>
      </c>
      <c r="J55" s="606">
        <f t="shared" ca="1" si="12"/>
        <v>26250</v>
      </c>
      <c r="O55" s="531" t="str">
        <f>+I4&amp;"
("&amp;TEXT(I10,"0.00")&amp;", "&amp;TEXT(I11,"0.00")&amp;", "&amp;TEXT(I12,"0.00")&amp;") "</f>
        <v xml:space="preserve">Electricity Cost ($/kWh)
(0.10, 0.13, 0.19) </v>
      </c>
      <c r="P55" s="546">
        <f t="shared" ref="P55:V55" si="24">ABS(P31-P33)</f>
        <v>0</v>
      </c>
      <c r="Q55" s="551">
        <f t="shared" si="24"/>
        <v>0</v>
      </c>
      <c r="R55" s="556">
        <f t="shared" si="24"/>
        <v>0</v>
      </c>
      <c r="S55" s="561">
        <f t="shared" si="24"/>
        <v>298212.66000000015</v>
      </c>
      <c r="T55" s="561">
        <f t="shared" si="24"/>
        <v>305667.98</v>
      </c>
      <c r="U55" s="592">
        <f t="shared" si="24"/>
        <v>0</v>
      </c>
      <c r="V55" s="566">
        <f t="shared" si="24"/>
        <v>0</v>
      </c>
      <c r="X55" s="570" t="str">
        <f t="shared" si="14"/>
        <v>NaN</v>
      </c>
      <c r="Y55" s="571" t="str">
        <f t="shared" si="15"/>
        <v>NaN</v>
      </c>
      <c r="Z55" s="572" t="str">
        <f t="shared" si="16"/>
        <v>NaN</v>
      </c>
      <c r="AA55" s="573">
        <f t="shared" si="17"/>
        <v>2</v>
      </c>
      <c r="AB55" s="573">
        <f t="shared" si="18"/>
        <v>2</v>
      </c>
      <c r="AC55" s="574" t="str">
        <f t="shared" si="19"/>
        <v>NaN</v>
      </c>
      <c r="AD55" s="575" t="str">
        <f t="shared" si="20"/>
        <v>NaN</v>
      </c>
      <c r="AI55" s="452"/>
    </row>
    <row r="56" spans="3:35" ht="15" thickBot="1">
      <c r="C56" s="602">
        <v>7</v>
      </c>
      <c r="D56" s="597" t="str">
        <f t="shared" ca="1" si="4"/>
        <v xml:space="preserve">MCC Efficiency (%)
(75%, 50%, 38%) </v>
      </c>
      <c r="E56" s="605">
        <f t="shared" ca="1" si="5"/>
        <v>1803629.57</v>
      </c>
      <c r="F56" s="605">
        <f t="shared" ca="1" si="6"/>
        <v>1831422.72</v>
      </c>
      <c r="G56" s="605">
        <f t="shared" ca="1" si="7"/>
        <v>1845319.3</v>
      </c>
      <c r="H56" s="605">
        <f t="shared" ca="1" si="10"/>
        <v>1803629.57</v>
      </c>
      <c r="I56" s="605">
        <f t="shared" ca="1" si="11"/>
        <v>27793.149999999907</v>
      </c>
      <c r="J56" s="606">
        <f t="shared" ca="1" si="12"/>
        <v>13896.580000000075</v>
      </c>
      <c r="O56" s="531" t="str">
        <f>+J4&amp;"
("&amp;TEXT(J10,"0%")&amp;", "&amp;TEXT(J11,"0%")&amp;", "&amp;TEXT(J12,"0%")&amp;") "</f>
        <v xml:space="preserve">MCC Efficiency (%)
(75%, 50%, 38%) </v>
      </c>
      <c r="P56" s="546">
        <f t="shared" ref="P56:V56" si="25">ABS(P34-P36)</f>
        <v>0</v>
      </c>
      <c r="Q56" s="551">
        <f t="shared" si="25"/>
        <v>0</v>
      </c>
      <c r="R56" s="556">
        <f t="shared" si="25"/>
        <v>41689.729999999981</v>
      </c>
      <c r="S56" s="561">
        <f t="shared" si="25"/>
        <v>0</v>
      </c>
      <c r="T56" s="561">
        <f t="shared" si="25"/>
        <v>0</v>
      </c>
      <c r="U56" s="592">
        <f t="shared" si="25"/>
        <v>0</v>
      </c>
      <c r="V56" s="566">
        <f t="shared" si="25"/>
        <v>0</v>
      </c>
      <c r="X56" s="570" t="str">
        <f t="shared" si="14"/>
        <v>NaN</v>
      </c>
      <c r="Y56" s="571" t="str">
        <f t="shared" si="15"/>
        <v>NaN</v>
      </c>
      <c r="Z56" s="572">
        <f t="shared" si="16"/>
        <v>7</v>
      </c>
      <c r="AA56" s="573" t="str">
        <f t="shared" si="17"/>
        <v>NaN</v>
      </c>
      <c r="AB56" s="573" t="str">
        <f t="shared" si="18"/>
        <v>NaN</v>
      </c>
      <c r="AC56" s="574" t="str">
        <f t="shared" si="19"/>
        <v>NaN</v>
      </c>
      <c r="AD56" s="575" t="str">
        <f t="shared" si="20"/>
        <v>NaN</v>
      </c>
      <c r="AI56" s="452"/>
    </row>
    <row r="57" spans="3:35" ht="15" thickBot="1">
      <c r="C57" s="602">
        <v>8</v>
      </c>
      <c r="D57" s="597" t="str">
        <f t="shared" ca="1" si="4"/>
        <v xml:space="preserve">MCC FE penalty (%)
(2.75%, 3.44%, 4.13%) </v>
      </c>
      <c r="E57" s="605">
        <f t="shared" ca="1" si="5"/>
        <v>1824624.4</v>
      </c>
      <c r="F57" s="605">
        <f t="shared" ca="1" si="6"/>
        <v>1831422.72</v>
      </c>
      <c r="G57" s="605">
        <f t="shared" ca="1" si="7"/>
        <v>1838221.04</v>
      </c>
      <c r="H57" s="605">
        <f t="shared" ca="1" si="10"/>
        <v>1824624.4</v>
      </c>
      <c r="I57" s="605">
        <f t="shared" ca="1" si="11"/>
        <v>6798.3200000000652</v>
      </c>
      <c r="J57" s="606">
        <f t="shared" ca="1" si="12"/>
        <v>6798.3200000000652</v>
      </c>
      <c r="O57" s="531" t="str">
        <f>+K4&amp;"
("&amp;TEXT(K10,"0,000")&amp;", "&amp;TEXT(K11,"0,000")&amp;", "&amp;TEXT(K12,"0,000")&amp;") "</f>
        <v xml:space="preserve">MCC Cost ($)
(15,000, 30,000, 60,000) </v>
      </c>
      <c r="P57" s="546">
        <f t="shared" ref="P57:V57" si="26">ABS(P37-P39)</f>
        <v>0</v>
      </c>
      <c r="Q57" s="551">
        <f t="shared" si="26"/>
        <v>0</v>
      </c>
      <c r="R57" s="556">
        <f t="shared" si="26"/>
        <v>114840</v>
      </c>
      <c r="S57" s="561">
        <f t="shared" si="26"/>
        <v>0</v>
      </c>
      <c r="T57" s="561">
        <f t="shared" si="26"/>
        <v>0</v>
      </c>
      <c r="U57" s="592">
        <f t="shared" si="26"/>
        <v>0</v>
      </c>
      <c r="V57" s="566">
        <f t="shared" si="26"/>
        <v>0</v>
      </c>
      <c r="X57" s="570" t="str">
        <f t="shared" si="14"/>
        <v>NaN</v>
      </c>
      <c r="Y57" s="571" t="str">
        <f t="shared" si="15"/>
        <v>NaN</v>
      </c>
      <c r="Z57" s="572">
        <f t="shared" si="16"/>
        <v>5</v>
      </c>
      <c r="AA57" s="573" t="str">
        <f t="shared" si="17"/>
        <v>NaN</v>
      </c>
      <c r="AB57" s="573" t="str">
        <f t="shared" si="18"/>
        <v>NaN</v>
      </c>
      <c r="AC57" s="574" t="str">
        <f t="shared" si="19"/>
        <v>NaN</v>
      </c>
      <c r="AD57" s="575" t="str">
        <f t="shared" si="20"/>
        <v>NaN</v>
      </c>
      <c r="AI57" s="452"/>
    </row>
    <row r="58" spans="3:35" ht="15" thickBot="1">
      <c r="C58" s="602">
        <v>9</v>
      </c>
      <c r="D58" s="597" t="e">
        <f t="shared" ca="1" si="4"/>
        <v>#N/A</v>
      </c>
      <c r="E58" s="463" t="e">
        <f t="shared" ca="1" si="5"/>
        <v>#N/A</v>
      </c>
      <c r="F58" s="463" t="e">
        <f t="shared" ca="1" si="6"/>
        <v>#N/A</v>
      </c>
      <c r="G58" s="463" t="e">
        <f t="shared" ca="1" si="7"/>
        <v>#N/A</v>
      </c>
      <c r="H58" s="463" t="e">
        <f ca="1">+E58</f>
        <v>#N/A</v>
      </c>
      <c r="I58" s="463" t="e">
        <f ca="1">F58-E58</f>
        <v>#N/A</v>
      </c>
      <c r="J58" s="470" t="e">
        <f ca="1">G58-F58</f>
        <v>#N/A</v>
      </c>
      <c r="O58" s="531" t="str">
        <f>+L4&amp;"
("&amp;TEXT(L10,"0.00")&amp;", "&amp;TEXT(L11,"0.00")&amp;", "&amp;TEXT(L12,"0.00")&amp;") "</f>
        <v xml:space="preserve">Fuel Economy (mpg)
(8.58, 7.15, 5.72) </v>
      </c>
      <c r="P58" s="546">
        <f t="shared" ref="P58:V58" si="27">ABS(P40-P42)</f>
        <v>447152.74</v>
      </c>
      <c r="Q58" s="551">
        <f t="shared" si="27"/>
        <v>385429.7799999998</v>
      </c>
      <c r="R58" s="556">
        <f t="shared" si="27"/>
        <v>425883.23</v>
      </c>
      <c r="S58" s="561">
        <f t="shared" si="27"/>
        <v>0</v>
      </c>
      <c r="T58" s="561">
        <f t="shared" si="27"/>
        <v>0</v>
      </c>
      <c r="U58" s="592">
        <f t="shared" si="27"/>
        <v>527849.11999999965</v>
      </c>
      <c r="V58" s="566">
        <f t="shared" si="27"/>
        <v>615826.58999999985</v>
      </c>
      <c r="X58" s="570">
        <f t="shared" si="14"/>
        <v>3</v>
      </c>
      <c r="Y58" s="571">
        <f t="shared" si="15"/>
        <v>3</v>
      </c>
      <c r="Z58" s="572">
        <f t="shared" si="16"/>
        <v>3</v>
      </c>
      <c r="AA58" s="573" t="str">
        <f t="shared" si="17"/>
        <v>NaN</v>
      </c>
      <c r="AB58" s="573" t="str">
        <f t="shared" si="18"/>
        <v>NaN</v>
      </c>
      <c r="AC58" s="574">
        <f t="shared" si="19"/>
        <v>2</v>
      </c>
      <c r="AD58" s="575">
        <f t="shared" si="20"/>
        <v>2</v>
      </c>
      <c r="AI58" s="452"/>
    </row>
    <row r="59" spans="3:35" ht="15" thickBot="1">
      <c r="C59" s="603">
        <v>10</v>
      </c>
      <c r="D59" s="604" t="e">
        <f t="shared" ca="1" si="4"/>
        <v>#N/A</v>
      </c>
      <c r="E59" s="471" t="e">
        <f t="shared" ca="1" si="5"/>
        <v>#N/A</v>
      </c>
      <c r="F59" s="471" t="e">
        <f t="shared" ca="1" si="6"/>
        <v>#N/A</v>
      </c>
      <c r="G59" s="471" t="e">
        <f t="shared" ca="1" si="7"/>
        <v>#N/A</v>
      </c>
      <c r="H59" s="471" t="e">
        <f ca="1">+E59</f>
        <v>#N/A</v>
      </c>
      <c r="I59" s="471" t="e">
        <f ca="1">F59-E59</f>
        <v>#N/A</v>
      </c>
      <c r="J59" s="474" t="e">
        <f ca="1">G59-F59</f>
        <v>#N/A</v>
      </c>
      <c r="O59" s="532" t="str">
        <f>+M4&amp;"
("&amp;TEXT(M10,"0.00%")&amp;", "&amp;TEXT(M11,"0.00%")&amp;", "&amp;TEXT(M12,"0.00%")&amp;") "</f>
        <v xml:space="preserve">MCC FE penalty (%)
(2.75%, 3.44%, 4.13%) </v>
      </c>
      <c r="P59" s="546">
        <f t="shared" ref="P59:V59" si="28">ABS(P43-P45)</f>
        <v>0</v>
      </c>
      <c r="Q59" s="551">
        <f t="shared" si="28"/>
        <v>0</v>
      </c>
      <c r="R59" s="556">
        <f t="shared" si="28"/>
        <v>13596.64000000013</v>
      </c>
      <c r="S59" s="561">
        <f t="shared" si="28"/>
        <v>0</v>
      </c>
      <c r="T59" s="561">
        <f t="shared" si="28"/>
        <v>0</v>
      </c>
      <c r="U59" s="592">
        <f t="shared" si="28"/>
        <v>0</v>
      </c>
      <c r="V59" s="566">
        <f t="shared" si="28"/>
        <v>0</v>
      </c>
      <c r="X59" s="577" t="str">
        <f t="shared" si="14"/>
        <v>NaN</v>
      </c>
      <c r="Y59" s="578" t="str">
        <f t="shared" si="15"/>
        <v>NaN</v>
      </c>
      <c r="Z59" s="579">
        <f t="shared" si="16"/>
        <v>8</v>
      </c>
      <c r="AA59" s="580" t="str">
        <f t="shared" si="17"/>
        <v>NaN</v>
      </c>
      <c r="AB59" s="580" t="str">
        <f t="shared" si="18"/>
        <v>NaN</v>
      </c>
      <c r="AC59" s="581" t="str">
        <f t="shared" si="19"/>
        <v>NaN</v>
      </c>
      <c r="AD59" s="582" t="str">
        <f t="shared" si="20"/>
        <v>NaN</v>
      </c>
      <c r="AI59" s="452"/>
    </row>
    <row r="60" spans="3:35">
      <c r="AI60" s="452"/>
    </row>
    <row r="61" spans="3:35" ht="15" thickBot="1">
      <c r="AI61" s="452"/>
    </row>
    <row r="62" spans="3:35" ht="21.5" thickBot="1">
      <c r="P62" s="607" t="s">
        <v>267</v>
      </c>
      <c r="Q62" s="608" t="s">
        <v>323</v>
      </c>
      <c r="R62" s="609" t="s">
        <v>178</v>
      </c>
      <c r="S62" s="610" t="s">
        <v>188</v>
      </c>
      <c r="T62" s="610" t="s">
        <v>324</v>
      </c>
      <c r="U62" s="611" t="s">
        <v>325</v>
      </c>
      <c r="V62" s="612" t="s">
        <v>326</v>
      </c>
      <c r="AI62" s="452"/>
    </row>
    <row r="63" spans="3:35">
      <c r="O63" s="1232" t="str">
        <f>$B16</f>
        <v>Total Vehicle Mile (million)</v>
      </c>
      <c r="P63" s="547"/>
      <c r="Q63" s="552">
        <f t="shared" ref="Q63:V72" si="29">Q16-$P16</f>
        <v>-68748.340000000084</v>
      </c>
      <c r="R63" s="557">
        <f t="shared" si="29"/>
        <v>96482.540000000037</v>
      </c>
      <c r="S63" s="562">
        <f t="shared" si="29"/>
        <v>231436.56000000006</v>
      </c>
      <c r="T63" s="562">
        <f t="shared" si="29"/>
        <v>493752.53</v>
      </c>
      <c r="U63" s="593">
        <f t="shared" si="29"/>
        <v>804232.43000000017</v>
      </c>
      <c r="V63" s="567">
        <f t="shared" si="29"/>
        <v>359597.13000000012</v>
      </c>
      <c r="AI63" s="452"/>
    </row>
    <row r="64" spans="3:35">
      <c r="O64" s="1233"/>
      <c r="P64" s="544"/>
      <c r="Q64" s="549">
        <f t="shared" si="29"/>
        <v>-95170.439999999944</v>
      </c>
      <c r="R64" s="554">
        <f t="shared" si="29"/>
        <v>88088.169999999925</v>
      </c>
      <c r="S64" s="559">
        <f t="shared" si="29"/>
        <v>189921.24</v>
      </c>
      <c r="T64" s="559">
        <f t="shared" si="29"/>
        <v>434211.90999999992</v>
      </c>
      <c r="U64" s="590">
        <f t="shared" si="29"/>
        <v>840858.01</v>
      </c>
      <c r="V64" s="564">
        <f t="shared" si="29"/>
        <v>424331.80999999982</v>
      </c>
      <c r="AI64" s="452"/>
    </row>
    <row r="65" spans="15:35" ht="15" thickBot="1">
      <c r="O65" s="1234"/>
      <c r="P65" s="584"/>
      <c r="Q65" s="585">
        <f t="shared" si="29"/>
        <v>-121592.52000000002</v>
      </c>
      <c r="R65" s="586">
        <f t="shared" si="29"/>
        <v>79693.809999999823</v>
      </c>
      <c r="S65" s="587">
        <f t="shared" si="29"/>
        <v>148405.91999999969</v>
      </c>
      <c r="T65" s="587">
        <f t="shared" si="29"/>
        <v>374671.30000000005</v>
      </c>
      <c r="U65" s="595">
        <f t="shared" si="29"/>
        <v>877483.6100000001</v>
      </c>
      <c r="V65" s="588">
        <f t="shared" si="29"/>
        <v>489066.49999999977</v>
      </c>
      <c r="AI65" s="452"/>
    </row>
    <row r="66" spans="15:35">
      <c r="O66" s="1235" t="str">
        <f>$B19</f>
        <v>Carbon Price ($/ton)</v>
      </c>
      <c r="P66" s="547"/>
      <c r="Q66" s="552">
        <f t="shared" si="29"/>
        <v>-84002.010000000009</v>
      </c>
      <c r="R66" s="557">
        <f t="shared" si="29"/>
        <v>138713.69999999995</v>
      </c>
      <c r="S66" s="562">
        <f t="shared" si="29"/>
        <v>253245.83999999985</v>
      </c>
      <c r="T66" s="562">
        <f t="shared" si="29"/>
        <v>492326.95999999973</v>
      </c>
      <c r="U66" s="593">
        <f t="shared" si="29"/>
        <v>952064.70999999973</v>
      </c>
      <c r="V66" s="567">
        <f t="shared" si="29"/>
        <v>535475.07000000007</v>
      </c>
      <c r="AI66" s="452"/>
    </row>
    <row r="67" spans="15:35">
      <c r="O67" s="1236"/>
      <c r="P67" s="544"/>
      <c r="Q67" s="549">
        <f t="shared" si="29"/>
        <v>-95170.439999999944</v>
      </c>
      <c r="R67" s="554">
        <f t="shared" si="29"/>
        <v>88088.169999999925</v>
      </c>
      <c r="S67" s="559">
        <f t="shared" si="29"/>
        <v>189921.24</v>
      </c>
      <c r="T67" s="559">
        <f t="shared" si="29"/>
        <v>434211.90999999992</v>
      </c>
      <c r="U67" s="590">
        <f t="shared" si="29"/>
        <v>840858.01</v>
      </c>
      <c r="V67" s="564">
        <f t="shared" si="29"/>
        <v>424331.80999999982</v>
      </c>
      <c r="AI67" s="452"/>
    </row>
    <row r="68" spans="15:35" ht="15" thickBot="1">
      <c r="O68" s="1237"/>
      <c r="P68" s="584"/>
      <c r="Q68" s="585">
        <f t="shared" si="29"/>
        <v>-117507.26000000001</v>
      </c>
      <c r="R68" s="586">
        <f t="shared" si="29"/>
        <v>-13162.85999999987</v>
      </c>
      <c r="S68" s="587">
        <f t="shared" si="29"/>
        <v>63272.050000000047</v>
      </c>
      <c r="T68" s="587">
        <f t="shared" si="29"/>
        <v>317981.84000000008</v>
      </c>
      <c r="U68" s="595">
        <f t="shared" si="29"/>
        <v>618444.63000000012</v>
      </c>
      <c r="V68" s="588">
        <f t="shared" si="29"/>
        <v>202045.32000000007</v>
      </c>
      <c r="AI68" s="452"/>
    </row>
    <row r="69" spans="15:35">
      <c r="O69" s="1238" t="str">
        <f>$B22</f>
        <v>Diesel Price ($/gal)</v>
      </c>
      <c r="P69" s="547"/>
      <c r="Q69" s="552">
        <f t="shared" si="29"/>
        <v>-71521.020000000019</v>
      </c>
      <c r="R69" s="557">
        <f t="shared" si="29"/>
        <v>88964.590000000084</v>
      </c>
      <c r="S69" s="562">
        <f t="shared" si="29"/>
        <v>352684.88000000012</v>
      </c>
      <c r="T69" s="562">
        <f t="shared" si="29"/>
        <v>596975.55000000005</v>
      </c>
      <c r="U69" s="593">
        <f t="shared" si="29"/>
        <v>1003621.6500000001</v>
      </c>
      <c r="V69" s="567">
        <f t="shared" si="29"/>
        <v>587095.44999999995</v>
      </c>
      <c r="AI69" s="452"/>
    </row>
    <row r="70" spans="15:35">
      <c r="O70" s="1239"/>
      <c r="P70" s="544"/>
      <c r="Q70" s="549">
        <f t="shared" si="29"/>
        <v>-95170.439999999944</v>
      </c>
      <c r="R70" s="554">
        <f t="shared" si="29"/>
        <v>88088.169999999925</v>
      </c>
      <c r="S70" s="559">
        <f t="shared" si="29"/>
        <v>189921.24</v>
      </c>
      <c r="T70" s="559">
        <f t="shared" si="29"/>
        <v>434211.90999999992</v>
      </c>
      <c r="U70" s="590">
        <f t="shared" si="29"/>
        <v>840858.01</v>
      </c>
      <c r="V70" s="564">
        <f t="shared" si="29"/>
        <v>424331.80999999982</v>
      </c>
      <c r="AI70" s="452"/>
    </row>
    <row r="71" spans="15:35" ht="15" thickBot="1">
      <c r="O71" s="1240"/>
      <c r="P71" s="584"/>
      <c r="Q71" s="585">
        <f t="shared" si="29"/>
        <v>-154293.98000000021</v>
      </c>
      <c r="R71" s="586">
        <f t="shared" si="29"/>
        <v>85897.119999999646</v>
      </c>
      <c r="S71" s="587">
        <f t="shared" si="29"/>
        <v>-216987.85000000009</v>
      </c>
      <c r="T71" s="587">
        <f t="shared" si="29"/>
        <v>27302.819999999832</v>
      </c>
      <c r="U71" s="595">
        <f t="shared" si="29"/>
        <v>433948.91999999993</v>
      </c>
      <c r="V71" s="588">
        <f t="shared" si="29"/>
        <v>17422.719999999739</v>
      </c>
      <c r="AI71" s="452"/>
    </row>
    <row r="72" spans="15:35">
      <c r="O72" s="1250" t="str">
        <f>$B25</f>
        <v xml:space="preserve">Revenue Loss ($/kg) </v>
      </c>
      <c r="P72" s="547"/>
      <c r="Q72" s="552">
        <f t="shared" si="29"/>
        <v>-103920.43999999994</v>
      </c>
      <c r="R72" s="557">
        <f t="shared" si="29"/>
        <v>61838.169999999925</v>
      </c>
      <c r="S72" s="562">
        <f t="shared" si="29"/>
        <v>168055.81000000006</v>
      </c>
      <c r="T72" s="562">
        <f t="shared" si="29"/>
        <v>387536.24</v>
      </c>
      <c r="U72" s="593">
        <f t="shared" si="29"/>
        <v>831287.84000000008</v>
      </c>
      <c r="V72" s="567">
        <f t="shared" si="29"/>
        <v>411805.15000000014</v>
      </c>
      <c r="AI72" s="452"/>
    </row>
    <row r="73" spans="15:35">
      <c r="O73" s="1251"/>
      <c r="P73" s="544"/>
      <c r="Q73" s="549">
        <f t="shared" ref="Q73:V82" si="30">Q26-$P26</f>
        <v>-95170.439999999944</v>
      </c>
      <c r="R73" s="554">
        <f t="shared" si="30"/>
        <v>88088.169999999925</v>
      </c>
      <c r="S73" s="559">
        <f t="shared" si="30"/>
        <v>189921.24</v>
      </c>
      <c r="T73" s="559">
        <f t="shared" si="30"/>
        <v>434211.90999999992</v>
      </c>
      <c r="U73" s="590">
        <f t="shared" si="30"/>
        <v>840858.01</v>
      </c>
      <c r="V73" s="564">
        <f t="shared" si="30"/>
        <v>424331.80999999982</v>
      </c>
      <c r="AI73" s="452"/>
    </row>
    <row r="74" spans="15:35" ht="15" thickBot="1">
      <c r="O74" s="1252"/>
      <c r="P74" s="584"/>
      <c r="Q74" s="585">
        <f t="shared" si="30"/>
        <v>-86420.439999999944</v>
      </c>
      <c r="R74" s="586">
        <f t="shared" si="30"/>
        <v>114338.16999999993</v>
      </c>
      <c r="S74" s="587">
        <f t="shared" si="30"/>
        <v>211786.65999999992</v>
      </c>
      <c r="T74" s="587">
        <f t="shared" si="30"/>
        <v>480887.57999999984</v>
      </c>
      <c r="U74" s="595">
        <f t="shared" si="30"/>
        <v>850428.17999999993</v>
      </c>
      <c r="V74" s="588">
        <f t="shared" si="30"/>
        <v>436858.47999999975</v>
      </c>
      <c r="AI74" s="452"/>
    </row>
    <row r="75" spans="15:35">
      <c r="O75" s="1253" t="str">
        <f>$B28</f>
        <v>Electricity Carbon Intensity (g/kWh)</v>
      </c>
      <c r="P75" s="547"/>
      <c r="Q75" s="552">
        <f t="shared" si="30"/>
        <v>-95170.439999999944</v>
      </c>
      <c r="R75" s="557">
        <f t="shared" si="30"/>
        <v>88088.169999999925</v>
      </c>
      <c r="S75" s="562">
        <f t="shared" si="30"/>
        <v>165334.09999999986</v>
      </c>
      <c r="T75" s="562">
        <f t="shared" si="30"/>
        <v>409010.09000000008</v>
      </c>
      <c r="U75" s="593">
        <f t="shared" si="30"/>
        <v>840858.01</v>
      </c>
      <c r="V75" s="567">
        <f t="shared" si="30"/>
        <v>424331.80999999982</v>
      </c>
      <c r="AI75" s="452"/>
    </row>
    <row r="76" spans="15:35">
      <c r="O76" s="1254"/>
      <c r="P76" s="544"/>
      <c r="Q76" s="549">
        <f t="shared" si="30"/>
        <v>-95170.439999999944</v>
      </c>
      <c r="R76" s="554">
        <f t="shared" si="30"/>
        <v>88088.169999999925</v>
      </c>
      <c r="S76" s="559">
        <f t="shared" si="30"/>
        <v>189921.24</v>
      </c>
      <c r="T76" s="559">
        <f t="shared" si="30"/>
        <v>434211.90999999992</v>
      </c>
      <c r="U76" s="590">
        <f t="shared" si="30"/>
        <v>840858.01</v>
      </c>
      <c r="V76" s="564">
        <f t="shared" si="30"/>
        <v>424331.80999999982</v>
      </c>
      <c r="AI76" s="452"/>
    </row>
    <row r="77" spans="15:35" ht="15" thickBot="1">
      <c r="O77" s="1255"/>
      <c r="P77" s="584"/>
      <c r="Q77" s="585">
        <f t="shared" si="30"/>
        <v>-95170.439999999944</v>
      </c>
      <c r="R77" s="586">
        <f t="shared" si="30"/>
        <v>88088.169999999925</v>
      </c>
      <c r="S77" s="587">
        <f t="shared" si="30"/>
        <v>214508.37999999989</v>
      </c>
      <c r="T77" s="587">
        <f t="shared" si="30"/>
        <v>459413.72999999975</v>
      </c>
      <c r="U77" s="595">
        <f t="shared" si="30"/>
        <v>840858.01</v>
      </c>
      <c r="V77" s="588">
        <f t="shared" si="30"/>
        <v>424331.80999999982</v>
      </c>
      <c r="AI77" s="452"/>
    </row>
    <row r="78" spans="15:35">
      <c r="O78" s="1256" t="str">
        <f>$B31</f>
        <v>Electricity Cost ($/kWh)</v>
      </c>
      <c r="P78" s="547"/>
      <c r="Q78" s="552">
        <f t="shared" si="30"/>
        <v>-95170.439999999944</v>
      </c>
      <c r="R78" s="557">
        <f t="shared" si="30"/>
        <v>88088.169999999925</v>
      </c>
      <c r="S78" s="562">
        <f t="shared" si="30"/>
        <v>104717.61999999988</v>
      </c>
      <c r="T78" s="562">
        <f t="shared" si="30"/>
        <v>346878.19999999995</v>
      </c>
      <c r="U78" s="593">
        <f t="shared" si="30"/>
        <v>840858.01</v>
      </c>
      <c r="V78" s="567">
        <f t="shared" si="30"/>
        <v>424331.80999999982</v>
      </c>
      <c r="AI78" s="452"/>
    </row>
    <row r="79" spans="15:35">
      <c r="O79" s="1257"/>
      <c r="P79" s="544"/>
      <c r="Q79" s="549">
        <f t="shared" si="30"/>
        <v>-95170.439999999944</v>
      </c>
      <c r="R79" s="554">
        <f t="shared" si="30"/>
        <v>88088.169999999925</v>
      </c>
      <c r="S79" s="559">
        <f t="shared" si="30"/>
        <v>189921.24</v>
      </c>
      <c r="T79" s="559">
        <f t="shared" si="30"/>
        <v>434211.90999999992</v>
      </c>
      <c r="U79" s="590">
        <f t="shared" si="30"/>
        <v>840858.01</v>
      </c>
      <c r="V79" s="564">
        <f t="shared" si="30"/>
        <v>424331.80999999982</v>
      </c>
      <c r="AI79" s="452"/>
    </row>
    <row r="80" spans="15:35" ht="15" thickBot="1">
      <c r="O80" s="1258"/>
      <c r="P80" s="584"/>
      <c r="Q80" s="585">
        <f t="shared" si="30"/>
        <v>-95170.439999999944</v>
      </c>
      <c r="R80" s="586">
        <f t="shared" si="30"/>
        <v>88088.169999999925</v>
      </c>
      <c r="S80" s="587">
        <f t="shared" si="30"/>
        <v>402930.28</v>
      </c>
      <c r="T80" s="587">
        <f t="shared" si="30"/>
        <v>652546.17999999993</v>
      </c>
      <c r="U80" s="595">
        <f t="shared" si="30"/>
        <v>840858.01</v>
      </c>
      <c r="V80" s="588">
        <f t="shared" si="30"/>
        <v>424331.80999999982</v>
      </c>
      <c r="AI80" s="452"/>
    </row>
    <row r="81" spans="15:35">
      <c r="O81" s="1259" t="str">
        <f>$B34</f>
        <v>MCC Efficiency (%)</v>
      </c>
      <c r="P81" s="547"/>
      <c r="Q81" s="552">
        <f t="shared" si="30"/>
        <v>-95170.439999999944</v>
      </c>
      <c r="R81" s="557">
        <f t="shared" si="30"/>
        <v>60295.020000000019</v>
      </c>
      <c r="S81" s="562">
        <f t="shared" si="30"/>
        <v>189921.24</v>
      </c>
      <c r="T81" s="562">
        <f t="shared" si="30"/>
        <v>434211.90999999992</v>
      </c>
      <c r="U81" s="593">
        <f t="shared" si="30"/>
        <v>840858.01</v>
      </c>
      <c r="V81" s="567">
        <f t="shared" si="30"/>
        <v>424331.80999999982</v>
      </c>
      <c r="AI81" s="452"/>
    </row>
    <row r="82" spans="15:35">
      <c r="O82" s="1260"/>
      <c r="P82" s="544"/>
      <c r="Q82" s="549">
        <f t="shared" si="30"/>
        <v>-95170.439999999944</v>
      </c>
      <c r="R82" s="554">
        <f t="shared" si="30"/>
        <v>88088.169999999925</v>
      </c>
      <c r="S82" s="559">
        <f t="shared" si="30"/>
        <v>189921.24</v>
      </c>
      <c r="T82" s="559">
        <f t="shared" si="30"/>
        <v>434211.90999999992</v>
      </c>
      <c r="U82" s="590">
        <f t="shared" si="30"/>
        <v>840858.01</v>
      </c>
      <c r="V82" s="564">
        <f t="shared" si="30"/>
        <v>424331.80999999982</v>
      </c>
      <c r="AI82" s="452"/>
    </row>
    <row r="83" spans="15:35" ht="15" thickBot="1">
      <c r="O83" s="1261"/>
      <c r="P83" s="584"/>
      <c r="Q83" s="585">
        <f t="shared" ref="Q83:V92" si="31">Q36-$P36</f>
        <v>-95170.439999999944</v>
      </c>
      <c r="R83" s="586">
        <f t="shared" si="31"/>
        <v>101984.75</v>
      </c>
      <c r="S83" s="587">
        <f t="shared" si="31"/>
        <v>189921.24</v>
      </c>
      <c r="T83" s="587">
        <f t="shared" si="31"/>
        <v>434211.90999999992</v>
      </c>
      <c r="U83" s="595">
        <f t="shared" si="31"/>
        <v>840858.01</v>
      </c>
      <c r="V83" s="588">
        <f t="shared" si="31"/>
        <v>424331.80999999982</v>
      </c>
      <c r="AI83" s="452"/>
    </row>
    <row r="84" spans="15:35">
      <c r="O84" s="1262" t="str">
        <f>$B37</f>
        <v>MCC Cost ($)</v>
      </c>
      <c r="P84" s="547"/>
      <c r="Q84" s="552">
        <f t="shared" si="31"/>
        <v>-95170.439999999944</v>
      </c>
      <c r="R84" s="557">
        <f t="shared" si="31"/>
        <v>49808.169999999925</v>
      </c>
      <c r="S84" s="562">
        <f t="shared" si="31"/>
        <v>189921.24</v>
      </c>
      <c r="T84" s="562">
        <f t="shared" si="31"/>
        <v>434211.90999999992</v>
      </c>
      <c r="U84" s="593">
        <f t="shared" si="31"/>
        <v>840858.01</v>
      </c>
      <c r="V84" s="567">
        <f t="shared" si="31"/>
        <v>424331.80999999982</v>
      </c>
      <c r="AI84" s="452"/>
    </row>
    <row r="85" spans="15:35">
      <c r="O85" s="1263"/>
      <c r="P85" s="544"/>
      <c r="Q85" s="549">
        <f t="shared" si="31"/>
        <v>-95170.439999999944</v>
      </c>
      <c r="R85" s="554">
        <f t="shared" si="31"/>
        <v>88088.169999999925</v>
      </c>
      <c r="S85" s="559">
        <f t="shared" si="31"/>
        <v>189921.24</v>
      </c>
      <c r="T85" s="559">
        <f t="shared" si="31"/>
        <v>434211.90999999992</v>
      </c>
      <c r="U85" s="590">
        <f t="shared" si="31"/>
        <v>840858.01</v>
      </c>
      <c r="V85" s="564">
        <f t="shared" si="31"/>
        <v>424331.80999999982</v>
      </c>
      <c r="AI85" s="452"/>
    </row>
    <row r="86" spans="15:35" ht="15" thickBot="1">
      <c r="O86" s="1264"/>
      <c r="P86" s="584"/>
      <c r="Q86" s="585">
        <f t="shared" si="31"/>
        <v>-95170.439999999944</v>
      </c>
      <c r="R86" s="586">
        <f t="shared" si="31"/>
        <v>164648.16999999993</v>
      </c>
      <c r="S86" s="587">
        <f t="shared" si="31"/>
        <v>189921.24</v>
      </c>
      <c r="T86" s="587">
        <f t="shared" si="31"/>
        <v>434211.90999999992</v>
      </c>
      <c r="U86" s="595">
        <f t="shared" si="31"/>
        <v>840858.01</v>
      </c>
      <c r="V86" s="588">
        <f t="shared" si="31"/>
        <v>424331.80999999982</v>
      </c>
      <c r="AI86" s="452"/>
    </row>
    <row r="87" spans="15:35">
      <c r="O87" s="1265" t="str">
        <f>$B40</f>
        <v>Fuel Economy (mpg)</v>
      </c>
      <c r="P87" s="547"/>
      <c r="Q87" s="552">
        <f t="shared" si="31"/>
        <v>-70221.339999999851</v>
      </c>
      <c r="R87" s="557">
        <f t="shared" si="31"/>
        <v>96595.979999999981</v>
      </c>
      <c r="S87" s="562">
        <f t="shared" si="31"/>
        <v>368782.34000000008</v>
      </c>
      <c r="T87" s="562">
        <f t="shared" si="31"/>
        <v>613073.01</v>
      </c>
      <c r="U87" s="593">
        <f t="shared" si="31"/>
        <v>808579.4600000002</v>
      </c>
      <c r="V87" s="567">
        <f t="shared" si="31"/>
        <v>356862.28</v>
      </c>
      <c r="AI87" s="452"/>
    </row>
    <row r="88" spans="15:35">
      <c r="O88" s="1266"/>
      <c r="P88" s="544"/>
      <c r="Q88" s="549">
        <f t="shared" si="31"/>
        <v>-95170.439999999944</v>
      </c>
      <c r="R88" s="554">
        <f t="shared" si="31"/>
        <v>88088.169999999925</v>
      </c>
      <c r="S88" s="559">
        <f t="shared" si="31"/>
        <v>189921.24</v>
      </c>
      <c r="T88" s="559">
        <f t="shared" si="31"/>
        <v>434211.90999999992</v>
      </c>
      <c r="U88" s="590">
        <f t="shared" si="31"/>
        <v>840858.01</v>
      </c>
      <c r="V88" s="564">
        <f t="shared" si="31"/>
        <v>424331.80999999982</v>
      </c>
      <c r="AI88" s="452"/>
    </row>
    <row r="89" spans="15:35" ht="15" thickBot="1">
      <c r="O89" s="1267"/>
      <c r="P89" s="584"/>
      <c r="Q89" s="585">
        <f t="shared" si="31"/>
        <v>-131944.30000000005</v>
      </c>
      <c r="R89" s="586">
        <f t="shared" si="31"/>
        <v>75326.469999999972</v>
      </c>
      <c r="S89" s="587">
        <f t="shared" si="31"/>
        <v>-78370.399999999907</v>
      </c>
      <c r="T89" s="587">
        <f t="shared" si="31"/>
        <v>165920.27000000002</v>
      </c>
      <c r="U89" s="595">
        <f t="shared" si="31"/>
        <v>889275.83999999985</v>
      </c>
      <c r="V89" s="588">
        <f t="shared" si="31"/>
        <v>525536.12999999989</v>
      </c>
      <c r="AI89" s="452"/>
    </row>
    <row r="90" spans="15:35">
      <c r="O90" s="1169" t="str">
        <f>$B43</f>
        <v>MCC FE penalty (%)</v>
      </c>
      <c r="P90" s="547"/>
      <c r="Q90" s="552">
        <f t="shared" si="31"/>
        <v>-95170.439999999944</v>
      </c>
      <c r="R90" s="557">
        <f t="shared" si="31"/>
        <v>81289.84999999986</v>
      </c>
      <c r="S90" s="562">
        <f t="shared" si="31"/>
        <v>189921.24</v>
      </c>
      <c r="T90" s="562">
        <f t="shared" si="31"/>
        <v>434211.90999999992</v>
      </c>
      <c r="U90" s="593">
        <f t="shared" si="31"/>
        <v>840858.01</v>
      </c>
      <c r="V90" s="567">
        <f t="shared" si="31"/>
        <v>424331.80999999982</v>
      </c>
      <c r="AI90" s="452"/>
    </row>
    <row r="91" spans="15:35">
      <c r="O91" s="1170"/>
      <c r="P91" s="544"/>
      <c r="Q91" s="549">
        <f t="shared" si="31"/>
        <v>-95170.439999999944</v>
      </c>
      <c r="R91" s="554">
        <f t="shared" si="31"/>
        <v>88088.169999999925</v>
      </c>
      <c r="S91" s="559">
        <f t="shared" si="31"/>
        <v>189921.24</v>
      </c>
      <c r="T91" s="559">
        <f t="shared" si="31"/>
        <v>434211.90999999992</v>
      </c>
      <c r="U91" s="590">
        <f t="shared" si="31"/>
        <v>840858.01</v>
      </c>
      <c r="V91" s="564">
        <f t="shared" si="31"/>
        <v>424331.80999999982</v>
      </c>
      <c r="AI91" s="452"/>
    </row>
    <row r="92" spans="15:35" ht="15" thickBot="1">
      <c r="O92" s="1171"/>
      <c r="P92" s="584"/>
      <c r="Q92" s="585">
        <f t="shared" si="31"/>
        <v>-95170.439999999944</v>
      </c>
      <c r="R92" s="586">
        <f t="shared" si="31"/>
        <v>94886.489999999991</v>
      </c>
      <c r="S92" s="587">
        <f t="shared" si="31"/>
        <v>189921.24</v>
      </c>
      <c r="T92" s="587">
        <f t="shared" si="31"/>
        <v>434211.90999999992</v>
      </c>
      <c r="U92" s="595">
        <f t="shared" si="31"/>
        <v>840858.01</v>
      </c>
      <c r="V92" s="588">
        <f t="shared" si="31"/>
        <v>424331.80999999982</v>
      </c>
      <c r="AI92" s="452"/>
    </row>
    <row r="93" spans="15:35">
      <c r="AI93" s="452"/>
    </row>
    <row r="94" spans="15:35">
      <c r="AI94" s="452"/>
    </row>
    <row r="95" spans="15:35">
      <c r="AI95" s="452"/>
    </row>
    <row r="96" spans="15:35">
      <c r="AI96" s="452"/>
    </row>
    <row r="97" spans="35:35">
      <c r="AI97" s="452"/>
    </row>
    <row r="98" spans="35:35">
      <c r="AI98" s="452"/>
    </row>
    <row r="99" spans="35:35">
      <c r="AI99" s="452"/>
    </row>
    <row r="100" spans="35:35">
      <c r="AI100" s="452"/>
    </row>
    <row r="101" spans="35:35">
      <c r="AI101" s="452"/>
    </row>
    <row r="102" spans="35:35">
      <c r="AI102" s="452"/>
    </row>
    <row r="103" spans="35:35">
      <c r="AI103" s="452"/>
    </row>
    <row r="104" spans="35:35">
      <c r="AI104" s="452"/>
    </row>
    <row r="105" spans="35:35">
      <c r="AI105" s="452"/>
    </row>
    <row r="106" spans="35:35">
      <c r="AI106" s="452"/>
    </row>
    <row r="107" spans="35:35">
      <c r="AI107" s="452"/>
    </row>
    <row r="108" spans="35:35">
      <c r="AI108" s="452"/>
    </row>
    <row r="109" spans="35:35">
      <c r="AI109" s="452"/>
    </row>
    <row r="110" spans="35:35">
      <c r="AI110" s="452"/>
    </row>
    <row r="111" spans="35:35">
      <c r="AI111" s="452"/>
    </row>
    <row r="112" spans="35:35">
      <c r="AI112" s="452"/>
    </row>
    <row r="113" spans="3:35">
      <c r="AI113" s="452"/>
    </row>
    <row r="114" spans="3:35">
      <c r="AI114" s="452"/>
    </row>
    <row r="115" spans="3:35">
      <c r="AI115" s="452"/>
    </row>
    <row r="116" spans="3:35">
      <c r="AI116" s="452"/>
    </row>
    <row r="117" spans="3:35">
      <c r="AI117" s="452"/>
    </row>
    <row r="118" spans="3:35" ht="18.5">
      <c r="O118" s="1231"/>
      <c r="P118" s="1231"/>
      <c r="Q118" s="1231"/>
      <c r="R118" s="1231"/>
      <c r="S118" s="1231"/>
      <c r="T118" s="1231"/>
      <c r="U118" s="1231"/>
      <c r="AI118" s="452"/>
    </row>
    <row r="119" spans="3:35" ht="21">
      <c r="D119" s="461"/>
      <c r="O119" s="462"/>
      <c r="P119" s="462"/>
      <c r="Q119" s="462"/>
      <c r="AI119" s="452"/>
    </row>
    <row r="120" spans="3:35" ht="18.5">
      <c r="O120" s="527"/>
      <c r="P120" s="527"/>
      <c r="Q120" s="527"/>
      <c r="R120" s="527"/>
      <c r="S120" s="527"/>
      <c r="T120" s="527"/>
      <c r="U120" s="527"/>
      <c r="W120" s="1231"/>
      <c r="X120" s="1231"/>
      <c r="Y120" s="1231"/>
      <c r="Z120" s="1231"/>
      <c r="AA120" s="1231"/>
      <c r="AB120" s="1231"/>
      <c r="AC120" s="1231"/>
      <c r="AI120" s="452"/>
    </row>
    <row r="121" spans="3:35">
      <c r="C121" s="528"/>
      <c r="D121" s="528"/>
      <c r="E121" s="528"/>
      <c r="F121" s="528"/>
      <c r="G121" s="528"/>
      <c r="H121" s="528"/>
      <c r="I121" s="528"/>
      <c r="J121" s="528"/>
      <c r="O121" s="527"/>
      <c r="P121" s="527"/>
      <c r="Q121" s="527"/>
      <c r="R121" s="527"/>
      <c r="S121" s="527"/>
      <c r="T121" s="527"/>
      <c r="U121" s="527"/>
      <c r="W121" s="462"/>
      <c r="X121" s="569"/>
      <c r="Y121" s="569"/>
      <c r="AI121" s="452"/>
    </row>
    <row r="122" spans="3:35">
      <c r="O122" s="527"/>
      <c r="P122" s="527"/>
      <c r="Q122" s="527"/>
      <c r="R122" s="527"/>
      <c r="S122" s="527"/>
      <c r="T122" s="527"/>
      <c r="U122" s="527"/>
      <c r="AI122" s="452"/>
    </row>
    <row r="123" spans="3:35">
      <c r="O123" s="527"/>
      <c r="P123" s="527"/>
      <c r="Q123" s="527"/>
      <c r="R123" s="527"/>
      <c r="S123" s="527"/>
      <c r="T123" s="527"/>
      <c r="U123" s="527"/>
      <c r="AI123" s="452"/>
    </row>
    <row r="124" spans="3:35">
      <c r="O124" s="527"/>
      <c r="P124" s="527"/>
      <c r="Q124" s="527"/>
      <c r="R124" s="527"/>
      <c r="S124" s="527"/>
      <c r="T124" s="527"/>
      <c r="U124" s="527"/>
      <c r="AI124" s="452"/>
    </row>
    <row r="125" spans="3:35">
      <c r="O125" s="527"/>
      <c r="P125" s="527"/>
      <c r="Q125" s="527"/>
      <c r="R125" s="527"/>
      <c r="S125" s="527"/>
      <c r="T125" s="527"/>
      <c r="U125" s="527"/>
      <c r="AI125" s="452"/>
    </row>
    <row r="126" spans="3:35">
      <c r="O126" s="527"/>
      <c r="P126" s="527"/>
      <c r="Q126" s="527"/>
      <c r="R126" s="527"/>
      <c r="S126" s="527"/>
      <c r="T126" s="527"/>
      <c r="U126" s="527"/>
      <c r="AI126" s="452"/>
    </row>
    <row r="127" spans="3:35">
      <c r="O127" s="527"/>
      <c r="P127" s="527"/>
      <c r="Q127" s="527"/>
      <c r="R127" s="527"/>
      <c r="S127" s="527"/>
      <c r="T127" s="527"/>
      <c r="U127" s="527"/>
      <c r="AI127" s="452"/>
    </row>
    <row r="128" spans="3:35">
      <c r="O128" s="527"/>
      <c r="P128" s="527"/>
      <c r="Q128" s="527"/>
      <c r="R128" s="527"/>
      <c r="S128" s="527"/>
      <c r="T128" s="527"/>
      <c r="U128" s="527"/>
      <c r="AI128" s="452"/>
    </row>
    <row r="129" spans="35:35">
      <c r="AI129" s="452"/>
    </row>
    <row r="130" spans="35:35">
      <c r="AI130" s="452"/>
    </row>
    <row r="131" spans="35:35">
      <c r="AI131" s="452"/>
    </row>
    <row r="132" spans="35:35">
      <c r="AI132" s="452"/>
    </row>
    <row r="133" spans="35:35">
      <c r="AI133" s="452"/>
    </row>
    <row r="134" spans="35:35">
      <c r="AI134" s="452"/>
    </row>
    <row r="135" spans="35:35">
      <c r="AI135" s="452"/>
    </row>
    <row r="136" spans="35:35">
      <c r="AI136" s="452"/>
    </row>
    <row r="137" spans="35:35">
      <c r="AI137" s="452"/>
    </row>
    <row r="138" spans="35:35">
      <c r="AI138" s="452"/>
    </row>
    <row r="139" spans="35:35">
      <c r="AI139" s="452"/>
    </row>
    <row r="140" spans="35:35">
      <c r="AI140" s="452"/>
    </row>
    <row r="141" spans="35:35">
      <c r="AI141" s="452"/>
    </row>
    <row r="142" spans="35:35">
      <c r="AI142" s="452"/>
    </row>
    <row r="143" spans="35:35">
      <c r="AI143" s="452"/>
    </row>
    <row r="144" spans="35:35">
      <c r="AI144" s="452"/>
    </row>
    <row r="145" spans="35:35">
      <c r="AI145" s="452"/>
    </row>
    <row r="146" spans="35:35">
      <c r="AI146" s="452"/>
    </row>
    <row r="147" spans="35:35">
      <c r="AI147" s="452"/>
    </row>
    <row r="148" spans="35:35">
      <c r="AI148" s="452"/>
    </row>
    <row r="149" spans="35:35">
      <c r="AI149" s="452"/>
    </row>
    <row r="150" spans="35:35">
      <c r="AI150" s="452"/>
    </row>
    <row r="151" spans="35:35">
      <c r="AI151" s="452"/>
    </row>
    <row r="152" spans="35:35">
      <c r="AI152" s="452"/>
    </row>
    <row r="153" spans="35:35">
      <c r="AI153" s="452"/>
    </row>
    <row r="154" spans="35:35">
      <c r="AI154" s="452"/>
    </row>
    <row r="155" spans="35:35">
      <c r="AI155" s="452"/>
    </row>
    <row r="156" spans="35:35">
      <c r="AI156" s="452"/>
    </row>
    <row r="157" spans="35:35">
      <c r="AI157" s="452"/>
    </row>
    <row r="158" spans="35:35">
      <c r="AI158" s="452"/>
    </row>
    <row r="159" spans="35:35">
      <c r="AI159" s="452"/>
    </row>
    <row r="160" spans="35:35">
      <c r="AI160" s="452"/>
    </row>
    <row r="161" spans="35:35">
      <c r="AI161" s="452"/>
    </row>
    <row r="162" spans="35:35">
      <c r="AI162" s="452"/>
    </row>
    <row r="163" spans="35:35">
      <c r="AI163" s="452"/>
    </row>
    <row r="164" spans="35:35">
      <c r="AI164" s="452"/>
    </row>
    <row r="165" spans="35:35">
      <c r="AI165" s="452"/>
    </row>
    <row r="166" spans="35:35">
      <c r="AI166" s="452"/>
    </row>
    <row r="167" spans="35:35">
      <c r="AI167" s="452"/>
    </row>
    <row r="168" spans="35:35">
      <c r="AI168" s="452"/>
    </row>
    <row r="169" spans="35:35">
      <c r="AI169" s="452"/>
    </row>
    <row r="170" spans="35:35">
      <c r="AI170" s="452"/>
    </row>
    <row r="171" spans="35:35">
      <c r="AI171" s="452"/>
    </row>
    <row r="172" spans="35:35">
      <c r="AI172" s="452"/>
    </row>
    <row r="173" spans="35:35">
      <c r="AI173" s="452"/>
    </row>
    <row r="174" spans="35:35">
      <c r="AI174" s="452"/>
    </row>
    <row r="175" spans="35:35">
      <c r="AI175" s="452"/>
    </row>
    <row r="176" spans="35:35">
      <c r="AI176" s="452"/>
    </row>
    <row r="177" spans="35:35">
      <c r="AI177" s="452"/>
    </row>
    <row r="178" spans="35:35">
      <c r="AI178" s="452"/>
    </row>
    <row r="179" spans="35:35">
      <c r="AI179" s="452"/>
    </row>
    <row r="180" spans="35:35">
      <c r="AI180" s="452"/>
    </row>
    <row r="181" spans="35:35">
      <c r="AI181" s="452"/>
    </row>
    <row r="182" spans="35:35">
      <c r="AI182" s="452"/>
    </row>
    <row r="183" spans="35:35">
      <c r="AI183" s="452"/>
    </row>
    <row r="184" spans="35:35">
      <c r="AI184" s="452"/>
    </row>
    <row r="185" spans="35:35">
      <c r="AI185" s="452"/>
    </row>
    <row r="186" spans="35:35">
      <c r="AI186" s="452"/>
    </row>
    <row r="187" spans="35:35">
      <c r="AI187" s="452"/>
    </row>
    <row r="188" spans="35:35">
      <c r="AI188" s="452"/>
    </row>
    <row r="189" spans="35:35">
      <c r="AI189" s="452"/>
    </row>
    <row r="190" spans="35:35">
      <c r="AI190" s="452"/>
    </row>
    <row r="191" spans="35:35">
      <c r="AI191" s="452"/>
    </row>
    <row r="192" spans="35:35">
      <c r="AI192" s="452"/>
    </row>
    <row r="193" spans="35:35">
      <c r="AI193" s="452"/>
    </row>
    <row r="194" spans="35:35">
      <c r="AI194" s="452"/>
    </row>
    <row r="195" spans="35:35">
      <c r="AI195" s="452"/>
    </row>
    <row r="196" spans="35:35">
      <c r="AI196" s="452"/>
    </row>
    <row r="197" spans="35:35">
      <c r="AI197" s="452"/>
    </row>
    <row r="198" spans="35:35">
      <c r="AI198" s="452"/>
    </row>
    <row r="199" spans="35:35">
      <c r="AI199" s="452"/>
    </row>
    <row r="200" spans="35:35">
      <c r="AI200" s="452"/>
    </row>
    <row r="201" spans="35:35">
      <c r="AI201" s="452"/>
    </row>
    <row r="202" spans="35:35">
      <c r="AI202" s="452"/>
    </row>
    <row r="203" spans="35:35">
      <c r="AI203" s="452"/>
    </row>
    <row r="204" spans="35:35">
      <c r="AI204" s="452"/>
    </row>
    <row r="205" spans="35:35">
      <c r="AI205" s="452"/>
    </row>
    <row r="206" spans="35:35">
      <c r="AI206" s="452"/>
    </row>
    <row r="207" spans="35:35">
      <c r="AI207" s="452"/>
    </row>
    <row r="208" spans="35:35">
      <c r="AI208" s="452"/>
    </row>
    <row r="209" spans="35:35">
      <c r="AI209" s="452"/>
    </row>
    <row r="210" spans="35:35">
      <c r="AI210" s="452"/>
    </row>
    <row r="211" spans="35:35">
      <c r="AI211" s="452"/>
    </row>
    <row r="212" spans="35:35">
      <c r="AI212" s="452"/>
    </row>
    <row r="213" spans="35:35">
      <c r="AI213" s="452"/>
    </row>
    <row r="214" spans="35:35">
      <c r="AI214" s="452"/>
    </row>
    <row r="215" spans="35:35">
      <c r="AI215" s="452"/>
    </row>
    <row r="216" spans="35:35">
      <c r="AI216" s="452"/>
    </row>
    <row r="217" spans="35:35">
      <c r="AI217" s="452"/>
    </row>
    <row r="218" spans="35:35">
      <c r="AI218" s="452"/>
    </row>
    <row r="219" spans="35:35">
      <c r="AI219" s="452"/>
    </row>
    <row r="220" spans="35:35">
      <c r="AI220" s="452"/>
    </row>
    <row r="221" spans="35:35">
      <c r="AI221" s="452"/>
    </row>
    <row r="222" spans="35:35">
      <c r="AI222" s="452"/>
    </row>
    <row r="223" spans="35:35">
      <c r="AI223" s="452"/>
    </row>
    <row r="224" spans="35:35">
      <c r="AI224" s="452"/>
    </row>
    <row r="225" spans="35:35">
      <c r="AI225" s="452"/>
    </row>
    <row r="226" spans="35:35">
      <c r="AI226" s="452"/>
    </row>
    <row r="227" spans="35:35">
      <c r="AI227" s="452"/>
    </row>
    <row r="228" spans="35:35">
      <c r="AI228" s="452"/>
    </row>
    <row r="229" spans="35:35">
      <c r="AI229" s="452"/>
    </row>
    <row r="230" spans="35:35">
      <c r="AI230" s="452"/>
    </row>
    <row r="231" spans="35:35">
      <c r="AI231" s="452"/>
    </row>
    <row r="232" spans="35:35">
      <c r="AI232" s="452"/>
    </row>
    <row r="233" spans="35:35">
      <c r="AI233" s="452"/>
    </row>
    <row r="234" spans="35:35">
      <c r="AI234" s="452"/>
    </row>
    <row r="235" spans="35:35">
      <c r="AI235" s="452"/>
    </row>
    <row r="236" spans="35:35">
      <c r="AI236" s="452"/>
    </row>
    <row r="237" spans="35:35">
      <c r="AI237" s="452"/>
    </row>
    <row r="238" spans="35:35">
      <c r="AI238" s="452"/>
    </row>
    <row r="239" spans="35:35">
      <c r="AI239" s="452"/>
    </row>
    <row r="240" spans="35:35">
      <c r="AI240" s="452"/>
    </row>
    <row r="241" spans="35:35">
      <c r="AI241" s="452"/>
    </row>
    <row r="242" spans="35:35">
      <c r="AI242" s="452"/>
    </row>
    <row r="243" spans="35:35">
      <c r="AI243" s="452"/>
    </row>
    <row r="244" spans="35:35">
      <c r="AI244" s="452"/>
    </row>
    <row r="245" spans="35:35">
      <c r="AI245" s="452"/>
    </row>
    <row r="246" spans="35:35">
      <c r="AI246" s="452"/>
    </row>
    <row r="247" spans="35:35">
      <c r="AI247" s="452"/>
    </row>
    <row r="248" spans="35:35">
      <c r="AI248" s="452"/>
    </row>
    <row r="249" spans="35:35">
      <c r="AI249" s="452"/>
    </row>
    <row r="250" spans="35:35">
      <c r="AI250" s="452"/>
    </row>
    <row r="251" spans="35:35">
      <c r="AI251" s="452"/>
    </row>
    <row r="252" spans="35:35">
      <c r="AI252" s="452"/>
    </row>
    <row r="253" spans="35:35">
      <c r="AI253" s="452"/>
    </row>
    <row r="254" spans="35:35">
      <c r="AI254" s="452"/>
    </row>
    <row r="255" spans="35:35">
      <c r="AI255" s="452"/>
    </row>
    <row r="256" spans="35:35">
      <c r="AI256" s="452"/>
    </row>
    <row r="257" spans="35:35">
      <c r="AI257" s="452"/>
    </row>
    <row r="258" spans="35:35">
      <c r="AI258" s="452"/>
    </row>
    <row r="259" spans="35:35">
      <c r="AI259" s="452"/>
    </row>
    <row r="260" spans="35:35">
      <c r="AI260" s="452"/>
    </row>
    <row r="261" spans="35:35">
      <c r="AI261" s="452"/>
    </row>
    <row r="262" spans="35:35">
      <c r="AI262" s="452"/>
    </row>
    <row r="263" spans="35:35">
      <c r="AI263" s="452"/>
    </row>
    <row r="264" spans="35:35">
      <c r="AI264" s="452"/>
    </row>
    <row r="265" spans="35:35">
      <c r="AI265" s="452"/>
    </row>
    <row r="266" spans="35:35">
      <c r="AI266" s="452"/>
    </row>
    <row r="267" spans="35:35">
      <c r="AI267" s="452"/>
    </row>
    <row r="268" spans="35:35">
      <c r="AI268" s="452"/>
    </row>
    <row r="269" spans="35:35">
      <c r="AI269" s="452"/>
    </row>
    <row r="270" spans="35:35">
      <c r="AI270" s="452"/>
    </row>
    <row r="271" spans="35:35">
      <c r="AI271" s="452"/>
    </row>
    <row r="272" spans="35:35">
      <c r="AI272" s="452"/>
    </row>
    <row r="273" spans="35:35">
      <c r="AI273" s="452"/>
    </row>
    <row r="274" spans="35:35">
      <c r="AI274" s="452"/>
    </row>
    <row r="275" spans="35:35">
      <c r="AI275" s="452"/>
    </row>
    <row r="276" spans="35:35">
      <c r="AI276" s="452"/>
    </row>
    <row r="277" spans="35:35">
      <c r="AI277" s="452"/>
    </row>
    <row r="278" spans="35:35">
      <c r="AI278" s="452"/>
    </row>
    <row r="279" spans="35:35">
      <c r="AI279" s="452"/>
    </row>
    <row r="280" spans="35:35">
      <c r="AI280" s="452"/>
    </row>
    <row r="281" spans="35:35">
      <c r="AI281" s="452"/>
    </row>
    <row r="282" spans="35:35">
      <c r="AI282" s="452"/>
    </row>
    <row r="283" spans="35:35">
      <c r="AI283" s="452"/>
    </row>
    <row r="284" spans="35:35">
      <c r="AI284" s="452"/>
    </row>
    <row r="285" spans="35:35">
      <c r="AI285" s="452"/>
    </row>
    <row r="286" spans="35:35">
      <c r="AI286" s="452"/>
    </row>
    <row r="287" spans="35:35">
      <c r="AI287" s="452"/>
    </row>
    <row r="288" spans="35:35">
      <c r="AI288" s="452"/>
    </row>
    <row r="289" spans="35:35">
      <c r="AI289" s="452"/>
    </row>
    <row r="290" spans="35:35">
      <c r="AI290" s="452"/>
    </row>
    <row r="291" spans="35:35">
      <c r="AI291" s="452"/>
    </row>
    <row r="292" spans="35:35">
      <c r="AI292" s="452"/>
    </row>
    <row r="293" spans="35:35">
      <c r="AI293" s="452"/>
    </row>
    <row r="294" spans="35:35">
      <c r="AI294" s="452"/>
    </row>
    <row r="295" spans="35:35">
      <c r="AI295" s="452"/>
    </row>
    <row r="296" spans="35:35">
      <c r="AI296" s="452"/>
    </row>
    <row r="297" spans="35:35">
      <c r="AI297" s="452"/>
    </row>
    <row r="298" spans="35:35">
      <c r="AI298" s="452"/>
    </row>
    <row r="299" spans="35:35">
      <c r="AI299" s="452"/>
    </row>
    <row r="300" spans="35:35">
      <c r="AI300" s="452"/>
    </row>
    <row r="301" spans="35:35">
      <c r="AI301" s="452"/>
    </row>
    <row r="302" spans="35:35">
      <c r="AI302" s="452"/>
    </row>
    <row r="303" spans="35:35">
      <c r="AI303" s="452"/>
    </row>
    <row r="304" spans="35:35">
      <c r="AI304" s="452"/>
    </row>
    <row r="305" spans="35:35">
      <c r="AI305" s="452"/>
    </row>
    <row r="306" spans="35:35">
      <c r="AI306" s="452"/>
    </row>
    <row r="307" spans="35:35">
      <c r="AI307" s="452"/>
    </row>
    <row r="308" spans="35:35">
      <c r="AI308" s="452"/>
    </row>
    <row r="309" spans="35:35">
      <c r="AI309" s="452"/>
    </row>
    <row r="310" spans="35:35">
      <c r="AI310" s="452"/>
    </row>
    <row r="311" spans="35:35">
      <c r="AI311" s="452"/>
    </row>
    <row r="312" spans="35:35">
      <c r="AI312" s="452"/>
    </row>
    <row r="313" spans="35:35">
      <c r="AI313" s="452"/>
    </row>
    <row r="314" spans="35:35">
      <c r="AI314" s="452"/>
    </row>
    <row r="315" spans="35:35">
      <c r="AI315" s="452"/>
    </row>
    <row r="316" spans="35:35">
      <c r="AI316" s="452"/>
    </row>
    <row r="317" spans="35:35">
      <c r="AI317" s="452"/>
    </row>
    <row r="318" spans="35:35">
      <c r="AI318" s="452"/>
    </row>
    <row r="319" spans="35:35">
      <c r="AI319" s="452"/>
    </row>
    <row r="320" spans="35:35">
      <c r="AI320" s="452"/>
    </row>
    <row r="321" spans="35:35">
      <c r="AI321" s="452"/>
    </row>
    <row r="322" spans="35:35">
      <c r="AI322" s="452"/>
    </row>
    <row r="323" spans="35:35">
      <c r="AI323" s="452"/>
    </row>
    <row r="324" spans="35:35">
      <c r="AI324" s="452"/>
    </row>
    <row r="325" spans="35:35">
      <c r="AI325" s="452"/>
    </row>
    <row r="326" spans="35:35">
      <c r="AI326" s="452"/>
    </row>
    <row r="327" spans="35:35">
      <c r="AI327" s="452"/>
    </row>
    <row r="328" spans="35:35">
      <c r="AI328" s="452"/>
    </row>
    <row r="329" spans="35:35">
      <c r="AI329" s="452"/>
    </row>
    <row r="330" spans="35:35">
      <c r="AI330" s="452"/>
    </row>
    <row r="331" spans="35:35">
      <c r="AI331" s="452"/>
    </row>
    <row r="332" spans="35:35">
      <c r="AI332" s="452"/>
    </row>
    <row r="333" spans="35:35">
      <c r="AI333" s="452"/>
    </row>
    <row r="334" spans="35:35">
      <c r="AI334" s="452"/>
    </row>
    <row r="335" spans="35:35">
      <c r="AI335" s="452"/>
    </row>
    <row r="336" spans="35:35">
      <c r="AI336" s="452"/>
    </row>
    <row r="337" spans="35:35">
      <c r="AI337" s="452"/>
    </row>
    <row r="338" spans="35:35">
      <c r="AI338" s="452"/>
    </row>
    <row r="339" spans="35:35">
      <c r="AI339" s="452"/>
    </row>
    <row r="340" spans="35:35">
      <c r="AI340" s="452"/>
    </row>
    <row r="341" spans="35:35">
      <c r="AI341" s="452"/>
    </row>
    <row r="342" spans="35:35">
      <c r="AI342" s="452"/>
    </row>
    <row r="343" spans="35:35">
      <c r="AI343" s="452"/>
    </row>
    <row r="344" spans="35:35">
      <c r="AI344" s="452"/>
    </row>
    <row r="345" spans="35:35">
      <c r="AI345" s="452"/>
    </row>
    <row r="346" spans="35:35">
      <c r="AI346" s="452"/>
    </row>
    <row r="347" spans="35:35">
      <c r="AI347" s="452"/>
    </row>
    <row r="348" spans="35:35">
      <c r="AI348" s="452"/>
    </row>
    <row r="349" spans="35:35">
      <c r="AI349" s="452"/>
    </row>
    <row r="350" spans="35:35">
      <c r="AI350" s="452"/>
    </row>
    <row r="351" spans="35:35">
      <c r="AI351" s="452"/>
    </row>
    <row r="352" spans="35:35">
      <c r="AI352" s="452"/>
    </row>
    <row r="353" spans="35:35">
      <c r="AI353" s="452"/>
    </row>
    <row r="354" spans="35:35">
      <c r="AI354" s="452"/>
    </row>
    <row r="355" spans="35:35">
      <c r="AI355" s="452"/>
    </row>
    <row r="356" spans="35:35">
      <c r="AI356" s="452"/>
    </row>
    <row r="357" spans="35:35">
      <c r="AI357" s="452"/>
    </row>
    <row r="358" spans="35:35">
      <c r="AI358" s="452"/>
    </row>
    <row r="359" spans="35:35">
      <c r="AI359" s="452"/>
    </row>
    <row r="360" spans="35:35">
      <c r="AI360" s="452"/>
    </row>
    <row r="361" spans="35:35">
      <c r="AI361" s="452"/>
    </row>
    <row r="362" spans="35:35">
      <c r="AI362" s="452"/>
    </row>
    <row r="363" spans="35:35">
      <c r="AI363" s="452"/>
    </row>
    <row r="364" spans="35:35">
      <c r="AI364" s="452"/>
    </row>
    <row r="365" spans="35:35">
      <c r="AI365" s="452"/>
    </row>
    <row r="366" spans="35:35">
      <c r="AI366" s="452"/>
    </row>
    <row r="367" spans="35:35">
      <c r="AI367" s="452"/>
    </row>
    <row r="368" spans="35:35">
      <c r="AI368" s="452"/>
    </row>
    <row r="369" spans="35:35">
      <c r="AI369" s="452"/>
    </row>
    <row r="370" spans="35:35">
      <c r="AI370" s="452"/>
    </row>
    <row r="371" spans="35:35">
      <c r="AI371" s="452"/>
    </row>
    <row r="372" spans="35:35">
      <c r="AI372" s="452"/>
    </row>
    <row r="373" spans="35:35">
      <c r="AI373" s="452"/>
    </row>
    <row r="374" spans="35:35">
      <c r="AI374" s="452"/>
    </row>
    <row r="375" spans="35:35">
      <c r="AI375" s="452"/>
    </row>
    <row r="376" spans="35:35">
      <c r="AI376" s="452"/>
    </row>
    <row r="377" spans="35:35">
      <c r="AI377" s="452"/>
    </row>
    <row r="378" spans="35:35">
      <c r="AI378" s="452"/>
    </row>
    <row r="379" spans="35:35">
      <c r="AI379" s="452"/>
    </row>
    <row r="380" spans="35:35">
      <c r="AI380" s="452"/>
    </row>
    <row r="381" spans="35:35">
      <c r="AI381" s="452"/>
    </row>
    <row r="382" spans="35:35">
      <c r="AI382" s="452"/>
    </row>
    <row r="383" spans="35:35">
      <c r="AI383" s="452"/>
    </row>
    <row r="384" spans="35:35">
      <c r="AI384" s="452"/>
    </row>
    <row r="385" spans="35:35">
      <c r="AI385" s="452"/>
    </row>
    <row r="386" spans="35:35">
      <c r="AI386" s="452"/>
    </row>
    <row r="387" spans="35:35">
      <c r="AI387" s="452"/>
    </row>
    <row r="388" spans="35:35">
      <c r="AI388" s="452"/>
    </row>
    <row r="389" spans="35:35">
      <c r="AI389" s="452"/>
    </row>
    <row r="390" spans="35:35">
      <c r="AI390" s="452"/>
    </row>
    <row r="391" spans="35:35">
      <c r="AI391" s="452"/>
    </row>
    <row r="392" spans="35:35">
      <c r="AI392" s="452"/>
    </row>
    <row r="393" spans="35:35">
      <c r="AI393" s="452"/>
    </row>
    <row r="394" spans="35:35">
      <c r="AI394" s="452"/>
    </row>
    <row r="395" spans="35:35">
      <c r="AI395" s="452"/>
    </row>
    <row r="396" spans="35:35">
      <c r="AI396" s="452"/>
    </row>
    <row r="397" spans="35:35">
      <c r="AI397" s="452"/>
    </row>
    <row r="398" spans="35:35">
      <c r="AI398" s="452"/>
    </row>
    <row r="399" spans="35:35">
      <c r="AI399" s="452"/>
    </row>
    <row r="400" spans="35:35">
      <c r="AI400" s="452"/>
    </row>
    <row r="401" spans="35:35">
      <c r="AI401" s="452"/>
    </row>
    <row r="402" spans="35:35">
      <c r="AI402" s="452"/>
    </row>
    <row r="403" spans="35:35">
      <c r="AI403" s="452"/>
    </row>
    <row r="404" spans="35:35">
      <c r="AI404" s="452"/>
    </row>
    <row r="405" spans="35:35">
      <c r="AI405" s="452"/>
    </row>
    <row r="406" spans="35:35">
      <c r="AI406" s="452"/>
    </row>
    <row r="407" spans="35:35">
      <c r="AI407" s="452"/>
    </row>
    <row r="408" spans="35:35">
      <c r="AI408" s="452"/>
    </row>
    <row r="409" spans="35:35">
      <c r="AI409" s="452"/>
    </row>
    <row r="410" spans="35:35">
      <c r="AI410" s="452"/>
    </row>
    <row r="411" spans="35:35">
      <c r="AI411" s="452"/>
    </row>
    <row r="412" spans="35:35">
      <c r="AI412" s="452"/>
    </row>
  </sheetData>
  <mergeCells count="41">
    <mergeCell ref="W120:AC120"/>
    <mergeCell ref="O63:O65"/>
    <mergeCell ref="O66:O68"/>
    <mergeCell ref="O69:O71"/>
    <mergeCell ref="O19:O21"/>
    <mergeCell ref="O22:O24"/>
    <mergeCell ref="O25:O27"/>
    <mergeCell ref="O28:O30"/>
    <mergeCell ref="O31:O33"/>
    <mergeCell ref="O118:U118"/>
    <mergeCell ref="O72:O74"/>
    <mergeCell ref="O75:O77"/>
    <mergeCell ref="O78:O80"/>
    <mergeCell ref="O81:O83"/>
    <mergeCell ref="O84:O86"/>
    <mergeCell ref="O87:O89"/>
    <mergeCell ref="B11:C11"/>
    <mergeCell ref="B12:C12"/>
    <mergeCell ref="O16:O18"/>
    <mergeCell ref="B6:C6"/>
    <mergeCell ref="B7:C7"/>
    <mergeCell ref="B8:C8"/>
    <mergeCell ref="B9:C9"/>
    <mergeCell ref="B10:C10"/>
    <mergeCell ref="P48:V48"/>
    <mergeCell ref="X48:AD48"/>
    <mergeCell ref="B31:B33"/>
    <mergeCell ref="B43:B45"/>
    <mergeCell ref="B34:B36"/>
    <mergeCell ref="B37:B39"/>
    <mergeCell ref="B40:B42"/>
    <mergeCell ref="O34:O36"/>
    <mergeCell ref="O37:O39"/>
    <mergeCell ref="O40:O42"/>
    <mergeCell ref="O90:O92"/>
    <mergeCell ref="B16:B18"/>
    <mergeCell ref="B19:B21"/>
    <mergeCell ref="B22:B24"/>
    <mergeCell ref="B25:B27"/>
    <mergeCell ref="B28:B30"/>
    <mergeCell ref="O43:O45"/>
  </mergeCells>
  <phoneticPr fontId="37" type="noConversion"/>
  <dataValidations count="2">
    <dataValidation type="list" allowBlank="1" showInputMessage="1" showErrorMessage="1" sqref="B15" xr:uid="{00000000-0002-0000-0400-000000000000}">
      <formula1>$A$3:$A$4</formula1>
    </dataValidation>
    <dataValidation type="list" allowBlank="1" showInputMessage="1" showErrorMessage="1" sqref="D48" xr:uid="{00000000-0002-0000-0400-000001000000}">
      <formula1>$P$15:$V$15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3" r:id="rId4" name="Button 13">
              <controlPr defaultSize="0" print="0" autoFill="0" autoPict="0" macro="[0]!Sheet13.FillCellsInColumnC">
                <anchor moveWithCells="1" sizeWithCells="1">
                  <from>
                    <xdr:col>13</xdr:col>
                    <xdr:colOff>107950</xdr:colOff>
                    <xdr:row>13</xdr:row>
                    <xdr:rowOff>222250</xdr:rowOff>
                  </from>
                  <to>
                    <xdr:col>13</xdr:col>
                    <xdr:colOff>2305050</xdr:colOff>
                    <xdr:row>15</xdr:row>
                    <xdr:rowOff>165100</xdr:rowOff>
                  </to>
                </anchor>
              </controlPr>
            </control>
          </mc:Choice>
        </mc:AlternateContent>
        <mc:AlternateContent xmlns:mc="http://schemas.openxmlformats.org/markup-compatibility/2006">
          <mc:Choice Requires="x14">
            <control shapeId="25614" r:id="rId5" name="Button 14">
              <controlPr defaultSize="0" print="0" autoFill="0" autoPict="0" macro="[0]!SensitivityRun">
                <anchor moveWithCells="1" sizeWithCells="1">
                  <from>
                    <xdr:col>13</xdr:col>
                    <xdr:colOff>127000</xdr:colOff>
                    <xdr:row>16</xdr:row>
                    <xdr:rowOff>95250</xdr:rowOff>
                  </from>
                  <to>
                    <xdr:col>13</xdr:col>
                    <xdr:colOff>2298700</xdr:colOff>
                    <xdr:row>19</xdr:row>
                    <xdr:rowOff>114300</xdr:rowOff>
                  </to>
                </anchor>
              </controlPr>
            </control>
          </mc:Choice>
        </mc:AlternateContent>
        <mc:AlternateContent xmlns:mc="http://schemas.openxmlformats.org/markup-compatibility/2006">
          <mc:Choice Requires="x14">
            <control shapeId="25615" r:id="rId6" name="Button 15">
              <controlPr defaultSize="0" print="0" autoFill="0" autoPict="0" macro="[0]!Sensitivity_Reference">
                <anchor moveWithCells="1" sizeWithCells="1">
                  <from>
                    <xdr:col>13</xdr:col>
                    <xdr:colOff>88900</xdr:colOff>
                    <xdr:row>3</xdr:row>
                    <xdr:rowOff>12700</xdr:rowOff>
                  </from>
                  <to>
                    <xdr:col>13</xdr:col>
                    <xdr:colOff>2286000</xdr:colOff>
                    <xdr:row>4</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2000000}">
          <x14:formula1>
            <xm:f>'GHG Electricity'!$B$3:$B$9</xm:f>
          </x14:formula1>
          <xm:sqref>H17 H3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1"/>
  </sheetPr>
  <dimension ref="A1:BQ83"/>
  <sheetViews>
    <sheetView topLeftCell="A4" zoomScale="70" zoomScaleNormal="70" workbookViewId="0">
      <selection activeCell="F35" sqref="F35"/>
    </sheetView>
  </sheetViews>
  <sheetFormatPr defaultColWidth="9.1796875" defaultRowHeight="15.5"/>
  <cols>
    <col min="1" max="1" width="9.1796875" style="308"/>
    <col min="2" max="2" width="6" style="308" bestFit="1" customWidth="1"/>
    <col min="3" max="3" width="12.26953125" style="308" bestFit="1" customWidth="1"/>
    <col min="4" max="4" width="9.26953125" style="308" bestFit="1" customWidth="1"/>
    <col min="5" max="5" width="10.453125" style="308" bestFit="1" customWidth="1"/>
    <col min="6" max="7" width="7.7265625" style="308" bestFit="1" customWidth="1"/>
    <col min="8" max="8" width="10.453125" style="308" bestFit="1" customWidth="1"/>
    <col min="9" max="11" width="8.1796875" style="308" bestFit="1" customWidth="1"/>
    <col min="12" max="12" width="5.7265625" style="308" bestFit="1" customWidth="1"/>
    <col min="13" max="13" width="9.26953125" style="308" bestFit="1" customWidth="1"/>
    <col min="14" max="14" width="8.1796875" style="308" bestFit="1" customWidth="1"/>
    <col min="15" max="15" width="9.1796875" style="308" bestFit="1" customWidth="1"/>
    <col min="16" max="16" width="3.54296875" style="308" bestFit="1" customWidth="1"/>
    <col min="17" max="19" width="6.81640625" style="308" bestFit="1" customWidth="1"/>
    <col min="20" max="20" width="10.1796875" style="308" bestFit="1" customWidth="1"/>
    <col min="21" max="21" width="10.453125" style="308" bestFit="1" customWidth="1"/>
    <col min="22" max="22" width="9.81640625" style="308" customWidth="1"/>
    <col min="23" max="26" width="9.1796875" style="308"/>
    <col min="27" max="27" width="12.26953125" style="308" bestFit="1" customWidth="1"/>
    <col min="28" max="28" width="9.1796875" style="308"/>
    <col min="29" max="29" width="11.453125" style="308" bestFit="1" customWidth="1"/>
    <col min="30" max="30" width="9" style="308" customWidth="1"/>
    <col min="31" max="31" width="8.81640625" style="308" customWidth="1"/>
    <col min="32" max="36" width="9.26953125" style="308" bestFit="1" customWidth="1"/>
    <col min="37" max="39" width="9.1796875" style="308"/>
    <col min="40" max="40" width="9.1796875" style="308" customWidth="1"/>
    <col min="41" max="41" width="9.1796875" style="308"/>
    <col min="42" max="42" width="5.7265625" style="308" bestFit="1" customWidth="1"/>
    <col min="43" max="43" width="21.1796875" style="308" bestFit="1" customWidth="1"/>
    <col min="44" max="44" width="13.1796875" style="308" bestFit="1" customWidth="1"/>
    <col min="45" max="45" width="8.7265625" style="308" bestFit="1" customWidth="1"/>
    <col min="46" max="46" width="13.7265625" style="308" bestFit="1" customWidth="1"/>
    <col min="47" max="47" width="18.26953125" style="308" bestFit="1" customWidth="1"/>
    <col min="48" max="48" width="11.26953125" style="308" bestFit="1" customWidth="1"/>
    <col min="49" max="49" width="16.1796875" style="308" bestFit="1" customWidth="1"/>
    <col min="50" max="50" width="11.81640625" style="308" bestFit="1" customWidth="1"/>
    <col min="51" max="51" width="9.54296875" style="308" customWidth="1"/>
    <col min="52" max="52" width="17.453125" style="308" customWidth="1"/>
    <col min="53" max="57" width="9.1796875" style="308"/>
    <col min="58" max="69" width="13.54296875" style="308" customWidth="1"/>
    <col min="70" max="16384" width="9.1796875" style="308"/>
  </cols>
  <sheetData>
    <row r="1" spans="1:69" s="300" customFormat="1" ht="23.65" customHeight="1">
      <c r="A1" s="299"/>
      <c r="B1" s="1268" t="s">
        <v>283</v>
      </c>
      <c r="C1" s="1268"/>
      <c r="D1" s="1268"/>
      <c r="E1" s="1268"/>
      <c r="F1" s="1268"/>
      <c r="G1" s="1268"/>
      <c r="H1" s="1268"/>
      <c r="I1" s="1268"/>
      <c r="J1" s="1268"/>
      <c r="K1" s="1268"/>
      <c r="L1" s="1268"/>
      <c r="M1" s="1268"/>
      <c r="N1" s="1268"/>
      <c r="O1" s="1268"/>
      <c r="P1" s="1268"/>
      <c r="Q1" s="1268"/>
      <c r="R1" s="1268"/>
      <c r="S1" s="1268"/>
    </row>
    <row r="2" spans="1:69" s="300" customFormat="1" ht="16" thickBot="1">
      <c r="B2" s="300">
        <v>1</v>
      </c>
      <c r="C2" s="300">
        <v>2</v>
      </c>
      <c r="D2" s="300">
        <v>3</v>
      </c>
      <c r="E2" s="300">
        <v>4</v>
      </c>
      <c r="F2" s="300">
        <v>5</v>
      </c>
      <c r="G2" s="300">
        <v>6</v>
      </c>
      <c r="H2" s="300">
        <v>7</v>
      </c>
      <c r="I2" s="300">
        <v>8</v>
      </c>
      <c r="J2" s="300">
        <v>9</v>
      </c>
      <c r="K2" s="300">
        <v>10</v>
      </c>
      <c r="L2" s="300">
        <v>11</v>
      </c>
      <c r="M2" s="300">
        <v>12</v>
      </c>
      <c r="N2" s="300">
        <v>13</v>
      </c>
      <c r="O2" s="300">
        <v>14</v>
      </c>
      <c r="P2" s="300">
        <v>15</v>
      </c>
      <c r="Q2" s="300">
        <v>16</v>
      </c>
      <c r="R2" s="300">
        <v>17</v>
      </c>
      <c r="S2" s="300">
        <v>18</v>
      </c>
      <c r="T2" s="300">
        <v>19</v>
      </c>
      <c r="U2" s="300">
        <v>20</v>
      </c>
      <c r="V2" s="300">
        <v>21</v>
      </c>
      <c r="W2" s="300">
        <v>22</v>
      </c>
      <c r="X2" s="300">
        <v>23</v>
      </c>
      <c r="Y2" s="300">
        <v>24</v>
      </c>
    </row>
    <row r="3" spans="1:69" s="300" customFormat="1" ht="32.15" customHeight="1">
      <c r="C3" s="400" t="s">
        <v>450</v>
      </c>
      <c r="D3" s="301">
        <v>0.8</v>
      </c>
      <c r="H3" s="1275" t="s">
        <v>8</v>
      </c>
      <c r="I3" s="1276"/>
      <c r="J3" s="322"/>
      <c r="V3" s="308"/>
      <c r="AC3" s="401"/>
      <c r="AD3" s="1269" t="s">
        <v>310</v>
      </c>
      <c r="AE3" s="1269"/>
      <c r="AF3" s="1269"/>
      <c r="AG3" s="1269"/>
      <c r="AH3" s="1269"/>
      <c r="AI3" s="1269"/>
      <c r="AJ3" s="1270"/>
      <c r="AP3" s="1274" t="s">
        <v>405</v>
      </c>
      <c r="AQ3" s="1274"/>
      <c r="AR3" s="1274"/>
      <c r="AS3" s="1274"/>
      <c r="AT3" s="1274"/>
      <c r="AU3" s="1274"/>
      <c r="AV3" s="1274"/>
      <c r="AW3" s="1274"/>
      <c r="BF3" s="1274" t="s">
        <v>682</v>
      </c>
      <c r="BG3" s="1274"/>
      <c r="BH3" s="1274"/>
      <c r="BI3" s="1274"/>
      <c r="BJ3" s="1274"/>
      <c r="BK3" s="1274"/>
      <c r="BL3" s="1274"/>
      <c r="BM3" s="1274"/>
      <c r="BN3" s="1274"/>
    </row>
    <row r="4" spans="1:69" s="300" customFormat="1" ht="163" thickBot="1">
      <c r="B4" s="300" t="s">
        <v>253</v>
      </c>
      <c r="C4" s="411" t="s">
        <v>267</v>
      </c>
      <c r="D4" s="411" t="s">
        <v>271</v>
      </c>
      <c r="E4" s="411" t="s">
        <v>452</v>
      </c>
      <c r="F4" s="411" t="s">
        <v>139</v>
      </c>
      <c r="G4" s="411" t="s">
        <v>372</v>
      </c>
      <c r="H4" s="411" t="s">
        <v>431</v>
      </c>
      <c r="I4" s="411"/>
      <c r="J4" s="411" t="s">
        <v>42</v>
      </c>
      <c r="K4" s="411" t="s">
        <v>277</v>
      </c>
      <c r="L4" s="411" t="s">
        <v>278</v>
      </c>
      <c r="M4" s="411" t="s">
        <v>329</v>
      </c>
      <c r="N4" s="411" t="s">
        <v>275</v>
      </c>
      <c r="O4" s="411" t="s">
        <v>289</v>
      </c>
      <c r="P4" s="411"/>
      <c r="Q4" s="411" t="s">
        <v>302</v>
      </c>
      <c r="R4" s="411" t="s">
        <v>459</v>
      </c>
      <c r="S4" s="411" t="s">
        <v>461</v>
      </c>
      <c r="T4" s="411" t="s">
        <v>271</v>
      </c>
      <c r="U4" s="411" t="s">
        <v>268</v>
      </c>
      <c r="V4" s="411" t="s">
        <v>587</v>
      </c>
      <c r="W4" s="411" t="s">
        <v>588</v>
      </c>
      <c r="X4" s="411" t="s">
        <v>687</v>
      </c>
      <c r="Y4" s="411" t="s">
        <v>684</v>
      </c>
      <c r="AC4" s="314"/>
      <c r="AD4" s="402" t="s">
        <v>304</v>
      </c>
      <c r="AE4" s="403" t="s">
        <v>5</v>
      </c>
      <c r="AF4" s="402" t="s">
        <v>305</v>
      </c>
      <c r="AG4" s="402" t="s">
        <v>306</v>
      </c>
      <c r="AH4" s="402" t="s">
        <v>307</v>
      </c>
      <c r="AI4" s="402" t="s">
        <v>308</v>
      </c>
      <c r="AJ4" s="404" t="s">
        <v>309</v>
      </c>
      <c r="AK4" s="732" t="s">
        <v>178</v>
      </c>
      <c r="AQ4" s="302" t="s">
        <v>411</v>
      </c>
      <c r="AR4" s="303" t="s">
        <v>410</v>
      </c>
      <c r="AS4" s="302" t="s">
        <v>407</v>
      </c>
      <c r="AT4" s="302" t="s">
        <v>408</v>
      </c>
      <c r="AU4" s="302" t="s">
        <v>409</v>
      </c>
      <c r="AV4" s="302" t="s">
        <v>390</v>
      </c>
      <c r="AW4" s="302" t="s">
        <v>403</v>
      </c>
      <c r="AX4" s="302" t="s">
        <v>404</v>
      </c>
      <c r="AY4" s="302" t="s">
        <v>388</v>
      </c>
      <c r="AZ4" s="302" t="s">
        <v>430</v>
      </c>
      <c r="BG4" s="302" t="s">
        <v>681</v>
      </c>
      <c r="BH4" s="302" t="s">
        <v>258</v>
      </c>
      <c r="BI4" s="302" t="s">
        <v>679</v>
      </c>
      <c r="BJ4" s="303" t="s">
        <v>678</v>
      </c>
      <c r="BL4" s="302" t="s">
        <v>258</v>
      </c>
      <c r="BM4" s="302" t="s">
        <v>679</v>
      </c>
      <c r="BN4" s="303" t="s">
        <v>678</v>
      </c>
      <c r="BO4" s="302"/>
      <c r="BP4" s="302"/>
      <c r="BQ4" s="302"/>
    </row>
    <row r="5" spans="1:69" s="300" customFormat="1" ht="31">
      <c r="B5" s="811"/>
      <c r="C5" s="811" t="s">
        <v>269</v>
      </c>
      <c r="D5" s="811" t="s">
        <v>274</v>
      </c>
      <c r="E5" s="811" t="s">
        <v>40</v>
      </c>
      <c r="F5" s="811" t="s">
        <v>270</v>
      </c>
      <c r="G5" s="811" t="s">
        <v>373</v>
      </c>
      <c r="H5" s="811" t="s">
        <v>451</v>
      </c>
      <c r="I5" s="811" t="s">
        <v>22</v>
      </c>
      <c r="J5" s="811"/>
      <c r="K5" s="811" t="s">
        <v>276</v>
      </c>
      <c r="L5" s="811" t="s">
        <v>276</v>
      </c>
      <c r="M5" s="811" t="s">
        <v>330</v>
      </c>
      <c r="N5" s="811" t="s">
        <v>288</v>
      </c>
      <c r="O5" s="811" t="s">
        <v>290</v>
      </c>
      <c r="P5" s="811"/>
      <c r="Q5" s="811" t="s">
        <v>276</v>
      </c>
      <c r="R5" s="811" t="s">
        <v>460</v>
      </c>
      <c r="S5" s="811" t="s">
        <v>460</v>
      </c>
      <c r="T5" s="811" t="s">
        <v>272</v>
      </c>
      <c r="U5" s="811" t="s">
        <v>273</v>
      </c>
      <c r="V5" s="811" t="s">
        <v>273</v>
      </c>
      <c r="W5" s="811" t="s">
        <v>680</v>
      </c>
      <c r="X5" s="811" t="s">
        <v>685</v>
      </c>
      <c r="Y5" s="811" t="s">
        <v>685</v>
      </c>
      <c r="AC5" s="300">
        <v>1</v>
      </c>
      <c r="AD5" s="300">
        <v>2</v>
      </c>
      <c r="AE5" s="300">
        <v>3</v>
      </c>
      <c r="AF5" s="300">
        <v>4</v>
      </c>
      <c r="AG5" s="300">
        <v>5</v>
      </c>
      <c r="AH5" s="300">
        <v>6</v>
      </c>
      <c r="AI5" s="300">
        <v>7</v>
      </c>
      <c r="AJ5" s="300">
        <v>8</v>
      </c>
      <c r="AK5" s="300">
        <v>9</v>
      </c>
      <c r="AP5" s="300">
        <v>1</v>
      </c>
      <c r="AQ5" s="300">
        <v>2</v>
      </c>
      <c r="AR5" s="300">
        <v>3</v>
      </c>
      <c r="AS5" s="300">
        <v>4</v>
      </c>
      <c r="AT5" s="300">
        <v>5</v>
      </c>
      <c r="AU5" s="300">
        <v>6</v>
      </c>
      <c r="AV5" s="300">
        <v>7</v>
      </c>
      <c r="AW5" s="300">
        <v>8</v>
      </c>
      <c r="AX5" s="300">
        <v>10</v>
      </c>
      <c r="AY5" s="300">
        <v>11</v>
      </c>
      <c r="AZ5" s="300">
        <v>12</v>
      </c>
      <c r="BF5" s="300">
        <v>0</v>
      </c>
      <c r="BG5" s="300">
        <v>1</v>
      </c>
      <c r="BH5" s="300">
        <v>2</v>
      </c>
      <c r="BI5" s="300">
        <v>4</v>
      </c>
      <c r="BJ5" s="300">
        <v>3</v>
      </c>
      <c r="BL5" s="300">
        <v>6</v>
      </c>
      <c r="BM5" s="300">
        <v>7</v>
      </c>
      <c r="BN5" s="300">
        <v>8</v>
      </c>
      <c r="BO5" s="300">
        <v>10</v>
      </c>
      <c r="BP5" s="300">
        <v>11</v>
      </c>
      <c r="BQ5" s="300">
        <v>12</v>
      </c>
    </row>
    <row r="6" spans="1:69" s="300" customFormat="1">
      <c r="B6" s="412">
        <v>2022</v>
      </c>
      <c r="C6" s="415">
        <v>0.63</v>
      </c>
      <c r="D6" s="415">
        <f t="shared" ref="D6:D34" si="0">C6*$D$3</f>
        <v>0.504</v>
      </c>
      <c r="E6" s="415">
        <v>7.0000000000000007E-2</v>
      </c>
      <c r="F6" s="416">
        <v>13</v>
      </c>
      <c r="G6" s="416">
        <v>3.26</v>
      </c>
      <c r="H6" s="417">
        <v>214</v>
      </c>
      <c r="I6" s="417">
        <v>177.66539999999995</v>
      </c>
      <c r="J6" s="416">
        <v>100</v>
      </c>
      <c r="K6" s="416">
        <v>775</v>
      </c>
      <c r="L6" s="416">
        <v>7.2</v>
      </c>
      <c r="M6" s="416">
        <v>3820.41</v>
      </c>
      <c r="N6" s="416">
        <v>950</v>
      </c>
      <c r="O6" s="416">
        <v>0.04</v>
      </c>
      <c r="P6" s="416"/>
      <c r="Q6" s="416">
        <v>24</v>
      </c>
      <c r="R6" s="416">
        <v>7</v>
      </c>
      <c r="S6" s="416">
        <v>5</v>
      </c>
      <c r="T6" s="416">
        <v>6.5239969999999996</v>
      </c>
      <c r="U6" s="416">
        <f>E6</f>
        <v>7.0000000000000007E-2</v>
      </c>
      <c r="V6" s="416">
        <f>U6*W6</f>
        <v>0.21000000000000002</v>
      </c>
      <c r="W6" s="412">
        <v>3</v>
      </c>
      <c r="X6" s="877">
        <v>0</v>
      </c>
      <c r="Y6" s="877">
        <v>200</v>
      </c>
      <c r="AC6" s="300">
        <v>2022</v>
      </c>
      <c r="AD6" s="300">
        <v>1.49</v>
      </c>
      <c r="AE6" s="300">
        <v>1.36</v>
      </c>
      <c r="AF6" s="300">
        <v>1.95</v>
      </c>
      <c r="AG6" s="300">
        <v>2.1800000000000002</v>
      </c>
      <c r="AH6" s="300">
        <v>2.1800000000000002</v>
      </c>
      <c r="AI6" s="300">
        <v>2.1800000000000002</v>
      </c>
      <c r="AJ6" s="300">
        <v>1.2</v>
      </c>
      <c r="AK6" s="300">
        <v>2.1800000000000002</v>
      </c>
      <c r="AP6" s="300">
        <v>2022</v>
      </c>
      <c r="AQ6" s="300">
        <v>4.3999999999999997E-2</v>
      </c>
      <c r="AR6" s="300">
        <v>9.7000000000000003E-2</v>
      </c>
      <c r="AS6" s="300">
        <v>2.1999999999999999E-2</v>
      </c>
      <c r="AT6" s="300">
        <v>1.4E-2</v>
      </c>
      <c r="AU6" s="300">
        <v>2.3E-2</v>
      </c>
      <c r="AV6" s="300">
        <v>5.0000000000000001E-3</v>
      </c>
      <c r="AW6" s="300">
        <v>3.4000000000000002E-2</v>
      </c>
      <c r="AX6" s="300">
        <v>7.5999999999999998E-2</v>
      </c>
      <c r="AY6" s="300">
        <v>8.7999999999999995E-2</v>
      </c>
      <c r="AZ6" s="300">
        <v>1.2E-2</v>
      </c>
      <c r="BF6" s="300">
        <v>2022</v>
      </c>
      <c r="BG6" s="817">
        <v>7.13</v>
      </c>
      <c r="BH6" s="813">
        <v>2.1</v>
      </c>
      <c r="BI6" s="813">
        <v>1.1299999999999999</v>
      </c>
      <c r="BJ6" s="813">
        <v>0.9</v>
      </c>
      <c r="BL6" s="817">
        <f>BH6*$BG6</f>
        <v>14.973000000000001</v>
      </c>
      <c r="BM6" s="817">
        <f t="shared" ref="BM6:BN21" si="1">BI6*$BG6</f>
        <v>8.0568999999999988</v>
      </c>
      <c r="BN6" s="817">
        <f t="shared" si="1"/>
        <v>6.4169999999999998</v>
      </c>
    </row>
    <row r="7" spans="1:69" s="300" customFormat="1">
      <c r="B7" s="412">
        <v>2023</v>
      </c>
      <c r="C7" s="415">
        <v>0.75</v>
      </c>
      <c r="D7" s="415">
        <f t="shared" si="0"/>
        <v>0.60000000000000009</v>
      </c>
      <c r="E7" s="415">
        <v>7.0000000000000007E-2</v>
      </c>
      <c r="F7" s="416">
        <v>9</v>
      </c>
      <c r="G7" s="416">
        <v>3.26</v>
      </c>
      <c r="H7" s="417">
        <v>172</v>
      </c>
      <c r="I7" s="417">
        <v>148.66589999999999</v>
      </c>
      <c r="J7" s="416">
        <v>120</v>
      </c>
      <c r="K7" s="416">
        <v>600</v>
      </c>
      <c r="L7" s="416">
        <v>6.8</v>
      </c>
      <c r="M7" s="416">
        <f>M6-151.47</f>
        <v>3668.94</v>
      </c>
      <c r="N7" s="416">
        <v>950</v>
      </c>
      <c r="O7" s="416">
        <v>4.4999999999999998E-2</v>
      </c>
      <c r="P7" s="416"/>
      <c r="Q7" s="416">
        <v>22.5</v>
      </c>
      <c r="R7" s="416">
        <v>8</v>
      </c>
      <c r="S7" s="416">
        <v>6.5</v>
      </c>
      <c r="T7" s="416">
        <v>5.2663760000000002</v>
      </c>
      <c r="U7" s="416">
        <f t="shared" ref="U7:U34" si="2">E7</f>
        <v>7.0000000000000007E-2</v>
      </c>
      <c r="V7" s="416">
        <f t="shared" ref="V7:V49" si="3">U7*W7</f>
        <v>0.21000000000000002</v>
      </c>
      <c r="W7" s="412">
        <v>3</v>
      </c>
      <c r="X7" s="877">
        <v>0</v>
      </c>
      <c r="Y7" s="877">
        <v>200</v>
      </c>
      <c r="AC7" s="300">
        <v>2023</v>
      </c>
      <c r="AD7" s="300">
        <v>1.4</v>
      </c>
      <c r="AE7" s="300">
        <v>1.31</v>
      </c>
      <c r="AF7" s="300">
        <v>1.75</v>
      </c>
      <c r="AG7" s="300">
        <v>1.75</v>
      </c>
      <c r="AH7" s="300">
        <v>1.96</v>
      </c>
      <c r="AI7" s="300">
        <v>1.96</v>
      </c>
      <c r="AJ7" s="300">
        <v>1.2</v>
      </c>
      <c r="AK7" s="300">
        <v>1.96</v>
      </c>
      <c r="AP7" s="300">
        <v>2023</v>
      </c>
      <c r="AQ7" s="300">
        <v>4.3999999999999997E-2</v>
      </c>
      <c r="AR7" s="300">
        <v>9.7000000000000003E-2</v>
      </c>
      <c r="AS7" s="300">
        <v>2.1999999999999999E-2</v>
      </c>
      <c r="AT7" s="300">
        <v>1.4E-2</v>
      </c>
      <c r="AU7" s="300">
        <v>2.3E-2</v>
      </c>
      <c r="AV7" s="300">
        <v>5.0000000000000001E-3</v>
      </c>
      <c r="AW7" s="300">
        <v>3.4000000000000002E-2</v>
      </c>
      <c r="AX7" s="300">
        <v>7.5999999999999998E-2</v>
      </c>
      <c r="AY7" s="300">
        <v>8.7999999999999995E-2</v>
      </c>
      <c r="AZ7" s="300">
        <v>1.2E-2</v>
      </c>
      <c r="BF7" s="300">
        <v>2023</v>
      </c>
      <c r="BG7" s="817">
        <v>7.13</v>
      </c>
      <c r="BH7" s="813">
        <v>2.14</v>
      </c>
      <c r="BI7" s="813">
        <v>1.1299999999999999</v>
      </c>
      <c r="BJ7" s="813">
        <v>0.92</v>
      </c>
      <c r="BL7" s="817">
        <f t="shared" ref="BL7:BL49" si="4">BH7*$BG7</f>
        <v>15.2582</v>
      </c>
      <c r="BM7" s="817">
        <f t="shared" si="1"/>
        <v>8.0568999999999988</v>
      </c>
      <c r="BN7" s="817">
        <f t="shared" si="1"/>
        <v>6.5596000000000005</v>
      </c>
    </row>
    <row r="8" spans="1:69" s="300" customFormat="1">
      <c r="B8" s="412">
        <v>2024</v>
      </c>
      <c r="C8" s="709">
        <v>1.1499999999999999</v>
      </c>
      <c r="D8" s="709">
        <f t="shared" si="0"/>
        <v>0.91999999999999993</v>
      </c>
      <c r="E8" s="709">
        <v>7.0000000000000007E-2</v>
      </c>
      <c r="F8" s="416">
        <v>8.5</v>
      </c>
      <c r="G8" s="708">
        <v>3.26</v>
      </c>
      <c r="H8" s="417">
        <v>125</v>
      </c>
      <c r="I8" s="417">
        <v>105</v>
      </c>
      <c r="J8" s="416">
        <v>140</v>
      </c>
      <c r="K8" s="416">
        <v>400</v>
      </c>
      <c r="L8" s="416">
        <v>6.4</v>
      </c>
      <c r="M8" s="416">
        <f>M7-151.47</f>
        <v>3517.4700000000003</v>
      </c>
      <c r="N8" s="416">
        <v>493</v>
      </c>
      <c r="O8" s="416">
        <v>0.05</v>
      </c>
      <c r="P8" s="416"/>
      <c r="Q8" s="416">
        <v>21.5</v>
      </c>
      <c r="R8" s="416">
        <v>9</v>
      </c>
      <c r="S8" s="416">
        <v>7.2</v>
      </c>
      <c r="T8" s="416">
        <v>4.072381</v>
      </c>
      <c r="U8" s="416">
        <f t="shared" si="2"/>
        <v>7.0000000000000007E-2</v>
      </c>
      <c r="V8" s="416">
        <f t="shared" si="3"/>
        <v>0.21000000000000002</v>
      </c>
      <c r="W8" s="412">
        <v>3</v>
      </c>
      <c r="X8" s="877">
        <v>0</v>
      </c>
      <c r="Y8" s="877">
        <v>200</v>
      </c>
      <c r="AC8" s="300">
        <v>2024</v>
      </c>
      <c r="AD8" s="300">
        <v>1.36</v>
      </c>
      <c r="AE8" s="300">
        <v>1.2849999999999999</v>
      </c>
      <c r="AF8" s="300">
        <v>1.65</v>
      </c>
      <c r="AG8" s="300">
        <v>1.65</v>
      </c>
      <c r="AH8" s="300">
        <v>1.86</v>
      </c>
      <c r="AI8" s="300">
        <v>1.86</v>
      </c>
      <c r="AJ8" s="300">
        <v>1.2</v>
      </c>
      <c r="AK8" s="300">
        <v>1.86</v>
      </c>
      <c r="AP8" s="300">
        <v>2024</v>
      </c>
      <c r="AQ8" s="300">
        <v>4.3999999999999997E-2</v>
      </c>
      <c r="AR8" s="300">
        <v>9.7000000000000003E-2</v>
      </c>
      <c r="AS8" s="300">
        <v>2.1999999999999999E-2</v>
      </c>
      <c r="AT8" s="300">
        <v>1.4E-2</v>
      </c>
      <c r="AU8" s="300">
        <v>2.3E-2</v>
      </c>
      <c r="AV8" s="300">
        <v>5.0000000000000001E-3</v>
      </c>
      <c r="AW8" s="300">
        <v>3.4000000000000002E-2</v>
      </c>
      <c r="AX8" s="300">
        <v>7.5999999999999998E-2</v>
      </c>
      <c r="AY8" s="300">
        <v>8.7999999999999995E-2</v>
      </c>
      <c r="AZ8" s="300">
        <v>1.2E-2</v>
      </c>
      <c r="BF8" s="300">
        <v>2024</v>
      </c>
      <c r="BG8" s="817">
        <v>7.13</v>
      </c>
      <c r="BH8" s="813">
        <v>2.17</v>
      </c>
      <c r="BI8" s="813">
        <v>1.1299999999999999</v>
      </c>
      <c r="BJ8" s="813">
        <v>0.94</v>
      </c>
      <c r="BL8" s="817">
        <f t="shared" si="4"/>
        <v>15.472099999999999</v>
      </c>
      <c r="BM8" s="817">
        <f t="shared" si="1"/>
        <v>8.0568999999999988</v>
      </c>
      <c r="BN8" s="817">
        <f t="shared" si="1"/>
        <v>6.7021999999999995</v>
      </c>
    </row>
    <row r="9" spans="1:69" s="806" customFormat="1">
      <c r="B9" s="807">
        <v>2025</v>
      </c>
      <c r="C9" s="808">
        <v>1.66</v>
      </c>
      <c r="D9" s="808">
        <f t="shared" si="0"/>
        <v>1.3280000000000001</v>
      </c>
      <c r="E9" s="808">
        <v>0.11</v>
      </c>
      <c r="F9" s="809">
        <v>8</v>
      </c>
      <c r="G9" s="809">
        <v>3.26</v>
      </c>
      <c r="H9" s="809">
        <f>H$8 + (H$19 - H$8) * ((ROW() - ROW(H$8)) / (ROW(H$19) - ROW(H$8)))</f>
        <v>123.18181818181819</v>
      </c>
      <c r="I9" s="809">
        <f>I$8 + (I$19 - I$8) * ((ROW() - ROW(I$8)) / (ROW(I$19) - ROW(I$8)))</f>
        <v>104.09090909090909</v>
      </c>
      <c r="J9" s="809">
        <v>145</v>
      </c>
      <c r="K9" s="809">
        <v>310</v>
      </c>
      <c r="L9" s="809">
        <v>6</v>
      </c>
      <c r="M9" s="809">
        <v>3366.0000000000005</v>
      </c>
      <c r="N9" s="809">
        <v>274</v>
      </c>
      <c r="O9" s="809">
        <v>5.5E-2</v>
      </c>
      <c r="P9" s="809"/>
      <c r="Q9" s="809">
        <v>20.5</v>
      </c>
      <c r="R9" s="809">
        <v>10</v>
      </c>
      <c r="S9" s="809">
        <v>7.5</v>
      </c>
      <c r="T9" s="809">
        <v>3.4895139999999998</v>
      </c>
      <c r="U9" s="809">
        <f t="shared" si="2"/>
        <v>0.11</v>
      </c>
      <c r="V9" s="809">
        <f t="shared" si="3"/>
        <v>0.33</v>
      </c>
      <c r="W9" s="807">
        <v>3</v>
      </c>
      <c r="X9" s="878">
        <v>0</v>
      </c>
      <c r="Y9" s="878">
        <v>200</v>
      </c>
      <c r="AC9" s="806">
        <v>2025</v>
      </c>
      <c r="AD9" s="806">
        <v>1.32</v>
      </c>
      <c r="AE9" s="806">
        <v>1.26</v>
      </c>
      <c r="AF9" s="806">
        <v>1.55</v>
      </c>
      <c r="AG9" s="806">
        <v>1.55</v>
      </c>
      <c r="AH9" s="806">
        <v>1.76</v>
      </c>
      <c r="AI9" s="806">
        <v>1.76</v>
      </c>
      <c r="AJ9" s="806">
        <v>1.2</v>
      </c>
      <c r="AK9" s="806">
        <v>1.76</v>
      </c>
      <c r="AP9" s="806">
        <v>2025</v>
      </c>
      <c r="AQ9" s="806">
        <v>4.3999999999999997E-2</v>
      </c>
      <c r="AR9" s="806">
        <v>9.7000000000000003E-2</v>
      </c>
      <c r="AS9" s="806">
        <v>2.1999999999999999E-2</v>
      </c>
      <c r="AT9" s="806">
        <v>1.4E-2</v>
      </c>
      <c r="AU9" s="806">
        <v>2.3E-2</v>
      </c>
      <c r="AV9" s="806">
        <v>5.0000000000000001E-3</v>
      </c>
      <c r="AW9" s="806">
        <v>3.4000000000000002E-2</v>
      </c>
      <c r="AX9" s="806">
        <v>7.5999999999999998E-2</v>
      </c>
      <c r="AY9" s="806">
        <v>8.7999999999999995E-2</v>
      </c>
      <c r="AZ9" s="806">
        <v>1.2E-2</v>
      </c>
      <c r="BF9" s="806">
        <v>2025</v>
      </c>
      <c r="BG9" s="818">
        <v>7.13</v>
      </c>
      <c r="BH9" s="814">
        <v>2.2000000000000002</v>
      </c>
      <c r="BI9" s="814">
        <v>1.1599999999999999</v>
      </c>
      <c r="BJ9" s="814">
        <v>0.98</v>
      </c>
      <c r="BL9" s="817">
        <f t="shared" si="4"/>
        <v>15.686000000000002</v>
      </c>
      <c r="BM9" s="817">
        <f t="shared" si="1"/>
        <v>8.2707999999999995</v>
      </c>
      <c r="BN9" s="817">
        <f t="shared" si="1"/>
        <v>6.9874000000000001</v>
      </c>
    </row>
    <row r="10" spans="1:69" s="300" customFormat="1">
      <c r="B10" s="412">
        <v>2026</v>
      </c>
      <c r="C10" s="415">
        <f>C$9 + (C$19 - C$9) * ((ROW() - ROW(C$9)) / (ROW(C$19) - ROW(C$9)))</f>
        <v>1.694</v>
      </c>
      <c r="D10" s="415">
        <f t="shared" ref="D10:I10" si="5">D$9 + (D$19 - D$9) * ((ROW() - ROW(D$9)) / (ROW(D$19) - ROW(D$9)))</f>
        <v>1.3552</v>
      </c>
      <c r="E10" s="415">
        <f t="shared" si="5"/>
        <v>0.1105</v>
      </c>
      <c r="F10" s="415">
        <f t="shared" si="5"/>
        <v>7.65</v>
      </c>
      <c r="G10" s="415">
        <f ca="1">G$9 + (G$19 - G$9) * ((ROW() - ROW(G$9)) / (ROW(G$19) - ROW(G$9)))</f>
        <v>3.3267710843373499</v>
      </c>
      <c r="H10" s="415">
        <f t="shared" si="5"/>
        <v>121.36363636363637</v>
      </c>
      <c r="I10" s="415">
        <f t="shared" si="5"/>
        <v>103.18181818181819</v>
      </c>
      <c r="J10" s="415">
        <f>J$9 + (J$19 - J$9) * ((ROW() - ROW(J$9)) / (ROW(J$19) - ROW(J$9)))</f>
        <v>165.7</v>
      </c>
      <c r="K10" s="415">
        <f>K$9 + (K$19 - K$9) * ((ROW() - ROW(K$9)) / (ROW(K$19) - ROW(K$9)))</f>
        <v>300</v>
      </c>
      <c r="L10" s="415">
        <f t="shared" ref="L10:O10" si="6">L$9 + (L$19 - L$9) * ((ROW() - ROW(L$9)) / (ROW(L$19) - ROW(L$9)))</f>
        <v>6</v>
      </c>
      <c r="M10" s="415">
        <f t="shared" si="6"/>
        <v>3329.4000000000005</v>
      </c>
      <c r="N10" s="415">
        <f t="shared" si="6"/>
        <v>270.60000000000002</v>
      </c>
      <c r="O10" s="415">
        <f t="shared" si="6"/>
        <v>5.6000000000000001E-2</v>
      </c>
      <c r="P10" s="416"/>
      <c r="Q10" s="415">
        <f>Q$9 + (Q$19 - Q$9) * ((ROW() - ROW(Q$9)) / (ROW(Q$19) - ROW(Q$9)))</f>
        <v>19.7</v>
      </c>
      <c r="R10" s="415">
        <f t="shared" ref="R10:Y18" si="7">R$9 + (R$19 - R$9) * ((ROW() - ROW(R$9)) / (ROW(R$19) - ROW(R$9)))</f>
        <v>10.5</v>
      </c>
      <c r="S10" s="415">
        <f t="shared" si="7"/>
        <v>8.0500000000000007</v>
      </c>
      <c r="T10" s="415">
        <f>T$9 + (T$19 - T$9) * ((ROW() - ROW(T$9)) / (ROW(T$19) - ROW(T$9)))</f>
        <v>3.5087449999999998</v>
      </c>
      <c r="U10" s="415">
        <f t="shared" si="7"/>
        <v>0.1105</v>
      </c>
      <c r="V10" s="415">
        <f t="shared" si="3"/>
        <v>0.32045000000000001</v>
      </c>
      <c r="W10" s="415">
        <f t="shared" si="7"/>
        <v>2.9</v>
      </c>
      <c r="X10" s="879">
        <f t="shared" si="7"/>
        <v>5</v>
      </c>
      <c r="Y10" s="879">
        <f t="shared" si="7"/>
        <v>190</v>
      </c>
      <c r="AC10" s="300">
        <v>2026</v>
      </c>
      <c r="AD10" s="300">
        <f>AD9-0.024</f>
        <v>1.296</v>
      </c>
      <c r="AE10" s="300">
        <f>AE9-0.012</f>
        <v>1.248</v>
      </c>
      <c r="AF10" s="300">
        <f>AF9-0.052</f>
        <v>1.498</v>
      </c>
      <c r="AG10" s="300">
        <v>1.498</v>
      </c>
      <c r="AH10" s="300">
        <f t="shared" ref="AH10:AI13" si="8">AH9-0.056</f>
        <v>1.704</v>
      </c>
      <c r="AI10" s="300">
        <f t="shared" si="8"/>
        <v>1.704</v>
      </c>
      <c r="AJ10" s="300">
        <v>1.2</v>
      </c>
      <c r="AK10" s="300">
        <f t="shared" ref="AK10" si="9">AK9-0.056</f>
        <v>1.704</v>
      </c>
      <c r="AP10" s="300">
        <v>2026</v>
      </c>
      <c r="AQ10" s="300">
        <f>AQ$9 + (AQ$19 - AQ$9) * ((ROW() - ROW(AQ$9)) / (ROW(AQ$19) - ROW(AQ$9)))</f>
        <v>4.3999999999999997E-2</v>
      </c>
      <c r="AR10" s="300">
        <f t="shared" ref="AR10:BH18" si="10">AR$9 + (AR$19 - AR$9) * ((ROW() - ROW(AR$9)) / (ROW(AR$19) - ROW(AR$9)))</f>
        <v>9.7000000000000003E-2</v>
      </c>
      <c r="AS10" s="300">
        <f t="shared" si="10"/>
        <v>2.1999999999999999E-2</v>
      </c>
      <c r="AT10" s="300">
        <f t="shared" si="10"/>
        <v>1.345E-2</v>
      </c>
      <c r="AU10" s="300">
        <f t="shared" si="10"/>
        <v>2.3E-2</v>
      </c>
      <c r="AV10" s="300">
        <f t="shared" si="10"/>
        <v>5.0000000000000001E-3</v>
      </c>
      <c r="AW10" s="300">
        <f t="shared" si="10"/>
        <v>3.3135714285714289E-2</v>
      </c>
      <c r="AX10" s="300">
        <f t="shared" si="10"/>
        <v>7.4114285714285702E-2</v>
      </c>
      <c r="AY10" s="300">
        <f t="shared" si="10"/>
        <v>8.5249999999999992E-2</v>
      </c>
      <c r="AZ10" s="300">
        <f t="shared" si="10"/>
        <v>1.1607142857142858E-2</v>
      </c>
      <c r="BF10" s="300">
        <f t="shared" si="10"/>
        <v>2026</v>
      </c>
      <c r="BG10" s="817">
        <f>BG9*1.01</f>
        <v>7.2012999999999998</v>
      </c>
      <c r="BH10" s="813">
        <f t="shared" si="10"/>
        <v>2.2070000000000003</v>
      </c>
      <c r="BI10" s="813">
        <f t="shared" ref="BI10:BJ18" si="11">BI$9 + (BI$19 - BI$9) * ((ROW() - ROW(BI$9)) / (ROW(BI$19) - ROW(BI$9)))</f>
        <v>1.1639999999999999</v>
      </c>
      <c r="BJ10" s="813">
        <f t="shared" si="11"/>
        <v>0.99199999999999999</v>
      </c>
      <c r="BL10" s="817">
        <f t="shared" si="4"/>
        <v>15.893269100000001</v>
      </c>
      <c r="BM10" s="817">
        <f t="shared" si="1"/>
        <v>8.3823131999999987</v>
      </c>
      <c r="BN10" s="817">
        <f t="shared" si="1"/>
        <v>7.1436896000000001</v>
      </c>
    </row>
    <row r="11" spans="1:69" s="300" customFormat="1">
      <c r="B11" s="412">
        <v>2027</v>
      </c>
      <c r="C11" s="415">
        <f t="shared" ref="C11:T18" si="12">C$9 + (C$19 - C$9) * ((ROW() - ROW(C$9)) / (ROW(C$19) - ROW(C$9)))</f>
        <v>1.728</v>
      </c>
      <c r="D11" s="415">
        <f t="shared" si="12"/>
        <v>1.3824000000000001</v>
      </c>
      <c r="E11" s="415">
        <f t="shared" si="12"/>
        <v>0.111</v>
      </c>
      <c r="F11" s="415">
        <f t="shared" si="12"/>
        <v>7.3</v>
      </c>
      <c r="G11" s="415">
        <f t="shared" ca="1" si="12"/>
        <v>3.3935421686746996</v>
      </c>
      <c r="H11" s="415">
        <f t="shared" si="12"/>
        <v>119.54545454545455</v>
      </c>
      <c r="I11" s="415">
        <f t="shared" si="12"/>
        <v>102.27272727272728</v>
      </c>
      <c r="J11" s="415">
        <f t="shared" si="12"/>
        <v>186.4</v>
      </c>
      <c r="K11" s="415">
        <f t="shared" si="12"/>
        <v>290</v>
      </c>
      <c r="L11" s="415">
        <f t="shared" si="12"/>
        <v>6</v>
      </c>
      <c r="M11" s="415">
        <f t="shared" si="12"/>
        <v>3292.8</v>
      </c>
      <c r="N11" s="415">
        <f t="shared" si="12"/>
        <v>267.2</v>
      </c>
      <c r="O11" s="415">
        <f t="shared" si="12"/>
        <v>5.7000000000000002E-2</v>
      </c>
      <c r="P11" s="416"/>
      <c r="Q11" s="415">
        <f t="shared" si="12"/>
        <v>18.899999999999999</v>
      </c>
      <c r="R11" s="415">
        <f t="shared" si="12"/>
        <v>11</v>
      </c>
      <c r="S11" s="415">
        <f t="shared" si="7"/>
        <v>8.6</v>
      </c>
      <c r="T11" s="415">
        <f t="shared" si="12"/>
        <v>3.5279759999999998</v>
      </c>
      <c r="U11" s="415">
        <f t="shared" si="7"/>
        <v>0.111</v>
      </c>
      <c r="V11" s="415">
        <f t="shared" si="3"/>
        <v>0.31079999999999997</v>
      </c>
      <c r="W11" s="415">
        <f t="shared" si="7"/>
        <v>2.8</v>
      </c>
      <c r="X11" s="879">
        <f t="shared" si="7"/>
        <v>10</v>
      </c>
      <c r="Y11" s="879">
        <f t="shared" si="7"/>
        <v>180</v>
      </c>
      <c r="AC11" s="300">
        <v>2027</v>
      </c>
      <c r="AD11" s="300">
        <f>AD10-0.024</f>
        <v>1.272</v>
      </c>
      <c r="AE11" s="300">
        <f>AE10-0.012</f>
        <v>1.236</v>
      </c>
      <c r="AF11" s="300">
        <f>AF10-0.052</f>
        <v>1.446</v>
      </c>
      <c r="AG11" s="300">
        <v>1.446</v>
      </c>
      <c r="AH11" s="300">
        <f t="shared" si="8"/>
        <v>1.6479999999999999</v>
      </c>
      <c r="AI11" s="300">
        <f t="shared" si="8"/>
        <v>1.6479999999999999</v>
      </c>
      <c r="AJ11" s="300">
        <v>1.2</v>
      </c>
      <c r="AK11" s="300">
        <f t="shared" ref="AK11" si="13">AK10-0.056</f>
        <v>1.6479999999999999</v>
      </c>
      <c r="AP11" s="300">
        <v>2027</v>
      </c>
      <c r="AQ11" s="300">
        <f t="shared" ref="AQ11:BF18" si="14">AQ$9 + (AQ$19 - AQ$9) * ((ROW() - ROW(AQ$9)) / (ROW(AQ$19) - ROW(AQ$9)))</f>
        <v>4.3999999999999997E-2</v>
      </c>
      <c r="AR11" s="300">
        <f t="shared" si="14"/>
        <v>9.7000000000000003E-2</v>
      </c>
      <c r="AS11" s="300">
        <f t="shared" si="14"/>
        <v>2.1999999999999999E-2</v>
      </c>
      <c r="AT11" s="300">
        <f t="shared" si="14"/>
        <v>1.29E-2</v>
      </c>
      <c r="AU11" s="300">
        <f t="shared" si="14"/>
        <v>2.3E-2</v>
      </c>
      <c r="AV11" s="300">
        <f t="shared" si="14"/>
        <v>5.0000000000000001E-3</v>
      </c>
      <c r="AW11" s="300">
        <f t="shared" si="14"/>
        <v>3.2271428571428583E-2</v>
      </c>
      <c r="AX11" s="300">
        <f t="shared" si="14"/>
        <v>7.222857142857142E-2</v>
      </c>
      <c r="AY11" s="300">
        <f t="shared" si="14"/>
        <v>8.249999999999999E-2</v>
      </c>
      <c r="AZ11" s="300">
        <f t="shared" si="14"/>
        <v>1.1214285714285715E-2</v>
      </c>
      <c r="BF11" s="300">
        <f t="shared" si="14"/>
        <v>2027</v>
      </c>
      <c r="BG11" s="817">
        <f t="shared" ref="BG11:BG19" si="15">BG10*1.01</f>
        <v>7.2733129999999999</v>
      </c>
      <c r="BH11" s="813">
        <f t="shared" si="10"/>
        <v>2.214</v>
      </c>
      <c r="BI11" s="813">
        <f t="shared" si="11"/>
        <v>1.1679999999999999</v>
      </c>
      <c r="BJ11" s="813">
        <f t="shared" si="11"/>
        <v>1.004</v>
      </c>
      <c r="BL11" s="817">
        <f t="shared" si="4"/>
        <v>16.103114982000001</v>
      </c>
      <c r="BM11" s="817">
        <f t="shared" si="1"/>
        <v>8.4952295839999987</v>
      </c>
      <c r="BN11" s="817">
        <f t="shared" si="1"/>
        <v>7.3024062519999999</v>
      </c>
    </row>
    <row r="12" spans="1:69" s="300" customFormat="1">
      <c r="B12" s="412">
        <v>2028</v>
      </c>
      <c r="C12" s="415">
        <f t="shared" si="12"/>
        <v>1.762</v>
      </c>
      <c r="D12" s="415">
        <f t="shared" si="12"/>
        <v>1.4096000000000002</v>
      </c>
      <c r="E12" s="415">
        <f t="shared" si="12"/>
        <v>0.1115</v>
      </c>
      <c r="F12" s="415">
        <f t="shared" si="12"/>
        <v>6.95</v>
      </c>
      <c r="G12" s="415">
        <f t="shared" ca="1" si="12"/>
        <v>3.4603132530120497</v>
      </c>
      <c r="H12" s="415">
        <f t="shared" si="12"/>
        <v>117.72727272727273</v>
      </c>
      <c r="I12" s="415">
        <f t="shared" si="12"/>
        <v>101.36363636363636</v>
      </c>
      <c r="J12" s="415">
        <f t="shared" si="12"/>
        <v>207.1</v>
      </c>
      <c r="K12" s="415">
        <f t="shared" si="12"/>
        <v>280</v>
      </c>
      <c r="L12" s="415">
        <f t="shared" si="12"/>
        <v>6</v>
      </c>
      <c r="M12" s="415">
        <f t="shared" si="12"/>
        <v>3256.2000000000003</v>
      </c>
      <c r="N12" s="415">
        <f t="shared" si="12"/>
        <v>263.8</v>
      </c>
      <c r="O12" s="415">
        <f t="shared" si="12"/>
        <v>5.8000000000000003E-2</v>
      </c>
      <c r="P12" s="416"/>
      <c r="Q12" s="415">
        <f t="shared" si="12"/>
        <v>18.100000000000001</v>
      </c>
      <c r="R12" s="415">
        <f t="shared" si="7"/>
        <v>11.5</v>
      </c>
      <c r="S12" s="415">
        <f t="shared" si="7"/>
        <v>9.15</v>
      </c>
      <c r="T12" s="415">
        <f t="shared" si="7"/>
        <v>3.5472069999999998</v>
      </c>
      <c r="U12" s="415">
        <f t="shared" si="7"/>
        <v>0.1115</v>
      </c>
      <c r="V12" s="415">
        <f t="shared" si="3"/>
        <v>0.30105000000000004</v>
      </c>
      <c r="W12" s="415">
        <f t="shared" si="7"/>
        <v>2.7</v>
      </c>
      <c r="X12" s="879">
        <f t="shared" si="7"/>
        <v>15</v>
      </c>
      <c r="Y12" s="879">
        <f t="shared" si="7"/>
        <v>170</v>
      </c>
      <c r="AC12" s="300">
        <v>2028</v>
      </c>
      <c r="AD12" s="300">
        <f>AD11-0.024</f>
        <v>1.248</v>
      </c>
      <c r="AE12" s="300">
        <f>AE11-0.012</f>
        <v>1.224</v>
      </c>
      <c r="AF12" s="300">
        <f>AF11-0.052</f>
        <v>1.3939999999999999</v>
      </c>
      <c r="AG12" s="300">
        <v>1.3939999999999999</v>
      </c>
      <c r="AH12" s="300">
        <f t="shared" si="8"/>
        <v>1.5919999999999999</v>
      </c>
      <c r="AI12" s="300">
        <f t="shared" si="8"/>
        <v>1.5919999999999999</v>
      </c>
      <c r="AJ12" s="300">
        <v>1.2</v>
      </c>
      <c r="AK12" s="300">
        <f t="shared" ref="AK12" si="16">AK11-0.056</f>
        <v>1.5919999999999999</v>
      </c>
      <c r="AP12" s="300">
        <v>2028</v>
      </c>
      <c r="AQ12" s="300">
        <f t="shared" si="14"/>
        <v>4.3999999999999997E-2</v>
      </c>
      <c r="AR12" s="300">
        <f t="shared" si="10"/>
        <v>9.7000000000000003E-2</v>
      </c>
      <c r="AS12" s="300">
        <f t="shared" si="10"/>
        <v>2.1999999999999999E-2</v>
      </c>
      <c r="AT12" s="300">
        <f t="shared" si="10"/>
        <v>1.235E-2</v>
      </c>
      <c r="AU12" s="300">
        <f t="shared" si="10"/>
        <v>2.3E-2</v>
      </c>
      <c r="AV12" s="300">
        <f t="shared" si="10"/>
        <v>5.0000000000000001E-3</v>
      </c>
      <c r="AW12" s="300">
        <f t="shared" si="10"/>
        <v>3.140714285714287E-2</v>
      </c>
      <c r="AX12" s="300">
        <f t="shared" si="10"/>
        <v>7.0342857142857124E-2</v>
      </c>
      <c r="AY12" s="300">
        <f t="shared" si="10"/>
        <v>7.9750000000000001E-2</v>
      </c>
      <c r="AZ12" s="300">
        <f t="shared" si="10"/>
        <v>1.082142857142857E-2</v>
      </c>
      <c r="BF12" s="300">
        <f t="shared" si="10"/>
        <v>2028</v>
      </c>
      <c r="BG12" s="817">
        <f t="shared" si="15"/>
        <v>7.3460461300000004</v>
      </c>
      <c r="BH12" s="813">
        <f t="shared" si="10"/>
        <v>2.2210000000000001</v>
      </c>
      <c r="BI12" s="813">
        <f t="shared" si="11"/>
        <v>1.1719999999999999</v>
      </c>
      <c r="BJ12" s="813">
        <f t="shared" si="11"/>
        <v>1.016</v>
      </c>
      <c r="BL12" s="817">
        <f t="shared" si="4"/>
        <v>16.315568454730002</v>
      </c>
      <c r="BM12" s="817">
        <f t="shared" si="1"/>
        <v>8.6095660643599992</v>
      </c>
      <c r="BN12" s="817">
        <f t="shared" si="1"/>
        <v>7.4635828680800005</v>
      </c>
    </row>
    <row r="13" spans="1:69" s="300" customFormat="1">
      <c r="B13" s="412">
        <v>2029</v>
      </c>
      <c r="C13" s="415">
        <f t="shared" si="12"/>
        <v>1.796</v>
      </c>
      <c r="D13" s="415">
        <f t="shared" si="12"/>
        <v>1.4368000000000001</v>
      </c>
      <c r="E13" s="415">
        <f t="shared" si="12"/>
        <v>0.112</v>
      </c>
      <c r="F13" s="415">
        <f t="shared" si="12"/>
        <v>6.6</v>
      </c>
      <c r="G13" s="415">
        <f t="shared" ca="1" si="12"/>
        <v>3.5270843373493994</v>
      </c>
      <c r="H13" s="415">
        <f t="shared" si="12"/>
        <v>115.90909090909091</v>
      </c>
      <c r="I13" s="415">
        <f t="shared" si="12"/>
        <v>100.45454545454545</v>
      </c>
      <c r="J13" s="415">
        <f t="shared" si="12"/>
        <v>227.8</v>
      </c>
      <c r="K13" s="415">
        <f t="shared" si="12"/>
        <v>270</v>
      </c>
      <c r="L13" s="415">
        <f t="shared" si="12"/>
        <v>6</v>
      </c>
      <c r="M13" s="415">
        <f t="shared" si="12"/>
        <v>3219.6000000000004</v>
      </c>
      <c r="N13" s="415">
        <f t="shared" si="12"/>
        <v>260.39999999999998</v>
      </c>
      <c r="O13" s="415">
        <f t="shared" si="12"/>
        <v>5.9000000000000004E-2</v>
      </c>
      <c r="P13" s="416"/>
      <c r="Q13" s="415">
        <f t="shared" si="12"/>
        <v>17.3</v>
      </c>
      <c r="R13" s="415">
        <f t="shared" si="7"/>
        <v>12</v>
      </c>
      <c r="S13" s="415">
        <f t="shared" si="7"/>
        <v>9.6999999999999993</v>
      </c>
      <c r="T13" s="415">
        <f t="shared" si="7"/>
        <v>3.5664379999999998</v>
      </c>
      <c r="U13" s="415">
        <f t="shared" si="7"/>
        <v>0.112</v>
      </c>
      <c r="V13" s="415">
        <f t="shared" si="3"/>
        <v>0.29120000000000001</v>
      </c>
      <c r="W13" s="415">
        <f t="shared" si="7"/>
        <v>2.6</v>
      </c>
      <c r="X13" s="879">
        <f t="shared" si="7"/>
        <v>20</v>
      </c>
      <c r="Y13" s="879">
        <f t="shared" si="7"/>
        <v>160</v>
      </c>
      <c r="AC13" s="300">
        <v>2029</v>
      </c>
      <c r="AD13" s="300">
        <f>AD12-0.024</f>
        <v>1.224</v>
      </c>
      <c r="AE13" s="300">
        <f>AE12-0.012</f>
        <v>1.212</v>
      </c>
      <c r="AF13" s="300">
        <f>AF12-0.052</f>
        <v>1.3419999999999999</v>
      </c>
      <c r="AG13" s="300">
        <v>1.3419999999999999</v>
      </c>
      <c r="AH13" s="300">
        <f t="shared" si="8"/>
        <v>1.5359999999999998</v>
      </c>
      <c r="AI13" s="300">
        <f t="shared" si="8"/>
        <v>1.5359999999999998</v>
      </c>
      <c r="AJ13" s="300">
        <v>1.2</v>
      </c>
      <c r="AK13" s="300">
        <f t="shared" ref="AK13" si="17">AK12-0.056</f>
        <v>1.5359999999999998</v>
      </c>
      <c r="AP13" s="300">
        <v>2029</v>
      </c>
      <c r="AQ13" s="300">
        <f t="shared" si="14"/>
        <v>4.3999999999999997E-2</v>
      </c>
      <c r="AR13" s="300">
        <f t="shared" si="10"/>
        <v>9.7000000000000003E-2</v>
      </c>
      <c r="AS13" s="300">
        <f t="shared" si="10"/>
        <v>2.1999999999999999E-2</v>
      </c>
      <c r="AT13" s="300">
        <f t="shared" si="10"/>
        <v>1.18E-2</v>
      </c>
      <c r="AU13" s="300">
        <f t="shared" si="10"/>
        <v>2.3E-2</v>
      </c>
      <c r="AV13" s="300">
        <f t="shared" si="10"/>
        <v>5.0000000000000001E-3</v>
      </c>
      <c r="AW13" s="300">
        <f t="shared" si="10"/>
        <v>3.0542857142857163E-2</v>
      </c>
      <c r="AX13" s="300">
        <f t="shared" si="10"/>
        <v>6.8457142857142841E-2</v>
      </c>
      <c r="AY13" s="300">
        <f t="shared" si="10"/>
        <v>7.6999999999999999E-2</v>
      </c>
      <c r="AZ13" s="300">
        <f t="shared" si="10"/>
        <v>1.0428571428571428E-2</v>
      </c>
      <c r="BF13" s="300">
        <f t="shared" si="10"/>
        <v>2029</v>
      </c>
      <c r="BG13" s="817">
        <f t="shared" si="15"/>
        <v>7.4195065913000002</v>
      </c>
      <c r="BH13" s="813">
        <f t="shared" si="10"/>
        <v>2.2280000000000002</v>
      </c>
      <c r="BI13" s="813">
        <f t="shared" si="11"/>
        <v>1.1759999999999999</v>
      </c>
      <c r="BJ13" s="813">
        <f t="shared" si="11"/>
        <v>1.028</v>
      </c>
      <c r="BL13" s="817">
        <f t="shared" si="4"/>
        <v>16.530660685416404</v>
      </c>
      <c r="BM13" s="817">
        <f t="shared" si="1"/>
        <v>8.7253397513688</v>
      </c>
      <c r="BN13" s="817">
        <f t="shared" si="1"/>
        <v>7.6272527758564008</v>
      </c>
    </row>
    <row r="14" spans="1:69" s="300" customFormat="1">
      <c r="B14" s="412">
        <v>2030</v>
      </c>
      <c r="C14" s="416">
        <f t="shared" si="12"/>
        <v>1.83</v>
      </c>
      <c r="D14" s="416">
        <f t="shared" si="12"/>
        <v>1.464</v>
      </c>
      <c r="E14" s="416">
        <f t="shared" si="12"/>
        <v>0.1125</v>
      </c>
      <c r="F14" s="416">
        <f t="shared" si="12"/>
        <v>6.25</v>
      </c>
      <c r="G14" s="416">
        <f t="shared" ca="1" si="12"/>
        <v>3.5938554216867495</v>
      </c>
      <c r="H14" s="416">
        <f t="shared" si="12"/>
        <v>114.09090909090909</v>
      </c>
      <c r="I14" s="416">
        <f t="shared" si="12"/>
        <v>99.545454545454547</v>
      </c>
      <c r="J14" s="416">
        <f t="shared" si="12"/>
        <v>248.5</v>
      </c>
      <c r="K14" s="416">
        <f t="shared" si="12"/>
        <v>260</v>
      </c>
      <c r="L14" s="416">
        <f t="shared" si="12"/>
        <v>6</v>
      </c>
      <c r="M14" s="416">
        <f t="shared" si="12"/>
        <v>3183</v>
      </c>
      <c r="N14" s="416">
        <f t="shared" si="12"/>
        <v>257</v>
      </c>
      <c r="O14" s="416">
        <f t="shared" si="12"/>
        <v>0.06</v>
      </c>
      <c r="P14" s="416"/>
      <c r="Q14" s="416">
        <f t="shared" si="12"/>
        <v>16.5</v>
      </c>
      <c r="R14" s="416">
        <f t="shared" si="7"/>
        <v>12.5</v>
      </c>
      <c r="S14" s="416">
        <f t="shared" si="7"/>
        <v>10.25</v>
      </c>
      <c r="T14" s="416">
        <f t="shared" si="7"/>
        <v>3.5856690000000002</v>
      </c>
      <c r="U14" s="416">
        <f t="shared" si="7"/>
        <v>0.1125</v>
      </c>
      <c r="V14" s="416">
        <f t="shared" si="3"/>
        <v>0.28125</v>
      </c>
      <c r="W14" s="416">
        <f t="shared" si="7"/>
        <v>2.5</v>
      </c>
      <c r="X14" s="877">
        <f t="shared" si="7"/>
        <v>25</v>
      </c>
      <c r="Y14" s="877">
        <f t="shared" si="7"/>
        <v>150</v>
      </c>
      <c r="AC14" s="300">
        <v>2030</v>
      </c>
      <c r="AD14" s="300">
        <v>1.2</v>
      </c>
      <c r="AE14" s="300">
        <v>1.2</v>
      </c>
      <c r="AF14" s="300">
        <v>1.29</v>
      </c>
      <c r="AG14" s="300">
        <v>1.29</v>
      </c>
      <c r="AH14" s="300">
        <v>1.48</v>
      </c>
      <c r="AI14" s="300">
        <v>1.48</v>
      </c>
      <c r="AJ14" s="300">
        <v>1.2</v>
      </c>
      <c r="AK14" s="300">
        <v>1.48</v>
      </c>
      <c r="AP14" s="300">
        <v>2030</v>
      </c>
      <c r="AQ14" s="300">
        <f t="shared" si="14"/>
        <v>4.3999999999999997E-2</v>
      </c>
      <c r="AR14" s="300">
        <f t="shared" si="10"/>
        <v>9.7000000000000003E-2</v>
      </c>
      <c r="AS14" s="300">
        <f t="shared" si="10"/>
        <v>2.1999999999999999E-2</v>
      </c>
      <c r="AT14" s="300">
        <f t="shared" si="10"/>
        <v>1.125E-2</v>
      </c>
      <c r="AU14" s="300">
        <f t="shared" si="10"/>
        <v>2.3E-2</v>
      </c>
      <c r="AV14" s="300">
        <f t="shared" si="10"/>
        <v>5.0000000000000001E-3</v>
      </c>
      <c r="AW14" s="300">
        <f t="shared" si="10"/>
        <v>2.967857142857145E-2</v>
      </c>
      <c r="AX14" s="300">
        <f t="shared" si="10"/>
        <v>6.6571428571428545E-2</v>
      </c>
      <c r="AY14" s="300">
        <f t="shared" si="10"/>
        <v>7.4249999999999997E-2</v>
      </c>
      <c r="AZ14" s="300">
        <f t="shared" si="10"/>
        <v>1.0035714285714285E-2</v>
      </c>
      <c r="BF14" s="300">
        <f t="shared" si="10"/>
        <v>2030</v>
      </c>
      <c r="BG14" s="817">
        <f t="shared" si="15"/>
        <v>7.4937016572130002</v>
      </c>
      <c r="BH14" s="813">
        <f t="shared" si="10"/>
        <v>2.2350000000000003</v>
      </c>
      <c r="BI14" s="813">
        <f t="shared" si="11"/>
        <v>1.18</v>
      </c>
      <c r="BJ14" s="813">
        <f t="shared" si="11"/>
        <v>1.04</v>
      </c>
      <c r="BL14" s="817">
        <f t="shared" si="4"/>
        <v>16.748423203871059</v>
      </c>
      <c r="BM14" s="817">
        <f t="shared" si="1"/>
        <v>8.8425679555113401</v>
      </c>
      <c r="BN14" s="817">
        <f t="shared" si="1"/>
        <v>7.7934497235015208</v>
      </c>
    </row>
    <row r="15" spans="1:69" s="300" customFormat="1">
      <c r="B15" s="412">
        <v>2031</v>
      </c>
      <c r="C15" s="416">
        <f t="shared" si="12"/>
        <v>1.8639999999999999</v>
      </c>
      <c r="D15" s="416">
        <f t="shared" si="12"/>
        <v>1.4912000000000001</v>
      </c>
      <c r="E15" s="416">
        <f t="shared" si="12"/>
        <v>0.113</v>
      </c>
      <c r="F15" s="416">
        <f t="shared" si="12"/>
        <v>5.9</v>
      </c>
      <c r="G15" s="416">
        <f t="shared" ca="1" si="12"/>
        <v>3.6606265060240997</v>
      </c>
      <c r="H15" s="416">
        <f t="shared" si="12"/>
        <v>112.27272727272728</v>
      </c>
      <c r="I15" s="416">
        <f t="shared" si="12"/>
        <v>98.63636363636364</v>
      </c>
      <c r="J15" s="416">
        <f t="shared" si="12"/>
        <v>269.2</v>
      </c>
      <c r="K15" s="416">
        <f t="shared" si="12"/>
        <v>250</v>
      </c>
      <c r="L15" s="416">
        <f t="shared" si="12"/>
        <v>6</v>
      </c>
      <c r="M15" s="416">
        <f t="shared" si="12"/>
        <v>3146.4</v>
      </c>
      <c r="N15" s="416">
        <f t="shared" si="12"/>
        <v>253.6</v>
      </c>
      <c r="O15" s="416">
        <f t="shared" si="12"/>
        <v>6.0999999999999999E-2</v>
      </c>
      <c r="P15" s="416"/>
      <c r="Q15" s="416">
        <f t="shared" si="12"/>
        <v>15.7</v>
      </c>
      <c r="R15" s="416">
        <f t="shared" si="7"/>
        <v>13</v>
      </c>
      <c r="S15" s="416">
        <f t="shared" si="7"/>
        <v>10.8</v>
      </c>
      <c r="T15" s="416">
        <f t="shared" si="7"/>
        <v>3.6049000000000002</v>
      </c>
      <c r="U15" s="416">
        <f t="shared" si="7"/>
        <v>0.113</v>
      </c>
      <c r="V15" s="416">
        <f t="shared" si="3"/>
        <v>0.2712</v>
      </c>
      <c r="W15" s="416">
        <f t="shared" si="7"/>
        <v>2.4</v>
      </c>
      <c r="X15" s="877">
        <f t="shared" si="7"/>
        <v>30</v>
      </c>
      <c r="Y15" s="877">
        <f t="shared" si="7"/>
        <v>140</v>
      </c>
      <c r="AC15" s="300">
        <v>2031</v>
      </c>
      <c r="AD15" s="300">
        <v>1.2</v>
      </c>
      <c r="AE15" s="300">
        <v>1.2</v>
      </c>
      <c r="AF15" s="300">
        <v>1.27</v>
      </c>
      <c r="AG15" s="300">
        <v>1.27</v>
      </c>
      <c r="AH15" s="300">
        <f t="shared" ref="AH15:AI18" si="18">AH14-0.056</f>
        <v>1.4239999999999999</v>
      </c>
      <c r="AI15" s="300">
        <f t="shared" si="18"/>
        <v>1.4239999999999999</v>
      </c>
      <c r="AJ15" s="300">
        <v>1.2</v>
      </c>
      <c r="AK15" s="300">
        <f t="shared" ref="AK15" si="19">AK14-0.056</f>
        <v>1.4239999999999999</v>
      </c>
      <c r="AP15" s="300">
        <v>2031</v>
      </c>
      <c r="AQ15" s="300">
        <f t="shared" si="14"/>
        <v>4.3999999999999997E-2</v>
      </c>
      <c r="AR15" s="300">
        <f t="shared" si="10"/>
        <v>9.7000000000000003E-2</v>
      </c>
      <c r="AS15" s="300">
        <f t="shared" si="10"/>
        <v>2.1999999999999999E-2</v>
      </c>
      <c r="AT15" s="300">
        <f t="shared" si="10"/>
        <v>1.0700000000000001E-2</v>
      </c>
      <c r="AU15" s="300">
        <f t="shared" si="10"/>
        <v>2.3E-2</v>
      </c>
      <c r="AV15" s="300">
        <f t="shared" si="10"/>
        <v>5.0000000000000001E-3</v>
      </c>
      <c r="AW15" s="300">
        <f t="shared" si="10"/>
        <v>2.8814285714285744E-2</v>
      </c>
      <c r="AX15" s="300">
        <f t="shared" si="10"/>
        <v>6.4685714285714263E-2</v>
      </c>
      <c r="AY15" s="300">
        <f t="shared" si="10"/>
        <v>7.1499999999999994E-2</v>
      </c>
      <c r="AZ15" s="300">
        <f t="shared" si="10"/>
        <v>9.6428571428571423E-3</v>
      </c>
      <c r="BF15" s="300">
        <f t="shared" si="10"/>
        <v>2031</v>
      </c>
      <c r="BG15" s="817">
        <f t="shared" si="15"/>
        <v>7.5686386737851299</v>
      </c>
      <c r="BH15" s="813">
        <f t="shared" si="10"/>
        <v>2.242</v>
      </c>
      <c r="BI15" s="813">
        <f t="shared" si="11"/>
        <v>1.1839999999999999</v>
      </c>
      <c r="BJ15" s="813">
        <f t="shared" si="11"/>
        <v>1.052</v>
      </c>
      <c r="BL15" s="817">
        <f t="shared" si="4"/>
        <v>16.968887906626261</v>
      </c>
      <c r="BM15" s="817">
        <f t="shared" si="1"/>
        <v>8.9612681897615936</v>
      </c>
      <c r="BN15" s="817">
        <f t="shared" si="1"/>
        <v>7.9622078848219573</v>
      </c>
    </row>
    <row r="16" spans="1:69" s="300" customFormat="1">
      <c r="B16" s="412">
        <v>2032</v>
      </c>
      <c r="C16" s="416">
        <f t="shared" si="12"/>
        <v>1.8979999999999999</v>
      </c>
      <c r="D16" s="416">
        <f t="shared" si="12"/>
        <v>1.5184000000000002</v>
      </c>
      <c r="E16" s="416">
        <f t="shared" si="12"/>
        <v>0.1135</v>
      </c>
      <c r="F16" s="416">
        <f t="shared" si="12"/>
        <v>5.5500000000000007</v>
      </c>
      <c r="G16" s="416">
        <f t="shared" ca="1" si="12"/>
        <v>3.7273975903614494</v>
      </c>
      <c r="H16" s="416">
        <f t="shared" si="12"/>
        <v>110.45454545454545</v>
      </c>
      <c r="I16" s="416">
        <f t="shared" si="12"/>
        <v>97.727272727272734</v>
      </c>
      <c r="J16" s="416">
        <f t="shared" si="12"/>
        <v>289.89999999999998</v>
      </c>
      <c r="K16" s="416">
        <f t="shared" si="12"/>
        <v>240</v>
      </c>
      <c r="L16" s="416">
        <f t="shared" si="12"/>
        <v>6</v>
      </c>
      <c r="M16" s="416">
        <f t="shared" si="12"/>
        <v>3109.8</v>
      </c>
      <c r="N16" s="416">
        <f t="shared" si="12"/>
        <v>250.2</v>
      </c>
      <c r="O16" s="416">
        <f t="shared" si="12"/>
        <v>6.2E-2</v>
      </c>
      <c r="P16" s="416"/>
      <c r="Q16" s="416">
        <f t="shared" si="12"/>
        <v>14.9</v>
      </c>
      <c r="R16" s="416">
        <f t="shared" si="7"/>
        <v>13.5</v>
      </c>
      <c r="S16" s="416">
        <f t="shared" si="7"/>
        <v>11.35</v>
      </c>
      <c r="T16" s="416">
        <f t="shared" si="7"/>
        <v>3.6241310000000002</v>
      </c>
      <c r="U16" s="416">
        <f t="shared" si="7"/>
        <v>0.1135</v>
      </c>
      <c r="V16" s="416">
        <f t="shared" si="3"/>
        <v>0.26105</v>
      </c>
      <c r="W16" s="416">
        <f t="shared" si="7"/>
        <v>2.2999999999999998</v>
      </c>
      <c r="X16" s="877">
        <f t="shared" si="7"/>
        <v>35</v>
      </c>
      <c r="Y16" s="877">
        <f t="shared" si="7"/>
        <v>130</v>
      </c>
      <c r="AC16" s="300">
        <v>2032</v>
      </c>
      <c r="AD16" s="300">
        <v>1.2</v>
      </c>
      <c r="AE16" s="300">
        <v>1.2</v>
      </c>
      <c r="AF16" s="300">
        <v>1.25</v>
      </c>
      <c r="AG16" s="300">
        <v>1.25</v>
      </c>
      <c r="AH16" s="300">
        <f t="shared" si="18"/>
        <v>1.3679999999999999</v>
      </c>
      <c r="AI16" s="300">
        <f t="shared" si="18"/>
        <v>1.3679999999999999</v>
      </c>
      <c r="AJ16" s="300">
        <v>1.2</v>
      </c>
      <c r="AK16" s="300">
        <f t="shared" ref="AK16" si="20">AK15-0.056</f>
        <v>1.3679999999999999</v>
      </c>
      <c r="AP16" s="300">
        <v>2032</v>
      </c>
      <c r="AQ16" s="300">
        <f t="shared" si="14"/>
        <v>4.3999999999999997E-2</v>
      </c>
      <c r="AR16" s="300">
        <f t="shared" si="10"/>
        <v>9.7000000000000003E-2</v>
      </c>
      <c r="AS16" s="300">
        <f t="shared" si="10"/>
        <v>2.1999999999999999E-2</v>
      </c>
      <c r="AT16" s="300">
        <f t="shared" si="10"/>
        <v>1.0150000000000001E-2</v>
      </c>
      <c r="AU16" s="300">
        <f t="shared" si="10"/>
        <v>2.3E-2</v>
      </c>
      <c r="AV16" s="300">
        <f t="shared" si="10"/>
        <v>5.0000000000000001E-3</v>
      </c>
      <c r="AW16" s="300">
        <f t="shared" si="10"/>
        <v>2.795000000000003E-2</v>
      </c>
      <c r="AX16" s="300">
        <f t="shared" si="10"/>
        <v>6.2799999999999967E-2</v>
      </c>
      <c r="AY16" s="300">
        <f t="shared" si="10"/>
        <v>6.8750000000000006E-2</v>
      </c>
      <c r="AZ16" s="300">
        <f t="shared" si="10"/>
        <v>9.2499999999999995E-3</v>
      </c>
      <c r="BF16" s="300">
        <f t="shared" si="10"/>
        <v>2032</v>
      </c>
      <c r="BG16" s="817">
        <f t="shared" si="15"/>
        <v>7.6443250605229816</v>
      </c>
      <c r="BH16" s="813">
        <f t="shared" si="10"/>
        <v>2.2490000000000001</v>
      </c>
      <c r="BI16" s="813">
        <f t="shared" si="11"/>
        <v>1.1879999999999999</v>
      </c>
      <c r="BJ16" s="813">
        <f t="shared" si="11"/>
        <v>1.0640000000000001</v>
      </c>
      <c r="BL16" s="817">
        <f t="shared" si="4"/>
        <v>17.192087061116187</v>
      </c>
      <c r="BM16" s="817">
        <f t="shared" si="1"/>
        <v>9.0814581719013017</v>
      </c>
      <c r="BN16" s="817">
        <f t="shared" si="1"/>
        <v>8.1335618643964533</v>
      </c>
    </row>
    <row r="17" spans="2:66" s="300" customFormat="1">
      <c r="B17" s="412">
        <v>2033</v>
      </c>
      <c r="C17" s="416">
        <f t="shared" si="12"/>
        <v>1.9319999999999999</v>
      </c>
      <c r="D17" s="416">
        <f t="shared" si="12"/>
        <v>1.5456000000000001</v>
      </c>
      <c r="E17" s="416">
        <f t="shared" si="12"/>
        <v>0.114</v>
      </c>
      <c r="F17" s="416">
        <f t="shared" si="12"/>
        <v>5.1999999999999993</v>
      </c>
      <c r="G17" s="416">
        <f t="shared" ca="1" si="12"/>
        <v>3.7941686746987995</v>
      </c>
      <c r="H17" s="416">
        <f t="shared" si="12"/>
        <v>108.63636363636364</v>
      </c>
      <c r="I17" s="416">
        <f t="shared" si="12"/>
        <v>96.818181818181813</v>
      </c>
      <c r="J17" s="416">
        <f t="shared" si="12"/>
        <v>310.60000000000002</v>
      </c>
      <c r="K17" s="416">
        <f t="shared" si="12"/>
        <v>230</v>
      </c>
      <c r="L17" s="416">
        <f t="shared" si="12"/>
        <v>6</v>
      </c>
      <c r="M17" s="416">
        <f t="shared" si="12"/>
        <v>3073.2000000000003</v>
      </c>
      <c r="N17" s="416">
        <f t="shared" si="12"/>
        <v>246.8</v>
      </c>
      <c r="O17" s="416">
        <f t="shared" si="12"/>
        <v>6.3E-2</v>
      </c>
      <c r="P17" s="416"/>
      <c r="Q17" s="416">
        <f t="shared" si="12"/>
        <v>14.1</v>
      </c>
      <c r="R17" s="416">
        <f t="shared" si="7"/>
        <v>14</v>
      </c>
      <c r="S17" s="416">
        <f t="shared" si="7"/>
        <v>11.9</v>
      </c>
      <c r="T17" s="416">
        <f t="shared" si="7"/>
        <v>3.6433620000000002</v>
      </c>
      <c r="U17" s="416">
        <f t="shared" si="7"/>
        <v>0.114</v>
      </c>
      <c r="V17" s="416">
        <f t="shared" si="3"/>
        <v>0.25080000000000002</v>
      </c>
      <c r="W17" s="416">
        <f t="shared" si="7"/>
        <v>2.2000000000000002</v>
      </c>
      <c r="X17" s="877">
        <f t="shared" si="7"/>
        <v>40</v>
      </c>
      <c r="Y17" s="877">
        <f t="shared" si="7"/>
        <v>120</v>
      </c>
      <c r="AC17" s="300">
        <v>2033</v>
      </c>
      <c r="AD17" s="300">
        <v>1.2</v>
      </c>
      <c r="AE17" s="300">
        <v>1.2</v>
      </c>
      <c r="AF17" s="300">
        <v>1.23</v>
      </c>
      <c r="AG17" s="300">
        <v>1.23</v>
      </c>
      <c r="AH17" s="300">
        <f t="shared" si="18"/>
        <v>1.3119999999999998</v>
      </c>
      <c r="AI17" s="300">
        <f t="shared" si="18"/>
        <v>1.3119999999999998</v>
      </c>
      <c r="AJ17" s="300">
        <v>1.2</v>
      </c>
      <c r="AK17" s="300">
        <f t="shared" ref="AK17" si="21">AK16-0.056</f>
        <v>1.3119999999999998</v>
      </c>
      <c r="AP17" s="300">
        <v>2033</v>
      </c>
      <c r="AQ17" s="300">
        <f t="shared" si="14"/>
        <v>4.3999999999999997E-2</v>
      </c>
      <c r="AR17" s="300">
        <f t="shared" si="10"/>
        <v>9.7000000000000003E-2</v>
      </c>
      <c r="AS17" s="300">
        <f t="shared" si="10"/>
        <v>2.1999999999999999E-2</v>
      </c>
      <c r="AT17" s="300">
        <f t="shared" si="10"/>
        <v>9.6000000000000009E-3</v>
      </c>
      <c r="AU17" s="300">
        <f t="shared" si="10"/>
        <v>2.3E-2</v>
      </c>
      <c r="AV17" s="300">
        <f t="shared" si="10"/>
        <v>5.0000000000000001E-3</v>
      </c>
      <c r="AW17" s="300">
        <f t="shared" si="10"/>
        <v>2.7085714285714321E-2</v>
      </c>
      <c r="AX17" s="300">
        <f t="shared" si="10"/>
        <v>6.0914285714285678E-2</v>
      </c>
      <c r="AY17" s="300">
        <f t="shared" si="10"/>
        <v>6.6000000000000003E-2</v>
      </c>
      <c r="AZ17" s="300">
        <f t="shared" si="10"/>
        <v>8.8571428571428551E-3</v>
      </c>
      <c r="BF17" s="300">
        <f t="shared" si="10"/>
        <v>2033</v>
      </c>
      <c r="BG17" s="817">
        <f t="shared" si="15"/>
        <v>7.7207683111282117</v>
      </c>
      <c r="BH17" s="813">
        <f t="shared" si="10"/>
        <v>2.2560000000000002</v>
      </c>
      <c r="BI17" s="813">
        <f t="shared" si="11"/>
        <v>1.1919999999999999</v>
      </c>
      <c r="BJ17" s="813">
        <f t="shared" si="11"/>
        <v>1.0760000000000001</v>
      </c>
      <c r="BL17" s="817">
        <f t="shared" si="4"/>
        <v>17.418053309905247</v>
      </c>
      <c r="BM17" s="817">
        <f t="shared" si="1"/>
        <v>9.2031558268648279</v>
      </c>
      <c r="BN17" s="817">
        <f t="shared" si="1"/>
        <v>8.3075467027739567</v>
      </c>
    </row>
    <row r="18" spans="2:66" s="300" customFormat="1">
      <c r="B18" s="412">
        <v>2034</v>
      </c>
      <c r="C18" s="416">
        <f t="shared" si="12"/>
        <v>1.966</v>
      </c>
      <c r="D18" s="416">
        <f t="shared" si="12"/>
        <v>1.5728</v>
      </c>
      <c r="E18" s="416">
        <f t="shared" si="12"/>
        <v>0.1145</v>
      </c>
      <c r="F18" s="416">
        <f t="shared" si="12"/>
        <v>4.8499999999999996</v>
      </c>
      <c r="G18" s="416">
        <f t="shared" ca="1" si="12"/>
        <v>3.8609397590361496</v>
      </c>
      <c r="H18" s="416">
        <f t="shared" si="12"/>
        <v>106.81818181818181</v>
      </c>
      <c r="I18" s="416">
        <f t="shared" si="12"/>
        <v>95.909090909090907</v>
      </c>
      <c r="J18" s="416">
        <f t="shared" si="12"/>
        <v>331.3</v>
      </c>
      <c r="K18" s="416">
        <f t="shared" si="12"/>
        <v>220</v>
      </c>
      <c r="L18" s="416">
        <f t="shared" si="12"/>
        <v>6</v>
      </c>
      <c r="M18" s="416">
        <f t="shared" si="12"/>
        <v>3036.6</v>
      </c>
      <c r="N18" s="416">
        <f t="shared" si="12"/>
        <v>243.4</v>
      </c>
      <c r="O18" s="416">
        <f t="shared" si="12"/>
        <v>6.4000000000000001E-2</v>
      </c>
      <c r="P18" s="416"/>
      <c r="Q18" s="416">
        <f t="shared" si="12"/>
        <v>13.3</v>
      </c>
      <c r="R18" s="416">
        <f t="shared" si="7"/>
        <v>14.5</v>
      </c>
      <c r="S18" s="416">
        <f t="shared" si="7"/>
        <v>12.45</v>
      </c>
      <c r="T18" s="416">
        <f t="shared" si="7"/>
        <v>3.6625930000000002</v>
      </c>
      <c r="U18" s="416">
        <f t="shared" si="7"/>
        <v>0.1145</v>
      </c>
      <c r="V18" s="416">
        <f t="shared" si="3"/>
        <v>0.24045000000000002</v>
      </c>
      <c r="W18" s="416">
        <f t="shared" si="7"/>
        <v>2.1</v>
      </c>
      <c r="X18" s="877">
        <f t="shared" si="7"/>
        <v>45</v>
      </c>
      <c r="Y18" s="877">
        <f t="shared" si="7"/>
        <v>110</v>
      </c>
      <c r="AC18" s="300">
        <v>2034</v>
      </c>
      <c r="AD18" s="300">
        <v>1.2</v>
      </c>
      <c r="AE18" s="300">
        <v>1.2</v>
      </c>
      <c r="AF18" s="300">
        <v>1.2150000000000001</v>
      </c>
      <c r="AG18" s="300">
        <v>1.2150000000000001</v>
      </c>
      <c r="AH18" s="300">
        <f t="shared" si="18"/>
        <v>1.2559999999999998</v>
      </c>
      <c r="AI18" s="300">
        <f t="shared" si="18"/>
        <v>1.2559999999999998</v>
      </c>
      <c r="AJ18" s="300">
        <v>1.2</v>
      </c>
      <c r="AK18" s="300">
        <f t="shared" ref="AK18" si="22">AK17-0.056</f>
        <v>1.2559999999999998</v>
      </c>
      <c r="AP18" s="300">
        <v>2034</v>
      </c>
      <c r="AQ18" s="300">
        <f t="shared" si="14"/>
        <v>4.3999999999999997E-2</v>
      </c>
      <c r="AR18" s="300">
        <f t="shared" si="10"/>
        <v>9.7000000000000003E-2</v>
      </c>
      <c r="AS18" s="300">
        <f t="shared" si="10"/>
        <v>2.1999999999999999E-2</v>
      </c>
      <c r="AT18" s="300">
        <f t="shared" si="10"/>
        <v>9.0500000000000008E-3</v>
      </c>
      <c r="AU18" s="300">
        <f t="shared" si="10"/>
        <v>2.3E-2</v>
      </c>
      <c r="AV18" s="300">
        <f t="shared" si="10"/>
        <v>5.0000000000000001E-3</v>
      </c>
      <c r="AW18" s="300">
        <f t="shared" si="10"/>
        <v>2.6221428571428611E-2</v>
      </c>
      <c r="AX18" s="300">
        <f t="shared" si="10"/>
        <v>5.9028571428571389E-2</v>
      </c>
      <c r="AY18" s="300">
        <f t="shared" si="10"/>
        <v>6.3250000000000001E-2</v>
      </c>
      <c r="AZ18" s="300">
        <f t="shared" si="10"/>
        <v>8.4642857142857124E-3</v>
      </c>
      <c r="BF18" s="300">
        <f t="shared" si="10"/>
        <v>2034</v>
      </c>
      <c r="BG18" s="817">
        <f t="shared" si="15"/>
        <v>7.7979759942394935</v>
      </c>
      <c r="BH18" s="813">
        <f t="shared" si="10"/>
        <v>2.2629999999999999</v>
      </c>
      <c r="BI18" s="813">
        <f t="shared" si="11"/>
        <v>1.196</v>
      </c>
      <c r="BJ18" s="813">
        <f t="shared" si="11"/>
        <v>1.0880000000000001</v>
      </c>
      <c r="BL18" s="817">
        <f t="shared" si="4"/>
        <v>17.646819674963972</v>
      </c>
      <c r="BM18" s="817">
        <f t="shared" si="1"/>
        <v>9.3263792891104345</v>
      </c>
      <c r="BN18" s="817">
        <f t="shared" si="1"/>
        <v>8.4841978817325696</v>
      </c>
    </row>
    <row r="19" spans="2:66" s="801" customFormat="1">
      <c r="B19" s="798">
        <v>2035</v>
      </c>
      <c r="C19" s="799">
        <v>2</v>
      </c>
      <c r="D19" s="799">
        <f t="shared" si="0"/>
        <v>1.6</v>
      </c>
      <c r="E19" s="799">
        <v>0.115</v>
      </c>
      <c r="F19" s="800">
        <v>4.5</v>
      </c>
      <c r="G19" s="800">
        <f t="shared" ref="G19:G34" ca="1" si="23">G18*C19/C18</f>
        <v>3.9277108433734993</v>
      </c>
      <c r="H19" s="800">
        <v>105</v>
      </c>
      <c r="I19" s="800">
        <v>95</v>
      </c>
      <c r="J19" s="800">
        <v>352</v>
      </c>
      <c r="K19" s="800">
        <v>210</v>
      </c>
      <c r="L19" s="800">
        <v>6</v>
      </c>
      <c r="M19" s="800">
        <v>3000</v>
      </c>
      <c r="N19" s="800">
        <v>240</v>
      </c>
      <c r="O19" s="800">
        <v>6.5000000000000002E-2</v>
      </c>
      <c r="P19" s="800"/>
      <c r="Q19" s="800">
        <v>12.5</v>
      </c>
      <c r="R19" s="800">
        <v>15</v>
      </c>
      <c r="S19" s="800">
        <v>13</v>
      </c>
      <c r="T19" s="800">
        <v>3.6818240000000002</v>
      </c>
      <c r="U19" s="800">
        <f t="shared" si="2"/>
        <v>0.115</v>
      </c>
      <c r="V19" s="800">
        <f t="shared" si="3"/>
        <v>0.23</v>
      </c>
      <c r="W19" s="798">
        <v>2</v>
      </c>
      <c r="X19" s="880">
        <v>50</v>
      </c>
      <c r="Y19" s="880">
        <v>100</v>
      </c>
      <c r="AC19" s="801">
        <v>2035</v>
      </c>
      <c r="AD19" s="801">
        <v>1.2</v>
      </c>
      <c r="AE19" s="801">
        <v>1.2</v>
      </c>
      <c r="AF19" s="801">
        <v>1.2</v>
      </c>
      <c r="AG19" s="801">
        <v>1.2</v>
      </c>
      <c r="AH19" s="801">
        <v>1.2</v>
      </c>
      <c r="AI19" s="801">
        <v>1.2</v>
      </c>
      <c r="AJ19" s="801">
        <v>1.2</v>
      </c>
      <c r="AK19" s="801">
        <v>1.2</v>
      </c>
      <c r="AP19" s="801">
        <v>2035</v>
      </c>
      <c r="AQ19" s="801">
        <v>4.3999999999999997E-2</v>
      </c>
      <c r="AR19" s="801">
        <v>9.7000000000000003E-2</v>
      </c>
      <c r="AS19" s="801">
        <v>2.1999999999999999E-2</v>
      </c>
      <c r="AT19" s="801">
        <v>8.5000000000000006E-3</v>
      </c>
      <c r="AU19" s="801">
        <v>2.3E-2</v>
      </c>
      <c r="AV19" s="801">
        <v>5.0000000000000001E-3</v>
      </c>
      <c r="AW19" s="801">
        <v>2.5357142857142901E-2</v>
      </c>
      <c r="AX19" s="801">
        <v>5.7142857142857099E-2</v>
      </c>
      <c r="AY19" s="801">
        <v>6.0499999999999998E-2</v>
      </c>
      <c r="AZ19" s="801">
        <v>8.0714285714285697E-3</v>
      </c>
      <c r="BF19" s="801">
        <v>2035</v>
      </c>
      <c r="BG19" s="819">
        <f t="shared" si="15"/>
        <v>7.8759557541818888</v>
      </c>
      <c r="BH19" s="815">
        <v>2.27</v>
      </c>
      <c r="BI19" s="815">
        <v>1.2</v>
      </c>
      <c r="BJ19" s="815">
        <v>1.1000000000000001</v>
      </c>
      <c r="BL19" s="817">
        <f t="shared" si="4"/>
        <v>17.878419561992889</v>
      </c>
      <c r="BM19" s="817">
        <f t="shared" si="1"/>
        <v>9.4511469050182662</v>
      </c>
      <c r="BN19" s="817">
        <f t="shared" si="1"/>
        <v>8.6635513296000788</v>
      </c>
    </row>
    <row r="20" spans="2:66" s="300" customFormat="1">
      <c r="B20" s="412">
        <v>2036</v>
      </c>
      <c r="C20" s="416">
        <f>C$19 + (C$34 - C$19) * ((ROW() - ROW(C$19)) / (ROW(C$34) - ROW(C$19)))</f>
        <v>2</v>
      </c>
      <c r="D20" s="415">
        <f t="shared" ref="D20:X33" si="24">D$19 + (D$34 - D$19) * ((ROW() - ROW(D$19)) / (ROW(D$34) - ROW(D$19)))</f>
        <v>1.6</v>
      </c>
      <c r="E20" s="415">
        <f t="shared" si="24"/>
        <v>0.115</v>
      </c>
      <c r="F20" s="416">
        <f t="shared" si="24"/>
        <v>4.4666666666666668</v>
      </c>
      <c r="G20" s="416">
        <f t="shared" ca="1" si="24"/>
        <v>3.9277108433734993</v>
      </c>
      <c r="H20" s="416">
        <f t="shared" si="24"/>
        <v>103.66666666666667</v>
      </c>
      <c r="I20" s="416">
        <f t="shared" si="24"/>
        <v>93.666666666666671</v>
      </c>
      <c r="J20" s="416">
        <f t="shared" si="24"/>
        <v>365.46666666666664</v>
      </c>
      <c r="K20" s="416">
        <f t="shared" si="24"/>
        <v>206</v>
      </c>
      <c r="L20" s="416">
        <f t="shared" si="24"/>
        <v>6</v>
      </c>
      <c r="M20" s="416">
        <f t="shared" ca="1" si="24"/>
        <v>2983.17</v>
      </c>
      <c r="N20" s="416">
        <f t="shared" si="24"/>
        <v>238.6</v>
      </c>
      <c r="O20" s="416">
        <f t="shared" si="24"/>
        <v>6.5000000000000002E-2</v>
      </c>
      <c r="P20" s="416"/>
      <c r="Q20" s="416">
        <f t="shared" si="24"/>
        <v>12.233333333333333</v>
      </c>
      <c r="R20" s="416">
        <f t="shared" si="24"/>
        <v>15</v>
      </c>
      <c r="S20" s="416">
        <f t="shared" si="24"/>
        <v>13.133333333333333</v>
      </c>
      <c r="T20" s="416">
        <f t="shared" si="24"/>
        <v>3.6877700666666668</v>
      </c>
      <c r="U20" s="416">
        <f t="shared" si="24"/>
        <v>0.115</v>
      </c>
      <c r="V20" s="416">
        <f t="shared" si="3"/>
        <v>0.22463333333333335</v>
      </c>
      <c r="W20" s="416">
        <f t="shared" si="24"/>
        <v>1.9533333333333334</v>
      </c>
      <c r="X20" s="877">
        <f t="shared" si="24"/>
        <v>56.666666666666664</v>
      </c>
      <c r="Y20" s="877">
        <f t="shared" ref="X20:Y33" si="25">Y$19 + (Y$34 - Y$19) * ((ROW() - ROW(Y$19)) / (ROW(Y$34) - ROW(Y$19)))</f>
        <v>95</v>
      </c>
      <c r="AC20" s="300">
        <v>2036</v>
      </c>
      <c r="AD20" s="300">
        <v>1.2</v>
      </c>
      <c r="AE20" s="300">
        <v>1.2</v>
      </c>
      <c r="AF20" s="300">
        <v>1.2</v>
      </c>
      <c r="AG20" s="300">
        <v>1.2</v>
      </c>
      <c r="AH20" s="300">
        <v>1.2</v>
      </c>
      <c r="AI20" s="300">
        <v>1.2</v>
      </c>
      <c r="AJ20" s="300">
        <v>1.2</v>
      </c>
      <c r="AK20" s="300">
        <v>1.2</v>
      </c>
      <c r="AP20" s="300">
        <v>2036</v>
      </c>
      <c r="AQ20" s="300">
        <f>AQ$19 + (AQ$34 - AQ$19) * ((ROW() - ROW(AQ$19)) / (ROW(AQ$34) - ROW(AQ$19)))</f>
        <v>4.3999999999999997E-2</v>
      </c>
      <c r="AR20" s="300">
        <f t="shared" ref="AR20:BH33" si="26">AR$19 + (AR$34 - AR$19) * ((ROW() - ROW(AR$19)) / (ROW(AR$34) - ROW(AR$19)))</f>
        <v>9.7000000000000003E-2</v>
      </c>
      <c r="AS20" s="300">
        <f t="shared" si="26"/>
        <v>2.1999999999999999E-2</v>
      </c>
      <c r="AT20" s="300">
        <f t="shared" si="26"/>
        <v>8.4000000000000012E-3</v>
      </c>
      <c r="AU20" s="300">
        <f t="shared" si="26"/>
        <v>2.3E-2</v>
      </c>
      <c r="AV20" s="300">
        <f t="shared" si="26"/>
        <v>5.0000000000000001E-3</v>
      </c>
      <c r="AW20" s="300">
        <f t="shared" si="26"/>
        <v>2.5200000000000042E-2</v>
      </c>
      <c r="AX20" s="300">
        <f t="shared" si="26"/>
        <v>5.6799999999999962E-2</v>
      </c>
      <c r="AY20" s="300">
        <f t="shared" si="26"/>
        <v>0.06</v>
      </c>
      <c r="AZ20" s="300">
        <f t="shared" si="26"/>
        <v>7.9999999999999984E-3</v>
      </c>
      <c r="BF20" s="300">
        <f t="shared" si="26"/>
        <v>2036</v>
      </c>
      <c r="BG20" s="817">
        <f>BG19*1.005</f>
        <v>7.9153355329527972</v>
      </c>
      <c r="BH20" s="813">
        <f t="shared" si="26"/>
        <v>2.2719999999999998</v>
      </c>
      <c r="BI20" s="813">
        <f t="shared" ref="BI20:BJ33" si="27">BI$19 + (BI$34 - BI$19) * ((ROW() - ROW(BI$19)) / (ROW(BI$34) - ROW(BI$19)))</f>
        <v>1.2066666666666666</v>
      </c>
      <c r="BJ20" s="813">
        <f t="shared" si="27"/>
        <v>1.1033333333333335</v>
      </c>
      <c r="BL20" s="817">
        <f t="shared" si="4"/>
        <v>17.983642330868754</v>
      </c>
      <c r="BM20" s="817">
        <f t="shared" si="1"/>
        <v>9.5511715430963751</v>
      </c>
      <c r="BN20" s="817">
        <f t="shared" si="1"/>
        <v>8.7332535380245879</v>
      </c>
    </row>
    <row r="21" spans="2:66" s="300" customFormat="1">
      <c r="B21" s="412">
        <v>2037</v>
      </c>
      <c r="C21" s="416">
        <f t="shared" ref="C21:R33" si="28">C$19 + (C$34 - C$19) * ((ROW() - ROW(C$19)) / (ROW(C$34) - ROW(C$19)))</f>
        <v>2</v>
      </c>
      <c r="D21" s="415">
        <f t="shared" si="28"/>
        <v>1.6</v>
      </c>
      <c r="E21" s="415">
        <f t="shared" si="28"/>
        <v>0.115</v>
      </c>
      <c r="F21" s="416">
        <f t="shared" si="28"/>
        <v>4.4333333333333336</v>
      </c>
      <c r="G21" s="416">
        <f t="shared" ca="1" si="28"/>
        <v>3.9277108433734997</v>
      </c>
      <c r="H21" s="416">
        <f t="shared" si="28"/>
        <v>102.33333333333333</v>
      </c>
      <c r="I21" s="416">
        <f t="shared" si="28"/>
        <v>92.333333333333329</v>
      </c>
      <c r="J21" s="416">
        <f t="shared" si="28"/>
        <v>378.93333333333334</v>
      </c>
      <c r="K21" s="416">
        <f t="shared" si="28"/>
        <v>202</v>
      </c>
      <c r="L21" s="416">
        <f t="shared" si="28"/>
        <v>6</v>
      </c>
      <c r="M21" s="416">
        <f t="shared" ca="1" si="28"/>
        <v>2966.34</v>
      </c>
      <c r="N21" s="416">
        <f t="shared" si="28"/>
        <v>237.2</v>
      </c>
      <c r="O21" s="416">
        <f t="shared" si="28"/>
        <v>6.5000000000000002E-2</v>
      </c>
      <c r="P21" s="416"/>
      <c r="Q21" s="416">
        <f t="shared" si="28"/>
        <v>11.966666666666667</v>
      </c>
      <c r="R21" s="416">
        <f t="shared" si="28"/>
        <v>15</v>
      </c>
      <c r="S21" s="416">
        <f t="shared" si="24"/>
        <v>13.266666666666667</v>
      </c>
      <c r="T21" s="416">
        <f t="shared" si="24"/>
        <v>3.6937161333333335</v>
      </c>
      <c r="U21" s="416">
        <f t="shared" si="24"/>
        <v>0.115</v>
      </c>
      <c r="V21" s="416">
        <f t="shared" si="3"/>
        <v>0.21926666666666669</v>
      </c>
      <c r="W21" s="416">
        <f t="shared" si="24"/>
        <v>1.9066666666666667</v>
      </c>
      <c r="X21" s="877">
        <f t="shared" si="25"/>
        <v>63.333333333333336</v>
      </c>
      <c r="Y21" s="877">
        <f t="shared" si="25"/>
        <v>90</v>
      </c>
      <c r="AC21" s="300">
        <v>2037</v>
      </c>
      <c r="AD21" s="300">
        <v>1.2</v>
      </c>
      <c r="AE21" s="300">
        <v>1.2</v>
      </c>
      <c r="AF21" s="300">
        <v>1.2</v>
      </c>
      <c r="AG21" s="300">
        <v>1.2</v>
      </c>
      <c r="AH21" s="300">
        <v>1.2</v>
      </c>
      <c r="AI21" s="300">
        <v>1.2</v>
      </c>
      <c r="AJ21" s="300">
        <v>1.2</v>
      </c>
      <c r="AK21" s="300">
        <v>1.2</v>
      </c>
      <c r="AP21" s="300">
        <v>2037</v>
      </c>
      <c r="AQ21" s="300">
        <f t="shared" ref="AQ21:BF33" si="29">AQ$19 + (AQ$34 - AQ$19) * ((ROW() - ROW(AQ$19)) / (ROW(AQ$34) - ROW(AQ$19)))</f>
        <v>4.3999999999999997E-2</v>
      </c>
      <c r="AR21" s="300">
        <f t="shared" si="29"/>
        <v>9.7000000000000003E-2</v>
      </c>
      <c r="AS21" s="300">
        <f t="shared" si="29"/>
        <v>2.1999999999999999E-2</v>
      </c>
      <c r="AT21" s="300">
        <f t="shared" si="29"/>
        <v>8.3000000000000001E-3</v>
      </c>
      <c r="AU21" s="300">
        <f t="shared" si="29"/>
        <v>2.3E-2</v>
      </c>
      <c r="AV21" s="300">
        <f t="shared" si="29"/>
        <v>5.0000000000000001E-3</v>
      </c>
      <c r="AW21" s="300">
        <f t="shared" si="29"/>
        <v>2.5042857142857179E-2</v>
      </c>
      <c r="AX21" s="300">
        <f t="shared" si="29"/>
        <v>5.6457142857142817E-2</v>
      </c>
      <c r="AY21" s="300">
        <f t="shared" si="29"/>
        <v>5.9499999999999997E-2</v>
      </c>
      <c r="AZ21" s="300">
        <f t="shared" si="29"/>
        <v>7.9285714285714272E-3</v>
      </c>
      <c r="BF21" s="300">
        <f t="shared" si="29"/>
        <v>2037</v>
      </c>
      <c r="BG21" s="817">
        <f t="shared" ref="BG21:BG34" si="30">BG20*1.005</f>
        <v>7.95491221061756</v>
      </c>
      <c r="BH21" s="813">
        <f t="shared" si="26"/>
        <v>2.274</v>
      </c>
      <c r="BI21" s="813">
        <f t="shared" si="27"/>
        <v>1.2133333333333334</v>
      </c>
      <c r="BJ21" s="813">
        <f t="shared" si="27"/>
        <v>1.1066666666666667</v>
      </c>
      <c r="BL21" s="817">
        <f t="shared" si="4"/>
        <v>18.089470366944333</v>
      </c>
      <c r="BM21" s="817">
        <f t="shared" si="1"/>
        <v>9.6519601488826403</v>
      </c>
      <c r="BN21" s="817">
        <f t="shared" si="1"/>
        <v>8.8034361797501006</v>
      </c>
    </row>
    <row r="22" spans="2:66" s="300" customFormat="1">
      <c r="B22" s="412">
        <v>2038</v>
      </c>
      <c r="C22" s="416">
        <f t="shared" si="28"/>
        <v>2</v>
      </c>
      <c r="D22" s="415">
        <f t="shared" si="24"/>
        <v>1.6</v>
      </c>
      <c r="E22" s="415">
        <f t="shared" si="24"/>
        <v>0.115</v>
      </c>
      <c r="F22" s="416">
        <f t="shared" si="24"/>
        <v>4.4000000000000004</v>
      </c>
      <c r="G22" s="416">
        <f t="shared" ca="1" si="24"/>
        <v>3.9277108433734997</v>
      </c>
      <c r="H22" s="416">
        <f t="shared" si="24"/>
        <v>101</v>
      </c>
      <c r="I22" s="416">
        <f t="shared" si="24"/>
        <v>91</v>
      </c>
      <c r="J22" s="416">
        <f t="shared" si="24"/>
        <v>392.4</v>
      </c>
      <c r="K22" s="416">
        <f t="shared" si="24"/>
        <v>198</v>
      </c>
      <c r="L22" s="416">
        <f t="shared" si="24"/>
        <v>6</v>
      </c>
      <c r="M22" s="416">
        <f t="shared" ca="1" si="24"/>
        <v>2949.51</v>
      </c>
      <c r="N22" s="416">
        <f t="shared" si="24"/>
        <v>235.8</v>
      </c>
      <c r="O22" s="416">
        <f t="shared" si="24"/>
        <v>6.5000000000000002E-2</v>
      </c>
      <c r="P22" s="416"/>
      <c r="Q22" s="416">
        <f t="shared" si="24"/>
        <v>11.7</v>
      </c>
      <c r="R22" s="416">
        <f t="shared" si="24"/>
        <v>15</v>
      </c>
      <c r="S22" s="416">
        <f t="shared" si="24"/>
        <v>13.4</v>
      </c>
      <c r="T22" s="416">
        <f t="shared" si="24"/>
        <v>3.6996622000000001</v>
      </c>
      <c r="U22" s="416">
        <f t="shared" si="24"/>
        <v>0.115</v>
      </c>
      <c r="V22" s="416">
        <f t="shared" si="3"/>
        <v>0.21390000000000001</v>
      </c>
      <c r="W22" s="416">
        <f t="shared" si="24"/>
        <v>1.86</v>
      </c>
      <c r="X22" s="877">
        <f t="shared" si="25"/>
        <v>70</v>
      </c>
      <c r="Y22" s="877">
        <f t="shared" si="25"/>
        <v>85</v>
      </c>
      <c r="AC22" s="300">
        <v>2038</v>
      </c>
      <c r="AD22" s="300">
        <v>1.2</v>
      </c>
      <c r="AE22" s="300">
        <v>1.2</v>
      </c>
      <c r="AF22" s="300">
        <v>1.2</v>
      </c>
      <c r="AG22" s="300">
        <v>1.2</v>
      </c>
      <c r="AH22" s="300">
        <v>1.2</v>
      </c>
      <c r="AI22" s="300">
        <v>1.2</v>
      </c>
      <c r="AJ22" s="300">
        <v>1.2</v>
      </c>
      <c r="AK22" s="300">
        <v>1.2</v>
      </c>
      <c r="AP22" s="300">
        <v>2038</v>
      </c>
      <c r="AQ22" s="300">
        <f t="shared" si="29"/>
        <v>4.3999999999999997E-2</v>
      </c>
      <c r="AR22" s="300">
        <f t="shared" si="26"/>
        <v>9.7000000000000003E-2</v>
      </c>
      <c r="AS22" s="300">
        <f t="shared" si="26"/>
        <v>2.1999999999999999E-2</v>
      </c>
      <c r="AT22" s="300">
        <f t="shared" si="26"/>
        <v>8.2000000000000007E-3</v>
      </c>
      <c r="AU22" s="300">
        <f t="shared" si="26"/>
        <v>2.3E-2</v>
      </c>
      <c r="AV22" s="300">
        <f t="shared" si="26"/>
        <v>5.0000000000000001E-3</v>
      </c>
      <c r="AW22" s="300">
        <f t="shared" si="26"/>
        <v>2.488571428571432E-2</v>
      </c>
      <c r="AX22" s="300">
        <f t="shared" si="26"/>
        <v>5.6114285714285679E-2</v>
      </c>
      <c r="AY22" s="300">
        <f t="shared" si="26"/>
        <v>5.8999999999999997E-2</v>
      </c>
      <c r="AZ22" s="300">
        <f t="shared" si="26"/>
        <v>7.8571428571428559E-3</v>
      </c>
      <c r="BF22" s="300">
        <f t="shared" si="26"/>
        <v>2038</v>
      </c>
      <c r="BG22" s="817">
        <f t="shared" si="30"/>
        <v>7.9946867716706471</v>
      </c>
      <c r="BH22" s="813">
        <f t="shared" si="26"/>
        <v>2.2759999999999998</v>
      </c>
      <c r="BI22" s="813">
        <f t="shared" si="27"/>
        <v>1.22</v>
      </c>
      <c r="BJ22" s="813">
        <f t="shared" si="27"/>
        <v>1.1100000000000001</v>
      </c>
      <c r="BL22" s="817">
        <f t="shared" si="4"/>
        <v>18.19590709232239</v>
      </c>
      <c r="BM22" s="817">
        <f t="shared" ref="BM22:BM49" si="31">BI22*$BG22</f>
        <v>9.7535178614381888</v>
      </c>
      <c r="BN22" s="817">
        <f t="shared" ref="BN22:BN49" si="32">BJ22*$BG22</f>
        <v>8.8741023165544188</v>
      </c>
    </row>
    <row r="23" spans="2:66" s="300" customFormat="1">
      <c r="B23" s="412">
        <v>2039</v>
      </c>
      <c r="C23" s="416">
        <f t="shared" si="28"/>
        <v>2</v>
      </c>
      <c r="D23" s="415">
        <f t="shared" si="24"/>
        <v>1.6</v>
      </c>
      <c r="E23" s="415">
        <f t="shared" si="24"/>
        <v>0.115</v>
      </c>
      <c r="F23" s="416">
        <f t="shared" si="24"/>
        <v>4.3666666666666663</v>
      </c>
      <c r="G23" s="416">
        <f t="shared" ca="1" si="24"/>
        <v>3.9277108433735002</v>
      </c>
      <c r="H23" s="416">
        <f t="shared" si="24"/>
        <v>99.666666666666671</v>
      </c>
      <c r="I23" s="416">
        <f t="shared" si="24"/>
        <v>89.666666666666671</v>
      </c>
      <c r="J23" s="416">
        <f t="shared" si="24"/>
        <v>405.86666666666667</v>
      </c>
      <c r="K23" s="416">
        <f t="shared" si="24"/>
        <v>194</v>
      </c>
      <c r="L23" s="416">
        <f t="shared" si="24"/>
        <v>6</v>
      </c>
      <c r="M23" s="416">
        <f t="shared" ca="1" si="24"/>
        <v>2932.6800000000003</v>
      </c>
      <c r="N23" s="416">
        <f t="shared" si="24"/>
        <v>234.4</v>
      </c>
      <c r="O23" s="416">
        <f t="shared" si="24"/>
        <v>6.5000000000000002E-2</v>
      </c>
      <c r="P23" s="416"/>
      <c r="Q23" s="416">
        <f t="shared" si="24"/>
        <v>11.433333333333334</v>
      </c>
      <c r="R23" s="416">
        <f t="shared" si="24"/>
        <v>15</v>
      </c>
      <c r="S23" s="416">
        <f t="shared" si="24"/>
        <v>13.533333333333333</v>
      </c>
      <c r="T23" s="416">
        <f t="shared" si="24"/>
        <v>3.7056082666666668</v>
      </c>
      <c r="U23" s="416">
        <f t="shared" si="24"/>
        <v>0.115</v>
      </c>
      <c r="V23" s="416">
        <f t="shared" si="3"/>
        <v>0.20853333333333335</v>
      </c>
      <c r="W23" s="416">
        <f t="shared" si="24"/>
        <v>1.8133333333333335</v>
      </c>
      <c r="X23" s="877">
        <f t="shared" si="25"/>
        <v>76.666666666666671</v>
      </c>
      <c r="Y23" s="877">
        <f t="shared" si="25"/>
        <v>80</v>
      </c>
      <c r="AC23" s="300">
        <v>2039</v>
      </c>
      <c r="AD23" s="300">
        <v>1.2</v>
      </c>
      <c r="AE23" s="300">
        <v>1.2</v>
      </c>
      <c r="AF23" s="300">
        <v>1.2</v>
      </c>
      <c r="AG23" s="300">
        <v>1.2</v>
      </c>
      <c r="AH23" s="300">
        <v>1.2</v>
      </c>
      <c r="AI23" s="300">
        <v>1.2</v>
      </c>
      <c r="AJ23" s="300">
        <v>1.2</v>
      </c>
      <c r="AK23" s="300">
        <v>1.2</v>
      </c>
      <c r="AP23" s="300">
        <v>2039</v>
      </c>
      <c r="AQ23" s="300">
        <f t="shared" si="29"/>
        <v>4.3999999999999997E-2</v>
      </c>
      <c r="AR23" s="300">
        <f t="shared" si="26"/>
        <v>9.7000000000000003E-2</v>
      </c>
      <c r="AS23" s="300">
        <f t="shared" si="26"/>
        <v>2.1999999999999999E-2</v>
      </c>
      <c r="AT23" s="300">
        <f t="shared" si="26"/>
        <v>8.1000000000000013E-3</v>
      </c>
      <c r="AU23" s="300">
        <f t="shared" si="26"/>
        <v>2.3E-2</v>
      </c>
      <c r="AV23" s="300">
        <f t="shared" si="26"/>
        <v>5.0000000000000001E-3</v>
      </c>
      <c r="AW23" s="300">
        <f t="shared" si="26"/>
        <v>2.4728571428571461E-2</v>
      </c>
      <c r="AX23" s="300">
        <f t="shared" si="26"/>
        <v>5.5771428571428541E-2</v>
      </c>
      <c r="AY23" s="300">
        <f t="shared" si="26"/>
        <v>5.8499999999999996E-2</v>
      </c>
      <c r="AZ23" s="300">
        <f t="shared" si="26"/>
        <v>7.7857142857142847E-3</v>
      </c>
      <c r="BF23" s="300">
        <f t="shared" si="26"/>
        <v>2039</v>
      </c>
      <c r="BG23" s="817">
        <f t="shared" si="30"/>
        <v>8.0346602055289988</v>
      </c>
      <c r="BH23" s="813">
        <f t="shared" si="26"/>
        <v>2.278</v>
      </c>
      <c r="BI23" s="813">
        <f t="shared" si="27"/>
        <v>1.2266666666666666</v>
      </c>
      <c r="BJ23" s="813">
        <f t="shared" si="27"/>
        <v>1.1133333333333333</v>
      </c>
      <c r="BL23" s="817">
        <f t="shared" si="4"/>
        <v>18.302955948195059</v>
      </c>
      <c r="BM23" s="817">
        <f t="shared" si="31"/>
        <v>9.855849852115572</v>
      </c>
      <c r="BN23" s="817">
        <f t="shared" si="32"/>
        <v>8.9452550288222845</v>
      </c>
    </row>
    <row r="24" spans="2:66" s="300" customFormat="1">
      <c r="B24" s="412">
        <v>2040</v>
      </c>
      <c r="C24" s="416">
        <f t="shared" si="28"/>
        <v>2</v>
      </c>
      <c r="D24" s="415">
        <f t="shared" si="24"/>
        <v>1.6</v>
      </c>
      <c r="E24" s="415">
        <f t="shared" si="24"/>
        <v>0.115</v>
      </c>
      <c r="F24" s="416">
        <f t="shared" si="24"/>
        <v>4.333333333333333</v>
      </c>
      <c r="G24" s="416">
        <f t="shared" ca="1" si="24"/>
        <v>3.9277108433735002</v>
      </c>
      <c r="H24" s="416">
        <f t="shared" si="24"/>
        <v>98.333333333333329</v>
      </c>
      <c r="I24" s="416">
        <f t="shared" si="24"/>
        <v>88.333333333333329</v>
      </c>
      <c r="J24" s="416">
        <f t="shared" si="24"/>
        <v>419.33333333333331</v>
      </c>
      <c r="K24" s="416">
        <f t="shared" si="24"/>
        <v>190</v>
      </c>
      <c r="L24" s="416">
        <f t="shared" si="24"/>
        <v>6</v>
      </c>
      <c r="M24" s="416">
        <f t="shared" ca="1" si="24"/>
        <v>2915.8500000000004</v>
      </c>
      <c r="N24" s="416">
        <f t="shared" si="24"/>
        <v>233</v>
      </c>
      <c r="O24" s="416">
        <f t="shared" si="24"/>
        <v>6.5000000000000002E-2</v>
      </c>
      <c r="P24" s="416"/>
      <c r="Q24" s="416">
        <f t="shared" si="24"/>
        <v>11.166666666666666</v>
      </c>
      <c r="R24" s="416">
        <f t="shared" si="24"/>
        <v>15</v>
      </c>
      <c r="S24" s="416">
        <f t="shared" si="24"/>
        <v>13.666666666666666</v>
      </c>
      <c r="T24" s="416">
        <f t="shared" si="24"/>
        <v>3.7115543333333334</v>
      </c>
      <c r="U24" s="416">
        <f t="shared" si="24"/>
        <v>0.115</v>
      </c>
      <c r="V24" s="416">
        <f t="shared" si="3"/>
        <v>0.20316666666666666</v>
      </c>
      <c r="W24" s="416">
        <f t="shared" si="24"/>
        <v>1.7666666666666666</v>
      </c>
      <c r="X24" s="877">
        <f t="shared" si="25"/>
        <v>83.333333333333329</v>
      </c>
      <c r="Y24" s="877">
        <f t="shared" si="25"/>
        <v>75</v>
      </c>
      <c r="AC24" s="300">
        <v>2040</v>
      </c>
      <c r="AD24" s="300">
        <v>1.2</v>
      </c>
      <c r="AE24" s="300">
        <v>1.2</v>
      </c>
      <c r="AF24" s="300">
        <v>1.2</v>
      </c>
      <c r="AG24" s="300">
        <v>1.2</v>
      </c>
      <c r="AH24" s="300">
        <v>1.2</v>
      </c>
      <c r="AI24" s="300">
        <v>1.2</v>
      </c>
      <c r="AJ24" s="300">
        <v>1.2</v>
      </c>
      <c r="AK24" s="300">
        <v>1.2</v>
      </c>
      <c r="AP24" s="300">
        <v>2040</v>
      </c>
      <c r="AQ24" s="300">
        <f t="shared" si="29"/>
        <v>4.3999999999999997E-2</v>
      </c>
      <c r="AR24" s="300">
        <f t="shared" si="26"/>
        <v>9.7000000000000003E-2</v>
      </c>
      <c r="AS24" s="300">
        <f t="shared" si="26"/>
        <v>2.1999999999999999E-2</v>
      </c>
      <c r="AT24" s="300">
        <f t="shared" si="26"/>
        <v>8.0000000000000002E-3</v>
      </c>
      <c r="AU24" s="300">
        <f t="shared" si="26"/>
        <v>2.3E-2</v>
      </c>
      <c r="AV24" s="300">
        <f t="shared" si="26"/>
        <v>5.0000000000000001E-3</v>
      </c>
      <c r="AW24" s="300">
        <f t="shared" si="26"/>
        <v>2.4571428571428602E-2</v>
      </c>
      <c r="AX24" s="300">
        <f t="shared" si="26"/>
        <v>5.5428571428571397E-2</v>
      </c>
      <c r="AY24" s="300">
        <f t="shared" si="26"/>
        <v>5.7999999999999996E-2</v>
      </c>
      <c r="AZ24" s="300">
        <f t="shared" si="26"/>
        <v>7.7142857142857135E-3</v>
      </c>
      <c r="BF24" s="300">
        <f t="shared" si="26"/>
        <v>2040</v>
      </c>
      <c r="BG24" s="817">
        <f t="shared" si="30"/>
        <v>8.0748335065566437</v>
      </c>
      <c r="BH24" s="813">
        <f t="shared" si="26"/>
        <v>2.2799999999999998</v>
      </c>
      <c r="BI24" s="813">
        <f t="shared" si="27"/>
        <v>1.2333333333333334</v>
      </c>
      <c r="BJ24" s="813">
        <f t="shared" si="27"/>
        <v>1.1166666666666667</v>
      </c>
      <c r="BL24" s="817">
        <f t="shared" si="4"/>
        <v>18.410620394949145</v>
      </c>
      <c r="BM24" s="817">
        <f t="shared" si="31"/>
        <v>9.9589613247531936</v>
      </c>
      <c r="BN24" s="817">
        <f t="shared" si="32"/>
        <v>9.0168974156549186</v>
      </c>
    </row>
    <row r="25" spans="2:66" s="300" customFormat="1">
      <c r="B25" s="412">
        <v>2041</v>
      </c>
      <c r="C25" s="416">
        <f t="shared" si="28"/>
        <v>2</v>
      </c>
      <c r="D25" s="415">
        <f t="shared" si="24"/>
        <v>1.6</v>
      </c>
      <c r="E25" s="415">
        <f t="shared" si="24"/>
        <v>0.115</v>
      </c>
      <c r="F25" s="416">
        <f t="shared" si="24"/>
        <v>4.3</v>
      </c>
      <c r="G25" s="416">
        <f t="shared" ca="1" si="24"/>
        <v>3.9277108433735006</v>
      </c>
      <c r="H25" s="416">
        <f t="shared" si="24"/>
        <v>97</v>
      </c>
      <c r="I25" s="416">
        <f t="shared" si="24"/>
        <v>87</v>
      </c>
      <c r="J25" s="416">
        <f t="shared" si="24"/>
        <v>432.8</v>
      </c>
      <c r="K25" s="416">
        <f t="shared" si="24"/>
        <v>186</v>
      </c>
      <c r="L25" s="416">
        <f t="shared" si="24"/>
        <v>6</v>
      </c>
      <c r="M25" s="416">
        <f t="shared" ca="1" si="24"/>
        <v>2899.0200000000004</v>
      </c>
      <c r="N25" s="416">
        <f t="shared" si="24"/>
        <v>231.6</v>
      </c>
      <c r="O25" s="416">
        <f t="shared" si="24"/>
        <v>6.5000000000000002E-2</v>
      </c>
      <c r="P25" s="416"/>
      <c r="Q25" s="416">
        <f t="shared" si="24"/>
        <v>10.9</v>
      </c>
      <c r="R25" s="416">
        <f t="shared" si="24"/>
        <v>15</v>
      </c>
      <c r="S25" s="416">
        <f t="shared" si="24"/>
        <v>13.8</v>
      </c>
      <c r="T25" s="416">
        <f t="shared" si="24"/>
        <v>3.7175004</v>
      </c>
      <c r="U25" s="416">
        <f t="shared" si="24"/>
        <v>0.115</v>
      </c>
      <c r="V25" s="416">
        <f t="shared" si="3"/>
        <v>0.1978</v>
      </c>
      <c r="W25" s="416">
        <f t="shared" si="24"/>
        <v>1.72</v>
      </c>
      <c r="X25" s="877">
        <f t="shared" si="25"/>
        <v>90</v>
      </c>
      <c r="Y25" s="877">
        <f t="shared" si="25"/>
        <v>70</v>
      </c>
      <c r="AC25" s="300">
        <v>2041</v>
      </c>
      <c r="AD25" s="300">
        <v>1.2</v>
      </c>
      <c r="AE25" s="300">
        <v>1.2</v>
      </c>
      <c r="AF25" s="300">
        <v>1.2</v>
      </c>
      <c r="AG25" s="300">
        <v>1.2</v>
      </c>
      <c r="AH25" s="300">
        <v>1.2</v>
      </c>
      <c r="AI25" s="300">
        <v>1.2</v>
      </c>
      <c r="AJ25" s="300">
        <v>1.2</v>
      </c>
      <c r="AK25" s="300">
        <v>1.2</v>
      </c>
      <c r="AP25" s="300">
        <v>2041</v>
      </c>
      <c r="AQ25" s="300">
        <f t="shared" si="29"/>
        <v>4.3999999999999997E-2</v>
      </c>
      <c r="AR25" s="300">
        <f t="shared" si="26"/>
        <v>9.7000000000000003E-2</v>
      </c>
      <c r="AS25" s="300">
        <f t="shared" si="26"/>
        <v>2.1999999999999999E-2</v>
      </c>
      <c r="AT25" s="300">
        <f t="shared" si="26"/>
        <v>7.9000000000000008E-3</v>
      </c>
      <c r="AU25" s="300">
        <f t="shared" si="26"/>
        <v>2.3E-2</v>
      </c>
      <c r="AV25" s="300">
        <f t="shared" si="26"/>
        <v>5.0000000000000001E-3</v>
      </c>
      <c r="AW25" s="300">
        <f t="shared" si="26"/>
        <v>2.4414285714285739E-2</v>
      </c>
      <c r="AX25" s="300">
        <f t="shared" si="26"/>
        <v>5.5085714285714259E-2</v>
      </c>
      <c r="AY25" s="300">
        <f t="shared" si="26"/>
        <v>5.7499999999999996E-2</v>
      </c>
      <c r="AZ25" s="300">
        <f t="shared" si="26"/>
        <v>7.6428571428571422E-3</v>
      </c>
      <c r="BF25" s="300">
        <f t="shared" si="26"/>
        <v>2041</v>
      </c>
      <c r="BG25" s="817">
        <f t="shared" si="30"/>
        <v>8.1152076740894259</v>
      </c>
      <c r="BH25" s="813">
        <f t="shared" si="26"/>
        <v>2.282</v>
      </c>
      <c r="BI25" s="813">
        <f t="shared" si="27"/>
        <v>1.24</v>
      </c>
      <c r="BJ25" s="813">
        <f t="shared" si="27"/>
        <v>1.1200000000000001</v>
      </c>
      <c r="BL25" s="817">
        <f t="shared" si="4"/>
        <v>18.518903912272069</v>
      </c>
      <c r="BM25" s="817">
        <f t="shared" si="31"/>
        <v>10.062857515870888</v>
      </c>
      <c r="BN25" s="817">
        <f t="shared" si="32"/>
        <v>9.0890325949801571</v>
      </c>
    </row>
    <row r="26" spans="2:66" s="300" customFormat="1">
      <c r="B26" s="412">
        <v>2042</v>
      </c>
      <c r="C26" s="416">
        <f t="shared" si="28"/>
        <v>2</v>
      </c>
      <c r="D26" s="415">
        <f t="shared" si="24"/>
        <v>1.6</v>
      </c>
      <c r="E26" s="415">
        <f t="shared" si="24"/>
        <v>0.115</v>
      </c>
      <c r="F26" s="416">
        <f t="shared" si="24"/>
        <v>4.2666666666666666</v>
      </c>
      <c r="G26" s="416">
        <f t="shared" ca="1" si="24"/>
        <v>3.9277108433735006</v>
      </c>
      <c r="H26" s="416">
        <f t="shared" si="24"/>
        <v>95.666666666666671</v>
      </c>
      <c r="I26" s="416">
        <f t="shared" si="24"/>
        <v>85.666666666666671</v>
      </c>
      <c r="J26" s="416">
        <f t="shared" si="24"/>
        <v>446.26666666666665</v>
      </c>
      <c r="K26" s="416">
        <f t="shared" si="24"/>
        <v>182</v>
      </c>
      <c r="L26" s="416">
        <f t="shared" si="24"/>
        <v>6</v>
      </c>
      <c r="M26" s="416">
        <f t="shared" ca="1" si="24"/>
        <v>2882.1900000000005</v>
      </c>
      <c r="N26" s="416">
        <f t="shared" si="24"/>
        <v>230.2</v>
      </c>
      <c r="O26" s="416">
        <f t="shared" si="24"/>
        <v>6.5000000000000002E-2</v>
      </c>
      <c r="P26" s="416"/>
      <c r="Q26" s="416">
        <f t="shared" si="24"/>
        <v>10.633333333333333</v>
      </c>
      <c r="R26" s="416">
        <f t="shared" si="24"/>
        <v>15</v>
      </c>
      <c r="S26" s="416">
        <f t="shared" si="24"/>
        <v>13.933333333333334</v>
      </c>
      <c r="T26" s="416">
        <f t="shared" si="24"/>
        <v>3.7234464666666667</v>
      </c>
      <c r="U26" s="416">
        <f t="shared" si="24"/>
        <v>0.115</v>
      </c>
      <c r="V26" s="416">
        <f t="shared" si="3"/>
        <v>0.19243333333333335</v>
      </c>
      <c r="W26" s="416">
        <f t="shared" si="24"/>
        <v>1.6733333333333333</v>
      </c>
      <c r="X26" s="877">
        <f t="shared" si="25"/>
        <v>96.666666666666657</v>
      </c>
      <c r="Y26" s="877">
        <f t="shared" si="25"/>
        <v>65</v>
      </c>
      <c r="AC26" s="300">
        <v>2042</v>
      </c>
      <c r="AD26" s="300">
        <v>1.2</v>
      </c>
      <c r="AE26" s="300">
        <v>1.2</v>
      </c>
      <c r="AF26" s="300">
        <v>1.2</v>
      </c>
      <c r="AG26" s="300">
        <v>1.2</v>
      </c>
      <c r="AH26" s="300">
        <v>1.2</v>
      </c>
      <c r="AI26" s="300">
        <v>1.2</v>
      </c>
      <c r="AJ26" s="300">
        <v>1.2</v>
      </c>
      <c r="AK26" s="300">
        <v>1.2</v>
      </c>
      <c r="AP26" s="300">
        <v>2042</v>
      </c>
      <c r="AQ26" s="300">
        <f t="shared" si="29"/>
        <v>4.3999999999999997E-2</v>
      </c>
      <c r="AR26" s="300">
        <f t="shared" si="26"/>
        <v>9.7000000000000003E-2</v>
      </c>
      <c r="AS26" s="300">
        <f t="shared" si="26"/>
        <v>2.1999999999999999E-2</v>
      </c>
      <c r="AT26" s="300">
        <f t="shared" si="26"/>
        <v>7.8000000000000005E-3</v>
      </c>
      <c r="AU26" s="300">
        <f t="shared" si="26"/>
        <v>2.3E-2</v>
      </c>
      <c r="AV26" s="300">
        <f t="shared" si="26"/>
        <v>5.0000000000000001E-3</v>
      </c>
      <c r="AW26" s="300">
        <f t="shared" si="26"/>
        <v>2.425714285714288E-2</v>
      </c>
      <c r="AX26" s="300">
        <f t="shared" si="26"/>
        <v>5.4742857142857121E-2</v>
      </c>
      <c r="AY26" s="300">
        <f t="shared" si="26"/>
        <v>5.6999999999999995E-2</v>
      </c>
      <c r="AZ26" s="300">
        <f t="shared" si="26"/>
        <v>7.571428571428571E-3</v>
      </c>
      <c r="BF26" s="300">
        <f t="shared" si="26"/>
        <v>2042</v>
      </c>
      <c r="BG26" s="817">
        <f t="shared" si="30"/>
        <v>8.155783712459872</v>
      </c>
      <c r="BH26" s="813">
        <f t="shared" si="26"/>
        <v>2.2839999999999998</v>
      </c>
      <c r="BI26" s="813">
        <f t="shared" si="27"/>
        <v>1.2466666666666666</v>
      </c>
      <c r="BJ26" s="813">
        <f t="shared" si="27"/>
        <v>1.1233333333333333</v>
      </c>
      <c r="BL26" s="817">
        <f t="shared" si="4"/>
        <v>18.627809999258346</v>
      </c>
      <c r="BM26" s="817">
        <f t="shared" si="31"/>
        <v>10.167543694866639</v>
      </c>
      <c r="BN26" s="817">
        <f t="shared" si="32"/>
        <v>9.1616637036632564</v>
      </c>
    </row>
    <row r="27" spans="2:66" s="300" customFormat="1">
      <c r="B27" s="412">
        <v>2043</v>
      </c>
      <c r="C27" s="416">
        <f t="shared" si="28"/>
        <v>2</v>
      </c>
      <c r="D27" s="415">
        <f t="shared" si="24"/>
        <v>1.6</v>
      </c>
      <c r="E27" s="415">
        <f t="shared" si="24"/>
        <v>0.115</v>
      </c>
      <c r="F27" s="416">
        <f t="shared" si="24"/>
        <v>4.2333333333333334</v>
      </c>
      <c r="G27" s="416">
        <f t="shared" ca="1" si="24"/>
        <v>3.9277108433735011</v>
      </c>
      <c r="H27" s="416">
        <f t="shared" si="24"/>
        <v>94.333333333333329</v>
      </c>
      <c r="I27" s="416">
        <f t="shared" si="24"/>
        <v>84.333333333333329</v>
      </c>
      <c r="J27" s="416">
        <f t="shared" si="24"/>
        <v>459.73333333333335</v>
      </c>
      <c r="K27" s="416">
        <f t="shared" si="24"/>
        <v>178</v>
      </c>
      <c r="L27" s="416">
        <f t="shared" si="24"/>
        <v>6</v>
      </c>
      <c r="M27" s="416">
        <f t="shared" ca="1" si="24"/>
        <v>2865.3600000000006</v>
      </c>
      <c r="N27" s="416">
        <f t="shared" si="24"/>
        <v>228.8</v>
      </c>
      <c r="O27" s="416">
        <f t="shared" si="24"/>
        <v>6.5000000000000002E-2</v>
      </c>
      <c r="P27" s="416"/>
      <c r="Q27" s="416">
        <f t="shared" si="24"/>
        <v>10.366666666666667</v>
      </c>
      <c r="R27" s="416">
        <f t="shared" si="24"/>
        <v>15</v>
      </c>
      <c r="S27" s="416">
        <f t="shared" si="24"/>
        <v>14.066666666666666</v>
      </c>
      <c r="T27" s="416">
        <f t="shared" si="24"/>
        <v>3.7293925333333333</v>
      </c>
      <c r="U27" s="416">
        <f t="shared" si="24"/>
        <v>0.115</v>
      </c>
      <c r="V27" s="416">
        <f t="shared" si="3"/>
        <v>0.18706666666666669</v>
      </c>
      <c r="W27" s="416">
        <f t="shared" si="24"/>
        <v>1.6266666666666667</v>
      </c>
      <c r="X27" s="877">
        <f t="shared" si="25"/>
        <v>103.33333333333334</v>
      </c>
      <c r="Y27" s="877">
        <f t="shared" si="25"/>
        <v>60</v>
      </c>
      <c r="AC27" s="300">
        <v>2043</v>
      </c>
      <c r="AD27" s="300">
        <v>1.2</v>
      </c>
      <c r="AE27" s="300">
        <v>1.2</v>
      </c>
      <c r="AF27" s="300">
        <v>1.2</v>
      </c>
      <c r="AG27" s="300">
        <v>1.2</v>
      </c>
      <c r="AH27" s="300">
        <v>1.2</v>
      </c>
      <c r="AI27" s="300">
        <v>1.2</v>
      </c>
      <c r="AJ27" s="300">
        <v>1.2</v>
      </c>
      <c r="AK27" s="300">
        <v>1.2</v>
      </c>
      <c r="AP27" s="300">
        <v>2043</v>
      </c>
      <c r="AQ27" s="300">
        <f t="shared" si="29"/>
        <v>4.3999999999999997E-2</v>
      </c>
      <c r="AR27" s="300">
        <f t="shared" si="26"/>
        <v>9.7000000000000003E-2</v>
      </c>
      <c r="AS27" s="300">
        <f t="shared" si="26"/>
        <v>2.1999999999999999E-2</v>
      </c>
      <c r="AT27" s="300">
        <f t="shared" si="26"/>
        <v>7.7000000000000002E-3</v>
      </c>
      <c r="AU27" s="300">
        <f t="shared" si="26"/>
        <v>2.3E-2</v>
      </c>
      <c r="AV27" s="300">
        <f t="shared" si="26"/>
        <v>5.0000000000000001E-3</v>
      </c>
      <c r="AW27" s="300">
        <f t="shared" si="26"/>
        <v>2.4100000000000021E-2</v>
      </c>
      <c r="AX27" s="300">
        <f t="shared" si="26"/>
        <v>5.4399999999999976E-2</v>
      </c>
      <c r="AY27" s="300">
        <f t="shared" si="26"/>
        <v>5.6499999999999995E-2</v>
      </c>
      <c r="AZ27" s="300">
        <f t="shared" si="26"/>
        <v>7.4999999999999997E-3</v>
      </c>
      <c r="BF27" s="300">
        <f t="shared" si="26"/>
        <v>2043</v>
      </c>
      <c r="BG27" s="817">
        <f t="shared" si="30"/>
        <v>8.1965626310221698</v>
      </c>
      <c r="BH27" s="813">
        <f t="shared" si="26"/>
        <v>2.286</v>
      </c>
      <c r="BI27" s="813">
        <f t="shared" si="27"/>
        <v>1.2533333333333334</v>
      </c>
      <c r="BJ27" s="813">
        <f t="shared" si="27"/>
        <v>1.1266666666666667</v>
      </c>
      <c r="BL27" s="817">
        <f t="shared" si="4"/>
        <v>18.73734217451668</v>
      </c>
      <c r="BM27" s="817">
        <f t="shared" si="31"/>
        <v>10.273025164214454</v>
      </c>
      <c r="BN27" s="817">
        <f t="shared" si="32"/>
        <v>9.2347938976183119</v>
      </c>
    </row>
    <row r="28" spans="2:66" s="300" customFormat="1">
      <c r="B28" s="412">
        <v>2044</v>
      </c>
      <c r="C28" s="416">
        <f t="shared" si="28"/>
        <v>2</v>
      </c>
      <c r="D28" s="415">
        <f t="shared" si="24"/>
        <v>1.6</v>
      </c>
      <c r="E28" s="415">
        <f t="shared" si="24"/>
        <v>0.115</v>
      </c>
      <c r="F28" s="416">
        <f t="shared" si="24"/>
        <v>4.2</v>
      </c>
      <c r="G28" s="416">
        <f t="shared" ca="1" si="24"/>
        <v>3.9277108433735011</v>
      </c>
      <c r="H28" s="416">
        <f t="shared" si="24"/>
        <v>93</v>
      </c>
      <c r="I28" s="416">
        <f t="shared" si="24"/>
        <v>83</v>
      </c>
      <c r="J28" s="416">
        <f t="shared" si="24"/>
        <v>473.2</v>
      </c>
      <c r="K28" s="416">
        <f t="shared" si="24"/>
        <v>174</v>
      </c>
      <c r="L28" s="416">
        <f t="shared" si="24"/>
        <v>6</v>
      </c>
      <c r="M28" s="416">
        <f t="shared" ca="1" si="24"/>
        <v>2848.5300000000007</v>
      </c>
      <c r="N28" s="416">
        <f t="shared" si="24"/>
        <v>227.4</v>
      </c>
      <c r="O28" s="416">
        <f t="shared" si="24"/>
        <v>6.5000000000000002E-2</v>
      </c>
      <c r="P28" s="416"/>
      <c r="Q28" s="416">
        <f t="shared" si="24"/>
        <v>10.1</v>
      </c>
      <c r="R28" s="416">
        <f t="shared" si="24"/>
        <v>15</v>
      </c>
      <c r="S28" s="416">
        <f t="shared" si="24"/>
        <v>14.2</v>
      </c>
      <c r="T28" s="416">
        <f t="shared" si="24"/>
        <v>3.7353386</v>
      </c>
      <c r="U28" s="416">
        <f t="shared" si="24"/>
        <v>0.115</v>
      </c>
      <c r="V28" s="416">
        <f t="shared" si="3"/>
        <v>0.18170000000000003</v>
      </c>
      <c r="W28" s="416">
        <f t="shared" si="24"/>
        <v>1.58</v>
      </c>
      <c r="X28" s="877">
        <f t="shared" si="25"/>
        <v>110</v>
      </c>
      <c r="Y28" s="877">
        <f t="shared" si="25"/>
        <v>55</v>
      </c>
      <c r="AC28" s="300">
        <v>2044</v>
      </c>
      <c r="AD28" s="300">
        <v>1.2</v>
      </c>
      <c r="AE28" s="300">
        <v>1.2</v>
      </c>
      <c r="AF28" s="300">
        <v>1.2</v>
      </c>
      <c r="AG28" s="300">
        <v>1.2</v>
      </c>
      <c r="AH28" s="300">
        <v>1.2</v>
      </c>
      <c r="AI28" s="300">
        <v>1.2</v>
      </c>
      <c r="AJ28" s="300">
        <v>1.2</v>
      </c>
      <c r="AK28" s="300">
        <v>1.2</v>
      </c>
      <c r="AP28" s="300">
        <v>2044</v>
      </c>
      <c r="AQ28" s="300">
        <f t="shared" si="29"/>
        <v>4.3999999999999997E-2</v>
      </c>
      <c r="AR28" s="300">
        <f t="shared" si="26"/>
        <v>9.7000000000000003E-2</v>
      </c>
      <c r="AS28" s="300">
        <f t="shared" si="26"/>
        <v>2.1999999999999999E-2</v>
      </c>
      <c r="AT28" s="300">
        <f t="shared" si="26"/>
        <v>7.6000000000000009E-3</v>
      </c>
      <c r="AU28" s="300">
        <f t="shared" si="26"/>
        <v>2.3E-2</v>
      </c>
      <c r="AV28" s="300">
        <f t="shared" si="26"/>
        <v>5.0000000000000001E-3</v>
      </c>
      <c r="AW28" s="300">
        <f t="shared" si="26"/>
        <v>2.3942857142857162E-2</v>
      </c>
      <c r="AX28" s="300">
        <f t="shared" si="26"/>
        <v>5.4057142857142838E-2</v>
      </c>
      <c r="AY28" s="300">
        <f t="shared" si="26"/>
        <v>5.6000000000000001E-2</v>
      </c>
      <c r="AZ28" s="300">
        <f t="shared" si="26"/>
        <v>7.4285714285714276E-3</v>
      </c>
      <c r="BF28" s="300">
        <f t="shared" si="26"/>
        <v>2044</v>
      </c>
      <c r="BG28" s="817">
        <f t="shared" si="30"/>
        <v>8.2375454441772789</v>
      </c>
      <c r="BH28" s="813">
        <f t="shared" si="26"/>
        <v>2.2879999999999998</v>
      </c>
      <c r="BI28" s="813">
        <f t="shared" si="27"/>
        <v>1.26</v>
      </c>
      <c r="BJ28" s="813">
        <f t="shared" si="27"/>
        <v>1.1299999999999999</v>
      </c>
      <c r="BL28" s="817">
        <f t="shared" si="4"/>
        <v>18.847503976277611</v>
      </c>
      <c r="BM28" s="817">
        <f t="shared" si="31"/>
        <v>10.379307259663371</v>
      </c>
      <c r="BN28" s="817">
        <f t="shared" si="32"/>
        <v>9.3084263519203247</v>
      </c>
    </row>
    <row r="29" spans="2:66" s="300" customFormat="1">
      <c r="B29" s="412">
        <v>2045</v>
      </c>
      <c r="C29" s="416">
        <f t="shared" si="28"/>
        <v>2</v>
      </c>
      <c r="D29" s="415">
        <f t="shared" si="24"/>
        <v>1.6</v>
      </c>
      <c r="E29" s="415">
        <f t="shared" si="24"/>
        <v>0.115</v>
      </c>
      <c r="F29" s="416">
        <f t="shared" si="24"/>
        <v>4.166666666666667</v>
      </c>
      <c r="G29" s="416">
        <f t="shared" ca="1" si="24"/>
        <v>3.9277108433735015</v>
      </c>
      <c r="H29" s="416">
        <f t="shared" si="24"/>
        <v>91.666666666666671</v>
      </c>
      <c r="I29" s="416">
        <f t="shared" si="24"/>
        <v>81.666666666666671</v>
      </c>
      <c r="J29" s="416">
        <f t="shared" si="24"/>
        <v>486.66666666666663</v>
      </c>
      <c r="K29" s="416">
        <f t="shared" si="24"/>
        <v>170</v>
      </c>
      <c r="L29" s="416">
        <f t="shared" si="24"/>
        <v>6</v>
      </c>
      <c r="M29" s="416">
        <f t="shared" ca="1" si="24"/>
        <v>2831.7000000000007</v>
      </c>
      <c r="N29" s="416">
        <f t="shared" si="24"/>
        <v>226</v>
      </c>
      <c r="O29" s="416">
        <f t="shared" si="24"/>
        <v>6.5000000000000002E-2</v>
      </c>
      <c r="P29" s="416"/>
      <c r="Q29" s="416">
        <f t="shared" si="24"/>
        <v>9.8333333333333339</v>
      </c>
      <c r="R29" s="416">
        <f t="shared" si="24"/>
        <v>15</v>
      </c>
      <c r="S29" s="416">
        <f t="shared" si="24"/>
        <v>14.333333333333334</v>
      </c>
      <c r="T29" s="416">
        <f t="shared" si="24"/>
        <v>3.7412846666666666</v>
      </c>
      <c r="U29" s="416">
        <f t="shared" si="24"/>
        <v>0.115</v>
      </c>
      <c r="V29" s="416">
        <f t="shared" si="3"/>
        <v>0.17633333333333334</v>
      </c>
      <c r="W29" s="416">
        <f t="shared" si="24"/>
        <v>1.5333333333333334</v>
      </c>
      <c r="X29" s="877">
        <f t="shared" si="25"/>
        <v>116.66666666666666</v>
      </c>
      <c r="Y29" s="877">
        <f t="shared" si="25"/>
        <v>50</v>
      </c>
      <c r="AC29" s="300">
        <v>2045</v>
      </c>
      <c r="AD29" s="300">
        <v>1.2</v>
      </c>
      <c r="AE29" s="300">
        <v>1.2</v>
      </c>
      <c r="AF29" s="300">
        <v>1.2</v>
      </c>
      <c r="AG29" s="300">
        <v>1.2</v>
      </c>
      <c r="AH29" s="300">
        <v>1.2</v>
      </c>
      <c r="AI29" s="300">
        <v>1.2</v>
      </c>
      <c r="AJ29" s="300">
        <v>1.2</v>
      </c>
      <c r="AK29" s="300">
        <v>1.2</v>
      </c>
      <c r="AP29" s="300">
        <v>2045</v>
      </c>
      <c r="AQ29" s="300">
        <f t="shared" si="29"/>
        <v>4.3999999999999997E-2</v>
      </c>
      <c r="AR29" s="300">
        <f t="shared" si="26"/>
        <v>9.7000000000000003E-2</v>
      </c>
      <c r="AS29" s="300">
        <f t="shared" si="26"/>
        <v>2.1999999999999999E-2</v>
      </c>
      <c r="AT29" s="300">
        <f t="shared" si="26"/>
        <v>7.5000000000000006E-3</v>
      </c>
      <c r="AU29" s="300">
        <f t="shared" si="26"/>
        <v>2.3E-2</v>
      </c>
      <c r="AV29" s="300">
        <f t="shared" si="26"/>
        <v>5.0000000000000001E-3</v>
      </c>
      <c r="AW29" s="300">
        <f t="shared" si="26"/>
        <v>2.3785714285714299E-2</v>
      </c>
      <c r="AX29" s="300">
        <f t="shared" si="26"/>
        <v>5.3714285714285701E-2</v>
      </c>
      <c r="AY29" s="300">
        <f t="shared" si="26"/>
        <v>5.5500000000000001E-2</v>
      </c>
      <c r="AZ29" s="300">
        <f t="shared" si="26"/>
        <v>7.3571428571428564E-3</v>
      </c>
      <c r="BF29" s="300">
        <f t="shared" si="26"/>
        <v>2045</v>
      </c>
      <c r="BG29" s="817">
        <f t="shared" si="30"/>
        <v>8.278733171398164</v>
      </c>
      <c r="BH29" s="813">
        <f t="shared" si="26"/>
        <v>2.29</v>
      </c>
      <c r="BI29" s="813">
        <f t="shared" si="27"/>
        <v>1.2666666666666666</v>
      </c>
      <c r="BJ29" s="813">
        <f t="shared" si="27"/>
        <v>1.1333333333333333</v>
      </c>
      <c r="BL29" s="817">
        <f t="shared" si="4"/>
        <v>18.958298962501797</v>
      </c>
      <c r="BM29" s="817">
        <f t="shared" si="31"/>
        <v>10.486395350437673</v>
      </c>
      <c r="BN29" s="817">
        <f t="shared" si="32"/>
        <v>9.3825642609179187</v>
      </c>
    </row>
    <row r="30" spans="2:66" s="300" customFormat="1">
      <c r="B30" s="412">
        <v>2046</v>
      </c>
      <c r="C30" s="416">
        <f t="shared" si="28"/>
        <v>2</v>
      </c>
      <c r="D30" s="415">
        <f t="shared" si="24"/>
        <v>1.6</v>
      </c>
      <c r="E30" s="415">
        <f t="shared" si="24"/>
        <v>0.115</v>
      </c>
      <c r="F30" s="416">
        <f t="shared" si="24"/>
        <v>4.1333333333333337</v>
      </c>
      <c r="G30" s="416">
        <f t="shared" ca="1" si="24"/>
        <v>3.9277108433735015</v>
      </c>
      <c r="H30" s="416">
        <f t="shared" si="24"/>
        <v>90.333333333333329</v>
      </c>
      <c r="I30" s="416">
        <f t="shared" si="24"/>
        <v>80.333333333333329</v>
      </c>
      <c r="J30" s="416">
        <f t="shared" si="24"/>
        <v>500.13333333333333</v>
      </c>
      <c r="K30" s="416">
        <f t="shared" si="24"/>
        <v>166</v>
      </c>
      <c r="L30" s="416">
        <f t="shared" si="24"/>
        <v>6</v>
      </c>
      <c r="M30" s="416">
        <f t="shared" ca="1" si="24"/>
        <v>2814.8700000000008</v>
      </c>
      <c r="N30" s="416">
        <f t="shared" si="24"/>
        <v>224.6</v>
      </c>
      <c r="O30" s="416">
        <f t="shared" si="24"/>
        <v>6.5000000000000002E-2</v>
      </c>
      <c r="P30" s="416"/>
      <c r="Q30" s="416">
        <f t="shared" si="24"/>
        <v>9.5666666666666664</v>
      </c>
      <c r="R30" s="416">
        <f t="shared" si="24"/>
        <v>15</v>
      </c>
      <c r="S30" s="416">
        <f t="shared" si="24"/>
        <v>14.466666666666667</v>
      </c>
      <c r="T30" s="416">
        <f t="shared" si="24"/>
        <v>3.7472307333333332</v>
      </c>
      <c r="U30" s="416">
        <f t="shared" si="24"/>
        <v>0.115</v>
      </c>
      <c r="V30" s="416">
        <f t="shared" si="3"/>
        <v>0.17096666666666668</v>
      </c>
      <c r="W30" s="416">
        <f t="shared" si="24"/>
        <v>1.4866666666666668</v>
      </c>
      <c r="X30" s="877">
        <f t="shared" si="25"/>
        <v>123.33333333333333</v>
      </c>
      <c r="Y30" s="877">
        <f t="shared" si="25"/>
        <v>45.000000000000007</v>
      </c>
      <c r="AC30" s="300">
        <v>2046</v>
      </c>
      <c r="AD30" s="300">
        <v>1.2</v>
      </c>
      <c r="AE30" s="300">
        <v>1.2</v>
      </c>
      <c r="AF30" s="300">
        <v>1.2</v>
      </c>
      <c r="AG30" s="300">
        <v>1.2</v>
      </c>
      <c r="AH30" s="300">
        <v>1.2</v>
      </c>
      <c r="AI30" s="300">
        <v>1.2</v>
      </c>
      <c r="AJ30" s="300">
        <v>1.2</v>
      </c>
      <c r="AK30" s="300">
        <v>1.2</v>
      </c>
      <c r="AP30" s="300">
        <v>2046</v>
      </c>
      <c r="AQ30" s="300">
        <f t="shared" si="29"/>
        <v>4.3999999999999997E-2</v>
      </c>
      <c r="AR30" s="300">
        <f t="shared" si="26"/>
        <v>9.7000000000000003E-2</v>
      </c>
      <c r="AS30" s="300">
        <f t="shared" si="26"/>
        <v>2.1999999999999999E-2</v>
      </c>
      <c r="AT30" s="300">
        <f t="shared" si="26"/>
        <v>7.4000000000000003E-3</v>
      </c>
      <c r="AU30" s="300">
        <f t="shared" si="26"/>
        <v>2.3E-2</v>
      </c>
      <c r="AV30" s="300">
        <f t="shared" si="26"/>
        <v>5.0000000000000001E-3</v>
      </c>
      <c r="AW30" s="300">
        <f t="shared" si="26"/>
        <v>2.362857142857144E-2</v>
      </c>
      <c r="AX30" s="300">
        <f t="shared" si="26"/>
        <v>5.3371428571428556E-2</v>
      </c>
      <c r="AY30" s="300">
        <f t="shared" si="26"/>
        <v>5.5E-2</v>
      </c>
      <c r="AZ30" s="300">
        <f t="shared" si="26"/>
        <v>7.2857142857142851E-3</v>
      </c>
      <c r="BF30" s="300">
        <f t="shared" si="26"/>
        <v>2046</v>
      </c>
      <c r="BG30" s="817">
        <f t="shared" si="30"/>
        <v>8.3201268372551542</v>
      </c>
      <c r="BH30" s="813">
        <f t="shared" si="26"/>
        <v>2.2919999999999998</v>
      </c>
      <c r="BI30" s="813">
        <f t="shared" si="27"/>
        <v>1.2733333333333334</v>
      </c>
      <c r="BJ30" s="813">
        <f t="shared" si="27"/>
        <v>1.1366666666666667</v>
      </c>
      <c r="BL30" s="817">
        <f t="shared" si="4"/>
        <v>19.069730710988811</v>
      </c>
      <c r="BM30" s="817">
        <f t="shared" si="31"/>
        <v>10.594294839438231</v>
      </c>
      <c r="BN30" s="817">
        <f t="shared" si="32"/>
        <v>9.4572108383466915</v>
      </c>
    </row>
    <row r="31" spans="2:66" s="300" customFormat="1">
      <c r="B31" s="412">
        <v>2047</v>
      </c>
      <c r="C31" s="416">
        <f t="shared" si="28"/>
        <v>2</v>
      </c>
      <c r="D31" s="415">
        <f t="shared" si="24"/>
        <v>1.6</v>
      </c>
      <c r="E31" s="415">
        <f t="shared" si="24"/>
        <v>0.115</v>
      </c>
      <c r="F31" s="416">
        <f t="shared" si="24"/>
        <v>4.0999999999999996</v>
      </c>
      <c r="G31" s="416">
        <f t="shared" ca="1" si="24"/>
        <v>3.927710843373502</v>
      </c>
      <c r="H31" s="416">
        <f t="shared" si="24"/>
        <v>89</v>
      </c>
      <c r="I31" s="416">
        <f t="shared" si="24"/>
        <v>79</v>
      </c>
      <c r="J31" s="416">
        <f t="shared" si="24"/>
        <v>513.6</v>
      </c>
      <c r="K31" s="416">
        <f t="shared" si="24"/>
        <v>162</v>
      </c>
      <c r="L31" s="416">
        <f t="shared" si="24"/>
        <v>6</v>
      </c>
      <c r="M31" s="416">
        <f t="shared" ca="1" si="24"/>
        <v>2798.0400000000009</v>
      </c>
      <c r="N31" s="416">
        <f t="shared" si="24"/>
        <v>223.2</v>
      </c>
      <c r="O31" s="416">
        <f t="shared" si="24"/>
        <v>6.5000000000000002E-2</v>
      </c>
      <c r="P31" s="416"/>
      <c r="Q31" s="416">
        <f t="shared" si="24"/>
        <v>9.3000000000000007</v>
      </c>
      <c r="R31" s="416">
        <f t="shared" si="24"/>
        <v>15</v>
      </c>
      <c r="S31" s="416">
        <f t="shared" si="24"/>
        <v>14.6</v>
      </c>
      <c r="T31" s="416">
        <f t="shared" si="24"/>
        <v>3.7531767999999999</v>
      </c>
      <c r="U31" s="416">
        <f t="shared" si="24"/>
        <v>0.115</v>
      </c>
      <c r="V31" s="416">
        <f t="shared" si="3"/>
        <v>0.1656</v>
      </c>
      <c r="W31" s="416">
        <f t="shared" si="24"/>
        <v>1.44</v>
      </c>
      <c r="X31" s="877">
        <f t="shared" si="25"/>
        <v>130</v>
      </c>
      <c r="Y31" s="877">
        <f t="shared" si="25"/>
        <v>40</v>
      </c>
      <c r="AC31" s="300">
        <v>2047</v>
      </c>
      <c r="AD31" s="300">
        <v>1.2</v>
      </c>
      <c r="AE31" s="300">
        <v>1.2</v>
      </c>
      <c r="AF31" s="300">
        <v>1.2</v>
      </c>
      <c r="AG31" s="300">
        <v>1.2</v>
      </c>
      <c r="AH31" s="300">
        <v>1.2</v>
      </c>
      <c r="AI31" s="300">
        <v>1.2</v>
      </c>
      <c r="AJ31" s="300">
        <v>1.2</v>
      </c>
      <c r="AK31" s="300">
        <v>1.2</v>
      </c>
      <c r="AP31" s="300">
        <v>2047</v>
      </c>
      <c r="AQ31" s="300">
        <f t="shared" si="29"/>
        <v>4.3999999999999997E-2</v>
      </c>
      <c r="AR31" s="300">
        <f t="shared" si="26"/>
        <v>9.7000000000000003E-2</v>
      </c>
      <c r="AS31" s="300">
        <f t="shared" si="26"/>
        <v>2.1999999999999999E-2</v>
      </c>
      <c r="AT31" s="300">
        <f t="shared" si="26"/>
        <v>7.3000000000000001E-3</v>
      </c>
      <c r="AU31" s="300">
        <f t="shared" si="26"/>
        <v>2.3E-2</v>
      </c>
      <c r="AV31" s="300">
        <f t="shared" si="26"/>
        <v>5.0000000000000001E-3</v>
      </c>
      <c r="AW31" s="300">
        <f t="shared" si="26"/>
        <v>2.3471428571428581E-2</v>
      </c>
      <c r="AX31" s="300">
        <f t="shared" si="26"/>
        <v>5.3028571428571418E-2</v>
      </c>
      <c r="AY31" s="300">
        <f t="shared" si="26"/>
        <v>5.45E-2</v>
      </c>
      <c r="AZ31" s="300">
        <f t="shared" si="26"/>
        <v>7.2142857142857139E-3</v>
      </c>
      <c r="BF31" s="300">
        <f t="shared" si="26"/>
        <v>2047</v>
      </c>
      <c r="BG31" s="817">
        <f t="shared" si="30"/>
        <v>8.3617274714414282</v>
      </c>
      <c r="BH31" s="813">
        <f t="shared" si="26"/>
        <v>2.294</v>
      </c>
      <c r="BI31" s="813">
        <f t="shared" si="27"/>
        <v>1.28</v>
      </c>
      <c r="BJ31" s="813">
        <f t="shared" si="27"/>
        <v>1.1399999999999999</v>
      </c>
      <c r="BL31" s="817">
        <f t="shared" si="4"/>
        <v>19.181802819486638</v>
      </c>
      <c r="BM31" s="817">
        <f t="shared" si="31"/>
        <v>10.703011163445028</v>
      </c>
      <c r="BN31" s="817">
        <f t="shared" si="32"/>
        <v>9.5323693174432282</v>
      </c>
    </row>
    <row r="32" spans="2:66" s="300" customFormat="1">
      <c r="B32" s="412">
        <v>2048</v>
      </c>
      <c r="C32" s="416">
        <f t="shared" si="28"/>
        <v>2</v>
      </c>
      <c r="D32" s="415">
        <f t="shared" si="24"/>
        <v>1.6</v>
      </c>
      <c r="E32" s="415">
        <f t="shared" si="24"/>
        <v>0.115</v>
      </c>
      <c r="F32" s="416">
        <f t="shared" si="24"/>
        <v>4.0666666666666664</v>
      </c>
      <c r="G32" s="416">
        <f t="shared" ca="1" si="24"/>
        <v>3.927710843373502</v>
      </c>
      <c r="H32" s="416">
        <f t="shared" si="24"/>
        <v>87.666666666666657</v>
      </c>
      <c r="I32" s="416">
        <f t="shared" si="24"/>
        <v>77.666666666666657</v>
      </c>
      <c r="J32" s="416">
        <f t="shared" si="24"/>
        <v>527.06666666666661</v>
      </c>
      <c r="K32" s="416">
        <f t="shared" si="24"/>
        <v>158</v>
      </c>
      <c r="L32" s="416">
        <f t="shared" si="24"/>
        <v>6</v>
      </c>
      <c r="M32" s="416">
        <f t="shared" ca="1" si="24"/>
        <v>2781.2100000000009</v>
      </c>
      <c r="N32" s="416">
        <f t="shared" si="24"/>
        <v>221.8</v>
      </c>
      <c r="O32" s="416">
        <f t="shared" si="24"/>
        <v>6.5000000000000002E-2</v>
      </c>
      <c r="P32" s="416"/>
      <c r="Q32" s="416">
        <f t="shared" si="24"/>
        <v>9.0333333333333332</v>
      </c>
      <c r="R32" s="416">
        <f t="shared" si="24"/>
        <v>15</v>
      </c>
      <c r="S32" s="416">
        <f t="shared" si="24"/>
        <v>14.733333333333334</v>
      </c>
      <c r="T32" s="416">
        <f t="shared" si="24"/>
        <v>3.7591228666666665</v>
      </c>
      <c r="U32" s="416">
        <f t="shared" si="24"/>
        <v>0.115</v>
      </c>
      <c r="V32" s="416">
        <f t="shared" si="3"/>
        <v>0.16023333333333334</v>
      </c>
      <c r="W32" s="416">
        <f t="shared" si="24"/>
        <v>1.3933333333333333</v>
      </c>
      <c r="X32" s="877">
        <f t="shared" si="25"/>
        <v>136.66666666666669</v>
      </c>
      <c r="Y32" s="877">
        <f t="shared" si="25"/>
        <v>35</v>
      </c>
      <c r="AC32" s="300">
        <v>2048</v>
      </c>
      <c r="AD32" s="300">
        <v>1.2</v>
      </c>
      <c r="AE32" s="300">
        <v>1.2</v>
      </c>
      <c r="AF32" s="300">
        <v>1.2</v>
      </c>
      <c r="AG32" s="300">
        <v>1.2</v>
      </c>
      <c r="AH32" s="300">
        <v>1.2</v>
      </c>
      <c r="AI32" s="300">
        <v>1.2</v>
      </c>
      <c r="AJ32" s="300">
        <v>1.2</v>
      </c>
      <c r="AK32" s="300">
        <v>1.2</v>
      </c>
      <c r="AP32" s="300">
        <v>2048</v>
      </c>
      <c r="AQ32" s="300">
        <f t="shared" si="29"/>
        <v>4.3999999999999997E-2</v>
      </c>
      <c r="AR32" s="300">
        <f t="shared" si="26"/>
        <v>9.7000000000000003E-2</v>
      </c>
      <c r="AS32" s="300">
        <f t="shared" si="26"/>
        <v>2.1999999999999999E-2</v>
      </c>
      <c r="AT32" s="300">
        <f t="shared" si="26"/>
        <v>7.1999999999999998E-3</v>
      </c>
      <c r="AU32" s="300">
        <f t="shared" si="26"/>
        <v>2.3E-2</v>
      </c>
      <c r="AV32" s="300">
        <f t="shared" si="26"/>
        <v>5.0000000000000001E-3</v>
      </c>
      <c r="AW32" s="300">
        <f t="shared" si="26"/>
        <v>2.3314285714285718E-2</v>
      </c>
      <c r="AX32" s="300">
        <f t="shared" si="26"/>
        <v>5.268571428571428E-2</v>
      </c>
      <c r="AY32" s="300">
        <f t="shared" si="26"/>
        <v>5.3999999999999999E-2</v>
      </c>
      <c r="AZ32" s="300">
        <f t="shared" si="26"/>
        <v>7.1428571428571426E-3</v>
      </c>
      <c r="BF32" s="300">
        <f t="shared" si="26"/>
        <v>2048</v>
      </c>
      <c r="BG32" s="817">
        <f t="shared" si="30"/>
        <v>8.4035361087986349</v>
      </c>
      <c r="BH32" s="813">
        <f t="shared" si="26"/>
        <v>2.2959999999999998</v>
      </c>
      <c r="BI32" s="813">
        <f t="shared" si="27"/>
        <v>1.2866666666666666</v>
      </c>
      <c r="BJ32" s="813">
        <f t="shared" si="27"/>
        <v>1.1433333333333333</v>
      </c>
      <c r="BL32" s="817">
        <f t="shared" si="4"/>
        <v>19.294518905801663</v>
      </c>
      <c r="BM32" s="817">
        <f t="shared" si="31"/>
        <v>10.81254979332091</v>
      </c>
      <c r="BN32" s="817">
        <f t="shared" si="32"/>
        <v>9.6080429510597725</v>
      </c>
    </row>
    <row r="33" spans="2:66" s="300" customFormat="1">
      <c r="B33" s="412">
        <v>2049</v>
      </c>
      <c r="C33" s="416">
        <f t="shared" si="28"/>
        <v>2</v>
      </c>
      <c r="D33" s="415">
        <f t="shared" si="24"/>
        <v>1.6</v>
      </c>
      <c r="E33" s="415">
        <f t="shared" si="24"/>
        <v>0.115</v>
      </c>
      <c r="F33" s="416">
        <f t="shared" si="24"/>
        <v>4.0333333333333332</v>
      </c>
      <c r="G33" s="416">
        <f t="shared" ca="1" si="24"/>
        <v>3.9277108433735024</v>
      </c>
      <c r="H33" s="416">
        <f t="shared" si="24"/>
        <v>86.333333333333329</v>
      </c>
      <c r="I33" s="416">
        <f t="shared" si="24"/>
        <v>76.333333333333329</v>
      </c>
      <c r="J33" s="416">
        <f t="shared" si="24"/>
        <v>540.5333333333333</v>
      </c>
      <c r="K33" s="416">
        <f t="shared" si="24"/>
        <v>154</v>
      </c>
      <c r="L33" s="416">
        <f t="shared" si="24"/>
        <v>6</v>
      </c>
      <c r="M33" s="416">
        <f t="shared" ca="1" si="24"/>
        <v>2764.380000000001</v>
      </c>
      <c r="N33" s="416">
        <f t="shared" si="24"/>
        <v>220.4</v>
      </c>
      <c r="O33" s="416">
        <f t="shared" si="24"/>
        <v>6.5000000000000002E-2</v>
      </c>
      <c r="P33" s="416"/>
      <c r="Q33" s="416">
        <f t="shared" si="24"/>
        <v>8.7666666666666657</v>
      </c>
      <c r="R33" s="416">
        <f t="shared" si="24"/>
        <v>15</v>
      </c>
      <c r="S33" s="416">
        <f t="shared" si="24"/>
        <v>14.866666666666667</v>
      </c>
      <c r="T33" s="416">
        <f t="shared" si="24"/>
        <v>3.7650689333333331</v>
      </c>
      <c r="U33" s="416">
        <f t="shared" si="24"/>
        <v>0.115</v>
      </c>
      <c r="V33" s="416">
        <f t="shared" si="3"/>
        <v>0.15486666666666668</v>
      </c>
      <c r="W33" s="416">
        <f t="shared" si="24"/>
        <v>1.3466666666666667</v>
      </c>
      <c r="X33" s="877">
        <f t="shared" si="25"/>
        <v>143.33333333333331</v>
      </c>
      <c r="Y33" s="877">
        <f t="shared" si="25"/>
        <v>30</v>
      </c>
      <c r="AC33" s="300">
        <v>2049</v>
      </c>
      <c r="AD33" s="300">
        <v>1.2</v>
      </c>
      <c r="AE33" s="300">
        <v>1.2</v>
      </c>
      <c r="AF33" s="300">
        <v>1.2</v>
      </c>
      <c r="AG33" s="300">
        <v>1.2</v>
      </c>
      <c r="AH33" s="300">
        <v>1.2</v>
      </c>
      <c r="AI33" s="300">
        <v>1.2</v>
      </c>
      <c r="AJ33" s="300">
        <v>1.2</v>
      </c>
      <c r="AK33" s="300">
        <v>1.2</v>
      </c>
      <c r="AP33" s="300">
        <v>2049</v>
      </c>
      <c r="AQ33" s="300">
        <f t="shared" si="29"/>
        <v>4.3999999999999997E-2</v>
      </c>
      <c r="AR33" s="300">
        <f t="shared" si="26"/>
        <v>9.7000000000000003E-2</v>
      </c>
      <c r="AS33" s="300">
        <f t="shared" si="26"/>
        <v>2.1999999999999999E-2</v>
      </c>
      <c r="AT33" s="300">
        <f t="shared" si="26"/>
        <v>7.1000000000000004E-3</v>
      </c>
      <c r="AU33" s="300">
        <f t="shared" si="26"/>
        <v>2.3E-2</v>
      </c>
      <c r="AV33" s="300">
        <f t="shared" si="26"/>
        <v>5.0000000000000001E-3</v>
      </c>
      <c r="AW33" s="300">
        <f t="shared" si="26"/>
        <v>2.3157142857142859E-2</v>
      </c>
      <c r="AX33" s="300">
        <f t="shared" si="26"/>
        <v>5.2342857142857135E-2</v>
      </c>
      <c r="AY33" s="300">
        <f t="shared" si="26"/>
        <v>5.3499999999999999E-2</v>
      </c>
      <c r="AZ33" s="300">
        <f t="shared" si="26"/>
        <v>7.0714285714285714E-3</v>
      </c>
      <c r="BF33" s="300">
        <f t="shared" si="26"/>
        <v>2049</v>
      </c>
      <c r="BG33" s="817">
        <f t="shared" si="30"/>
        <v>8.4455537893426271</v>
      </c>
      <c r="BH33" s="813">
        <f t="shared" si="26"/>
        <v>2.298</v>
      </c>
      <c r="BI33" s="813">
        <f t="shared" si="27"/>
        <v>1.2933333333333334</v>
      </c>
      <c r="BJ33" s="813">
        <f t="shared" si="27"/>
        <v>1.1466666666666665</v>
      </c>
      <c r="BL33" s="817">
        <f t="shared" si="4"/>
        <v>19.407882607909357</v>
      </c>
      <c r="BM33" s="817">
        <f t="shared" si="31"/>
        <v>10.922916234216466</v>
      </c>
      <c r="BN33" s="817">
        <f t="shared" si="32"/>
        <v>9.6842350117795437</v>
      </c>
    </row>
    <row r="34" spans="2:66" s="810" customFormat="1">
      <c r="B34" s="802">
        <v>2050</v>
      </c>
      <c r="C34" s="803">
        <v>2</v>
      </c>
      <c r="D34" s="804">
        <f t="shared" si="0"/>
        <v>1.6</v>
      </c>
      <c r="E34" s="804">
        <f>E19*C34/C19</f>
        <v>0.115</v>
      </c>
      <c r="F34" s="805">
        <v>4</v>
      </c>
      <c r="G34" s="805">
        <f t="shared" ca="1" si="23"/>
        <v>3.9277108433735024</v>
      </c>
      <c r="H34" s="805">
        <v>85</v>
      </c>
      <c r="I34" s="805">
        <v>75</v>
      </c>
      <c r="J34" s="805">
        <v>554</v>
      </c>
      <c r="K34" s="805">
        <v>150</v>
      </c>
      <c r="L34" s="805">
        <v>6</v>
      </c>
      <c r="M34" s="805">
        <f t="shared" ref="M34" ca="1" si="33">M33-16.83</f>
        <v>2747.5500000000011</v>
      </c>
      <c r="N34" s="805">
        <v>219</v>
      </c>
      <c r="O34" s="805">
        <v>6.5000000000000002E-2</v>
      </c>
      <c r="P34" s="805"/>
      <c r="Q34" s="805">
        <v>8.5</v>
      </c>
      <c r="R34" s="805">
        <v>15</v>
      </c>
      <c r="S34" s="805">
        <v>15</v>
      </c>
      <c r="T34" s="805">
        <v>3.7710149999999998</v>
      </c>
      <c r="U34" s="805">
        <f t="shared" si="2"/>
        <v>0.115</v>
      </c>
      <c r="V34" s="805">
        <f t="shared" si="3"/>
        <v>0.14950000000000002</v>
      </c>
      <c r="W34" s="802">
        <v>1.3</v>
      </c>
      <c r="X34" s="881">
        <v>150</v>
      </c>
      <c r="Y34" s="881">
        <v>25</v>
      </c>
      <c r="AC34" s="810">
        <v>2050</v>
      </c>
      <c r="AD34" s="810">
        <v>1.2</v>
      </c>
      <c r="AE34" s="810">
        <v>1.2</v>
      </c>
      <c r="AF34" s="810">
        <v>1.2</v>
      </c>
      <c r="AG34" s="810">
        <v>1.2</v>
      </c>
      <c r="AH34" s="810">
        <v>1.2</v>
      </c>
      <c r="AI34" s="810">
        <v>1.2</v>
      </c>
      <c r="AJ34" s="810">
        <v>1.2</v>
      </c>
      <c r="AK34" s="810">
        <v>1.2</v>
      </c>
      <c r="AP34" s="810">
        <v>2050</v>
      </c>
      <c r="AQ34" s="810">
        <v>4.3999999999999997E-2</v>
      </c>
      <c r="AR34" s="810">
        <v>9.7000000000000003E-2</v>
      </c>
      <c r="AS34" s="810">
        <v>2.1999999999999999E-2</v>
      </c>
      <c r="AT34" s="810">
        <v>7.0000000000000001E-3</v>
      </c>
      <c r="AU34" s="810">
        <v>2.3E-2</v>
      </c>
      <c r="AV34" s="810">
        <v>5.0000000000000001E-3</v>
      </c>
      <c r="AW34" s="810">
        <v>2.3E-2</v>
      </c>
      <c r="AX34" s="810">
        <v>5.1999999999999998E-2</v>
      </c>
      <c r="AY34" s="810">
        <v>5.2999999999999999E-2</v>
      </c>
      <c r="AZ34" s="810">
        <v>7.0000000000000001E-3</v>
      </c>
      <c r="BF34" s="810">
        <v>2050</v>
      </c>
      <c r="BG34" s="820">
        <f t="shared" si="30"/>
        <v>8.4877815582893401</v>
      </c>
      <c r="BH34" s="816">
        <v>2.2999999999999998</v>
      </c>
      <c r="BI34" s="816">
        <v>1.3</v>
      </c>
      <c r="BJ34" s="816">
        <v>1.1499999999999999</v>
      </c>
      <c r="BL34" s="817">
        <f t="shared" si="4"/>
        <v>19.521897584065481</v>
      </c>
      <c r="BM34" s="817">
        <f t="shared" si="31"/>
        <v>11.034116025776143</v>
      </c>
      <c r="BN34" s="817">
        <f t="shared" si="32"/>
        <v>9.7609487920327407</v>
      </c>
    </row>
    <row r="35" spans="2:66" s="300" customFormat="1">
      <c r="B35" s="412">
        <v>2051</v>
      </c>
      <c r="C35" s="414">
        <f>C34</f>
        <v>2</v>
      </c>
      <c r="D35" s="415">
        <f t="shared" ref="D35:U48" si="34">D34</f>
        <v>1.6</v>
      </c>
      <c r="E35" s="415">
        <f t="shared" si="34"/>
        <v>0.115</v>
      </c>
      <c r="F35" s="416">
        <f t="shared" si="34"/>
        <v>4</v>
      </c>
      <c r="G35" s="416">
        <f t="shared" ca="1" si="34"/>
        <v>3.9277108433735024</v>
      </c>
      <c r="H35" s="416">
        <f t="shared" si="34"/>
        <v>85</v>
      </c>
      <c r="I35" s="416">
        <f t="shared" si="34"/>
        <v>75</v>
      </c>
      <c r="J35" s="416">
        <f t="shared" ref="J35" si="35">J34</f>
        <v>554</v>
      </c>
      <c r="K35" s="416">
        <f t="shared" si="34"/>
        <v>150</v>
      </c>
      <c r="L35" s="416">
        <f t="shared" si="34"/>
        <v>6</v>
      </c>
      <c r="M35" s="416">
        <f t="shared" ca="1" si="34"/>
        <v>2747.5500000000011</v>
      </c>
      <c r="N35" s="416">
        <f t="shared" si="34"/>
        <v>219</v>
      </c>
      <c r="O35" s="416">
        <f t="shared" si="34"/>
        <v>6.5000000000000002E-2</v>
      </c>
      <c r="P35" s="416"/>
      <c r="Q35" s="416">
        <f t="shared" si="34"/>
        <v>8.5</v>
      </c>
      <c r="R35" s="416">
        <f t="shared" si="34"/>
        <v>15</v>
      </c>
      <c r="S35" s="416">
        <f t="shared" si="34"/>
        <v>15</v>
      </c>
      <c r="T35" s="416">
        <f t="shared" si="34"/>
        <v>3.7710149999999998</v>
      </c>
      <c r="U35" s="416">
        <f t="shared" si="34"/>
        <v>0.115</v>
      </c>
      <c r="V35" s="416">
        <f t="shared" si="3"/>
        <v>0.14950000000000002</v>
      </c>
      <c r="W35" s="416">
        <f t="shared" ref="W35:Y35" si="36">W34</f>
        <v>1.3</v>
      </c>
      <c r="X35" s="877">
        <f t="shared" si="36"/>
        <v>150</v>
      </c>
      <c r="Y35" s="877">
        <f t="shared" si="36"/>
        <v>25</v>
      </c>
      <c r="AC35" s="300">
        <v>2051</v>
      </c>
      <c r="AD35" s="300">
        <v>1.2</v>
      </c>
      <c r="AE35" s="300">
        <v>1.2</v>
      </c>
      <c r="AF35" s="300">
        <v>1.2</v>
      </c>
      <c r="AG35" s="300">
        <v>1.2</v>
      </c>
      <c r="AH35" s="300">
        <v>1.2</v>
      </c>
      <c r="AI35" s="300">
        <v>1.2</v>
      </c>
      <c r="AJ35" s="300">
        <v>1.2</v>
      </c>
      <c r="AK35" s="300">
        <v>1.2</v>
      </c>
      <c r="AP35" s="300">
        <v>2051</v>
      </c>
      <c r="AQ35" s="300">
        <f>AQ34</f>
        <v>4.3999999999999997E-2</v>
      </c>
      <c r="AR35" s="300">
        <f t="shared" ref="AR35:AZ49" si="37">AR34</f>
        <v>9.7000000000000003E-2</v>
      </c>
      <c r="AS35" s="300">
        <f t="shared" si="37"/>
        <v>2.1999999999999999E-2</v>
      </c>
      <c r="AT35" s="300">
        <f t="shared" si="37"/>
        <v>7.0000000000000001E-3</v>
      </c>
      <c r="AU35" s="300">
        <f t="shared" si="37"/>
        <v>2.3E-2</v>
      </c>
      <c r="AV35" s="300">
        <f t="shared" si="37"/>
        <v>5.0000000000000001E-3</v>
      </c>
      <c r="AW35" s="300">
        <f t="shared" si="37"/>
        <v>2.3E-2</v>
      </c>
      <c r="AX35" s="300">
        <f t="shared" si="37"/>
        <v>5.1999999999999998E-2</v>
      </c>
      <c r="AY35" s="300">
        <f t="shared" si="37"/>
        <v>5.2999999999999999E-2</v>
      </c>
      <c r="AZ35" s="300">
        <f t="shared" si="37"/>
        <v>7.0000000000000001E-3</v>
      </c>
      <c r="BF35" s="300">
        <v>2051</v>
      </c>
      <c r="BG35" s="817">
        <f>BG34</f>
        <v>8.4877815582893401</v>
      </c>
      <c r="BH35" s="813">
        <f>BH34</f>
        <v>2.2999999999999998</v>
      </c>
      <c r="BI35" s="813">
        <f t="shared" ref="BI35:BI49" si="38">BI34</f>
        <v>1.3</v>
      </c>
      <c r="BJ35" s="813">
        <f t="shared" ref="BJ35:BJ49" si="39">BJ34</f>
        <v>1.1499999999999999</v>
      </c>
      <c r="BL35" s="817">
        <f t="shared" si="4"/>
        <v>19.521897584065481</v>
      </c>
      <c r="BM35" s="817">
        <f t="shared" si="31"/>
        <v>11.034116025776143</v>
      </c>
      <c r="BN35" s="817">
        <f t="shared" si="32"/>
        <v>9.7609487920327407</v>
      </c>
    </row>
    <row r="36" spans="2:66" s="300" customFormat="1">
      <c r="B36" s="412">
        <v>2052</v>
      </c>
      <c r="C36" s="414">
        <f t="shared" ref="C36:C49" si="40">C35</f>
        <v>2</v>
      </c>
      <c r="D36" s="415">
        <f t="shared" si="34"/>
        <v>1.6</v>
      </c>
      <c r="E36" s="415">
        <f t="shared" si="34"/>
        <v>0.115</v>
      </c>
      <c r="F36" s="416">
        <f t="shared" si="34"/>
        <v>4</v>
      </c>
      <c r="G36" s="416">
        <f t="shared" ca="1" si="34"/>
        <v>3.9277108433735024</v>
      </c>
      <c r="H36" s="416">
        <f t="shared" si="34"/>
        <v>85</v>
      </c>
      <c r="I36" s="416">
        <f t="shared" si="34"/>
        <v>75</v>
      </c>
      <c r="J36" s="416">
        <f t="shared" ref="J36" si="41">J35</f>
        <v>554</v>
      </c>
      <c r="K36" s="416">
        <f t="shared" si="34"/>
        <v>150</v>
      </c>
      <c r="L36" s="416">
        <f t="shared" si="34"/>
        <v>6</v>
      </c>
      <c r="M36" s="416">
        <f t="shared" ca="1" si="34"/>
        <v>2747.5500000000011</v>
      </c>
      <c r="N36" s="416">
        <f t="shared" si="34"/>
        <v>219</v>
      </c>
      <c r="O36" s="416">
        <f t="shared" si="34"/>
        <v>6.5000000000000002E-2</v>
      </c>
      <c r="P36" s="416"/>
      <c r="Q36" s="416">
        <f t="shared" si="34"/>
        <v>8.5</v>
      </c>
      <c r="R36" s="416">
        <f t="shared" si="34"/>
        <v>15</v>
      </c>
      <c r="S36" s="416">
        <f t="shared" si="34"/>
        <v>15</v>
      </c>
      <c r="T36" s="416">
        <f t="shared" si="34"/>
        <v>3.7710149999999998</v>
      </c>
      <c r="U36" s="416">
        <f t="shared" si="34"/>
        <v>0.115</v>
      </c>
      <c r="V36" s="416">
        <f t="shared" si="3"/>
        <v>0.14950000000000002</v>
      </c>
      <c r="W36" s="416">
        <f t="shared" ref="W36:Y36" si="42">W35</f>
        <v>1.3</v>
      </c>
      <c r="X36" s="877">
        <f t="shared" si="42"/>
        <v>150</v>
      </c>
      <c r="Y36" s="877">
        <f t="shared" si="42"/>
        <v>25</v>
      </c>
      <c r="AC36" s="300">
        <v>2052</v>
      </c>
      <c r="AD36" s="300">
        <v>1.2</v>
      </c>
      <c r="AE36" s="300">
        <v>1.2</v>
      </c>
      <c r="AF36" s="300">
        <v>1.2</v>
      </c>
      <c r="AG36" s="300">
        <v>1.2</v>
      </c>
      <c r="AH36" s="300">
        <v>1.2</v>
      </c>
      <c r="AI36" s="300">
        <v>1.2</v>
      </c>
      <c r="AJ36" s="300">
        <v>1.2</v>
      </c>
      <c r="AK36" s="300">
        <v>1.2</v>
      </c>
      <c r="AP36" s="300">
        <v>2052</v>
      </c>
      <c r="AQ36" s="300">
        <f t="shared" ref="AQ36:AQ49" si="43">AQ35</f>
        <v>4.3999999999999997E-2</v>
      </c>
      <c r="AR36" s="300">
        <f t="shared" si="37"/>
        <v>9.7000000000000003E-2</v>
      </c>
      <c r="AS36" s="300">
        <f t="shared" si="37"/>
        <v>2.1999999999999999E-2</v>
      </c>
      <c r="AT36" s="300">
        <f t="shared" si="37"/>
        <v>7.0000000000000001E-3</v>
      </c>
      <c r="AU36" s="300">
        <f t="shared" si="37"/>
        <v>2.3E-2</v>
      </c>
      <c r="AV36" s="300">
        <f t="shared" si="37"/>
        <v>5.0000000000000001E-3</v>
      </c>
      <c r="AW36" s="300">
        <f t="shared" si="37"/>
        <v>2.3E-2</v>
      </c>
      <c r="AX36" s="300">
        <f t="shared" si="37"/>
        <v>5.1999999999999998E-2</v>
      </c>
      <c r="AY36" s="300">
        <f t="shared" si="37"/>
        <v>5.2999999999999999E-2</v>
      </c>
      <c r="AZ36" s="300">
        <f t="shared" si="37"/>
        <v>7.0000000000000001E-3</v>
      </c>
      <c r="BF36" s="300">
        <v>2052</v>
      </c>
      <c r="BG36" s="817">
        <f t="shared" ref="BG36:BH49" si="44">BG35</f>
        <v>8.4877815582893401</v>
      </c>
      <c r="BH36" s="813">
        <f t="shared" si="44"/>
        <v>2.2999999999999998</v>
      </c>
      <c r="BI36" s="813">
        <f t="shared" si="38"/>
        <v>1.3</v>
      </c>
      <c r="BJ36" s="813">
        <f t="shared" si="39"/>
        <v>1.1499999999999999</v>
      </c>
      <c r="BL36" s="817">
        <f t="shared" si="4"/>
        <v>19.521897584065481</v>
      </c>
      <c r="BM36" s="817">
        <f t="shared" si="31"/>
        <v>11.034116025776143</v>
      </c>
      <c r="BN36" s="817">
        <f t="shared" si="32"/>
        <v>9.7609487920327407</v>
      </c>
    </row>
    <row r="37" spans="2:66" s="300" customFormat="1">
      <c r="B37" s="412">
        <v>2053</v>
      </c>
      <c r="C37" s="414">
        <f t="shared" si="40"/>
        <v>2</v>
      </c>
      <c r="D37" s="415">
        <f t="shared" si="34"/>
        <v>1.6</v>
      </c>
      <c r="E37" s="415">
        <f t="shared" si="34"/>
        <v>0.115</v>
      </c>
      <c r="F37" s="416">
        <f t="shared" si="34"/>
        <v>4</v>
      </c>
      <c r="G37" s="416">
        <f t="shared" ca="1" si="34"/>
        <v>3.9277108433735024</v>
      </c>
      <c r="H37" s="416">
        <f t="shared" si="34"/>
        <v>85</v>
      </c>
      <c r="I37" s="416">
        <f t="shared" si="34"/>
        <v>75</v>
      </c>
      <c r="J37" s="416">
        <f t="shared" ref="J37" si="45">J36</f>
        <v>554</v>
      </c>
      <c r="K37" s="416">
        <f t="shared" si="34"/>
        <v>150</v>
      </c>
      <c r="L37" s="416">
        <f t="shared" si="34"/>
        <v>6</v>
      </c>
      <c r="M37" s="416">
        <f t="shared" ca="1" si="34"/>
        <v>2747.5500000000011</v>
      </c>
      <c r="N37" s="416">
        <f t="shared" si="34"/>
        <v>219</v>
      </c>
      <c r="O37" s="416">
        <f t="shared" si="34"/>
        <v>6.5000000000000002E-2</v>
      </c>
      <c r="P37" s="416"/>
      <c r="Q37" s="416">
        <f t="shared" si="34"/>
        <v>8.5</v>
      </c>
      <c r="R37" s="416">
        <f t="shared" si="34"/>
        <v>15</v>
      </c>
      <c r="S37" s="416">
        <f t="shared" si="34"/>
        <v>15</v>
      </c>
      <c r="T37" s="416">
        <f t="shared" si="34"/>
        <v>3.7710149999999998</v>
      </c>
      <c r="U37" s="416">
        <f t="shared" si="34"/>
        <v>0.115</v>
      </c>
      <c r="V37" s="416">
        <f t="shared" si="3"/>
        <v>0.14950000000000002</v>
      </c>
      <c r="W37" s="416">
        <f t="shared" ref="W37:Y37" si="46">W36</f>
        <v>1.3</v>
      </c>
      <c r="X37" s="877">
        <f t="shared" si="46"/>
        <v>150</v>
      </c>
      <c r="Y37" s="877">
        <f t="shared" si="46"/>
        <v>25</v>
      </c>
      <c r="AC37" s="300">
        <v>2053</v>
      </c>
      <c r="AD37" s="300">
        <v>1.2</v>
      </c>
      <c r="AE37" s="300">
        <v>1.2</v>
      </c>
      <c r="AF37" s="300">
        <v>1.2</v>
      </c>
      <c r="AG37" s="300">
        <v>1.2</v>
      </c>
      <c r="AH37" s="300">
        <v>1.2</v>
      </c>
      <c r="AI37" s="300">
        <v>1.2</v>
      </c>
      <c r="AJ37" s="300">
        <v>1.2</v>
      </c>
      <c r="AK37" s="300">
        <v>1.2</v>
      </c>
      <c r="AP37" s="300">
        <v>2053</v>
      </c>
      <c r="AQ37" s="300">
        <f t="shared" si="43"/>
        <v>4.3999999999999997E-2</v>
      </c>
      <c r="AR37" s="300">
        <f t="shared" si="37"/>
        <v>9.7000000000000003E-2</v>
      </c>
      <c r="AS37" s="300">
        <f t="shared" si="37"/>
        <v>2.1999999999999999E-2</v>
      </c>
      <c r="AT37" s="300">
        <f t="shared" si="37"/>
        <v>7.0000000000000001E-3</v>
      </c>
      <c r="AU37" s="300">
        <f t="shared" si="37"/>
        <v>2.3E-2</v>
      </c>
      <c r="AV37" s="300">
        <f t="shared" si="37"/>
        <v>5.0000000000000001E-3</v>
      </c>
      <c r="AW37" s="300">
        <f t="shared" si="37"/>
        <v>2.3E-2</v>
      </c>
      <c r="AX37" s="300">
        <f t="shared" si="37"/>
        <v>5.1999999999999998E-2</v>
      </c>
      <c r="AY37" s="300">
        <f t="shared" si="37"/>
        <v>5.2999999999999999E-2</v>
      </c>
      <c r="AZ37" s="300">
        <f t="shared" si="37"/>
        <v>7.0000000000000001E-3</v>
      </c>
      <c r="BF37" s="300">
        <v>2053</v>
      </c>
      <c r="BG37" s="817">
        <f t="shared" si="44"/>
        <v>8.4877815582893401</v>
      </c>
      <c r="BH37" s="813">
        <f t="shared" si="44"/>
        <v>2.2999999999999998</v>
      </c>
      <c r="BI37" s="813">
        <f t="shared" si="38"/>
        <v>1.3</v>
      </c>
      <c r="BJ37" s="813">
        <f t="shared" si="39"/>
        <v>1.1499999999999999</v>
      </c>
      <c r="BL37" s="817">
        <f t="shared" si="4"/>
        <v>19.521897584065481</v>
      </c>
      <c r="BM37" s="817">
        <f t="shared" si="31"/>
        <v>11.034116025776143</v>
      </c>
      <c r="BN37" s="817">
        <f t="shared" si="32"/>
        <v>9.7609487920327407</v>
      </c>
    </row>
    <row r="38" spans="2:66" s="300" customFormat="1">
      <c r="B38" s="412">
        <v>2054</v>
      </c>
      <c r="C38" s="414">
        <f t="shared" si="40"/>
        <v>2</v>
      </c>
      <c r="D38" s="415">
        <f t="shared" si="34"/>
        <v>1.6</v>
      </c>
      <c r="E38" s="415">
        <f t="shared" si="34"/>
        <v>0.115</v>
      </c>
      <c r="F38" s="416">
        <f t="shared" si="34"/>
        <v>4</v>
      </c>
      <c r="G38" s="416">
        <f t="shared" ca="1" si="34"/>
        <v>3.9277108433735024</v>
      </c>
      <c r="H38" s="416">
        <f t="shared" si="34"/>
        <v>85</v>
      </c>
      <c r="I38" s="416">
        <f t="shared" si="34"/>
        <v>75</v>
      </c>
      <c r="J38" s="416">
        <f t="shared" ref="J38" si="47">J37</f>
        <v>554</v>
      </c>
      <c r="K38" s="416">
        <f t="shared" si="34"/>
        <v>150</v>
      </c>
      <c r="L38" s="416">
        <f t="shared" si="34"/>
        <v>6</v>
      </c>
      <c r="M38" s="416">
        <f t="shared" ca="1" si="34"/>
        <v>2747.5500000000011</v>
      </c>
      <c r="N38" s="416">
        <f t="shared" si="34"/>
        <v>219</v>
      </c>
      <c r="O38" s="416">
        <f t="shared" si="34"/>
        <v>6.5000000000000002E-2</v>
      </c>
      <c r="P38" s="416"/>
      <c r="Q38" s="416">
        <f t="shared" si="34"/>
        <v>8.5</v>
      </c>
      <c r="R38" s="416">
        <f t="shared" si="34"/>
        <v>15</v>
      </c>
      <c r="S38" s="416">
        <f t="shared" si="34"/>
        <v>15</v>
      </c>
      <c r="T38" s="416">
        <f t="shared" si="34"/>
        <v>3.7710149999999998</v>
      </c>
      <c r="U38" s="416">
        <f t="shared" si="34"/>
        <v>0.115</v>
      </c>
      <c r="V38" s="416">
        <f t="shared" si="3"/>
        <v>0.14950000000000002</v>
      </c>
      <c r="W38" s="416">
        <f t="shared" ref="W38:Y38" si="48">W37</f>
        <v>1.3</v>
      </c>
      <c r="X38" s="877">
        <f t="shared" si="48"/>
        <v>150</v>
      </c>
      <c r="Y38" s="877">
        <f t="shared" si="48"/>
        <v>25</v>
      </c>
      <c r="AC38" s="300">
        <v>2054</v>
      </c>
      <c r="AD38" s="300">
        <v>1.2</v>
      </c>
      <c r="AE38" s="300">
        <v>1.2</v>
      </c>
      <c r="AF38" s="300">
        <v>1.2</v>
      </c>
      <c r="AG38" s="300">
        <v>1.2</v>
      </c>
      <c r="AH38" s="300">
        <v>1.2</v>
      </c>
      <c r="AI38" s="300">
        <v>1.2</v>
      </c>
      <c r="AJ38" s="300">
        <v>1.2</v>
      </c>
      <c r="AK38" s="300">
        <v>1.2</v>
      </c>
      <c r="AP38" s="300">
        <v>2054</v>
      </c>
      <c r="AQ38" s="300">
        <f t="shared" si="43"/>
        <v>4.3999999999999997E-2</v>
      </c>
      <c r="AR38" s="300">
        <f t="shared" si="37"/>
        <v>9.7000000000000003E-2</v>
      </c>
      <c r="AS38" s="300">
        <f t="shared" si="37"/>
        <v>2.1999999999999999E-2</v>
      </c>
      <c r="AT38" s="300">
        <f t="shared" si="37"/>
        <v>7.0000000000000001E-3</v>
      </c>
      <c r="AU38" s="300">
        <f t="shared" si="37"/>
        <v>2.3E-2</v>
      </c>
      <c r="AV38" s="300">
        <f t="shared" si="37"/>
        <v>5.0000000000000001E-3</v>
      </c>
      <c r="AW38" s="300">
        <f t="shared" si="37"/>
        <v>2.3E-2</v>
      </c>
      <c r="AX38" s="300">
        <f t="shared" si="37"/>
        <v>5.1999999999999998E-2</v>
      </c>
      <c r="AY38" s="300">
        <f t="shared" si="37"/>
        <v>5.2999999999999999E-2</v>
      </c>
      <c r="AZ38" s="300">
        <f t="shared" si="37"/>
        <v>7.0000000000000001E-3</v>
      </c>
      <c r="BF38" s="300">
        <v>2054</v>
      </c>
      <c r="BG38" s="817">
        <f t="shared" si="44"/>
        <v>8.4877815582893401</v>
      </c>
      <c r="BH38" s="813">
        <f t="shared" si="44"/>
        <v>2.2999999999999998</v>
      </c>
      <c r="BI38" s="813">
        <f t="shared" si="38"/>
        <v>1.3</v>
      </c>
      <c r="BJ38" s="813">
        <f t="shared" si="39"/>
        <v>1.1499999999999999</v>
      </c>
      <c r="BL38" s="817">
        <f t="shared" si="4"/>
        <v>19.521897584065481</v>
      </c>
      <c r="BM38" s="817">
        <f t="shared" si="31"/>
        <v>11.034116025776143</v>
      </c>
      <c r="BN38" s="817">
        <f t="shared" si="32"/>
        <v>9.7609487920327407</v>
      </c>
    </row>
    <row r="39" spans="2:66" s="300" customFormat="1">
      <c r="B39" s="412">
        <v>2055</v>
      </c>
      <c r="C39" s="414">
        <f t="shared" si="40"/>
        <v>2</v>
      </c>
      <c r="D39" s="415">
        <f t="shared" si="34"/>
        <v>1.6</v>
      </c>
      <c r="E39" s="415">
        <f t="shared" si="34"/>
        <v>0.115</v>
      </c>
      <c r="F39" s="416">
        <f t="shared" si="34"/>
        <v>4</v>
      </c>
      <c r="G39" s="416">
        <f t="shared" ca="1" si="34"/>
        <v>3.9277108433735024</v>
      </c>
      <c r="H39" s="416">
        <f t="shared" si="34"/>
        <v>85</v>
      </c>
      <c r="I39" s="416">
        <f t="shared" si="34"/>
        <v>75</v>
      </c>
      <c r="J39" s="416">
        <f t="shared" ref="J39" si="49">J38</f>
        <v>554</v>
      </c>
      <c r="K39" s="416">
        <f t="shared" si="34"/>
        <v>150</v>
      </c>
      <c r="L39" s="416">
        <f t="shared" si="34"/>
        <v>6</v>
      </c>
      <c r="M39" s="416">
        <f t="shared" ca="1" si="34"/>
        <v>2747.5500000000011</v>
      </c>
      <c r="N39" s="416">
        <f t="shared" si="34"/>
        <v>219</v>
      </c>
      <c r="O39" s="416">
        <f t="shared" si="34"/>
        <v>6.5000000000000002E-2</v>
      </c>
      <c r="P39" s="416"/>
      <c r="Q39" s="416">
        <f t="shared" si="34"/>
        <v>8.5</v>
      </c>
      <c r="R39" s="416">
        <f t="shared" si="34"/>
        <v>15</v>
      </c>
      <c r="S39" s="416">
        <f t="shared" si="34"/>
        <v>15</v>
      </c>
      <c r="T39" s="416">
        <f t="shared" si="34"/>
        <v>3.7710149999999998</v>
      </c>
      <c r="U39" s="416">
        <f t="shared" si="34"/>
        <v>0.115</v>
      </c>
      <c r="V39" s="416">
        <f t="shared" si="3"/>
        <v>0.14950000000000002</v>
      </c>
      <c r="W39" s="416">
        <f t="shared" ref="W39:Y39" si="50">W38</f>
        <v>1.3</v>
      </c>
      <c r="X39" s="877">
        <f t="shared" si="50"/>
        <v>150</v>
      </c>
      <c r="Y39" s="877">
        <f t="shared" si="50"/>
        <v>25</v>
      </c>
      <c r="AC39" s="300">
        <v>2055</v>
      </c>
      <c r="AD39" s="300">
        <v>1.2</v>
      </c>
      <c r="AE39" s="300">
        <v>1.2</v>
      </c>
      <c r="AF39" s="300">
        <v>1.2</v>
      </c>
      <c r="AG39" s="300">
        <v>1.2</v>
      </c>
      <c r="AH39" s="300">
        <v>1.2</v>
      </c>
      <c r="AI39" s="300">
        <v>1.2</v>
      </c>
      <c r="AJ39" s="300">
        <v>1.2</v>
      </c>
      <c r="AK39" s="300">
        <v>1.2</v>
      </c>
      <c r="AP39" s="300">
        <v>2055</v>
      </c>
      <c r="AQ39" s="300">
        <f t="shared" si="43"/>
        <v>4.3999999999999997E-2</v>
      </c>
      <c r="AR39" s="300">
        <f t="shared" si="37"/>
        <v>9.7000000000000003E-2</v>
      </c>
      <c r="AS39" s="300">
        <f t="shared" si="37"/>
        <v>2.1999999999999999E-2</v>
      </c>
      <c r="AT39" s="300">
        <f t="shared" si="37"/>
        <v>7.0000000000000001E-3</v>
      </c>
      <c r="AU39" s="300">
        <f t="shared" si="37"/>
        <v>2.3E-2</v>
      </c>
      <c r="AV39" s="300">
        <f t="shared" si="37"/>
        <v>5.0000000000000001E-3</v>
      </c>
      <c r="AW39" s="300">
        <f t="shared" si="37"/>
        <v>2.3E-2</v>
      </c>
      <c r="AX39" s="300">
        <f t="shared" si="37"/>
        <v>5.1999999999999998E-2</v>
      </c>
      <c r="AY39" s="300">
        <f t="shared" si="37"/>
        <v>5.2999999999999999E-2</v>
      </c>
      <c r="AZ39" s="300">
        <f t="shared" si="37"/>
        <v>7.0000000000000001E-3</v>
      </c>
      <c r="BF39" s="300">
        <v>2055</v>
      </c>
      <c r="BG39" s="817">
        <f t="shared" si="44"/>
        <v>8.4877815582893401</v>
      </c>
      <c r="BH39" s="813">
        <f t="shared" si="44"/>
        <v>2.2999999999999998</v>
      </c>
      <c r="BI39" s="813">
        <f t="shared" si="38"/>
        <v>1.3</v>
      </c>
      <c r="BJ39" s="813">
        <f t="shared" si="39"/>
        <v>1.1499999999999999</v>
      </c>
      <c r="BL39" s="817">
        <f t="shared" si="4"/>
        <v>19.521897584065481</v>
      </c>
      <c r="BM39" s="817">
        <f t="shared" si="31"/>
        <v>11.034116025776143</v>
      </c>
      <c r="BN39" s="817">
        <f t="shared" si="32"/>
        <v>9.7609487920327407</v>
      </c>
    </row>
    <row r="40" spans="2:66" s="300" customFormat="1">
      <c r="B40" s="412">
        <v>2056</v>
      </c>
      <c r="C40" s="414">
        <f t="shared" si="40"/>
        <v>2</v>
      </c>
      <c r="D40" s="415">
        <f t="shared" si="34"/>
        <v>1.6</v>
      </c>
      <c r="E40" s="415">
        <f t="shared" si="34"/>
        <v>0.115</v>
      </c>
      <c r="F40" s="416">
        <f t="shared" si="34"/>
        <v>4</v>
      </c>
      <c r="G40" s="416">
        <f t="shared" ca="1" si="34"/>
        <v>3.9277108433735024</v>
      </c>
      <c r="H40" s="416">
        <f t="shared" si="34"/>
        <v>85</v>
      </c>
      <c r="I40" s="416">
        <f t="shared" si="34"/>
        <v>75</v>
      </c>
      <c r="J40" s="416">
        <f t="shared" ref="J40" si="51">J39</f>
        <v>554</v>
      </c>
      <c r="K40" s="416">
        <f t="shared" si="34"/>
        <v>150</v>
      </c>
      <c r="L40" s="416">
        <f t="shared" si="34"/>
        <v>6</v>
      </c>
      <c r="M40" s="416">
        <f t="shared" ca="1" si="34"/>
        <v>2747.5500000000011</v>
      </c>
      <c r="N40" s="416">
        <f t="shared" si="34"/>
        <v>219</v>
      </c>
      <c r="O40" s="416">
        <f t="shared" si="34"/>
        <v>6.5000000000000002E-2</v>
      </c>
      <c r="P40" s="416"/>
      <c r="Q40" s="416">
        <f t="shared" si="34"/>
        <v>8.5</v>
      </c>
      <c r="R40" s="416">
        <f t="shared" si="34"/>
        <v>15</v>
      </c>
      <c r="S40" s="416">
        <f t="shared" si="34"/>
        <v>15</v>
      </c>
      <c r="T40" s="416">
        <f t="shared" si="34"/>
        <v>3.7710149999999998</v>
      </c>
      <c r="U40" s="416">
        <f t="shared" si="34"/>
        <v>0.115</v>
      </c>
      <c r="V40" s="416">
        <f t="shared" si="3"/>
        <v>0.14950000000000002</v>
      </c>
      <c r="W40" s="416">
        <f t="shared" ref="W40:Y40" si="52">W39</f>
        <v>1.3</v>
      </c>
      <c r="X40" s="877">
        <f t="shared" si="52"/>
        <v>150</v>
      </c>
      <c r="Y40" s="877">
        <f t="shared" si="52"/>
        <v>25</v>
      </c>
      <c r="AC40" s="300">
        <v>2056</v>
      </c>
      <c r="AD40" s="300">
        <v>1.2</v>
      </c>
      <c r="AE40" s="300">
        <v>1.2</v>
      </c>
      <c r="AF40" s="300">
        <v>1.2</v>
      </c>
      <c r="AG40" s="300">
        <v>1.2</v>
      </c>
      <c r="AH40" s="300">
        <v>1.2</v>
      </c>
      <c r="AI40" s="300">
        <v>1.2</v>
      </c>
      <c r="AJ40" s="300">
        <v>1.2</v>
      </c>
      <c r="AK40" s="300">
        <v>1.2</v>
      </c>
      <c r="AP40" s="300">
        <v>2056</v>
      </c>
      <c r="AQ40" s="300">
        <f t="shared" si="43"/>
        <v>4.3999999999999997E-2</v>
      </c>
      <c r="AR40" s="300">
        <f t="shared" si="37"/>
        <v>9.7000000000000003E-2</v>
      </c>
      <c r="AS40" s="300">
        <f t="shared" si="37"/>
        <v>2.1999999999999999E-2</v>
      </c>
      <c r="AT40" s="300">
        <f t="shared" si="37"/>
        <v>7.0000000000000001E-3</v>
      </c>
      <c r="AU40" s="300">
        <f t="shared" si="37"/>
        <v>2.3E-2</v>
      </c>
      <c r="AV40" s="300">
        <f t="shared" si="37"/>
        <v>5.0000000000000001E-3</v>
      </c>
      <c r="AW40" s="300">
        <f t="shared" si="37"/>
        <v>2.3E-2</v>
      </c>
      <c r="AX40" s="300">
        <f t="shared" si="37"/>
        <v>5.1999999999999998E-2</v>
      </c>
      <c r="AY40" s="300">
        <f t="shared" si="37"/>
        <v>5.2999999999999999E-2</v>
      </c>
      <c r="AZ40" s="300">
        <f t="shared" si="37"/>
        <v>7.0000000000000001E-3</v>
      </c>
      <c r="BF40" s="300">
        <v>2056</v>
      </c>
      <c r="BG40" s="817">
        <f t="shared" si="44"/>
        <v>8.4877815582893401</v>
      </c>
      <c r="BH40" s="813">
        <f t="shared" si="44"/>
        <v>2.2999999999999998</v>
      </c>
      <c r="BI40" s="813">
        <f t="shared" si="38"/>
        <v>1.3</v>
      </c>
      <c r="BJ40" s="813">
        <f t="shared" si="39"/>
        <v>1.1499999999999999</v>
      </c>
      <c r="BL40" s="817">
        <f t="shared" si="4"/>
        <v>19.521897584065481</v>
      </c>
      <c r="BM40" s="817">
        <f t="shared" si="31"/>
        <v>11.034116025776143</v>
      </c>
      <c r="BN40" s="817">
        <f t="shared" si="32"/>
        <v>9.7609487920327407</v>
      </c>
    </row>
    <row r="41" spans="2:66" s="300" customFormat="1">
      <c r="B41" s="412">
        <v>2057</v>
      </c>
      <c r="C41" s="414">
        <f t="shared" si="40"/>
        <v>2</v>
      </c>
      <c r="D41" s="415">
        <f t="shared" si="34"/>
        <v>1.6</v>
      </c>
      <c r="E41" s="415">
        <f t="shared" si="34"/>
        <v>0.115</v>
      </c>
      <c r="F41" s="416">
        <f t="shared" si="34"/>
        <v>4</v>
      </c>
      <c r="G41" s="416">
        <f t="shared" ca="1" si="34"/>
        <v>3.9277108433735024</v>
      </c>
      <c r="H41" s="416">
        <f t="shared" si="34"/>
        <v>85</v>
      </c>
      <c r="I41" s="416">
        <f t="shared" si="34"/>
        <v>75</v>
      </c>
      <c r="J41" s="416">
        <f t="shared" ref="J41" si="53">J40</f>
        <v>554</v>
      </c>
      <c r="K41" s="416">
        <f t="shared" si="34"/>
        <v>150</v>
      </c>
      <c r="L41" s="416">
        <f t="shared" si="34"/>
        <v>6</v>
      </c>
      <c r="M41" s="416">
        <f t="shared" ca="1" si="34"/>
        <v>2747.5500000000011</v>
      </c>
      <c r="N41" s="416">
        <f t="shared" si="34"/>
        <v>219</v>
      </c>
      <c r="O41" s="416">
        <f t="shared" si="34"/>
        <v>6.5000000000000002E-2</v>
      </c>
      <c r="P41" s="416"/>
      <c r="Q41" s="416">
        <f t="shared" si="34"/>
        <v>8.5</v>
      </c>
      <c r="R41" s="416">
        <f t="shared" si="34"/>
        <v>15</v>
      </c>
      <c r="S41" s="416">
        <f t="shared" si="34"/>
        <v>15</v>
      </c>
      <c r="T41" s="416">
        <f t="shared" si="34"/>
        <v>3.7710149999999998</v>
      </c>
      <c r="U41" s="416">
        <f t="shared" si="34"/>
        <v>0.115</v>
      </c>
      <c r="V41" s="416">
        <f t="shared" si="3"/>
        <v>0.14950000000000002</v>
      </c>
      <c r="W41" s="416">
        <f t="shared" ref="W41:Y41" si="54">W40</f>
        <v>1.3</v>
      </c>
      <c r="X41" s="877">
        <f t="shared" si="54"/>
        <v>150</v>
      </c>
      <c r="Y41" s="877">
        <f t="shared" si="54"/>
        <v>25</v>
      </c>
      <c r="AC41" s="300">
        <v>2057</v>
      </c>
      <c r="AD41" s="300">
        <v>1.2</v>
      </c>
      <c r="AE41" s="300">
        <v>1.2</v>
      </c>
      <c r="AF41" s="300">
        <v>1.2</v>
      </c>
      <c r="AG41" s="300">
        <v>1.2</v>
      </c>
      <c r="AH41" s="300">
        <v>1.2</v>
      </c>
      <c r="AI41" s="300">
        <v>1.2</v>
      </c>
      <c r="AJ41" s="300">
        <v>1.2</v>
      </c>
      <c r="AK41" s="300">
        <v>1.2</v>
      </c>
      <c r="AP41" s="300">
        <v>2057</v>
      </c>
      <c r="AQ41" s="300">
        <f t="shared" si="43"/>
        <v>4.3999999999999997E-2</v>
      </c>
      <c r="AR41" s="300">
        <f t="shared" si="37"/>
        <v>9.7000000000000003E-2</v>
      </c>
      <c r="AS41" s="300">
        <f t="shared" si="37"/>
        <v>2.1999999999999999E-2</v>
      </c>
      <c r="AT41" s="300">
        <f t="shared" si="37"/>
        <v>7.0000000000000001E-3</v>
      </c>
      <c r="AU41" s="300">
        <f t="shared" si="37"/>
        <v>2.3E-2</v>
      </c>
      <c r="AV41" s="300">
        <f t="shared" si="37"/>
        <v>5.0000000000000001E-3</v>
      </c>
      <c r="AW41" s="300">
        <f t="shared" si="37"/>
        <v>2.3E-2</v>
      </c>
      <c r="AX41" s="300">
        <f t="shared" si="37"/>
        <v>5.1999999999999998E-2</v>
      </c>
      <c r="AY41" s="300">
        <f t="shared" si="37"/>
        <v>5.2999999999999999E-2</v>
      </c>
      <c r="AZ41" s="300">
        <f t="shared" si="37"/>
        <v>7.0000000000000001E-3</v>
      </c>
      <c r="BF41" s="300">
        <v>2057</v>
      </c>
      <c r="BG41" s="817">
        <f t="shared" si="44"/>
        <v>8.4877815582893401</v>
      </c>
      <c r="BH41" s="813">
        <f t="shared" si="44"/>
        <v>2.2999999999999998</v>
      </c>
      <c r="BI41" s="813">
        <f t="shared" si="38"/>
        <v>1.3</v>
      </c>
      <c r="BJ41" s="813">
        <f t="shared" si="39"/>
        <v>1.1499999999999999</v>
      </c>
      <c r="BL41" s="817">
        <f t="shared" si="4"/>
        <v>19.521897584065481</v>
      </c>
      <c r="BM41" s="817">
        <f t="shared" si="31"/>
        <v>11.034116025776143</v>
      </c>
      <c r="BN41" s="817">
        <f t="shared" si="32"/>
        <v>9.7609487920327407</v>
      </c>
    </row>
    <row r="42" spans="2:66" s="300" customFormat="1">
      <c r="B42" s="412">
        <v>2058</v>
      </c>
      <c r="C42" s="414">
        <f t="shared" si="40"/>
        <v>2</v>
      </c>
      <c r="D42" s="415">
        <f t="shared" si="34"/>
        <v>1.6</v>
      </c>
      <c r="E42" s="415">
        <f t="shared" si="34"/>
        <v>0.115</v>
      </c>
      <c r="F42" s="416">
        <f t="shared" si="34"/>
        <v>4</v>
      </c>
      <c r="G42" s="416">
        <f t="shared" ca="1" si="34"/>
        <v>3.9277108433735024</v>
      </c>
      <c r="H42" s="416">
        <f t="shared" si="34"/>
        <v>85</v>
      </c>
      <c r="I42" s="416">
        <f t="shared" si="34"/>
        <v>75</v>
      </c>
      <c r="J42" s="416">
        <f t="shared" ref="J42" si="55">J41</f>
        <v>554</v>
      </c>
      <c r="K42" s="416">
        <f t="shared" si="34"/>
        <v>150</v>
      </c>
      <c r="L42" s="416">
        <f t="shared" si="34"/>
        <v>6</v>
      </c>
      <c r="M42" s="416">
        <f t="shared" ca="1" si="34"/>
        <v>2747.5500000000011</v>
      </c>
      <c r="N42" s="416">
        <f t="shared" si="34"/>
        <v>219</v>
      </c>
      <c r="O42" s="416">
        <f t="shared" si="34"/>
        <v>6.5000000000000002E-2</v>
      </c>
      <c r="P42" s="416"/>
      <c r="Q42" s="416">
        <f t="shared" si="34"/>
        <v>8.5</v>
      </c>
      <c r="R42" s="416">
        <f t="shared" si="34"/>
        <v>15</v>
      </c>
      <c r="S42" s="416">
        <f t="shared" si="34"/>
        <v>15</v>
      </c>
      <c r="T42" s="416">
        <f t="shared" si="34"/>
        <v>3.7710149999999998</v>
      </c>
      <c r="U42" s="416">
        <f t="shared" si="34"/>
        <v>0.115</v>
      </c>
      <c r="V42" s="416">
        <f t="shared" si="3"/>
        <v>0.14950000000000002</v>
      </c>
      <c r="W42" s="416">
        <f t="shared" ref="W42:Y42" si="56">W41</f>
        <v>1.3</v>
      </c>
      <c r="X42" s="877">
        <f t="shared" si="56"/>
        <v>150</v>
      </c>
      <c r="Y42" s="877">
        <f t="shared" si="56"/>
        <v>25</v>
      </c>
      <c r="AC42" s="300">
        <v>2058</v>
      </c>
      <c r="AD42" s="300">
        <v>1.2</v>
      </c>
      <c r="AE42" s="300">
        <v>1.2</v>
      </c>
      <c r="AF42" s="300">
        <v>1.2</v>
      </c>
      <c r="AG42" s="300">
        <v>1.2</v>
      </c>
      <c r="AH42" s="300">
        <v>1.2</v>
      </c>
      <c r="AI42" s="300">
        <v>1.2</v>
      </c>
      <c r="AJ42" s="300">
        <v>1.2</v>
      </c>
      <c r="AK42" s="300">
        <v>1.2</v>
      </c>
      <c r="AP42" s="300">
        <v>2058</v>
      </c>
      <c r="AQ42" s="300">
        <f t="shared" si="43"/>
        <v>4.3999999999999997E-2</v>
      </c>
      <c r="AR42" s="300">
        <f t="shared" si="37"/>
        <v>9.7000000000000003E-2</v>
      </c>
      <c r="AS42" s="300">
        <f t="shared" si="37"/>
        <v>2.1999999999999999E-2</v>
      </c>
      <c r="AT42" s="300">
        <f t="shared" si="37"/>
        <v>7.0000000000000001E-3</v>
      </c>
      <c r="AU42" s="300">
        <f t="shared" si="37"/>
        <v>2.3E-2</v>
      </c>
      <c r="AV42" s="300">
        <f t="shared" si="37"/>
        <v>5.0000000000000001E-3</v>
      </c>
      <c r="AW42" s="300">
        <f t="shared" si="37"/>
        <v>2.3E-2</v>
      </c>
      <c r="AX42" s="300">
        <f t="shared" si="37"/>
        <v>5.1999999999999998E-2</v>
      </c>
      <c r="AY42" s="300">
        <f t="shared" si="37"/>
        <v>5.2999999999999999E-2</v>
      </c>
      <c r="AZ42" s="300">
        <f t="shared" si="37"/>
        <v>7.0000000000000001E-3</v>
      </c>
      <c r="BF42" s="300">
        <v>2058</v>
      </c>
      <c r="BG42" s="817">
        <f t="shared" si="44"/>
        <v>8.4877815582893401</v>
      </c>
      <c r="BH42" s="813">
        <f t="shared" si="44"/>
        <v>2.2999999999999998</v>
      </c>
      <c r="BI42" s="813">
        <f t="shared" si="38"/>
        <v>1.3</v>
      </c>
      <c r="BJ42" s="813">
        <f t="shared" si="39"/>
        <v>1.1499999999999999</v>
      </c>
      <c r="BL42" s="817">
        <f t="shared" si="4"/>
        <v>19.521897584065481</v>
      </c>
      <c r="BM42" s="817">
        <f t="shared" si="31"/>
        <v>11.034116025776143</v>
      </c>
      <c r="BN42" s="817">
        <f t="shared" si="32"/>
        <v>9.7609487920327407</v>
      </c>
    </row>
    <row r="43" spans="2:66" s="300" customFormat="1">
      <c r="B43" s="412">
        <v>2059</v>
      </c>
      <c r="C43" s="414">
        <f t="shared" si="40"/>
        <v>2</v>
      </c>
      <c r="D43" s="415">
        <f t="shared" si="34"/>
        <v>1.6</v>
      </c>
      <c r="E43" s="415">
        <f t="shared" si="34"/>
        <v>0.115</v>
      </c>
      <c r="F43" s="416">
        <f t="shared" si="34"/>
        <v>4</v>
      </c>
      <c r="G43" s="416">
        <f t="shared" ca="1" si="34"/>
        <v>3.9277108433735024</v>
      </c>
      <c r="H43" s="416">
        <f t="shared" si="34"/>
        <v>85</v>
      </c>
      <c r="I43" s="416">
        <f t="shared" si="34"/>
        <v>75</v>
      </c>
      <c r="J43" s="416">
        <f t="shared" ref="J43" si="57">J42</f>
        <v>554</v>
      </c>
      <c r="K43" s="416">
        <f t="shared" si="34"/>
        <v>150</v>
      </c>
      <c r="L43" s="416">
        <f t="shared" si="34"/>
        <v>6</v>
      </c>
      <c r="M43" s="416">
        <f t="shared" ca="1" si="34"/>
        <v>2747.5500000000011</v>
      </c>
      <c r="N43" s="416">
        <f t="shared" si="34"/>
        <v>219</v>
      </c>
      <c r="O43" s="416">
        <f t="shared" si="34"/>
        <v>6.5000000000000002E-2</v>
      </c>
      <c r="P43" s="416"/>
      <c r="Q43" s="416">
        <f t="shared" si="34"/>
        <v>8.5</v>
      </c>
      <c r="R43" s="416">
        <f t="shared" si="34"/>
        <v>15</v>
      </c>
      <c r="S43" s="416">
        <f t="shared" si="34"/>
        <v>15</v>
      </c>
      <c r="T43" s="416">
        <f t="shared" si="34"/>
        <v>3.7710149999999998</v>
      </c>
      <c r="U43" s="416">
        <f t="shared" si="34"/>
        <v>0.115</v>
      </c>
      <c r="V43" s="416">
        <f t="shared" si="3"/>
        <v>0.14950000000000002</v>
      </c>
      <c r="W43" s="416">
        <f t="shared" ref="W43:Y43" si="58">W42</f>
        <v>1.3</v>
      </c>
      <c r="X43" s="877">
        <f t="shared" si="58"/>
        <v>150</v>
      </c>
      <c r="Y43" s="877">
        <f t="shared" si="58"/>
        <v>25</v>
      </c>
      <c r="AC43" s="300">
        <v>2059</v>
      </c>
      <c r="AD43" s="300">
        <v>1.2</v>
      </c>
      <c r="AE43" s="300">
        <v>1.2</v>
      </c>
      <c r="AF43" s="300">
        <v>1.2</v>
      </c>
      <c r="AG43" s="300">
        <v>1.2</v>
      </c>
      <c r="AH43" s="300">
        <v>1.2</v>
      </c>
      <c r="AI43" s="300">
        <v>1.2</v>
      </c>
      <c r="AJ43" s="300">
        <v>1.2</v>
      </c>
      <c r="AK43" s="300">
        <v>1.2</v>
      </c>
      <c r="AP43" s="300">
        <v>2059</v>
      </c>
      <c r="AQ43" s="300">
        <f t="shared" si="43"/>
        <v>4.3999999999999997E-2</v>
      </c>
      <c r="AR43" s="300">
        <f t="shared" si="37"/>
        <v>9.7000000000000003E-2</v>
      </c>
      <c r="AS43" s="300">
        <f t="shared" si="37"/>
        <v>2.1999999999999999E-2</v>
      </c>
      <c r="AT43" s="300">
        <f t="shared" si="37"/>
        <v>7.0000000000000001E-3</v>
      </c>
      <c r="AU43" s="300">
        <f t="shared" si="37"/>
        <v>2.3E-2</v>
      </c>
      <c r="AV43" s="300">
        <f t="shared" si="37"/>
        <v>5.0000000000000001E-3</v>
      </c>
      <c r="AW43" s="300">
        <f t="shared" si="37"/>
        <v>2.3E-2</v>
      </c>
      <c r="AX43" s="300">
        <f t="shared" si="37"/>
        <v>5.1999999999999998E-2</v>
      </c>
      <c r="AY43" s="300">
        <f t="shared" si="37"/>
        <v>5.2999999999999999E-2</v>
      </c>
      <c r="AZ43" s="300">
        <f t="shared" si="37"/>
        <v>7.0000000000000001E-3</v>
      </c>
      <c r="BF43" s="300">
        <v>2059</v>
      </c>
      <c r="BG43" s="817">
        <f t="shared" si="44"/>
        <v>8.4877815582893401</v>
      </c>
      <c r="BH43" s="813">
        <f t="shared" si="44"/>
        <v>2.2999999999999998</v>
      </c>
      <c r="BI43" s="813">
        <f t="shared" si="38"/>
        <v>1.3</v>
      </c>
      <c r="BJ43" s="813">
        <f t="shared" si="39"/>
        <v>1.1499999999999999</v>
      </c>
      <c r="BL43" s="817">
        <f t="shared" si="4"/>
        <v>19.521897584065481</v>
      </c>
      <c r="BM43" s="817">
        <f t="shared" si="31"/>
        <v>11.034116025776143</v>
      </c>
      <c r="BN43" s="817">
        <f t="shared" si="32"/>
        <v>9.7609487920327407</v>
      </c>
    </row>
    <row r="44" spans="2:66" s="300" customFormat="1">
      <c r="B44" s="412">
        <v>2060</v>
      </c>
      <c r="C44" s="414">
        <f t="shared" si="40"/>
        <v>2</v>
      </c>
      <c r="D44" s="415">
        <f t="shared" si="34"/>
        <v>1.6</v>
      </c>
      <c r="E44" s="415">
        <f t="shared" si="34"/>
        <v>0.115</v>
      </c>
      <c r="F44" s="416">
        <f t="shared" si="34"/>
        <v>4</v>
      </c>
      <c r="G44" s="416">
        <f t="shared" ca="1" si="34"/>
        <v>3.9277108433735024</v>
      </c>
      <c r="H44" s="416">
        <f t="shared" si="34"/>
        <v>85</v>
      </c>
      <c r="I44" s="416">
        <f t="shared" si="34"/>
        <v>75</v>
      </c>
      <c r="J44" s="416">
        <f t="shared" ref="J44" si="59">J43</f>
        <v>554</v>
      </c>
      <c r="K44" s="416">
        <f t="shared" si="34"/>
        <v>150</v>
      </c>
      <c r="L44" s="416">
        <f t="shared" si="34"/>
        <v>6</v>
      </c>
      <c r="M44" s="416">
        <f t="shared" ca="1" si="34"/>
        <v>2747.5500000000011</v>
      </c>
      <c r="N44" s="416">
        <f t="shared" si="34"/>
        <v>219</v>
      </c>
      <c r="O44" s="416">
        <f t="shared" si="34"/>
        <v>6.5000000000000002E-2</v>
      </c>
      <c r="P44" s="416"/>
      <c r="Q44" s="416">
        <f t="shared" si="34"/>
        <v>8.5</v>
      </c>
      <c r="R44" s="416">
        <f t="shared" si="34"/>
        <v>15</v>
      </c>
      <c r="S44" s="416">
        <f t="shared" si="34"/>
        <v>15</v>
      </c>
      <c r="T44" s="416">
        <f t="shared" si="34"/>
        <v>3.7710149999999998</v>
      </c>
      <c r="U44" s="416">
        <f t="shared" si="34"/>
        <v>0.115</v>
      </c>
      <c r="V44" s="416">
        <f t="shared" si="3"/>
        <v>0.14950000000000002</v>
      </c>
      <c r="W44" s="416">
        <f t="shared" ref="W44:Y44" si="60">W43</f>
        <v>1.3</v>
      </c>
      <c r="X44" s="877">
        <f t="shared" si="60"/>
        <v>150</v>
      </c>
      <c r="Y44" s="877">
        <f t="shared" si="60"/>
        <v>25</v>
      </c>
      <c r="AC44" s="300">
        <v>2060</v>
      </c>
      <c r="AD44" s="300">
        <v>1.2</v>
      </c>
      <c r="AE44" s="300">
        <v>1.2</v>
      </c>
      <c r="AF44" s="300">
        <v>1.2</v>
      </c>
      <c r="AG44" s="300">
        <v>1.2</v>
      </c>
      <c r="AH44" s="300">
        <v>1.2</v>
      </c>
      <c r="AI44" s="300">
        <v>1.2</v>
      </c>
      <c r="AJ44" s="300">
        <v>1.2</v>
      </c>
      <c r="AK44" s="300">
        <v>1.2</v>
      </c>
      <c r="AP44" s="300">
        <v>2060</v>
      </c>
      <c r="AQ44" s="300">
        <f t="shared" si="43"/>
        <v>4.3999999999999997E-2</v>
      </c>
      <c r="AR44" s="300">
        <f t="shared" si="37"/>
        <v>9.7000000000000003E-2</v>
      </c>
      <c r="AS44" s="300">
        <f t="shared" si="37"/>
        <v>2.1999999999999999E-2</v>
      </c>
      <c r="AT44" s="300">
        <f t="shared" si="37"/>
        <v>7.0000000000000001E-3</v>
      </c>
      <c r="AU44" s="300">
        <f t="shared" si="37"/>
        <v>2.3E-2</v>
      </c>
      <c r="AV44" s="300">
        <f t="shared" si="37"/>
        <v>5.0000000000000001E-3</v>
      </c>
      <c r="AW44" s="300">
        <f t="shared" si="37"/>
        <v>2.3E-2</v>
      </c>
      <c r="AX44" s="300">
        <f t="shared" si="37"/>
        <v>5.1999999999999998E-2</v>
      </c>
      <c r="AY44" s="300">
        <f t="shared" si="37"/>
        <v>5.2999999999999999E-2</v>
      </c>
      <c r="AZ44" s="300">
        <f t="shared" si="37"/>
        <v>7.0000000000000001E-3</v>
      </c>
      <c r="BF44" s="300">
        <v>2060</v>
      </c>
      <c r="BG44" s="817">
        <f t="shared" si="44"/>
        <v>8.4877815582893401</v>
      </c>
      <c r="BH44" s="813">
        <f t="shared" si="44"/>
        <v>2.2999999999999998</v>
      </c>
      <c r="BI44" s="813">
        <f t="shared" si="38"/>
        <v>1.3</v>
      </c>
      <c r="BJ44" s="813">
        <f t="shared" si="39"/>
        <v>1.1499999999999999</v>
      </c>
      <c r="BL44" s="817">
        <f t="shared" si="4"/>
        <v>19.521897584065481</v>
      </c>
      <c r="BM44" s="817">
        <f t="shared" si="31"/>
        <v>11.034116025776143</v>
      </c>
      <c r="BN44" s="817">
        <f t="shared" si="32"/>
        <v>9.7609487920327407</v>
      </c>
    </row>
    <row r="45" spans="2:66" s="300" customFormat="1">
      <c r="B45" s="412">
        <v>2061</v>
      </c>
      <c r="C45" s="414">
        <f t="shared" si="40"/>
        <v>2</v>
      </c>
      <c r="D45" s="415">
        <f t="shared" si="34"/>
        <v>1.6</v>
      </c>
      <c r="E45" s="415">
        <f t="shared" si="34"/>
        <v>0.115</v>
      </c>
      <c r="F45" s="416">
        <f t="shared" si="34"/>
        <v>4</v>
      </c>
      <c r="G45" s="416">
        <f t="shared" ca="1" si="34"/>
        <v>3.9277108433735024</v>
      </c>
      <c r="H45" s="416">
        <f t="shared" si="34"/>
        <v>85</v>
      </c>
      <c r="I45" s="416">
        <f t="shared" si="34"/>
        <v>75</v>
      </c>
      <c r="J45" s="416">
        <f t="shared" ref="J45" si="61">J44</f>
        <v>554</v>
      </c>
      <c r="K45" s="416">
        <f t="shared" si="34"/>
        <v>150</v>
      </c>
      <c r="L45" s="416">
        <f t="shared" si="34"/>
        <v>6</v>
      </c>
      <c r="M45" s="416">
        <f t="shared" ca="1" si="34"/>
        <v>2747.5500000000011</v>
      </c>
      <c r="N45" s="416">
        <f t="shared" si="34"/>
        <v>219</v>
      </c>
      <c r="O45" s="416">
        <f t="shared" si="34"/>
        <v>6.5000000000000002E-2</v>
      </c>
      <c r="P45" s="416"/>
      <c r="Q45" s="416">
        <f t="shared" si="34"/>
        <v>8.5</v>
      </c>
      <c r="R45" s="416">
        <f t="shared" si="34"/>
        <v>15</v>
      </c>
      <c r="S45" s="416">
        <f t="shared" si="34"/>
        <v>15</v>
      </c>
      <c r="T45" s="416">
        <f t="shared" si="34"/>
        <v>3.7710149999999998</v>
      </c>
      <c r="U45" s="416">
        <f t="shared" si="34"/>
        <v>0.115</v>
      </c>
      <c r="V45" s="416">
        <f t="shared" si="3"/>
        <v>0.14950000000000002</v>
      </c>
      <c r="W45" s="416">
        <f t="shared" ref="W45:Y45" si="62">W44</f>
        <v>1.3</v>
      </c>
      <c r="X45" s="877">
        <f t="shared" si="62"/>
        <v>150</v>
      </c>
      <c r="Y45" s="877">
        <f t="shared" si="62"/>
        <v>25</v>
      </c>
      <c r="AC45" s="300">
        <v>2061</v>
      </c>
      <c r="AD45" s="300">
        <v>1.2</v>
      </c>
      <c r="AE45" s="300">
        <v>1.2</v>
      </c>
      <c r="AF45" s="300">
        <v>1.2</v>
      </c>
      <c r="AG45" s="300">
        <v>1.2</v>
      </c>
      <c r="AH45" s="300">
        <v>1.2</v>
      </c>
      <c r="AI45" s="300">
        <v>1.2</v>
      </c>
      <c r="AJ45" s="300">
        <v>1.2</v>
      </c>
      <c r="AK45" s="300">
        <v>1.2</v>
      </c>
      <c r="AP45" s="300">
        <v>2061</v>
      </c>
      <c r="AQ45" s="300">
        <f t="shared" si="43"/>
        <v>4.3999999999999997E-2</v>
      </c>
      <c r="AR45" s="300">
        <f t="shared" si="37"/>
        <v>9.7000000000000003E-2</v>
      </c>
      <c r="AS45" s="300">
        <f t="shared" si="37"/>
        <v>2.1999999999999999E-2</v>
      </c>
      <c r="AT45" s="300">
        <f t="shared" si="37"/>
        <v>7.0000000000000001E-3</v>
      </c>
      <c r="AU45" s="300">
        <f t="shared" si="37"/>
        <v>2.3E-2</v>
      </c>
      <c r="AV45" s="300">
        <f t="shared" si="37"/>
        <v>5.0000000000000001E-3</v>
      </c>
      <c r="AW45" s="300">
        <f t="shared" si="37"/>
        <v>2.3E-2</v>
      </c>
      <c r="AX45" s="300">
        <f t="shared" si="37"/>
        <v>5.1999999999999998E-2</v>
      </c>
      <c r="AY45" s="300">
        <f t="shared" si="37"/>
        <v>5.2999999999999999E-2</v>
      </c>
      <c r="AZ45" s="300">
        <f t="shared" si="37"/>
        <v>7.0000000000000001E-3</v>
      </c>
      <c r="BF45" s="300">
        <v>2061</v>
      </c>
      <c r="BG45" s="817">
        <f t="shared" si="44"/>
        <v>8.4877815582893401</v>
      </c>
      <c r="BH45" s="813">
        <f t="shared" si="44"/>
        <v>2.2999999999999998</v>
      </c>
      <c r="BI45" s="813">
        <f t="shared" si="38"/>
        <v>1.3</v>
      </c>
      <c r="BJ45" s="813">
        <f t="shared" si="39"/>
        <v>1.1499999999999999</v>
      </c>
      <c r="BL45" s="817">
        <f t="shared" si="4"/>
        <v>19.521897584065481</v>
      </c>
      <c r="BM45" s="817">
        <f t="shared" si="31"/>
        <v>11.034116025776143</v>
      </c>
      <c r="BN45" s="817">
        <f t="shared" si="32"/>
        <v>9.7609487920327407</v>
      </c>
    </row>
    <row r="46" spans="2:66" s="300" customFormat="1">
      <c r="B46" s="412">
        <v>2062</v>
      </c>
      <c r="C46" s="414">
        <f t="shared" si="40"/>
        <v>2</v>
      </c>
      <c r="D46" s="415">
        <f t="shared" si="34"/>
        <v>1.6</v>
      </c>
      <c r="E46" s="415">
        <f t="shared" si="34"/>
        <v>0.115</v>
      </c>
      <c r="F46" s="416">
        <f t="shared" si="34"/>
        <v>4</v>
      </c>
      <c r="G46" s="416">
        <f t="shared" ca="1" si="34"/>
        <v>3.9277108433735024</v>
      </c>
      <c r="H46" s="416">
        <f t="shared" si="34"/>
        <v>85</v>
      </c>
      <c r="I46" s="416">
        <f t="shared" si="34"/>
        <v>75</v>
      </c>
      <c r="J46" s="416">
        <f t="shared" ref="J46" si="63">J45</f>
        <v>554</v>
      </c>
      <c r="K46" s="416">
        <f t="shared" si="34"/>
        <v>150</v>
      </c>
      <c r="L46" s="416">
        <f t="shared" si="34"/>
        <v>6</v>
      </c>
      <c r="M46" s="416">
        <f t="shared" ca="1" si="34"/>
        <v>2747.5500000000011</v>
      </c>
      <c r="N46" s="416">
        <f t="shared" si="34"/>
        <v>219</v>
      </c>
      <c r="O46" s="416">
        <f t="shared" si="34"/>
        <v>6.5000000000000002E-2</v>
      </c>
      <c r="P46" s="416"/>
      <c r="Q46" s="416">
        <f t="shared" si="34"/>
        <v>8.5</v>
      </c>
      <c r="R46" s="416">
        <f t="shared" si="34"/>
        <v>15</v>
      </c>
      <c r="S46" s="416">
        <f t="shared" si="34"/>
        <v>15</v>
      </c>
      <c r="T46" s="416">
        <f t="shared" si="34"/>
        <v>3.7710149999999998</v>
      </c>
      <c r="U46" s="416">
        <f t="shared" si="34"/>
        <v>0.115</v>
      </c>
      <c r="V46" s="416">
        <f t="shared" si="3"/>
        <v>0.14950000000000002</v>
      </c>
      <c r="W46" s="416">
        <f t="shared" ref="W46:Y46" si="64">W45</f>
        <v>1.3</v>
      </c>
      <c r="X46" s="877">
        <f t="shared" si="64"/>
        <v>150</v>
      </c>
      <c r="Y46" s="877">
        <f t="shared" si="64"/>
        <v>25</v>
      </c>
      <c r="AC46" s="300">
        <v>2062</v>
      </c>
      <c r="AD46" s="300">
        <v>1.2</v>
      </c>
      <c r="AE46" s="300">
        <v>1.2</v>
      </c>
      <c r="AF46" s="300">
        <v>1.2</v>
      </c>
      <c r="AG46" s="300">
        <v>1.2</v>
      </c>
      <c r="AH46" s="300">
        <v>1.2</v>
      </c>
      <c r="AI46" s="300">
        <v>1.2</v>
      </c>
      <c r="AJ46" s="300">
        <v>1.2</v>
      </c>
      <c r="AK46" s="300">
        <v>1.2</v>
      </c>
      <c r="AP46" s="300">
        <v>2062</v>
      </c>
      <c r="AQ46" s="300">
        <f t="shared" si="43"/>
        <v>4.3999999999999997E-2</v>
      </c>
      <c r="AR46" s="300">
        <f t="shared" si="37"/>
        <v>9.7000000000000003E-2</v>
      </c>
      <c r="AS46" s="300">
        <f t="shared" si="37"/>
        <v>2.1999999999999999E-2</v>
      </c>
      <c r="AT46" s="300">
        <f t="shared" si="37"/>
        <v>7.0000000000000001E-3</v>
      </c>
      <c r="AU46" s="300">
        <f t="shared" si="37"/>
        <v>2.3E-2</v>
      </c>
      <c r="AV46" s="300">
        <f t="shared" si="37"/>
        <v>5.0000000000000001E-3</v>
      </c>
      <c r="AW46" s="300">
        <f t="shared" si="37"/>
        <v>2.3E-2</v>
      </c>
      <c r="AX46" s="300">
        <f t="shared" si="37"/>
        <v>5.1999999999999998E-2</v>
      </c>
      <c r="AY46" s="300">
        <f t="shared" si="37"/>
        <v>5.2999999999999999E-2</v>
      </c>
      <c r="AZ46" s="300">
        <f t="shared" si="37"/>
        <v>7.0000000000000001E-3</v>
      </c>
      <c r="BF46" s="300">
        <v>2062</v>
      </c>
      <c r="BG46" s="817">
        <f t="shared" si="44"/>
        <v>8.4877815582893401</v>
      </c>
      <c r="BH46" s="813">
        <f t="shared" si="44"/>
        <v>2.2999999999999998</v>
      </c>
      <c r="BI46" s="813">
        <f t="shared" si="38"/>
        <v>1.3</v>
      </c>
      <c r="BJ46" s="813">
        <f t="shared" si="39"/>
        <v>1.1499999999999999</v>
      </c>
      <c r="BL46" s="817">
        <f t="shared" si="4"/>
        <v>19.521897584065481</v>
      </c>
      <c r="BM46" s="817">
        <f t="shared" si="31"/>
        <v>11.034116025776143</v>
      </c>
      <c r="BN46" s="817">
        <f t="shared" si="32"/>
        <v>9.7609487920327407</v>
      </c>
    </row>
    <row r="47" spans="2:66" s="300" customFormat="1">
      <c r="B47" s="412">
        <v>2063</v>
      </c>
      <c r="C47" s="414">
        <f t="shared" si="40"/>
        <v>2</v>
      </c>
      <c r="D47" s="415">
        <f t="shared" si="34"/>
        <v>1.6</v>
      </c>
      <c r="E47" s="415">
        <f t="shared" si="34"/>
        <v>0.115</v>
      </c>
      <c r="F47" s="416">
        <f t="shared" si="34"/>
        <v>4</v>
      </c>
      <c r="G47" s="416">
        <f t="shared" ca="1" si="34"/>
        <v>3.9277108433735024</v>
      </c>
      <c r="H47" s="416">
        <f t="shared" si="34"/>
        <v>85</v>
      </c>
      <c r="I47" s="416">
        <f t="shared" si="34"/>
        <v>75</v>
      </c>
      <c r="J47" s="416">
        <f t="shared" ref="J47" si="65">J46</f>
        <v>554</v>
      </c>
      <c r="K47" s="416">
        <f t="shared" si="34"/>
        <v>150</v>
      </c>
      <c r="L47" s="416">
        <f t="shared" si="34"/>
        <v>6</v>
      </c>
      <c r="M47" s="416">
        <f t="shared" ca="1" si="34"/>
        <v>2747.5500000000011</v>
      </c>
      <c r="N47" s="416">
        <f t="shared" si="34"/>
        <v>219</v>
      </c>
      <c r="O47" s="416">
        <f t="shared" si="34"/>
        <v>6.5000000000000002E-2</v>
      </c>
      <c r="P47" s="416"/>
      <c r="Q47" s="416">
        <f t="shared" si="34"/>
        <v>8.5</v>
      </c>
      <c r="R47" s="416">
        <f t="shared" si="34"/>
        <v>15</v>
      </c>
      <c r="S47" s="416">
        <f t="shared" si="34"/>
        <v>15</v>
      </c>
      <c r="T47" s="416">
        <f t="shared" si="34"/>
        <v>3.7710149999999998</v>
      </c>
      <c r="U47" s="416">
        <f t="shared" si="34"/>
        <v>0.115</v>
      </c>
      <c r="V47" s="416">
        <f t="shared" si="3"/>
        <v>0.14950000000000002</v>
      </c>
      <c r="W47" s="416">
        <f t="shared" ref="W47:Y47" si="66">W46</f>
        <v>1.3</v>
      </c>
      <c r="X47" s="877">
        <f t="shared" si="66"/>
        <v>150</v>
      </c>
      <c r="Y47" s="877">
        <f t="shared" si="66"/>
        <v>25</v>
      </c>
      <c r="AC47" s="300">
        <v>2063</v>
      </c>
      <c r="AD47" s="300">
        <v>1.2</v>
      </c>
      <c r="AE47" s="300">
        <v>1.2</v>
      </c>
      <c r="AF47" s="300">
        <v>1.2</v>
      </c>
      <c r="AG47" s="300">
        <v>1.2</v>
      </c>
      <c r="AH47" s="300">
        <v>1.2</v>
      </c>
      <c r="AI47" s="300">
        <v>1.2</v>
      </c>
      <c r="AJ47" s="300">
        <v>1.2</v>
      </c>
      <c r="AK47" s="300">
        <v>1.2</v>
      </c>
      <c r="AP47" s="300">
        <v>2063</v>
      </c>
      <c r="AQ47" s="300">
        <f t="shared" si="43"/>
        <v>4.3999999999999997E-2</v>
      </c>
      <c r="AR47" s="300">
        <f t="shared" si="37"/>
        <v>9.7000000000000003E-2</v>
      </c>
      <c r="AS47" s="300">
        <f t="shared" si="37"/>
        <v>2.1999999999999999E-2</v>
      </c>
      <c r="AT47" s="300">
        <f t="shared" si="37"/>
        <v>7.0000000000000001E-3</v>
      </c>
      <c r="AU47" s="300">
        <f t="shared" si="37"/>
        <v>2.3E-2</v>
      </c>
      <c r="AV47" s="300">
        <f t="shared" si="37"/>
        <v>5.0000000000000001E-3</v>
      </c>
      <c r="AW47" s="300">
        <f t="shared" si="37"/>
        <v>2.3E-2</v>
      </c>
      <c r="AX47" s="300">
        <f t="shared" si="37"/>
        <v>5.1999999999999998E-2</v>
      </c>
      <c r="AY47" s="300">
        <f t="shared" si="37"/>
        <v>5.2999999999999999E-2</v>
      </c>
      <c r="AZ47" s="300">
        <f t="shared" si="37"/>
        <v>7.0000000000000001E-3</v>
      </c>
      <c r="BF47" s="300">
        <v>2063</v>
      </c>
      <c r="BG47" s="817">
        <f t="shared" si="44"/>
        <v>8.4877815582893401</v>
      </c>
      <c r="BH47" s="813">
        <f t="shared" si="44"/>
        <v>2.2999999999999998</v>
      </c>
      <c r="BI47" s="813">
        <f t="shared" si="38"/>
        <v>1.3</v>
      </c>
      <c r="BJ47" s="813">
        <f t="shared" si="39"/>
        <v>1.1499999999999999</v>
      </c>
      <c r="BL47" s="817">
        <f t="shared" si="4"/>
        <v>19.521897584065481</v>
      </c>
      <c r="BM47" s="817">
        <f t="shared" si="31"/>
        <v>11.034116025776143</v>
      </c>
      <c r="BN47" s="817">
        <f t="shared" si="32"/>
        <v>9.7609487920327407</v>
      </c>
    </row>
    <row r="48" spans="2:66" s="300" customFormat="1">
      <c r="B48" s="412">
        <v>2064</v>
      </c>
      <c r="C48" s="414">
        <f t="shared" si="40"/>
        <v>2</v>
      </c>
      <c r="D48" s="415">
        <f t="shared" si="34"/>
        <v>1.6</v>
      </c>
      <c r="E48" s="415">
        <f t="shared" si="34"/>
        <v>0.115</v>
      </c>
      <c r="F48" s="416">
        <f t="shared" si="34"/>
        <v>4</v>
      </c>
      <c r="G48" s="416">
        <f t="shared" ca="1" si="34"/>
        <v>3.9277108433735024</v>
      </c>
      <c r="H48" s="416">
        <f t="shared" si="34"/>
        <v>85</v>
      </c>
      <c r="I48" s="416">
        <f t="shared" si="34"/>
        <v>75</v>
      </c>
      <c r="J48" s="416">
        <f t="shared" ref="J48" si="67">J47</f>
        <v>554</v>
      </c>
      <c r="K48" s="416">
        <f t="shared" si="34"/>
        <v>150</v>
      </c>
      <c r="L48" s="416">
        <f t="shared" ref="L48:L49" si="68">L47</f>
        <v>6</v>
      </c>
      <c r="M48" s="416">
        <f t="shared" ref="M48:M49" ca="1" si="69">M47</f>
        <v>2747.5500000000011</v>
      </c>
      <c r="N48" s="416">
        <f t="shared" ref="N48:N49" si="70">N47</f>
        <v>219</v>
      </c>
      <c r="O48" s="416">
        <f t="shared" ref="O48:O49" si="71">O47</f>
        <v>6.5000000000000002E-2</v>
      </c>
      <c r="P48" s="416"/>
      <c r="Q48" s="416">
        <f t="shared" ref="Q48:Q49" si="72">Q47</f>
        <v>8.5</v>
      </c>
      <c r="R48" s="416">
        <f t="shared" ref="R48:R49" si="73">R47</f>
        <v>15</v>
      </c>
      <c r="S48" s="416">
        <f t="shared" ref="S48:S49" si="74">S47</f>
        <v>15</v>
      </c>
      <c r="T48" s="416">
        <f t="shared" ref="T48:T49" si="75">T47</f>
        <v>3.7710149999999998</v>
      </c>
      <c r="U48" s="416">
        <f t="shared" ref="U48:W49" si="76">U47</f>
        <v>0.115</v>
      </c>
      <c r="V48" s="416">
        <f t="shared" si="3"/>
        <v>0.14950000000000002</v>
      </c>
      <c r="W48" s="416">
        <f t="shared" si="76"/>
        <v>1.3</v>
      </c>
      <c r="X48" s="877">
        <f t="shared" ref="X48:Y48" si="77">X47</f>
        <v>150</v>
      </c>
      <c r="Y48" s="877">
        <f t="shared" si="77"/>
        <v>25</v>
      </c>
      <c r="AC48" s="300">
        <v>2064</v>
      </c>
      <c r="AD48" s="300">
        <v>1.2</v>
      </c>
      <c r="AE48" s="300">
        <v>1.2</v>
      </c>
      <c r="AF48" s="300">
        <v>1.2</v>
      </c>
      <c r="AG48" s="300">
        <v>1.2</v>
      </c>
      <c r="AH48" s="300">
        <v>1.2</v>
      </c>
      <c r="AI48" s="300">
        <v>1.2</v>
      </c>
      <c r="AJ48" s="300">
        <v>1.2</v>
      </c>
      <c r="AK48" s="300">
        <v>1.2</v>
      </c>
      <c r="AP48" s="300">
        <v>2064</v>
      </c>
      <c r="AQ48" s="300">
        <f t="shared" si="43"/>
        <v>4.3999999999999997E-2</v>
      </c>
      <c r="AR48" s="300">
        <f t="shared" si="37"/>
        <v>9.7000000000000003E-2</v>
      </c>
      <c r="AS48" s="300">
        <f t="shared" si="37"/>
        <v>2.1999999999999999E-2</v>
      </c>
      <c r="AT48" s="300">
        <f t="shared" si="37"/>
        <v>7.0000000000000001E-3</v>
      </c>
      <c r="AU48" s="300">
        <f t="shared" si="37"/>
        <v>2.3E-2</v>
      </c>
      <c r="AV48" s="300">
        <f t="shared" si="37"/>
        <v>5.0000000000000001E-3</v>
      </c>
      <c r="AW48" s="300">
        <f t="shared" si="37"/>
        <v>2.3E-2</v>
      </c>
      <c r="AX48" s="300">
        <f t="shared" si="37"/>
        <v>5.1999999999999998E-2</v>
      </c>
      <c r="AY48" s="300">
        <f t="shared" si="37"/>
        <v>5.2999999999999999E-2</v>
      </c>
      <c r="AZ48" s="300">
        <f t="shared" si="37"/>
        <v>7.0000000000000001E-3</v>
      </c>
      <c r="BF48" s="300">
        <v>2064</v>
      </c>
      <c r="BG48" s="817">
        <f t="shared" si="44"/>
        <v>8.4877815582893401</v>
      </c>
      <c r="BH48" s="813">
        <f t="shared" si="44"/>
        <v>2.2999999999999998</v>
      </c>
      <c r="BI48" s="813">
        <f t="shared" si="38"/>
        <v>1.3</v>
      </c>
      <c r="BJ48" s="813">
        <f t="shared" si="39"/>
        <v>1.1499999999999999</v>
      </c>
      <c r="BL48" s="817">
        <f t="shared" si="4"/>
        <v>19.521897584065481</v>
      </c>
      <c r="BM48" s="817">
        <f t="shared" si="31"/>
        <v>11.034116025776143</v>
      </c>
      <c r="BN48" s="817">
        <f t="shared" si="32"/>
        <v>9.7609487920327407</v>
      </c>
    </row>
    <row r="49" spans="1:69" s="300" customFormat="1">
      <c r="B49" s="412">
        <v>2065</v>
      </c>
      <c r="C49" s="414">
        <f t="shared" si="40"/>
        <v>2</v>
      </c>
      <c r="D49" s="415">
        <f t="shared" ref="D49" si="78">D48</f>
        <v>1.6</v>
      </c>
      <c r="E49" s="415">
        <f t="shared" ref="E49" si="79">E48</f>
        <v>0.115</v>
      </c>
      <c r="F49" s="416">
        <f t="shared" ref="F49" si="80">F48</f>
        <v>4</v>
      </c>
      <c r="G49" s="416">
        <f t="shared" ref="G49" ca="1" si="81">G48</f>
        <v>3.9277108433735024</v>
      </c>
      <c r="H49" s="416">
        <f t="shared" ref="H49" si="82">H48</f>
        <v>85</v>
      </c>
      <c r="I49" s="416">
        <f t="shared" ref="I49" si="83">I48</f>
        <v>75</v>
      </c>
      <c r="J49" s="416">
        <f t="shared" ref="J49:K49" si="84">J48</f>
        <v>554</v>
      </c>
      <c r="K49" s="416">
        <f t="shared" si="84"/>
        <v>150</v>
      </c>
      <c r="L49" s="416">
        <f t="shared" si="68"/>
        <v>6</v>
      </c>
      <c r="M49" s="416">
        <f t="shared" ca="1" si="69"/>
        <v>2747.5500000000011</v>
      </c>
      <c r="N49" s="416">
        <f t="shared" si="70"/>
        <v>219</v>
      </c>
      <c r="O49" s="416">
        <f t="shared" si="71"/>
        <v>6.5000000000000002E-2</v>
      </c>
      <c r="P49" s="416"/>
      <c r="Q49" s="416">
        <f t="shared" si="72"/>
        <v>8.5</v>
      </c>
      <c r="R49" s="416">
        <f t="shared" si="73"/>
        <v>15</v>
      </c>
      <c r="S49" s="416">
        <f t="shared" si="74"/>
        <v>15</v>
      </c>
      <c r="T49" s="416">
        <f t="shared" si="75"/>
        <v>3.7710149999999998</v>
      </c>
      <c r="U49" s="416">
        <f t="shared" si="76"/>
        <v>0.115</v>
      </c>
      <c r="V49" s="416">
        <f t="shared" si="3"/>
        <v>0.14950000000000002</v>
      </c>
      <c r="W49" s="416">
        <f t="shared" si="76"/>
        <v>1.3</v>
      </c>
      <c r="X49" s="877">
        <f t="shared" ref="X49:Y49" si="85">X48</f>
        <v>150</v>
      </c>
      <c r="Y49" s="877">
        <f t="shared" si="85"/>
        <v>25</v>
      </c>
      <c r="AC49" s="300">
        <v>2065</v>
      </c>
      <c r="AD49" s="300">
        <v>1.2</v>
      </c>
      <c r="AE49" s="300">
        <v>1.2</v>
      </c>
      <c r="AF49" s="300">
        <v>1.2</v>
      </c>
      <c r="AG49" s="300">
        <v>1.2</v>
      </c>
      <c r="AH49" s="300">
        <v>1.2</v>
      </c>
      <c r="AI49" s="300">
        <v>1.2</v>
      </c>
      <c r="AJ49" s="300">
        <v>1.2</v>
      </c>
      <c r="AK49" s="300">
        <v>1.2</v>
      </c>
      <c r="AP49" s="300">
        <v>2065</v>
      </c>
      <c r="AQ49" s="300">
        <f t="shared" si="43"/>
        <v>4.3999999999999997E-2</v>
      </c>
      <c r="AR49" s="300">
        <f t="shared" si="37"/>
        <v>9.7000000000000003E-2</v>
      </c>
      <c r="AS49" s="300">
        <f t="shared" si="37"/>
        <v>2.1999999999999999E-2</v>
      </c>
      <c r="AT49" s="300">
        <f t="shared" si="37"/>
        <v>7.0000000000000001E-3</v>
      </c>
      <c r="AU49" s="300">
        <f t="shared" si="37"/>
        <v>2.3E-2</v>
      </c>
      <c r="AV49" s="300">
        <f t="shared" si="37"/>
        <v>5.0000000000000001E-3</v>
      </c>
      <c r="AW49" s="300">
        <f t="shared" si="37"/>
        <v>2.3E-2</v>
      </c>
      <c r="AX49" s="300">
        <f t="shared" si="37"/>
        <v>5.1999999999999998E-2</v>
      </c>
      <c r="AY49" s="300">
        <f t="shared" si="37"/>
        <v>5.2999999999999999E-2</v>
      </c>
      <c r="AZ49" s="300">
        <f t="shared" si="37"/>
        <v>7.0000000000000001E-3</v>
      </c>
      <c r="BF49" s="300">
        <v>2065</v>
      </c>
      <c r="BG49" s="817">
        <f t="shared" si="44"/>
        <v>8.4877815582893401</v>
      </c>
      <c r="BH49" s="813">
        <f t="shared" si="44"/>
        <v>2.2999999999999998</v>
      </c>
      <c r="BI49" s="813">
        <f t="shared" si="38"/>
        <v>1.3</v>
      </c>
      <c r="BJ49" s="813">
        <f t="shared" si="39"/>
        <v>1.1499999999999999</v>
      </c>
      <c r="BL49" s="817">
        <f t="shared" si="4"/>
        <v>19.521897584065481</v>
      </c>
      <c r="BM49" s="817">
        <f t="shared" si="31"/>
        <v>11.034116025776143</v>
      </c>
      <c r="BN49" s="817">
        <f t="shared" si="32"/>
        <v>9.7609487920327407</v>
      </c>
    </row>
    <row r="50" spans="1:69" s="300" customFormat="1">
      <c r="C50" s="304"/>
      <c r="D50" s="305"/>
      <c r="E50" s="306"/>
      <c r="T50" s="307"/>
    </row>
    <row r="51" spans="1:69" ht="16" thickBot="1">
      <c r="AQ51" s="309"/>
      <c r="AR51" s="309"/>
      <c r="AS51" s="309"/>
      <c r="AT51" s="309"/>
      <c r="AU51" s="309"/>
      <c r="AV51" s="309"/>
      <c r="AW51" s="309"/>
      <c r="AX51" s="309"/>
      <c r="AY51" s="309"/>
      <c r="AZ51" s="309"/>
      <c r="BH51" s="309"/>
      <c r="BI51" s="309"/>
      <c r="BJ51" s="309"/>
      <c r="BK51" s="309"/>
      <c r="BL51" s="309"/>
      <c r="BM51" s="309"/>
      <c r="BN51" s="309"/>
      <c r="BO51" s="309"/>
      <c r="BP51" s="309"/>
      <c r="BQ51" s="309"/>
    </row>
    <row r="52" spans="1:69" ht="22.75" customHeight="1">
      <c r="A52" s="299"/>
      <c r="B52" s="1271" t="s">
        <v>420</v>
      </c>
      <c r="C52" s="1272"/>
      <c r="D52" s="1272"/>
      <c r="E52" s="1272"/>
      <c r="F52" s="1272"/>
      <c r="G52" s="1272"/>
      <c r="H52" s="1272"/>
      <c r="I52" s="1272"/>
      <c r="J52" s="1272"/>
      <c r="K52" s="1273"/>
      <c r="AP52" s="1271" t="s">
        <v>419</v>
      </c>
      <c r="AQ52" s="1272"/>
      <c r="AR52" s="1272"/>
      <c r="AS52" s="1272"/>
      <c r="AT52" s="1272"/>
      <c r="AU52" s="1272"/>
      <c r="AV52" s="1272"/>
      <c r="AW52" s="1272"/>
      <c r="AX52" s="1272"/>
      <c r="AY52" s="1272"/>
      <c r="AZ52" s="1273"/>
      <c r="BF52" s="1271" t="s">
        <v>419</v>
      </c>
      <c r="BG52" s="1272"/>
      <c r="BH52" s="1272"/>
      <c r="BI52" s="1272"/>
      <c r="BJ52" s="1272"/>
      <c r="BK52" s="1272"/>
      <c r="BL52" s="1272"/>
      <c r="BM52" s="1272"/>
      <c r="BN52" s="1272"/>
      <c r="BO52" s="1272"/>
      <c r="BP52" s="1272"/>
      <c r="BQ52" s="1273"/>
    </row>
    <row r="53" spans="1:69">
      <c r="B53" s="310">
        <v>1</v>
      </c>
      <c r="C53" s="311">
        <v>2</v>
      </c>
      <c r="D53" s="300">
        <v>3</v>
      </c>
      <c r="E53" s="311">
        <v>4</v>
      </c>
      <c r="F53" s="300">
        <v>5</v>
      </c>
      <c r="G53" s="311">
        <v>6</v>
      </c>
      <c r="H53" s="300">
        <v>7</v>
      </c>
      <c r="I53" s="311">
        <v>8</v>
      </c>
      <c r="J53" s="300">
        <v>9</v>
      </c>
      <c r="K53" s="312">
        <v>10</v>
      </c>
      <c r="AP53" s="310">
        <v>1</v>
      </c>
      <c r="AQ53" s="311">
        <v>2</v>
      </c>
      <c r="AR53" s="300">
        <v>3</v>
      </c>
      <c r="AS53" s="311">
        <v>4</v>
      </c>
      <c r="AT53" s="300">
        <v>5</v>
      </c>
      <c r="AU53" s="311">
        <v>6</v>
      </c>
      <c r="AV53" s="300">
        <v>7</v>
      </c>
      <c r="AW53" s="311">
        <v>8</v>
      </c>
      <c r="AX53" s="300">
        <v>9</v>
      </c>
      <c r="AY53" s="311">
        <v>10</v>
      </c>
      <c r="AZ53" s="312">
        <v>11</v>
      </c>
      <c r="BF53" s="310">
        <v>1</v>
      </c>
      <c r="BG53" s="300"/>
      <c r="BH53" s="311">
        <v>2</v>
      </c>
      <c r="BI53" s="300">
        <v>3</v>
      </c>
      <c r="BJ53" s="311">
        <v>4</v>
      </c>
      <c r="BK53" s="300">
        <v>5</v>
      </c>
      <c r="BL53" s="311">
        <v>6</v>
      </c>
      <c r="BM53" s="300">
        <v>7</v>
      </c>
      <c r="BN53" s="311">
        <v>8</v>
      </c>
      <c r="BO53" s="300">
        <v>9</v>
      </c>
      <c r="BP53" s="311">
        <v>10</v>
      </c>
      <c r="BQ53" s="312">
        <v>11</v>
      </c>
    </row>
    <row r="54" spans="1:69" ht="33.65" customHeight="1">
      <c r="B54" s="310" t="s">
        <v>253</v>
      </c>
      <c r="C54" s="300" t="s">
        <v>267</v>
      </c>
      <c r="D54" s="300" t="s">
        <v>271</v>
      </c>
      <c r="E54" s="300" t="s">
        <v>604</v>
      </c>
      <c r="F54" s="300" t="s">
        <v>139</v>
      </c>
      <c r="G54" s="300" t="s">
        <v>372</v>
      </c>
      <c r="H54" s="300" t="s">
        <v>603</v>
      </c>
      <c r="K54" s="313"/>
      <c r="AP54" s="310" t="s">
        <v>253</v>
      </c>
      <c r="AQ54" s="309" t="s">
        <v>421</v>
      </c>
      <c r="AR54" s="308" t="s">
        <v>422</v>
      </c>
      <c r="AS54" s="308" t="s">
        <v>406</v>
      </c>
      <c r="AT54" s="308" t="s">
        <v>423</v>
      </c>
      <c r="AU54" s="308" t="s">
        <v>424</v>
      </c>
      <c r="AV54" s="308" t="s">
        <v>425</v>
      </c>
      <c r="AW54" s="308" t="s">
        <v>426</v>
      </c>
      <c r="AX54" s="308" t="s">
        <v>427</v>
      </c>
      <c r="AY54" s="308" t="s">
        <v>428</v>
      </c>
      <c r="AZ54" s="313" t="s">
        <v>429</v>
      </c>
      <c r="BF54" s="310" t="s">
        <v>253</v>
      </c>
      <c r="BG54" s="300"/>
      <c r="BH54" s="797" t="str">
        <f>BH4</f>
        <v>BEV</v>
      </c>
      <c r="BI54" s="795" t="str">
        <f>BJ4</f>
        <v>Hydrogen ICEV</v>
      </c>
      <c r="BJ54" s="795" t="str">
        <f>BI4</f>
        <v>Hydrogen FCEV</v>
      </c>
      <c r="BK54" s="300" t="e">
        <f>#REF!</f>
        <v>#REF!</v>
      </c>
      <c r="BL54" s="300" t="str">
        <f t="shared" ref="BL54:BQ54" si="86">BL4</f>
        <v>BEV</v>
      </c>
      <c r="BM54" s="300" t="str">
        <f t="shared" si="86"/>
        <v>Hydrogen FCEV</v>
      </c>
      <c r="BN54" s="300" t="str">
        <f t="shared" si="86"/>
        <v>Hydrogen ICEV</v>
      </c>
      <c r="BO54" s="300">
        <f t="shared" si="86"/>
        <v>0</v>
      </c>
      <c r="BP54" s="300">
        <f t="shared" si="86"/>
        <v>0</v>
      </c>
      <c r="BQ54" s="796">
        <f t="shared" si="86"/>
        <v>0</v>
      </c>
    </row>
    <row r="55" spans="1:69">
      <c r="B55" s="310">
        <v>2022</v>
      </c>
      <c r="C55" s="309">
        <f>AVERAGE(C6:C20)</f>
        <v>1.6439999999999997</v>
      </c>
      <c r="D55" s="309">
        <f t="shared" ref="D55:G55" si="87">AVERAGE(D6:D20)</f>
        <v>1.3152000000000004</v>
      </c>
      <c r="E55" s="309">
        <f t="shared" si="87"/>
        <v>0.10416666666666669</v>
      </c>
      <c r="F55" s="309">
        <f t="shared" si="87"/>
        <v>6.9144444444444444</v>
      </c>
      <c r="G55" s="309">
        <f t="shared" ca="1" si="87"/>
        <v>3.5493413654618493</v>
      </c>
      <c r="H55" s="309">
        <f>AVERAGE(V6:V20)</f>
        <v>0.26285888888888886</v>
      </c>
      <c r="K55" s="313"/>
      <c r="AD55" s="309"/>
      <c r="AP55" s="310">
        <v>2022</v>
      </c>
      <c r="AQ55" s="318">
        <f>AVERAGE(AQ6:AQ20)</f>
        <v>4.4000000000000004E-2</v>
      </c>
      <c r="AR55" s="318">
        <f t="shared" ref="AR55:AZ55" si="88">AVERAGE(AR6:AR20)</f>
        <v>9.6999999999999989E-2</v>
      </c>
      <c r="AS55" s="318">
        <f t="shared" si="88"/>
        <v>2.2000000000000002E-2</v>
      </c>
      <c r="AT55" s="318">
        <f t="shared" si="88"/>
        <v>1.1610000000000001E-2</v>
      </c>
      <c r="AU55" s="318">
        <f t="shared" si="88"/>
        <v>2.3000000000000003E-2</v>
      </c>
      <c r="AV55" s="318">
        <f t="shared" si="88"/>
        <v>5.0000000000000001E-3</v>
      </c>
      <c r="AW55" s="318">
        <f t="shared" si="88"/>
        <v>3.0244285714285734E-2</v>
      </c>
      <c r="AX55" s="318">
        <f t="shared" si="88"/>
        <v>6.7805714285714261E-2</v>
      </c>
      <c r="AY55" s="318">
        <f t="shared" si="88"/>
        <v>7.6049999999999993E-2</v>
      </c>
      <c r="AZ55" s="319">
        <f t="shared" si="88"/>
        <v>1.029285714285714E-2</v>
      </c>
      <c r="BF55" s="310">
        <v>2022</v>
      </c>
      <c r="BG55" s="300"/>
      <c r="BH55" s="318">
        <f>AVERAGE(BH6:BH20)</f>
        <v>2.2178</v>
      </c>
      <c r="BI55" s="318">
        <f t="shared" ref="BI55:BI83" si="89">AVERAGE(BJ6:BJ20)</f>
        <v>1.0202222222222224</v>
      </c>
      <c r="BJ55" s="318">
        <f t="shared" ref="BJ55:BJ83" si="90">AVERAGE(BI6:BI20)</f>
        <v>1.1717777777777778</v>
      </c>
      <c r="BK55" s="318" t="e">
        <f>AVERAGE(#REF!)</f>
        <v>#REF!</v>
      </c>
      <c r="BL55" s="318">
        <f t="shared" ref="BL55:BQ55" si="91">AVERAGE(BL6:BL20)</f>
        <v>16.537883084766055</v>
      </c>
      <c r="BM55" s="318">
        <f t="shared" si="91"/>
        <v>8.7380730987328636</v>
      </c>
      <c r="BN55" s="318">
        <f t="shared" si="91"/>
        <v>7.6187266947191699</v>
      </c>
      <c r="BO55" s="318" t="e">
        <f t="shared" si="91"/>
        <v>#DIV/0!</v>
      </c>
      <c r="BP55" s="318" t="e">
        <f t="shared" si="91"/>
        <v>#DIV/0!</v>
      </c>
      <c r="BQ55" s="319" t="e">
        <f t="shared" si="91"/>
        <v>#DIV/0!</v>
      </c>
    </row>
    <row r="56" spans="1:69">
      <c r="B56" s="310">
        <v>2023</v>
      </c>
      <c r="C56" s="309">
        <f t="shared" ref="C56:C83" si="92">AVERAGE(C7:C21)</f>
        <v>1.7353333333333332</v>
      </c>
      <c r="D56" s="309">
        <f t="shared" ref="D56:G56" si="93">AVERAGE(D7:D21)</f>
        <v>1.388266666666667</v>
      </c>
      <c r="E56" s="309">
        <f t="shared" si="93"/>
        <v>0.10716666666666667</v>
      </c>
      <c r="F56" s="309">
        <f t="shared" si="93"/>
        <v>6.3433333333333337</v>
      </c>
      <c r="G56" s="309">
        <f t="shared" ca="1" si="93"/>
        <v>3.5938554216867491</v>
      </c>
      <c r="H56" s="309">
        <f t="shared" ref="H56:H83" si="94">AVERAGE(V7:V21)</f>
        <v>0.26347666666666664</v>
      </c>
      <c r="K56" s="313"/>
      <c r="AP56" s="310">
        <v>2023</v>
      </c>
      <c r="AQ56" s="318">
        <f t="shared" ref="AQ56:AZ56" si="95">AVERAGE(AQ7:AQ21)</f>
        <v>4.4000000000000004E-2</v>
      </c>
      <c r="AR56" s="318">
        <f t="shared" si="95"/>
        <v>9.6999999999999989E-2</v>
      </c>
      <c r="AS56" s="318">
        <f t="shared" si="95"/>
        <v>2.2000000000000002E-2</v>
      </c>
      <c r="AT56" s="318">
        <f t="shared" si="95"/>
        <v>1.123E-2</v>
      </c>
      <c r="AU56" s="318">
        <f t="shared" si="95"/>
        <v>2.3000000000000003E-2</v>
      </c>
      <c r="AV56" s="318">
        <f t="shared" si="95"/>
        <v>5.0000000000000001E-3</v>
      </c>
      <c r="AW56" s="318">
        <f t="shared" si="95"/>
        <v>2.9647142857142882E-2</v>
      </c>
      <c r="AX56" s="318">
        <f t="shared" si="95"/>
        <v>6.6502857142857127E-2</v>
      </c>
      <c r="AY56" s="318">
        <f t="shared" si="95"/>
        <v>7.4149999999999994E-2</v>
      </c>
      <c r="AZ56" s="319">
        <f t="shared" si="95"/>
        <v>1.002142857142857E-2</v>
      </c>
      <c r="BF56" s="310">
        <v>2023</v>
      </c>
      <c r="BG56" s="300"/>
      <c r="BH56" s="318">
        <f t="shared" ref="BH56:BQ56" si="96">AVERAGE(BH7:BH21)</f>
        <v>2.2293999999999996</v>
      </c>
      <c r="BI56" s="318">
        <f t="shared" si="89"/>
        <v>1.0340000000000003</v>
      </c>
      <c r="BJ56" s="318">
        <f t="shared" si="90"/>
        <v>1.1773333333333333</v>
      </c>
      <c r="BK56" s="318" t="e">
        <f>AVERAGE(#REF!)</f>
        <v>#REF!</v>
      </c>
      <c r="BL56" s="318">
        <f t="shared" si="96"/>
        <v>16.745647775895677</v>
      </c>
      <c r="BM56" s="318">
        <f t="shared" si="96"/>
        <v>8.8444104419917053</v>
      </c>
      <c r="BN56" s="318">
        <f t="shared" si="96"/>
        <v>7.7778224400358438</v>
      </c>
      <c r="BO56" s="318" t="e">
        <f t="shared" si="96"/>
        <v>#DIV/0!</v>
      </c>
      <c r="BP56" s="318" t="e">
        <f t="shared" si="96"/>
        <v>#DIV/0!</v>
      </c>
      <c r="BQ56" s="319" t="e">
        <f t="shared" si="96"/>
        <v>#DIV/0!</v>
      </c>
    </row>
    <row r="57" spans="1:69">
      <c r="B57" s="310">
        <v>2024</v>
      </c>
      <c r="C57" s="309">
        <f t="shared" si="92"/>
        <v>1.8186666666666664</v>
      </c>
      <c r="D57" s="309">
        <f t="shared" ref="D57:G57" si="97">AVERAGE(D8:D22)</f>
        <v>1.4549333333333336</v>
      </c>
      <c r="E57" s="309">
        <f t="shared" si="97"/>
        <v>0.11016666666666668</v>
      </c>
      <c r="F57" s="309">
        <f t="shared" si="97"/>
        <v>6.0366666666666671</v>
      </c>
      <c r="G57" s="309">
        <f t="shared" ca="1" si="97"/>
        <v>3.6383694779116493</v>
      </c>
      <c r="H57" s="309">
        <f t="shared" si="94"/>
        <v>0.26373666666666667</v>
      </c>
      <c r="K57" s="313"/>
      <c r="AP57" s="310">
        <v>2024</v>
      </c>
      <c r="AQ57" s="318">
        <f t="shared" ref="AQ57:AZ57" si="98">AVERAGE(AQ8:AQ22)</f>
        <v>4.4000000000000004E-2</v>
      </c>
      <c r="AR57" s="318">
        <f t="shared" si="98"/>
        <v>9.6999999999999989E-2</v>
      </c>
      <c r="AS57" s="318">
        <f t="shared" si="98"/>
        <v>2.2000000000000002E-2</v>
      </c>
      <c r="AT57" s="318">
        <f t="shared" si="98"/>
        <v>1.0843333333333335E-2</v>
      </c>
      <c r="AU57" s="318">
        <f t="shared" si="98"/>
        <v>2.3000000000000003E-2</v>
      </c>
      <c r="AV57" s="318">
        <f t="shared" si="98"/>
        <v>5.0000000000000001E-3</v>
      </c>
      <c r="AW57" s="318">
        <f t="shared" si="98"/>
        <v>2.9039523809523838E-2</v>
      </c>
      <c r="AX57" s="318">
        <f t="shared" si="98"/>
        <v>6.5177142857142836E-2</v>
      </c>
      <c r="AY57" s="318">
        <f t="shared" si="98"/>
        <v>7.2216666666666651E-2</v>
      </c>
      <c r="AZ57" s="319">
        <f t="shared" si="98"/>
        <v>9.745238095238095E-3</v>
      </c>
      <c r="BF57" s="310">
        <v>2024</v>
      </c>
      <c r="BG57" s="300"/>
      <c r="BH57" s="318">
        <f t="shared" ref="BH57:BQ57" si="99">AVERAGE(BH8:BH22)</f>
        <v>2.2384666666666666</v>
      </c>
      <c r="BI57" s="318">
        <f t="shared" si="89"/>
        <v>1.0466666666666666</v>
      </c>
      <c r="BJ57" s="318">
        <f t="shared" si="90"/>
        <v>1.1833333333333333</v>
      </c>
      <c r="BK57" s="318" t="e">
        <f>AVERAGE(#REF!)</f>
        <v>#REF!</v>
      </c>
      <c r="BL57" s="318">
        <f t="shared" si="99"/>
        <v>16.941494915383835</v>
      </c>
      <c r="BM57" s="318">
        <f t="shared" si="99"/>
        <v>8.9575182994209168</v>
      </c>
      <c r="BN57" s="318">
        <f t="shared" si="99"/>
        <v>7.9321225944728031</v>
      </c>
      <c r="BO57" s="318" t="e">
        <f t="shared" si="99"/>
        <v>#DIV/0!</v>
      </c>
      <c r="BP57" s="318" t="e">
        <f t="shared" si="99"/>
        <v>#DIV/0!</v>
      </c>
      <c r="BQ57" s="319" t="e">
        <f t="shared" si="99"/>
        <v>#DIV/0!</v>
      </c>
    </row>
    <row r="58" spans="1:69">
      <c r="B58" s="310">
        <v>2025</v>
      </c>
      <c r="C58" s="309">
        <f t="shared" si="92"/>
        <v>1.8753333333333333</v>
      </c>
      <c r="D58" s="309">
        <f t="shared" ref="D58:G58" si="100">AVERAGE(D9:D23)</f>
        <v>1.5002666666666673</v>
      </c>
      <c r="E58" s="309">
        <f t="shared" si="100"/>
        <v>0.11316666666666668</v>
      </c>
      <c r="F58" s="309">
        <f t="shared" si="100"/>
        <v>5.7611111111111111</v>
      </c>
      <c r="G58" s="309">
        <f t="shared" ca="1" si="100"/>
        <v>3.6828835341365496</v>
      </c>
      <c r="H58" s="309">
        <f t="shared" si="94"/>
        <v>0.26363888888888887</v>
      </c>
      <c r="K58" s="313"/>
      <c r="AP58" s="310">
        <v>2025</v>
      </c>
      <c r="AQ58" s="318">
        <f t="shared" ref="AQ58:AZ58" si="101">AVERAGE(AQ9:AQ23)</f>
        <v>4.4000000000000004E-2</v>
      </c>
      <c r="AR58" s="318">
        <f t="shared" si="101"/>
        <v>9.6999999999999989E-2</v>
      </c>
      <c r="AS58" s="318">
        <f t="shared" si="101"/>
        <v>2.2000000000000002E-2</v>
      </c>
      <c r="AT58" s="318">
        <f t="shared" si="101"/>
        <v>1.0449999999999999E-2</v>
      </c>
      <c r="AU58" s="318">
        <f t="shared" si="101"/>
        <v>2.3000000000000003E-2</v>
      </c>
      <c r="AV58" s="318">
        <f t="shared" si="101"/>
        <v>5.0000000000000001E-3</v>
      </c>
      <c r="AW58" s="318">
        <f t="shared" si="101"/>
        <v>2.8421428571428604E-2</v>
      </c>
      <c r="AX58" s="318">
        <f t="shared" si="101"/>
        <v>6.3828571428571401E-2</v>
      </c>
      <c r="AY58" s="318">
        <f t="shared" si="101"/>
        <v>7.0249999999999993E-2</v>
      </c>
      <c r="AZ58" s="319">
        <f t="shared" si="101"/>
        <v>9.4642857142857133E-3</v>
      </c>
      <c r="BF58" s="310">
        <v>2025</v>
      </c>
      <c r="BG58" s="300"/>
      <c r="BH58" s="318">
        <f t="shared" ref="BH58:BQ58" si="102">AVERAGE(BH9:BH23)</f>
        <v>2.2456666666666663</v>
      </c>
      <c r="BI58" s="318">
        <f t="shared" si="89"/>
        <v>1.0582222222222222</v>
      </c>
      <c r="BJ58" s="318">
        <f t="shared" si="90"/>
        <v>1.1897777777777776</v>
      </c>
      <c r="BK58" s="318" t="e">
        <f>AVERAGE(#REF!)</f>
        <v>#REF!</v>
      </c>
      <c r="BL58" s="318">
        <f t="shared" si="102"/>
        <v>17.130218645263504</v>
      </c>
      <c r="BM58" s="318">
        <f t="shared" si="102"/>
        <v>9.0774482895619553</v>
      </c>
      <c r="BN58" s="318">
        <f t="shared" si="102"/>
        <v>8.0816595963942888</v>
      </c>
      <c r="BO58" s="318" t="e">
        <f t="shared" si="102"/>
        <v>#DIV/0!</v>
      </c>
      <c r="BP58" s="318" t="e">
        <f t="shared" si="102"/>
        <v>#DIV/0!</v>
      </c>
      <c r="BQ58" s="319" t="e">
        <f t="shared" si="102"/>
        <v>#DIV/0!</v>
      </c>
    </row>
    <row r="59" spans="1:69">
      <c r="B59" s="310">
        <v>2026</v>
      </c>
      <c r="C59" s="309">
        <f t="shared" si="92"/>
        <v>1.8979999999999999</v>
      </c>
      <c r="D59" s="309">
        <f t="shared" ref="D59:G59" si="103">AVERAGE(D10:D24)</f>
        <v>1.5184000000000004</v>
      </c>
      <c r="E59" s="309">
        <f t="shared" si="103"/>
        <v>0.11349999999999999</v>
      </c>
      <c r="F59" s="309">
        <f t="shared" si="103"/>
        <v>5.5166666666666666</v>
      </c>
      <c r="G59" s="309">
        <f t="shared" ca="1" si="103"/>
        <v>3.7273975903614494</v>
      </c>
      <c r="H59" s="309">
        <f t="shared" si="94"/>
        <v>0.25518333333333332</v>
      </c>
      <c r="K59" s="313"/>
      <c r="AP59" s="310">
        <v>2026</v>
      </c>
      <c r="AQ59" s="318">
        <f t="shared" ref="AQ59:AZ59" si="104">AVERAGE(AQ10:AQ24)</f>
        <v>4.4000000000000004E-2</v>
      </c>
      <c r="AR59" s="318">
        <f t="shared" si="104"/>
        <v>9.6999999999999989E-2</v>
      </c>
      <c r="AS59" s="318">
        <f t="shared" si="104"/>
        <v>2.2000000000000002E-2</v>
      </c>
      <c r="AT59" s="318">
        <f t="shared" si="104"/>
        <v>1.0050000000000002E-2</v>
      </c>
      <c r="AU59" s="318">
        <f t="shared" si="104"/>
        <v>2.3000000000000003E-2</v>
      </c>
      <c r="AV59" s="318">
        <f t="shared" si="104"/>
        <v>5.0000000000000001E-3</v>
      </c>
      <c r="AW59" s="318">
        <f t="shared" si="104"/>
        <v>2.7792857142857175E-2</v>
      </c>
      <c r="AX59" s="318">
        <f t="shared" si="104"/>
        <v>6.2457142857142836E-2</v>
      </c>
      <c r="AY59" s="318">
        <f t="shared" si="104"/>
        <v>6.8250000000000005E-2</v>
      </c>
      <c r="AZ59" s="319">
        <f t="shared" si="104"/>
        <v>9.1785714285714266E-3</v>
      </c>
      <c r="BF59" s="310">
        <v>2026</v>
      </c>
      <c r="BG59" s="300"/>
      <c r="BH59" s="318">
        <f t="shared" ref="BH59:BQ59" si="105">AVERAGE(BH10:BH24)</f>
        <v>2.2509999999999999</v>
      </c>
      <c r="BI59" s="318">
        <f t="shared" si="89"/>
        <v>1.0673333333333332</v>
      </c>
      <c r="BJ59" s="318">
        <f t="shared" si="90"/>
        <v>1.1946666666666668</v>
      </c>
      <c r="BK59" s="318" t="e">
        <f>AVERAGE(#REF!)</f>
        <v>#REF!</v>
      </c>
      <c r="BL59" s="318">
        <f t="shared" si="105"/>
        <v>17.311860004926778</v>
      </c>
      <c r="BM59" s="318">
        <f t="shared" si="105"/>
        <v>9.1899923778788359</v>
      </c>
      <c r="BN59" s="318">
        <f t="shared" si="105"/>
        <v>8.2169594241046173</v>
      </c>
      <c r="BO59" s="318" t="e">
        <f t="shared" si="105"/>
        <v>#DIV/0!</v>
      </c>
      <c r="BP59" s="318" t="e">
        <f t="shared" si="105"/>
        <v>#DIV/0!</v>
      </c>
      <c r="BQ59" s="319" t="e">
        <f t="shared" si="105"/>
        <v>#DIV/0!</v>
      </c>
    </row>
    <row r="60" spans="1:69">
      <c r="B60" s="310">
        <v>2027</v>
      </c>
      <c r="C60" s="309">
        <f t="shared" si="92"/>
        <v>1.9183999999999999</v>
      </c>
      <c r="D60" s="309">
        <f t="shared" ref="D60:G60" si="106">AVERAGE(D11:D25)</f>
        <v>1.5347200000000005</v>
      </c>
      <c r="E60" s="309">
        <f t="shared" si="106"/>
        <v>0.1138</v>
      </c>
      <c r="F60" s="309">
        <f t="shared" si="106"/>
        <v>5.293333333333333</v>
      </c>
      <c r="G60" s="309">
        <f t="shared" ca="1" si="106"/>
        <v>3.7674602409638593</v>
      </c>
      <c r="H60" s="309">
        <f t="shared" si="94"/>
        <v>0.24700666666666665</v>
      </c>
      <c r="K60" s="313"/>
      <c r="AP60" s="310">
        <v>2027</v>
      </c>
      <c r="AQ60" s="318">
        <f t="shared" ref="AQ60:AZ60" si="107">AVERAGE(AQ11:AQ25)</f>
        <v>4.4000000000000004E-2</v>
      </c>
      <c r="AR60" s="318">
        <f t="shared" si="107"/>
        <v>9.6999999999999989E-2</v>
      </c>
      <c r="AS60" s="318">
        <f t="shared" si="107"/>
        <v>2.2000000000000002E-2</v>
      </c>
      <c r="AT60" s="318">
        <f t="shared" si="107"/>
        <v>9.6799999999999994E-3</v>
      </c>
      <c r="AU60" s="318">
        <f t="shared" si="107"/>
        <v>2.3000000000000003E-2</v>
      </c>
      <c r="AV60" s="318">
        <f t="shared" si="107"/>
        <v>5.0000000000000001E-3</v>
      </c>
      <c r="AW60" s="318">
        <f t="shared" si="107"/>
        <v>2.7211428571428605E-2</v>
      </c>
      <c r="AX60" s="318">
        <f t="shared" si="107"/>
        <v>6.1188571428571398E-2</v>
      </c>
      <c r="AY60" s="318">
        <f t="shared" si="107"/>
        <v>6.6400000000000001E-2</v>
      </c>
      <c r="AZ60" s="319">
        <f t="shared" si="107"/>
        <v>8.9142857142857114E-3</v>
      </c>
      <c r="BF60" s="310">
        <v>2027</v>
      </c>
      <c r="BG60" s="300"/>
      <c r="BH60" s="318">
        <f t="shared" ref="BH60:BQ60" si="108">AVERAGE(BH11:BH25)</f>
        <v>2.2560000000000002</v>
      </c>
      <c r="BI60" s="318">
        <f t="shared" si="89"/>
        <v>1.0758666666666667</v>
      </c>
      <c r="BJ60" s="318">
        <f t="shared" si="90"/>
        <v>1.1997333333333333</v>
      </c>
      <c r="BK60" s="318" t="e">
        <f>AVERAGE(#REF!)</f>
        <v>#REF!</v>
      </c>
      <c r="BL60" s="318">
        <f t="shared" si="108"/>
        <v>17.486902325744918</v>
      </c>
      <c r="BM60" s="318">
        <f t="shared" si="108"/>
        <v>9.3020286656035598</v>
      </c>
      <c r="BN60" s="318">
        <f t="shared" si="108"/>
        <v>8.3466489571032945</v>
      </c>
      <c r="BO60" s="318" t="e">
        <f t="shared" si="108"/>
        <v>#DIV/0!</v>
      </c>
      <c r="BP60" s="318" t="e">
        <f t="shared" si="108"/>
        <v>#DIV/0!</v>
      </c>
      <c r="BQ60" s="319" t="e">
        <f t="shared" si="108"/>
        <v>#DIV/0!</v>
      </c>
    </row>
    <row r="61" spans="1:69">
      <c r="B61" s="310">
        <v>2028</v>
      </c>
      <c r="C61" s="309">
        <f t="shared" si="92"/>
        <v>1.9365333333333334</v>
      </c>
      <c r="D61" s="309">
        <f t="shared" ref="D61:G61" si="109">AVERAGE(D12:D26)</f>
        <v>1.549226666666667</v>
      </c>
      <c r="E61" s="309">
        <f t="shared" si="109"/>
        <v>0.11406666666666668</v>
      </c>
      <c r="F61" s="309">
        <f t="shared" si="109"/>
        <v>5.0911111111111103</v>
      </c>
      <c r="G61" s="309">
        <f t="shared" ca="1" si="109"/>
        <v>3.80307148594378</v>
      </c>
      <c r="H61" s="309">
        <f t="shared" si="94"/>
        <v>0.23911555555555558</v>
      </c>
      <c r="K61" s="313"/>
      <c r="AP61" s="310">
        <v>2028</v>
      </c>
      <c r="AQ61" s="318">
        <f t="shared" ref="AQ61:AZ61" si="110">AVERAGE(AQ12:AQ26)</f>
        <v>4.4000000000000004E-2</v>
      </c>
      <c r="AR61" s="318">
        <f t="shared" si="110"/>
        <v>9.6999999999999989E-2</v>
      </c>
      <c r="AS61" s="318">
        <f t="shared" si="110"/>
        <v>2.2000000000000002E-2</v>
      </c>
      <c r="AT61" s="318">
        <f t="shared" si="110"/>
        <v>9.3399999999999993E-3</v>
      </c>
      <c r="AU61" s="318">
        <f t="shared" si="110"/>
        <v>2.3000000000000003E-2</v>
      </c>
      <c r="AV61" s="318">
        <f t="shared" si="110"/>
        <v>5.0000000000000001E-3</v>
      </c>
      <c r="AW61" s="318">
        <f t="shared" si="110"/>
        <v>2.6677142857142889E-2</v>
      </c>
      <c r="AX61" s="318">
        <f t="shared" si="110"/>
        <v>6.0022857142857121E-2</v>
      </c>
      <c r="AY61" s="318">
        <f t="shared" si="110"/>
        <v>6.4700000000000008E-2</v>
      </c>
      <c r="AZ61" s="319">
        <f t="shared" si="110"/>
        <v>8.6714285714285712E-3</v>
      </c>
      <c r="BF61" s="310">
        <v>2028</v>
      </c>
      <c r="BG61" s="300"/>
      <c r="BH61" s="318">
        <f t="shared" ref="BH61:BQ61" si="111">AVERAGE(BH12:BH26)</f>
        <v>2.2606666666666668</v>
      </c>
      <c r="BI61" s="318">
        <f t="shared" si="89"/>
        <v>1.0838222222222222</v>
      </c>
      <c r="BJ61" s="318">
        <f t="shared" si="90"/>
        <v>1.2049777777777777</v>
      </c>
      <c r="BK61" s="318" t="e">
        <f>AVERAGE(#REF!)</f>
        <v>#REF!</v>
      </c>
      <c r="BL61" s="318">
        <f t="shared" si="111"/>
        <v>17.655215326895473</v>
      </c>
      <c r="BM61" s="318">
        <f t="shared" si="111"/>
        <v>9.4135162729946682</v>
      </c>
      <c r="BN61" s="318">
        <f t="shared" si="111"/>
        <v>8.4705994538808422</v>
      </c>
      <c r="BO61" s="318" t="e">
        <f t="shared" si="111"/>
        <v>#DIV/0!</v>
      </c>
      <c r="BP61" s="318" t="e">
        <f t="shared" si="111"/>
        <v>#DIV/0!</v>
      </c>
      <c r="BQ61" s="319" t="e">
        <f t="shared" si="111"/>
        <v>#DIV/0!</v>
      </c>
    </row>
    <row r="62" spans="1:69">
      <c r="B62" s="310">
        <v>2029</v>
      </c>
      <c r="C62" s="309">
        <f t="shared" si="92"/>
        <v>1.9524000000000001</v>
      </c>
      <c r="D62" s="309">
        <f t="shared" ref="D62:G62" si="112">AVERAGE(D13:D27)</f>
        <v>1.5619200000000004</v>
      </c>
      <c r="E62" s="309">
        <f t="shared" si="112"/>
        <v>0.11430000000000001</v>
      </c>
      <c r="F62" s="309">
        <f t="shared" si="112"/>
        <v>4.91</v>
      </c>
      <c r="G62" s="309">
        <f t="shared" ca="1" si="112"/>
        <v>3.8342313253012104</v>
      </c>
      <c r="H62" s="309">
        <f t="shared" si="94"/>
        <v>0.23151666666666668</v>
      </c>
      <c r="K62" s="313"/>
      <c r="AP62" s="310">
        <v>2029</v>
      </c>
      <c r="AQ62" s="318">
        <f t="shared" ref="AQ62:AZ62" si="113">AVERAGE(AQ13:AQ27)</f>
        <v>4.4000000000000004E-2</v>
      </c>
      <c r="AR62" s="318">
        <f t="shared" si="113"/>
        <v>9.6999999999999989E-2</v>
      </c>
      <c r="AS62" s="318">
        <f t="shared" si="113"/>
        <v>2.2000000000000002E-2</v>
      </c>
      <c r="AT62" s="318">
        <f t="shared" si="113"/>
        <v>9.0300000000000016E-3</v>
      </c>
      <c r="AU62" s="318">
        <f t="shared" si="113"/>
        <v>2.3000000000000003E-2</v>
      </c>
      <c r="AV62" s="318">
        <f t="shared" si="113"/>
        <v>5.0000000000000001E-3</v>
      </c>
      <c r="AW62" s="318">
        <f t="shared" si="113"/>
        <v>2.6190000000000026E-2</v>
      </c>
      <c r="AX62" s="318">
        <f t="shared" si="113"/>
        <v>5.8959999999999971E-2</v>
      </c>
      <c r="AY62" s="318">
        <f t="shared" si="113"/>
        <v>6.3150000000000012E-2</v>
      </c>
      <c r="AZ62" s="319">
        <f t="shared" si="113"/>
        <v>8.4500000000000009E-3</v>
      </c>
      <c r="BF62" s="310">
        <v>2029</v>
      </c>
      <c r="BG62" s="300"/>
      <c r="BH62" s="318">
        <f t="shared" ref="BH62:BQ62" si="114">AVERAGE(BH13:BH27)</f>
        <v>2.2650000000000001</v>
      </c>
      <c r="BI62" s="318">
        <f t="shared" si="89"/>
        <v>1.0912000000000002</v>
      </c>
      <c r="BJ62" s="318">
        <f t="shared" si="90"/>
        <v>1.2104000000000001</v>
      </c>
      <c r="BK62" s="318" t="e">
        <f>AVERAGE(#REF!)</f>
        <v>#REF!</v>
      </c>
      <c r="BL62" s="318">
        <f t="shared" si="114"/>
        <v>17.816666908214586</v>
      </c>
      <c r="BM62" s="318">
        <f t="shared" si="114"/>
        <v>9.5244135463183</v>
      </c>
      <c r="BN62" s="318">
        <f t="shared" si="114"/>
        <v>8.5886801891833979</v>
      </c>
      <c r="BO62" s="318" t="e">
        <f t="shared" si="114"/>
        <v>#DIV/0!</v>
      </c>
      <c r="BP62" s="318" t="e">
        <f t="shared" si="114"/>
        <v>#DIV/0!</v>
      </c>
      <c r="BQ62" s="319" t="e">
        <f t="shared" si="114"/>
        <v>#DIV/0!</v>
      </c>
    </row>
    <row r="63" spans="1:69">
      <c r="B63" s="310">
        <v>2030</v>
      </c>
      <c r="C63" s="309">
        <f t="shared" si="92"/>
        <v>1.966</v>
      </c>
      <c r="D63" s="309">
        <f t="shared" ref="D63:G63" si="115">AVERAGE(D14:D28)</f>
        <v>1.5728000000000004</v>
      </c>
      <c r="E63" s="309">
        <f t="shared" si="115"/>
        <v>0.1145</v>
      </c>
      <c r="F63" s="309">
        <f t="shared" si="115"/>
        <v>4.75</v>
      </c>
      <c r="G63" s="309">
        <f t="shared" ca="1" si="115"/>
        <v>3.8609397590361509</v>
      </c>
      <c r="H63" s="309">
        <f t="shared" si="94"/>
        <v>0.22421666666666668</v>
      </c>
      <c r="K63" s="313"/>
      <c r="AP63" s="310">
        <v>2030</v>
      </c>
      <c r="AQ63" s="318">
        <f t="shared" ref="AQ63:AZ63" si="116">AVERAGE(AQ14:AQ28)</f>
        <v>4.4000000000000004E-2</v>
      </c>
      <c r="AR63" s="318">
        <f t="shared" si="116"/>
        <v>9.6999999999999989E-2</v>
      </c>
      <c r="AS63" s="318">
        <f t="shared" si="116"/>
        <v>2.2000000000000002E-2</v>
      </c>
      <c r="AT63" s="318">
        <f t="shared" si="116"/>
        <v>8.7500000000000008E-3</v>
      </c>
      <c r="AU63" s="318">
        <f t="shared" si="116"/>
        <v>2.3000000000000003E-2</v>
      </c>
      <c r="AV63" s="318">
        <f t="shared" si="116"/>
        <v>5.0000000000000001E-3</v>
      </c>
      <c r="AW63" s="318">
        <f t="shared" si="116"/>
        <v>2.575000000000003E-2</v>
      </c>
      <c r="AX63" s="318">
        <f t="shared" si="116"/>
        <v>5.7999999999999968E-2</v>
      </c>
      <c r="AY63" s="318">
        <f t="shared" si="116"/>
        <v>6.1749999999999999E-2</v>
      </c>
      <c r="AZ63" s="319">
        <f t="shared" si="116"/>
        <v>8.2500000000000004E-3</v>
      </c>
      <c r="BF63" s="310">
        <v>2030</v>
      </c>
      <c r="BG63" s="300"/>
      <c r="BH63" s="318">
        <f t="shared" ref="BH63:BQ63" si="117">AVERAGE(BH14:BH28)</f>
        <v>2.2689999999999997</v>
      </c>
      <c r="BI63" s="318">
        <f t="shared" si="89"/>
        <v>1.0979999999999999</v>
      </c>
      <c r="BJ63" s="318">
        <f t="shared" si="90"/>
        <v>1.216</v>
      </c>
      <c r="BK63" s="318" t="e">
        <f>AVERAGE(#REF!)</f>
        <v>#REF!</v>
      </c>
      <c r="BL63" s="318">
        <f t="shared" si="117"/>
        <v>17.971123127605335</v>
      </c>
      <c r="BM63" s="318">
        <f t="shared" si="117"/>
        <v>9.6346780468712705</v>
      </c>
      <c r="BN63" s="318">
        <f t="shared" si="117"/>
        <v>8.7007584275876582</v>
      </c>
      <c r="BO63" s="318" t="e">
        <f t="shared" si="117"/>
        <v>#DIV/0!</v>
      </c>
      <c r="BP63" s="318" t="e">
        <f t="shared" si="117"/>
        <v>#DIV/0!</v>
      </c>
      <c r="BQ63" s="319" t="e">
        <f t="shared" si="117"/>
        <v>#DIV/0!</v>
      </c>
    </row>
    <row r="64" spans="1:69">
      <c r="B64" s="310">
        <v>2031</v>
      </c>
      <c r="C64" s="309">
        <f t="shared" si="92"/>
        <v>1.9773333333333334</v>
      </c>
      <c r="D64" s="309">
        <f t="shared" ref="D64:G64" si="118">AVERAGE(D15:D29)</f>
        <v>1.581866666666667</v>
      </c>
      <c r="E64" s="309">
        <f t="shared" si="118"/>
        <v>0.11466666666666667</v>
      </c>
      <c r="F64" s="309">
        <f t="shared" si="118"/>
        <v>4.6111111111111116</v>
      </c>
      <c r="G64" s="309">
        <f t="shared" ca="1" si="118"/>
        <v>3.8831967871486008</v>
      </c>
      <c r="H64" s="309">
        <f t="shared" si="94"/>
        <v>0.21722222222222226</v>
      </c>
      <c r="K64" s="313"/>
      <c r="AP64" s="310">
        <v>2031</v>
      </c>
      <c r="AQ64" s="318">
        <f t="shared" ref="AQ64:AZ64" si="119">AVERAGE(AQ15:AQ29)</f>
        <v>4.4000000000000004E-2</v>
      </c>
      <c r="AR64" s="318">
        <f t="shared" si="119"/>
        <v>9.6999999999999989E-2</v>
      </c>
      <c r="AS64" s="318">
        <f t="shared" si="119"/>
        <v>2.2000000000000002E-2</v>
      </c>
      <c r="AT64" s="318">
        <f t="shared" si="119"/>
        <v>8.5000000000000006E-3</v>
      </c>
      <c r="AU64" s="318">
        <f t="shared" si="119"/>
        <v>2.3000000000000003E-2</v>
      </c>
      <c r="AV64" s="318">
        <f t="shared" si="119"/>
        <v>5.0000000000000001E-3</v>
      </c>
      <c r="AW64" s="318">
        <f t="shared" si="119"/>
        <v>2.5357142857142887E-2</v>
      </c>
      <c r="AX64" s="318">
        <f t="shared" si="119"/>
        <v>5.7142857142857113E-2</v>
      </c>
      <c r="AY64" s="318">
        <f t="shared" si="119"/>
        <v>6.0500000000000005E-2</v>
      </c>
      <c r="AZ64" s="319">
        <f t="shared" si="119"/>
        <v>8.0714285714285714E-3</v>
      </c>
      <c r="BF64" s="310">
        <v>2031</v>
      </c>
      <c r="BG64" s="300"/>
      <c r="BH64" s="318">
        <f t="shared" ref="BH64:BQ64" si="120">AVERAGE(BH15:BH29)</f>
        <v>2.2726666666666668</v>
      </c>
      <c r="BI64" s="318">
        <f t="shared" si="89"/>
        <v>1.1042222222222222</v>
      </c>
      <c r="BJ64" s="318">
        <f t="shared" si="90"/>
        <v>1.2217777777777776</v>
      </c>
      <c r="BK64" s="318" t="e">
        <f>AVERAGE(#REF!)</f>
        <v>#REF!</v>
      </c>
      <c r="BL64" s="318">
        <f t="shared" si="120"/>
        <v>18.118448178180714</v>
      </c>
      <c r="BM64" s="318">
        <f t="shared" si="120"/>
        <v>9.744266539866361</v>
      </c>
      <c r="BN64" s="318">
        <f t="shared" si="120"/>
        <v>8.806699396748753</v>
      </c>
      <c r="BO64" s="318" t="e">
        <f t="shared" si="120"/>
        <v>#DIV/0!</v>
      </c>
      <c r="BP64" s="318" t="e">
        <f t="shared" si="120"/>
        <v>#DIV/0!</v>
      </c>
      <c r="BQ64" s="319" t="e">
        <f t="shared" si="120"/>
        <v>#DIV/0!</v>
      </c>
    </row>
    <row r="65" spans="2:69">
      <c r="B65" s="310">
        <v>2032</v>
      </c>
      <c r="C65" s="309">
        <f t="shared" si="92"/>
        <v>1.9863999999999999</v>
      </c>
      <c r="D65" s="309">
        <f t="shared" ref="D65:G65" si="121">AVERAGE(D16:D30)</f>
        <v>1.5891200000000003</v>
      </c>
      <c r="E65" s="309">
        <f t="shared" si="121"/>
        <v>0.1148</v>
      </c>
      <c r="F65" s="309">
        <f t="shared" si="121"/>
        <v>4.4933333333333341</v>
      </c>
      <c r="G65" s="309">
        <f t="shared" ca="1" si="121"/>
        <v>3.9010024096385609</v>
      </c>
      <c r="H65" s="309">
        <f t="shared" si="94"/>
        <v>0.21054</v>
      </c>
      <c r="K65" s="313"/>
      <c r="AP65" s="310">
        <v>2032</v>
      </c>
      <c r="AQ65" s="318">
        <f t="shared" ref="AQ65:AZ65" si="122">AVERAGE(AQ16:AQ30)</f>
        <v>4.4000000000000004E-2</v>
      </c>
      <c r="AR65" s="318">
        <f t="shared" si="122"/>
        <v>9.6999999999999989E-2</v>
      </c>
      <c r="AS65" s="318">
        <f t="shared" si="122"/>
        <v>2.2000000000000002E-2</v>
      </c>
      <c r="AT65" s="318">
        <f t="shared" si="122"/>
        <v>8.2800000000000009E-3</v>
      </c>
      <c r="AU65" s="318">
        <f t="shared" si="122"/>
        <v>2.3000000000000003E-2</v>
      </c>
      <c r="AV65" s="318">
        <f t="shared" si="122"/>
        <v>5.0000000000000001E-3</v>
      </c>
      <c r="AW65" s="318">
        <f t="shared" si="122"/>
        <v>2.5011428571428598E-2</v>
      </c>
      <c r="AX65" s="318">
        <f t="shared" si="122"/>
        <v>5.6388571428571392E-2</v>
      </c>
      <c r="AY65" s="318">
        <f t="shared" si="122"/>
        <v>5.9400000000000001E-2</v>
      </c>
      <c r="AZ65" s="319">
        <f t="shared" si="122"/>
        <v>7.914285714285714E-3</v>
      </c>
      <c r="BF65" s="310">
        <v>2032</v>
      </c>
      <c r="BG65" s="300"/>
      <c r="BH65" s="318">
        <f t="shared" ref="BH65:BQ65" si="123">AVERAGE(BH16:BH30)</f>
        <v>2.2760000000000002</v>
      </c>
      <c r="BI65" s="318">
        <f t="shared" si="89"/>
        <v>1.1098666666666666</v>
      </c>
      <c r="BJ65" s="318">
        <f t="shared" si="90"/>
        <v>1.2277333333333333</v>
      </c>
      <c r="BK65" s="318" t="e">
        <f>AVERAGE(#REF!)</f>
        <v>#REF!</v>
      </c>
      <c r="BL65" s="318">
        <f t="shared" si="123"/>
        <v>18.258504365138219</v>
      </c>
      <c r="BM65" s="318">
        <f t="shared" si="123"/>
        <v>9.8531349831781352</v>
      </c>
      <c r="BN65" s="318">
        <f t="shared" si="123"/>
        <v>8.9063662603170695</v>
      </c>
      <c r="BO65" s="318" t="e">
        <f t="shared" si="123"/>
        <v>#DIV/0!</v>
      </c>
      <c r="BP65" s="318" t="e">
        <f t="shared" si="123"/>
        <v>#DIV/0!</v>
      </c>
      <c r="BQ65" s="319" t="e">
        <f t="shared" si="123"/>
        <v>#DIV/0!</v>
      </c>
    </row>
    <row r="66" spans="2:69">
      <c r="B66" s="310">
        <v>2033</v>
      </c>
      <c r="C66" s="309">
        <f t="shared" si="92"/>
        <v>1.9932000000000001</v>
      </c>
      <c r="D66" s="309">
        <f t="shared" ref="D66:G66" si="124">AVERAGE(D17:D31)</f>
        <v>1.5945600000000004</v>
      </c>
      <c r="E66" s="309">
        <f t="shared" si="124"/>
        <v>0.1149</v>
      </c>
      <c r="F66" s="309">
        <f t="shared" si="124"/>
        <v>4.3966666666666665</v>
      </c>
      <c r="G66" s="309">
        <f t="shared" ca="1" si="124"/>
        <v>3.9143566265060317</v>
      </c>
      <c r="H66" s="309">
        <f t="shared" si="94"/>
        <v>0.20417666666666667</v>
      </c>
      <c r="K66" s="313"/>
      <c r="AP66" s="310">
        <v>2033</v>
      </c>
      <c r="AQ66" s="318">
        <f t="shared" ref="AQ66:AZ66" si="125">AVERAGE(AQ17:AQ31)</f>
        <v>4.4000000000000004E-2</v>
      </c>
      <c r="AR66" s="318">
        <f t="shared" si="125"/>
        <v>9.6999999999999989E-2</v>
      </c>
      <c r="AS66" s="318">
        <f t="shared" si="125"/>
        <v>2.2000000000000002E-2</v>
      </c>
      <c r="AT66" s="318">
        <f t="shared" si="125"/>
        <v>8.0900000000000017E-3</v>
      </c>
      <c r="AU66" s="318">
        <f t="shared" si="125"/>
        <v>2.3000000000000003E-2</v>
      </c>
      <c r="AV66" s="318">
        <f t="shared" si="125"/>
        <v>5.0000000000000001E-3</v>
      </c>
      <c r="AW66" s="318">
        <f t="shared" si="125"/>
        <v>2.4712857142857168E-2</v>
      </c>
      <c r="AX66" s="318">
        <f t="shared" si="125"/>
        <v>5.5737142857142825E-2</v>
      </c>
      <c r="AY66" s="318">
        <f t="shared" si="125"/>
        <v>5.8450000000000009E-2</v>
      </c>
      <c r="AZ66" s="319">
        <f t="shared" si="125"/>
        <v>7.7785714285714272E-3</v>
      </c>
      <c r="BF66" s="310">
        <v>2033</v>
      </c>
      <c r="BG66" s="300"/>
      <c r="BH66" s="318">
        <f t="shared" ref="BH66:BQ66" si="126">AVERAGE(BH17:BH31)</f>
        <v>2.2789999999999995</v>
      </c>
      <c r="BI66" s="318">
        <f t="shared" si="89"/>
        <v>1.1149333333333333</v>
      </c>
      <c r="BJ66" s="318">
        <f t="shared" si="90"/>
        <v>1.2338666666666667</v>
      </c>
      <c r="BK66" s="318" t="e">
        <f>AVERAGE(#REF!)</f>
        <v>#REF!</v>
      </c>
      <c r="BL66" s="318">
        <f t="shared" si="126"/>
        <v>18.391152082362915</v>
      </c>
      <c r="BM66" s="318">
        <f t="shared" si="126"/>
        <v>9.9612385159477199</v>
      </c>
      <c r="BN66" s="318">
        <f t="shared" si="126"/>
        <v>8.9996200905201871</v>
      </c>
      <c r="BO66" s="318" t="e">
        <f t="shared" si="126"/>
        <v>#DIV/0!</v>
      </c>
      <c r="BP66" s="318" t="e">
        <f t="shared" si="126"/>
        <v>#DIV/0!</v>
      </c>
      <c r="BQ66" s="319" t="e">
        <f t="shared" si="126"/>
        <v>#DIV/0!</v>
      </c>
    </row>
    <row r="67" spans="2:69">
      <c r="B67" s="310">
        <v>2034</v>
      </c>
      <c r="C67" s="309">
        <f t="shared" si="92"/>
        <v>1.9977333333333334</v>
      </c>
      <c r="D67" s="309">
        <f t="shared" ref="D67:G67" si="127">AVERAGE(D18:D32)</f>
        <v>1.5981866666666669</v>
      </c>
      <c r="E67" s="309">
        <f t="shared" si="127"/>
        <v>0.11496666666666666</v>
      </c>
      <c r="F67" s="309">
        <f t="shared" si="127"/>
        <v>4.3211111111111107</v>
      </c>
      <c r="G67" s="309">
        <f t="shared" ca="1" si="127"/>
        <v>3.9232594377510117</v>
      </c>
      <c r="H67" s="309">
        <f t="shared" si="94"/>
        <v>0.19813888888888889</v>
      </c>
      <c r="K67" s="313"/>
      <c r="AP67" s="310">
        <v>2034</v>
      </c>
      <c r="AQ67" s="318">
        <f t="shared" ref="AQ67:AZ67" si="128">AVERAGE(AQ18:AQ32)</f>
        <v>4.4000000000000004E-2</v>
      </c>
      <c r="AR67" s="318">
        <f t="shared" si="128"/>
        <v>9.6999999999999989E-2</v>
      </c>
      <c r="AS67" s="318">
        <f t="shared" si="128"/>
        <v>2.2000000000000002E-2</v>
      </c>
      <c r="AT67" s="318">
        <f t="shared" si="128"/>
        <v>7.9300000000000013E-3</v>
      </c>
      <c r="AU67" s="318">
        <f t="shared" si="128"/>
        <v>2.3000000000000003E-2</v>
      </c>
      <c r="AV67" s="318">
        <f t="shared" si="128"/>
        <v>5.0000000000000001E-3</v>
      </c>
      <c r="AW67" s="318">
        <f t="shared" si="128"/>
        <v>2.4461428571428596E-2</v>
      </c>
      <c r="AX67" s="318">
        <f t="shared" si="128"/>
        <v>5.5188571428571392E-2</v>
      </c>
      <c r="AY67" s="318">
        <f t="shared" si="128"/>
        <v>5.7650000000000007E-2</v>
      </c>
      <c r="AZ67" s="319">
        <f t="shared" si="128"/>
        <v>7.6642857142857146E-3</v>
      </c>
      <c r="BF67" s="310">
        <v>2034</v>
      </c>
      <c r="BG67" s="300"/>
      <c r="BH67" s="318">
        <f t="shared" ref="BH67:BQ67" si="129">AVERAGE(BH18:BH32)</f>
        <v>2.2816666666666667</v>
      </c>
      <c r="BI67" s="318">
        <f t="shared" si="89"/>
        <v>1.1194222222222223</v>
      </c>
      <c r="BJ67" s="318">
        <f t="shared" si="90"/>
        <v>1.2401777777777776</v>
      </c>
      <c r="BK67" s="318" t="e">
        <f>AVERAGE(#REF!)</f>
        <v>#REF!</v>
      </c>
      <c r="BL67" s="318">
        <f t="shared" si="129"/>
        <v>18.51624978875601</v>
      </c>
      <c r="BM67" s="318">
        <f t="shared" si="129"/>
        <v>10.068531447044791</v>
      </c>
      <c r="BN67" s="318">
        <f t="shared" si="129"/>
        <v>9.0863198404059098</v>
      </c>
      <c r="BO67" s="318" t="e">
        <f t="shared" si="129"/>
        <v>#DIV/0!</v>
      </c>
      <c r="BP67" s="318" t="e">
        <f t="shared" si="129"/>
        <v>#DIV/0!</v>
      </c>
      <c r="BQ67" s="319" t="e">
        <f t="shared" si="129"/>
        <v>#DIV/0!</v>
      </c>
    </row>
    <row r="68" spans="2:69">
      <c r="B68" s="310">
        <v>2035</v>
      </c>
      <c r="C68" s="309">
        <f t="shared" si="92"/>
        <v>2</v>
      </c>
      <c r="D68" s="309">
        <f t="shared" ref="D68:G68" si="130">AVERAGE(D19:D33)</f>
        <v>1.6000000000000003</v>
      </c>
      <c r="E68" s="309">
        <f t="shared" si="130"/>
        <v>0.115</v>
      </c>
      <c r="F68" s="309">
        <f t="shared" si="130"/>
        <v>4.2666666666666666</v>
      </c>
      <c r="G68" s="309">
        <f t="shared" ca="1" si="130"/>
        <v>3.9277108433735015</v>
      </c>
      <c r="H68" s="309">
        <f t="shared" si="94"/>
        <v>0.19243333333333332</v>
      </c>
      <c r="K68" s="313"/>
      <c r="AP68" s="310">
        <v>2035</v>
      </c>
      <c r="AQ68" s="318">
        <f t="shared" ref="AQ68:AZ68" si="131">AVERAGE(AQ19:AQ33)</f>
        <v>4.4000000000000004E-2</v>
      </c>
      <c r="AR68" s="318">
        <f t="shared" si="131"/>
        <v>9.6999999999999989E-2</v>
      </c>
      <c r="AS68" s="318">
        <f t="shared" si="131"/>
        <v>2.2000000000000002E-2</v>
      </c>
      <c r="AT68" s="318">
        <f t="shared" si="131"/>
        <v>7.8000000000000005E-3</v>
      </c>
      <c r="AU68" s="318">
        <f t="shared" si="131"/>
        <v>2.3000000000000003E-2</v>
      </c>
      <c r="AV68" s="318">
        <f t="shared" si="131"/>
        <v>5.0000000000000001E-3</v>
      </c>
      <c r="AW68" s="318">
        <f t="shared" si="131"/>
        <v>2.425714285714288E-2</v>
      </c>
      <c r="AX68" s="318">
        <f t="shared" si="131"/>
        <v>5.4742857142857107E-2</v>
      </c>
      <c r="AY68" s="318">
        <f t="shared" si="131"/>
        <v>5.7000000000000009E-2</v>
      </c>
      <c r="AZ68" s="319">
        <f t="shared" si="131"/>
        <v>7.571428571428571E-3</v>
      </c>
      <c r="BF68" s="310">
        <v>2035</v>
      </c>
      <c r="BG68" s="300"/>
      <c r="BH68" s="318">
        <f t="shared" ref="BH68:BQ68" si="132">AVERAGE(BH19:BH33)</f>
        <v>2.2839999999999998</v>
      </c>
      <c r="BI68" s="318">
        <f t="shared" si="89"/>
        <v>1.1233333333333335</v>
      </c>
      <c r="BJ68" s="318">
        <f t="shared" si="90"/>
        <v>1.2466666666666666</v>
      </c>
      <c r="BK68" s="318" t="e">
        <f>AVERAGE(#REF!)</f>
        <v>#REF!</v>
      </c>
      <c r="BL68" s="318">
        <f t="shared" si="132"/>
        <v>18.633653984285704</v>
      </c>
      <c r="BM68" s="318">
        <f t="shared" si="132"/>
        <v>10.174967243385193</v>
      </c>
      <c r="BN68" s="318">
        <f t="shared" si="132"/>
        <v>9.1663223157423737</v>
      </c>
      <c r="BO68" s="318" t="e">
        <f t="shared" si="132"/>
        <v>#DIV/0!</v>
      </c>
      <c r="BP68" s="318" t="e">
        <f t="shared" si="132"/>
        <v>#DIV/0!</v>
      </c>
      <c r="BQ68" s="319" t="e">
        <f t="shared" si="132"/>
        <v>#DIV/0!</v>
      </c>
    </row>
    <row r="69" spans="2:69">
      <c r="B69" s="310">
        <v>2036</v>
      </c>
      <c r="C69" s="309">
        <f t="shared" si="92"/>
        <v>2</v>
      </c>
      <c r="D69" s="309">
        <f t="shared" ref="D69:G69" si="133">AVERAGE(D20:D34)</f>
        <v>1.6000000000000003</v>
      </c>
      <c r="E69" s="309">
        <f t="shared" si="133"/>
        <v>0.115</v>
      </c>
      <c r="F69" s="309">
        <f t="shared" si="133"/>
        <v>4.2333333333333334</v>
      </c>
      <c r="G69" s="309">
        <f t="shared" ca="1" si="133"/>
        <v>3.9277108433735015</v>
      </c>
      <c r="H69" s="309">
        <f t="shared" si="94"/>
        <v>0.18706666666666666</v>
      </c>
      <c r="K69" s="313"/>
      <c r="AP69" s="310">
        <v>2036</v>
      </c>
      <c r="AQ69" s="318">
        <f t="shared" ref="AQ69:AZ69" si="134">AVERAGE(AQ20:AQ34)</f>
        <v>4.4000000000000004E-2</v>
      </c>
      <c r="AR69" s="318">
        <f t="shared" si="134"/>
        <v>9.6999999999999989E-2</v>
      </c>
      <c r="AS69" s="318">
        <f t="shared" si="134"/>
        <v>2.2000000000000002E-2</v>
      </c>
      <c r="AT69" s="318">
        <f t="shared" si="134"/>
        <v>7.7000000000000002E-3</v>
      </c>
      <c r="AU69" s="318">
        <f t="shared" si="134"/>
        <v>2.3000000000000003E-2</v>
      </c>
      <c r="AV69" s="318">
        <f t="shared" si="134"/>
        <v>5.0000000000000001E-3</v>
      </c>
      <c r="AW69" s="318">
        <f t="shared" si="134"/>
        <v>2.4100000000000024E-2</v>
      </c>
      <c r="AX69" s="318">
        <f t="shared" si="134"/>
        <v>5.4399999999999983E-2</v>
      </c>
      <c r="AY69" s="318">
        <f t="shared" si="134"/>
        <v>5.6500000000000009E-2</v>
      </c>
      <c r="AZ69" s="319">
        <f t="shared" si="134"/>
        <v>7.4999999999999989E-3</v>
      </c>
      <c r="BF69" s="310">
        <v>2036</v>
      </c>
      <c r="BG69" s="300"/>
      <c r="BH69" s="318">
        <f t="shared" ref="BH69:BQ69" si="135">AVERAGE(BH20:BH34)</f>
        <v>2.2859999999999996</v>
      </c>
      <c r="BI69" s="318">
        <f t="shared" si="89"/>
        <v>1.1266666666666665</v>
      </c>
      <c r="BJ69" s="318">
        <f t="shared" si="90"/>
        <v>1.2533333333333334</v>
      </c>
      <c r="BK69" s="318" t="e">
        <f>AVERAGE(#REF!)</f>
        <v>#REF!</v>
      </c>
      <c r="BL69" s="318">
        <f t="shared" si="135"/>
        <v>18.743219185757209</v>
      </c>
      <c r="BM69" s="318">
        <f t="shared" si="135"/>
        <v>10.280498518102384</v>
      </c>
      <c r="BN69" s="318">
        <f t="shared" si="135"/>
        <v>9.2394821465712162</v>
      </c>
      <c r="BO69" s="318" t="e">
        <f t="shared" si="135"/>
        <v>#DIV/0!</v>
      </c>
      <c r="BP69" s="318" t="e">
        <f t="shared" si="135"/>
        <v>#DIV/0!</v>
      </c>
      <c r="BQ69" s="319" t="e">
        <f t="shared" si="135"/>
        <v>#DIV/0!</v>
      </c>
    </row>
    <row r="70" spans="2:69">
      <c r="B70" s="310">
        <v>2037</v>
      </c>
      <c r="C70" s="309">
        <f t="shared" si="92"/>
        <v>2</v>
      </c>
      <c r="D70" s="309">
        <f t="shared" ref="D70:G70" si="136">AVERAGE(D21:D35)</f>
        <v>1.6000000000000003</v>
      </c>
      <c r="E70" s="309">
        <f t="shared" si="136"/>
        <v>0.115</v>
      </c>
      <c r="F70" s="309">
        <f t="shared" si="136"/>
        <v>4.2022222222222219</v>
      </c>
      <c r="G70" s="309">
        <f t="shared" ca="1" si="136"/>
        <v>3.927710843373502</v>
      </c>
      <c r="H70" s="309">
        <f t="shared" si="94"/>
        <v>0.18205777777777779</v>
      </c>
      <c r="K70" s="313"/>
      <c r="AP70" s="310">
        <v>2037</v>
      </c>
      <c r="AQ70" s="318">
        <f t="shared" ref="AQ70:AZ70" si="137">AVERAGE(AQ21:AQ35)</f>
        <v>4.4000000000000004E-2</v>
      </c>
      <c r="AR70" s="318">
        <f t="shared" si="137"/>
        <v>9.6999999999999989E-2</v>
      </c>
      <c r="AS70" s="318">
        <f t="shared" si="137"/>
        <v>2.2000000000000002E-2</v>
      </c>
      <c r="AT70" s="318">
        <f t="shared" si="137"/>
        <v>7.6066666666666678E-3</v>
      </c>
      <c r="AU70" s="318">
        <f t="shared" si="137"/>
        <v>2.3000000000000003E-2</v>
      </c>
      <c r="AV70" s="318">
        <f t="shared" si="137"/>
        <v>5.0000000000000001E-3</v>
      </c>
      <c r="AW70" s="318">
        <f t="shared" si="137"/>
        <v>2.3953333333333358E-2</v>
      </c>
      <c r="AX70" s="318">
        <f t="shared" si="137"/>
        <v>5.4079999999999989E-2</v>
      </c>
      <c r="AY70" s="318">
        <f t="shared" si="137"/>
        <v>5.6033333333333345E-2</v>
      </c>
      <c r="AZ70" s="319">
        <f t="shared" si="137"/>
        <v>7.4333333333333343E-3</v>
      </c>
      <c r="BF70" s="310">
        <v>2037</v>
      </c>
      <c r="BG70" s="300"/>
      <c r="BH70" s="318">
        <f t="shared" ref="BH70:BQ70" si="138">AVERAGE(BH21:BH35)</f>
        <v>2.287866666666666</v>
      </c>
      <c r="BI70" s="318">
        <f t="shared" si="89"/>
        <v>1.1297777777777778</v>
      </c>
      <c r="BJ70" s="318">
        <f t="shared" si="90"/>
        <v>1.2595555555555555</v>
      </c>
      <c r="BK70" s="318" t="e">
        <f>AVERAGE(#REF!)</f>
        <v>#REF!</v>
      </c>
      <c r="BL70" s="318">
        <f t="shared" si="138"/>
        <v>18.845769535970323</v>
      </c>
      <c r="BM70" s="318">
        <f t="shared" si="138"/>
        <v>10.379361483614369</v>
      </c>
      <c r="BN70" s="318">
        <f t="shared" si="138"/>
        <v>9.3079951635050957</v>
      </c>
      <c r="BO70" s="318" t="e">
        <f t="shared" si="138"/>
        <v>#DIV/0!</v>
      </c>
      <c r="BP70" s="318" t="e">
        <f t="shared" si="138"/>
        <v>#DIV/0!</v>
      </c>
      <c r="BQ70" s="319" t="e">
        <f t="shared" si="138"/>
        <v>#DIV/0!</v>
      </c>
    </row>
    <row r="71" spans="2:69">
      <c r="B71" s="310">
        <v>2038</v>
      </c>
      <c r="C71" s="309">
        <f t="shared" si="92"/>
        <v>2</v>
      </c>
      <c r="D71" s="309">
        <f t="shared" ref="D71:G71" si="139">AVERAGE(D22:D36)</f>
        <v>1.6000000000000003</v>
      </c>
      <c r="E71" s="309">
        <f t="shared" si="139"/>
        <v>0.115</v>
      </c>
      <c r="F71" s="309">
        <f t="shared" si="139"/>
        <v>4.1733333333333329</v>
      </c>
      <c r="G71" s="309">
        <f t="shared" ca="1" si="139"/>
        <v>3.927710843373502</v>
      </c>
      <c r="H71" s="309">
        <f t="shared" si="94"/>
        <v>0.17740666666666668</v>
      </c>
      <c r="K71" s="313"/>
      <c r="AP71" s="310">
        <v>2038</v>
      </c>
      <c r="AQ71" s="318">
        <f t="shared" ref="AQ71:AZ71" si="140">AVERAGE(AQ22:AQ36)</f>
        <v>4.4000000000000004E-2</v>
      </c>
      <c r="AR71" s="318">
        <f t="shared" si="140"/>
        <v>9.6999999999999989E-2</v>
      </c>
      <c r="AS71" s="318">
        <f t="shared" si="140"/>
        <v>2.2000000000000002E-2</v>
      </c>
      <c r="AT71" s="318">
        <f t="shared" si="140"/>
        <v>7.5200000000000015E-3</v>
      </c>
      <c r="AU71" s="318">
        <f t="shared" si="140"/>
        <v>2.3000000000000003E-2</v>
      </c>
      <c r="AV71" s="318">
        <f t="shared" si="140"/>
        <v>5.0000000000000001E-3</v>
      </c>
      <c r="AW71" s="318">
        <f t="shared" si="140"/>
        <v>2.3817142857142877E-2</v>
      </c>
      <c r="AX71" s="318">
        <f t="shared" si="140"/>
        <v>5.3782857142857139E-2</v>
      </c>
      <c r="AY71" s="318">
        <f t="shared" si="140"/>
        <v>5.5600000000000011E-2</v>
      </c>
      <c r="AZ71" s="319">
        <f t="shared" si="140"/>
        <v>7.371428571428573E-3</v>
      </c>
      <c r="BF71" s="310">
        <v>2038</v>
      </c>
      <c r="BG71" s="300"/>
      <c r="BH71" s="318">
        <f t="shared" ref="BH71:BQ71" si="141">AVERAGE(BH22:BH36)</f>
        <v>2.2895999999999996</v>
      </c>
      <c r="BI71" s="318">
        <f t="shared" si="89"/>
        <v>1.1326666666666667</v>
      </c>
      <c r="BJ71" s="318">
        <f t="shared" si="90"/>
        <v>1.2653333333333334</v>
      </c>
      <c r="BK71" s="318" t="e">
        <f>AVERAGE(#REF!)</f>
        <v>#REF!</v>
      </c>
      <c r="BL71" s="318">
        <f t="shared" si="141"/>
        <v>18.9412646837784</v>
      </c>
      <c r="BM71" s="318">
        <f t="shared" si="141"/>
        <v>10.471505208740604</v>
      </c>
      <c r="BN71" s="318">
        <f t="shared" si="141"/>
        <v>9.3718293376572692</v>
      </c>
      <c r="BO71" s="318" t="e">
        <f t="shared" si="141"/>
        <v>#DIV/0!</v>
      </c>
      <c r="BP71" s="318" t="e">
        <f t="shared" si="141"/>
        <v>#DIV/0!</v>
      </c>
      <c r="BQ71" s="319" t="e">
        <f t="shared" si="141"/>
        <v>#DIV/0!</v>
      </c>
    </row>
    <row r="72" spans="2:69">
      <c r="B72" s="310">
        <v>2039</v>
      </c>
      <c r="C72" s="309">
        <f t="shared" si="92"/>
        <v>2</v>
      </c>
      <c r="D72" s="309">
        <f t="shared" ref="D72:G72" si="142">AVERAGE(D23:D37)</f>
        <v>1.6000000000000003</v>
      </c>
      <c r="E72" s="309">
        <f t="shared" si="142"/>
        <v>0.115</v>
      </c>
      <c r="F72" s="309">
        <f t="shared" si="142"/>
        <v>4.1466666666666665</v>
      </c>
      <c r="G72" s="309">
        <f t="shared" ca="1" si="142"/>
        <v>3.927710843373502</v>
      </c>
      <c r="H72" s="309">
        <f t="shared" si="94"/>
        <v>0.17311333333333337</v>
      </c>
      <c r="K72" s="313"/>
      <c r="AP72" s="310">
        <v>2039</v>
      </c>
      <c r="AQ72" s="318">
        <f t="shared" ref="AQ72:AZ72" si="143">AVERAGE(AQ23:AQ37)</f>
        <v>4.4000000000000004E-2</v>
      </c>
      <c r="AR72" s="318">
        <f t="shared" si="143"/>
        <v>9.6999999999999989E-2</v>
      </c>
      <c r="AS72" s="318">
        <f t="shared" si="143"/>
        <v>2.2000000000000002E-2</v>
      </c>
      <c r="AT72" s="318">
        <f t="shared" si="143"/>
        <v>7.4400000000000013E-3</v>
      </c>
      <c r="AU72" s="318">
        <f t="shared" si="143"/>
        <v>2.3000000000000003E-2</v>
      </c>
      <c r="AV72" s="318">
        <f t="shared" si="143"/>
        <v>5.0000000000000001E-3</v>
      </c>
      <c r="AW72" s="318">
        <f t="shared" si="143"/>
        <v>2.3691428571428592E-2</v>
      </c>
      <c r="AX72" s="318">
        <f t="shared" si="143"/>
        <v>5.3508571428571433E-2</v>
      </c>
      <c r="AY72" s="318">
        <f t="shared" si="143"/>
        <v>5.5200000000000013E-2</v>
      </c>
      <c r="AZ72" s="319">
        <f t="shared" si="143"/>
        <v>7.3142857142857159E-3</v>
      </c>
      <c r="BF72" s="310">
        <v>2039</v>
      </c>
      <c r="BG72" s="300"/>
      <c r="BH72" s="318">
        <f t="shared" ref="BH72:BQ72" si="144">AVERAGE(BH23:BH37)</f>
        <v>2.2911999999999995</v>
      </c>
      <c r="BI72" s="318">
        <f t="shared" si="89"/>
        <v>1.1353333333333333</v>
      </c>
      <c r="BJ72" s="318">
        <f t="shared" si="90"/>
        <v>1.2706666666666668</v>
      </c>
      <c r="BK72" s="318" t="e">
        <f>AVERAGE(#REF!)</f>
        <v>#REF!</v>
      </c>
      <c r="BL72" s="318">
        <f t="shared" si="144"/>
        <v>19.029664049894606</v>
      </c>
      <c r="BM72" s="318">
        <f t="shared" si="144"/>
        <v>10.556878419696465</v>
      </c>
      <c r="BN72" s="318">
        <f t="shared" si="144"/>
        <v>9.4309524360224906</v>
      </c>
      <c r="BO72" s="318" t="e">
        <f t="shared" si="144"/>
        <v>#DIV/0!</v>
      </c>
      <c r="BP72" s="318" t="e">
        <f t="shared" si="144"/>
        <v>#DIV/0!</v>
      </c>
      <c r="BQ72" s="319" t="e">
        <f t="shared" si="144"/>
        <v>#DIV/0!</v>
      </c>
    </row>
    <row r="73" spans="2:69">
      <c r="B73" s="310">
        <v>2040</v>
      </c>
      <c r="C73" s="309">
        <f t="shared" si="92"/>
        <v>2</v>
      </c>
      <c r="D73" s="309">
        <f t="shared" ref="D73:G73" si="145">AVERAGE(D24:D38)</f>
        <v>1.6000000000000003</v>
      </c>
      <c r="E73" s="309">
        <f t="shared" si="145"/>
        <v>0.115</v>
      </c>
      <c r="F73" s="309">
        <f t="shared" si="145"/>
        <v>4.1222222222222218</v>
      </c>
      <c r="G73" s="309">
        <f t="shared" ca="1" si="145"/>
        <v>3.927710843373502</v>
      </c>
      <c r="H73" s="309">
        <f t="shared" si="94"/>
        <v>0.16917777777777782</v>
      </c>
      <c r="K73" s="313"/>
      <c r="AP73" s="310">
        <v>2040</v>
      </c>
      <c r="AQ73" s="318">
        <f t="shared" ref="AQ73:AZ73" si="146">AVERAGE(AQ24:AQ38)</f>
        <v>4.4000000000000004E-2</v>
      </c>
      <c r="AR73" s="318">
        <f t="shared" si="146"/>
        <v>9.6999999999999989E-2</v>
      </c>
      <c r="AS73" s="318">
        <f t="shared" si="146"/>
        <v>2.2000000000000002E-2</v>
      </c>
      <c r="AT73" s="318">
        <f t="shared" si="146"/>
        <v>7.3666666666666689E-3</v>
      </c>
      <c r="AU73" s="318">
        <f t="shared" si="146"/>
        <v>2.3000000000000003E-2</v>
      </c>
      <c r="AV73" s="318">
        <f t="shared" si="146"/>
        <v>5.0000000000000001E-3</v>
      </c>
      <c r="AW73" s="318">
        <f t="shared" si="146"/>
        <v>2.357619047619049E-2</v>
      </c>
      <c r="AX73" s="318">
        <f t="shared" si="146"/>
        <v>5.3257142857142864E-2</v>
      </c>
      <c r="AY73" s="318">
        <f t="shared" si="146"/>
        <v>5.4833333333333352E-2</v>
      </c>
      <c r="AZ73" s="319">
        <f t="shared" si="146"/>
        <v>7.2619047619047637E-3</v>
      </c>
      <c r="BF73" s="310">
        <v>2040</v>
      </c>
      <c r="BG73" s="300"/>
      <c r="BH73" s="318">
        <f t="shared" ref="BH73:BQ73" si="147">AVERAGE(BH24:BH38)</f>
        <v>2.2926666666666669</v>
      </c>
      <c r="BI73" s="318">
        <f t="shared" si="89"/>
        <v>1.1377777777777778</v>
      </c>
      <c r="BJ73" s="318">
        <f t="shared" si="90"/>
        <v>1.2755555555555558</v>
      </c>
      <c r="BK73" s="318" t="e">
        <f>AVERAGE(#REF!)</f>
        <v>#REF!</v>
      </c>
      <c r="BL73" s="318">
        <f t="shared" si="147"/>
        <v>19.110926825619298</v>
      </c>
      <c r="BM73" s="318">
        <f t="shared" si="147"/>
        <v>10.635429497940503</v>
      </c>
      <c r="BN73" s="318">
        <f t="shared" si="147"/>
        <v>9.4853320202365197</v>
      </c>
      <c r="BO73" s="318" t="e">
        <f t="shared" si="147"/>
        <v>#DIV/0!</v>
      </c>
      <c r="BP73" s="318" t="e">
        <f t="shared" si="147"/>
        <v>#DIV/0!</v>
      </c>
      <c r="BQ73" s="319" t="e">
        <f t="shared" si="147"/>
        <v>#DIV/0!</v>
      </c>
    </row>
    <row r="74" spans="2:69">
      <c r="B74" s="310">
        <v>2041</v>
      </c>
      <c r="C74" s="309">
        <f t="shared" si="92"/>
        <v>2</v>
      </c>
      <c r="D74" s="309">
        <f t="shared" ref="D74:G74" si="148">AVERAGE(D25:D39)</f>
        <v>1.6000000000000003</v>
      </c>
      <c r="E74" s="309">
        <f t="shared" si="148"/>
        <v>0.115</v>
      </c>
      <c r="F74" s="309">
        <f t="shared" si="148"/>
        <v>4.0999999999999996</v>
      </c>
      <c r="G74" s="309">
        <f t="shared" ca="1" si="148"/>
        <v>3.9277108433735024</v>
      </c>
      <c r="H74" s="309">
        <f t="shared" si="94"/>
        <v>0.16560000000000002</v>
      </c>
      <c r="K74" s="313"/>
      <c r="AP74" s="310">
        <v>2041</v>
      </c>
      <c r="AQ74" s="318">
        <f t="shared" ref="AQ74:AZ74" si="149">AVERAGE(AQ25:AQ39)</f>
        <v>4.4000000000000004E-2</v>
      </c>
      <c r="AR74" s="318">
        <f t="shared" si="149"/>
        <v>9.6999999999999989E-2</v>
      </c>
      <c r="AS74" s="318">
        <f t="shared" si="149"/>
        <v>2.2000000000000002E-2</v>
      </c>
      <c r="AT74" s="318">
        <f t="shared" si="149"/>
        <v>7.3000000000000027E-3</v>
      </c>
      <c r="AU74" s="318">
        <f t="shared" si="149"/>
        <v>2.3000000000000003E-2</v>
      </c>
      <c r="AV74" s="318">
        <f t="shared" si="149"/>
        <v>5.0000000000000001E-3</v>
      </c>
      <c r="AW74" s="318">
        <f t="shared" si="149"/>
        <v>2.3471428571428588E-2</v>
      </c>
      <c r="AX74" s="318">
        <f t="shared" si="149"/>
        <v>5.3028571428571439E-2</v>
      </c>
      <c r="AY74" s="318">
        <f t="shared" si="149"/>
        <v>5.4500000000000014E-2</v>
      </c>
      <c r="AZ74" s="319">
        <f t="shared" si="149"/>
        <v>7.2142857142857165E-3</v>
      </c>
      <c r="BF74" s="310">
        <v>2041</v>
      </c>
      <c r="BG74" s="300"/>
      <c r="BH74" s="318">
        <f t="shared" ref="BH74:BQ74" si="150">AVERAGE(BH25:BH39)</f>
        <v>2.2939999999999996</v>
      </c>
      <c r="BI74" s="318">
        <f t="shared" si="89"/>
        <v>1.1400000000000001</v>
      </c>
      <c r="BJ74" s="318">
        <f t="shared" si="90"/>
        <v>1.2800000000000002</v>
      </c>
      <c r="BK74" s="318" t="e">
        <f>AVERAGE(#REF!)</f>
        <v>#REF!</v>
      </c>
      <c r="BL74" s="318">
        <f t="shared" si="150"/>
        <v>19.185011971560389</v>
      </c>
      <c r="BM74" s="318">
        <f t="shared" si="150"/>
        <v>10.707106478008702</v>
      </c>
      <c r="BN74" s="318">
        <f t="shared" si="150"/>
        <v>9.5349354453283759</v>
      </c>
      <c r="BO74" s="318" t="e">
        <f t="shared" si="150"/>
        <v>#DIV/0!</v>
      </c>
      <c r="BP74" s="318" t="e">
        <f t="shared" si="150"/>
        <v>#DIV/0!</v>
      </c>
      <c r="BQ74" s="319" t="e">
        <f t="shared" si="150"/>
        <v>#DIV/0!</v>
      </c>
    </row>
    <row r="75" spans="2:69">
      <c r="B75" s="310">
        <v>2042</v>
      </c>
      <c r="C75" s="309">
        <f t="shared" si="92"/>
        <v>2</v>
      </c>
      <c r="D75" s="309">
        <f t="shared" ref="D75:G75" si="151">AVERAGE(D26:D40)</f>
        <v>1.6000000000000003</v>
      </c>
      <c r="E75" s="309">
        <f t="shared" si="151"/>
        <v>0.115</v>
      </c>
      <c r="F75" s="309">
        <f t="shared" si="151"/>
        <v>4.08</v>
      </c>
      <c r="G75" s="309">
        <f t="shared" ca="1" si="151"/>
        <v>3.9277108433735028</v>
      </c>
      <c r="H75" s="309">
        <f t="shared" si="94"/>
        <v>0.16238000000000005</v>
      </c>
      <c r="K75" s="313"/>
      <c r="AP75" s="310">
        <v>2042</v>
      </c>
      <c r="AQ75" s="318">
        <f t="shared" ref="AQ75:AZ75" si="152">AVERAGE(AQ26:AQ40)</f>
        <v>4.4000000000000004E-2</v>
      </c>
      <c r="AR75" s="318">
        <f t="shared" si="152"/>
        <v>9.6999999999999989E-2</v>
      </c>
      <c r="AS75" s="318">
        <f t="shared" si="152"/>
        <v>2.2000000000000002E-2</v>
      </c>
      <c r="AT75" s="318">
        <f t="shared" si="152"/>
        <v>7.2400000000000025E-3</v>
      </c>
      <c r="AU75" s="318">
        <f t="shared" si="152"/>
        <v>2.3000000000000003E-2</v>
      </c>
      <c r="AV75" s="318">
        <f t="shared" si="152"/>
        <v>5.0000000000000001E-3</v>
      </c>
      <c r="AW75" s="318">
        <f t="shared" si="152"/>
        <v>2.3377142857142867E-2</v>
      </c>
      <c r="AX75" s="318">
        <f t="shared" si="152"/>
        <v>5.2822857142857151E-2</v>
      </c>
      <c r="AY75" s="318">
        <f t="shared" si="152"/>
        <v>5.4200000000000012E-2</v>
      </c>
      <c r="AZ75" s="319">
        <f t="shared" si="152"/>
        <v>7.1714285714285743E-3</v>
      </c>
      <c r="BF75" s="310">
        <v>2042</v>
      </c>
      <c r="BG75" s="300"/>
      <c r="BH75" s="318">
        <f t="shared" ref="BH75:BQ75" si="153">AVERAGE(BH26:BH40)</f>
        <v>2.2952000000000004</v>
      </c>
      <c r="BI75" s="318">
        <f t="shared" si="89"/>
        <v>1.1420000000000001</v>
      </c>
      <c r="BJ75" s="318">
        <f t="shared" si="90"/>
        <v>1.2840000000000003</v>
      </c>
      <c r="BK75" s="318" t="e">
        <f>AVERAGE(#REF!)</f>
        <v>#REF!</v>
      </c>
      <c r="BL75" s="318">
        <f t="shared" si="153"/>
        <v>19.251878216346611</v>
      </c>
      <c r="BM75" s="318">
        <f t="shared" si="153"/>
        <v>10.771857045335718</v>
      </c>
      <c r="BN75" s="318">
        <f t="shared" si="153"/>
        <v>9.579729858465214</v>
      </c>
      <c r="BO75" s="318" t="e">
        <f t="shared" si="153"/>
        <v>#DIV/0!</v>
      </c>
      <c r="BP75" s="318" t="e">
        <f t="shared" si="153"/>
        <v>#DIV/0!</v>
      </c>
      <c r="BQ75" s="319" t="e">
        <f t="shared" si="153"/>
        <v>#DIV/0!</v>
      </c>
    </row>
    <row r="76" spans="2:69">
      <c r="B76" s="310">
        <v>2043</v>
      </c>
      <c r="C76" s="309">
        <f t="shared" si="92"/>
        <v>2</v>
      </c>
      <c r="D76" s="309">
        <f t="shared" ref="D76:G76" si="154">AVERAGE(D27:D41)</f>
        <v>1.6000000000000003</v>
      </c>
      <c r="E76" s="309">
        <f t="shared" si="154"/>
        <v>0.115</v>
      </c>
      <c r="F76" s="309">
        <f t="shared" si="154"/>
        <v>4.0622222222222222</v>
      </c>
      <c r="G76" s="309">
        <f t="shared" ca="1" si="154"/>
        <v>3.9277108433735028</v>
      </c>
      <c r="H76" s="309">
        <f t="shared" si="94"/>
        <v>0.15951777777777781</v>
      </c>
      <c r="K76" s="313"/>
      <c r="AP76" s="310">
        <v>2043</v>
      </c>
      <c r="AQ76" s="318">
        <f t="shared" ref="AQ76:AZ76" si="155">AVERAGE(AQ27:AQ41)</f>
        <v>4.4000000000000004E-2</v>
      </c>
      <c r="AR76" s="318">
        <f t="shared" si="155"/>
        <v>9.6999999999999989E-2</v>
      </c>
      <c r="AS76" s="318">
        <f t="shared" si="155"/>
        <v>2.2000000000000002E-2</v>
      </c>
      <c r="AT76" s="318">
        <f t="shared" si="155"/>
        <v>7.1866666666666693E-3</v>
      </c>
      <c r="AU76" s="318">
        <f t="shared" si="155"/>
        <v>2.3000000000000003E-2</v>
      </c>
      <c r="AV76" s="318">
        <f t="shared" si="155"/>
        <v>5.0000000000000001E-3</v>
      </c>
      <c r="AW76" s="318">
        <f t="shared" si="155"/>
        <v>2.3293333333333343E-2</v>
      </c>
      <c r="AX76" s="318">
        <f t="shared" si="155"/>
        <v>5.2640000000000013E-2</v>
      </c>
      <c r="AY76" s="318">
        <f t="shared" si="155"/>
        <v>5.3933333333333347E-2</v>
      </c>
      <c r="AZ76" s="319">
        <f t="shared" si="155"/>
        <v>7.1333333333333361E-3</v>
      </c>
      <c r="BF76" s="310">
        <v>2043</v>
      </c>
      <c r="BG76" s="300"/>
      <c r="BH76" s="318">
        <f t="shared" ref="BH76:BQ76" si="156">AVERAGE(BH27:BH41)</f>
        <v>2.2962666666666665</v>
      </c>
      <c r="BI76" s="318">
        <f t="shared" si="89"/>
        <v>1.1437777777777778</v>
      </c>
      <c r="BJ76" s="318">
        <f t="shared" si="90"/>
        <v>1.287555555555556</v>
      </c>
      <c r="BK76" s="318" t="e">
        <f>AVERAGE(#REF!)</f>
        <v>#REF!</v>
      </c>
      <c r="BL76" s="318">
        <f t="shared" si="156"/>
        <v>19.311484055333757</v>
      </c>
      <c r="BM76" s="318">
        <f t="shared" si="156"/>
        <v>10.829628534063017</v>
      </c>
      <c r="BN76" s="318">
        <f t="shared" si="156"/>
        <v>9.6196821976898459</v>
      </c>
      <c r="BO76" s="318" t="e">
        <f t="shared" si="156"/>
        <v>#DIV/0!</v>
      </c>
      <c r="BP76" s="318" t="e">
        <f t="shared" si="156"/>
        <v>#DIV/0!</v>
      </c>
      <c r="BQ76" s="319" t="e">
        <f t="shared" si="156"/>
        <v>#DIV/0!</v>
      </c>
    </row>
    <row r="77" spans="2:69">
      <c r="B77" s="310">
        <v>2044</v>
      </c>
      <c r="C77" s="309">
        <f t="shared" si="92"/>
        <v>2</v>
      </c>
      <c r="D77" s="309">
        <f t="shared" ref="D77:G77" si="157">AVERAGE(D28:D42)</f>
        <v>1.6000000000000003</v>
      </c>
      <c r="E77" s="309">
        <f t="shared" si="157"/>
        <v>0.115</v>
      </c>
      <c r="F77" s="309">
        <f t="shared" si="157"/>
        <v>4.0466666666666669</v>
      </c>
      <c r="G77" s="309">
        <f t="shared" ca="1" si="157"/>
        <v>3.9277108433735028</v>
      </c>
      <c r="H77" s="309">
        <f t="shared" si="94"/>
        <v>0.15701333333333337</v>
      </c>
      <c r="K77" s="313"/>
      <c r="AP77" s="310">
        <v>2044</v>
      </c>
      <c r="AQ77" s="318">
        <f t="shared" ref="AQ77:AZ77" si="158">AVERAGE(AQ28:AQ42)</f>
        <v>4.4000000000000004E-2</v>
      </c>
      <c r="AR77" s="318">
        <f t="shared" si="158"/>
        <v>9.6999999999999989E-2</v>
      </c>
      <c r="AS77" s="318">
        <f t="shared" si="158"/>
        <v>2.2000000000000002E-2</v>
      </c>
      <c r="AT77" s="318">
        <f t="shared" si="158"/>
        <v>7.1400000000000031E-3</v>
      </c>
      <c r="AU77" s="318">
        <f t="shared" si="158"/>
        <v>2.3000000000000003E-2</v>
      </c>
      <c r="AV77" s="318">
        <f t="shared" si="158"/>
        <v>5.0000000000000001E-3</v>
      </c>
      <c r="AW77" s="318">
        <f t="shared" si="158"/>
        <v>2.3220000000000008E-2</v>
      </c>
      <c r="AX77" s="318">
        <f t="shared" si="158"/>
        <v>5.2480000000000006E-2</v>
      </c>
      <c r="AY77" s="318">
        <f t="shared" si="158"/>
        <v>5.3700000000000012E-2</v>
      </c>
      <c r="AZ77" s="319">
        <f t="shared" si="158"/>
        <v>7.100000000000003E-3</v>
      </c>
      <c r="BF77" s="310">
        <v>2044</v>
      </c>
      <c r="BG77" s="300"/>
      <c r="BH77" s="318">
        <f t="shared" ref="BH77:BQ77" si="159">AVERAGE(BH28:BH42)</f>
        <v>2.2971999999999997</v>
      </c>
      <c r="BI77" s="318">
        <f t="shared" si="89"/>
        <v>1.1453333333333333</v>
      </c>
      <c r="BJ77" s="318">
        <f t="shared" si="90"/>
        <v>1.2906666666666671</v>
      </c>
      <c r="BK77" s="318" t="e">
        <f>AVERAGE(#REF!)</f>
        <v>#REF!</v>
      </c>
      <c r="BL77" s="318">
        <f t="shared" si="159"/>
        <v>19.363787749303675</v>
      </c>
      <c r="BM77" s="318">
        <f t="shared" si="159"/>
        <v>10.880367924833797</v>
      </c>
      <c r="BN77" s="318">
        <f t="shared" si="159"/>
        <v>9.6547591906508057</v>
      </c>
      <c r="BO77" s="318" t="e">
        <f t="shared" si="159"/>
        <v>#DIV/0!</v>
      </c>
      <c r="BP77" s="318" t="e">
        <f t="shared" si="159"/>
        <v>#DIV/0!</v>
      </c>
      <c r="BQ77" s="319" t="e">
        <f t="shared" si="159"/>
        <v>#DIV/0!</v>
      </c>
    </row>
    <row r="78" spans="2:69">
      <c r="B78" s="310">
        <v>2045</v>
      </c>
      <c r="C78" s="309">
        <f t="shared" si="92"/>
        <v>2</v>
      </c>
      <c r="D78" s="309">
        <f t="shared" ref="D78:G78" si="160">AVERAGE(D29:D43)</f>
        <v>1.6000000000000003</v>
      </c>
      <c r="E78" s="309">
        <f t="shared" si="160"/>
        <v>0.115</v>
      </c>
      <c r="F78" s="309">
        <f t="shared" si="160"/>
        <v>4.0333333333333332</v>
      </c>
      <c r="G78" s="309">
        <f t="shared" ca="1" si="160"/>
        <v>3.9277108433735028</v>
      </c>
      <c r="H78" s="309">
        <f t="shared" si="94"/>
        <v>0.15486666666666668</v>
      </c>
      <c r="K78" s="313"/>
      <c r="AP78" s="310">
        <v>2045</v>
      </c>
      <c r="AQ78" s="318">
        <f t="shared" ref="AQ78:AZ78" si="161">AVERAGE(AQ29:AQ43)</f>
        <v>4.4000000000000004E-2</v>
      </c>
      <c r="AR78" s="318">
        <f t="shared" si="161"/>
        <v>9.6999999999999989E-2</v>
      </c>
      <c r="AS78" s="318">
        <f t="shared" si="161"/>
        <v>2.2000000000000002E-2</v>
      </c>
      <c r="AT78" s="318">
        <f t="shared" si="161"/>
        <v>7.100000000000003E-3</v>
      </c>
      <c r="AU78" s="318">
        <f t="shared" si="161"/>
        <v>2.3000000000000003E-2</v>
      </c>
      <c r="AV78" s="318">
        <f t="shared" si="161"/>
        <v>5.0000000000000001E-3</v>
      </c>
      <c r="AW78" s="318">
        <f t="shared" si="161"/>
        <v>2.3157142857142866E-2</v>
      </c>
      <c r="AX78" s="318">
        <f t="shared" si="161"/>
        <v>5.2342857142857156E-2</v>
      </c>
      <c r="AY78" s="318">
        <f t="shared" si="161"/>
        <v>5.3500000000000013E-2</v>
      </c>
      <c r="AZ78" s="319">
        <f t="shared" si="161"/>
        <v>7.071428571428574E-3</v>
      </c>
      <c r="BF78" s="310">
        <v>2045</v>
      </c>
      <c r="BG78" s="300"/>
      <c r="BH78" s="318">
        <f t="shared" ref="BH78:BQ78" si="162">AVERAGE(BH29:BH43)</f>
        <v>2.298</v>
      </c>
      <c r="BI78" s="318">
        <f t="shared" si="89"/>
        <v>1.1466666666666667</v>
      </c>
      <c r="BJ78" s="318">
        <f t="shared" si="90"/>
        <v>1.2933333333333337</v>
      </c>
      <c r="BK78" s="318" t="e">
        <f>AVERAGE(#REF!)</f>
        <v>#REF!</v>
      </c>
      <c r="BL78" s="318">
        <f t="shared" si="162"/>
        <v>19.408747323156202</v>
      </c>
      <c r="BM78" s="318">
        <f t="shared" si="162"/>
        <v>10.92402184257465</v>
      </c>
      <c r="BN78" s="318">
        <f t="shared" si="162"/>
        <v>9.6849273533249693</v>
      </c>
      <c r="BO78" s="318" t="e">
        <f t="shared" si="162"/>
        <v>#DIV/0!</v>
      </c>
      <c r="BP78" s="318" t="e">
        <f t="shared" si="162"/>
        <v>#DIV/0!</v>
      </c>
      <c r="BQ78" s="319" t="e">
        <f t="shared" si="162"/>
        <v>#DIV/0!</v>
      </c>
    </row>
    <row r="79" spans="2:69">
      <c r="B79" s="310">
        <v>2046</v>
      </c>
      <c r="C79" s="309">
        <f t="shared" si="92"/>
        <v>2</v>
      </c>
      <c r="D79" s="309">
        <f t="shared" ref="D79:G79" si="163">AVERAGE(D30:D44)</f>
        <v>1.6000000000000003</v>
      </c>
      <c r="E79" s="309">
        <f t="shared" si="163"/>
        <v>0.115</v>
      </c>
      <c r="F79" s="309">
        <f t="shared" si="163"/>
        <v>4.0222222222222221</v>
      </c>
      <c r="G79" s="309">
        <f t="shared" ca="1" si="163"/>
        <v>3.9277108433735033</v>
      </c>
      <c r="H79" s="309">
        <f t="shared" si="94"/>
        <v>0.15307777777777778</v>
      </c>
      <c r="K79" s="313"/>
      <c r="AP79" s="310">
        <v>2046</v>
      </c>
      <c r="AQ79" s="318">
        <f t="shared" ref="AQ79:AZ79" si="164">AVERAGE(AQ30:AQ44)</f>
        <v>4.4000000000000004E-2</v>
      </c>
      <c r="AR79" s="318">
        <f t="shared" si="164"/>
        <v>9.6999999999999989E-2</v>
      </c>
      <c r="AS79" s="318">
        <f t="shared" si="164"/>
        <v>2.2000000000000002E-2</v>
      </c>
      <c r="AT79" s="318">
        <f t="shared" si="164"/>
        <v>7.066666666666669E-3</v>
      </c>
      <c r="AU79" s="318">
        <f t="shared" si="164"/>
        <v>2.3000000000000003E-2</v>
      </c>
      <c r="AV79" s="318">
        <f t="shared" si="164"/>
        <v>5.0000000000000001E-3</v>
      </c>
      <c r="AW79" s="318">
        <f t="shared" si="164"/>
        <v>2.3104761904761909E-2</v>
      </c>
      <c r="AX79" s="318">
        <f t="shared" si="164"/>
        <v>5.2228571428571437E-2</v>
      </c>
      <c r="AY79" s="318">
        <f t="shared" si="164"/>
        <v>5.3333333333333351E-2</v>
      </c>
      <c r="AZ79" s="319">
        <f t="shared" si="164"/>
        <v>7.04761904761905E-3</v>
      </c>
      <c r="BF79" s="310">
        <v>2046</v>
      </c>
      <c r="BG79" s="300"/>
      <c r="BH79" s="318">
        <f t="shared" ref="BH79:BQ79" si="165">AVERAGE(BH30:BH44)</f>
        <v>2.2986666666666671</v>
      </c>
      <c r="BI79" s="318">
        <f t="shared" si="89"/>
        <v>1.147777777777778</v>
      </c>
      <c r="BJ79" s="318">
        <f t="shared" si="90"/>
        <v>1.2955555555555558</v>
      </c>
      <c r="BK79" s="318" t="e">
        <f>AVERAGE(#REF!)</f>
        <v>#REF!</v>
      </c>
      <c r="BL79" s="318">
        <f t="shared" si="165"/>
        <v>19.44632056459378</v>
      </c>
      <c r="BM79" s="318">
        <f t="shared" si="165"/>
        <v>10.96053655426388</v>
      </c>
      <c r="BN79" s="318">
        <f t="shared" si="165"/>
        <v>9.7101529887326237</v>
      </c>
      <c r="BO79" s="318" t="e">
        <f t="shared" si="165"/>
        <v>#DIV/0!</v>
      </c>
      <c r="BP79" s="318" t="e">
        <f t="shared" si="165"/>
        <v>#DIV/0!</v>
      </c>
      <c r="BQ79" s="319" t="e">
        <f t="shared" si="165"/>
        <v>#DIV/0!</v>
      </c>
    </row>
    <row r="80" spans="2:69">
      <c r="B80" s="310">
        <v>2047</v>
      </c>
      <c r="C80" s="309">
        <f t="shared" si="92"/>
        <v>2</v>
      </c>
      <c r="D80" s="309">
        <f t="shared" ref="D80:G80" si="166">AVERAGE(D31:D45)</f>
        <v>1.6000000000000003</v>
      </c>
      <c r="E80" s="309">
        <f t="shared" si="166"/>
        <v>0.115</v>
      </c>
      <c r="F80" s="309">
        <f t="shared" si="166"/>
        <v>4.0133333333333336</v>
      </c>
      <c r="G80" s="309">
        <f t="shared" ca="1" si="166"/>
        <v>3.9277108433735033</v>
      </c>
      <c r="H80" s="309">
        <f t="shared" si="94"/>
        <v>0.15164666666666668</v>
      </c>
      <c r="K80" s="313"/>
      <c r="AP80" s="310">
        <v>2047</v>
      </c>
      <c r="AQ80" s="318">
        <f t="shared" ref="AQ80:AZ80" si="167">AVERAGE(AQ31:AQ45)</f>
        <v>4.4000000000000004E-2</v>
      </c>
      <c r="AR80" s="318">
        <f t="shared" si="167"/>
        <v>9.6999999999999989E-2</v>
      </c>
      <c r="AS80" s="318">
        <f t="shared" si="167"/>
        <v>2.2000000000000002E-2</v>
      </c>
      <c r="AT80" s="318">
        <f t="shared" si="167"/>
        <v>7.0400000000000029E-3</v>
      </c>
      <c r="AU80" s="318">
        <f t="shared" si="167"/>
        <v>2.3000000000000003E-2</v>
      </c>
      <c r="AV80" s="318">
        <f t="shared" si="167"/>
        <v>5.0000000000000001E-3</v>
      </c>
      <c r="AW80" s="318">
        <f t="shared" si="167"/>
        <v>2.3062857142857149E-2</v>
      </c>
      <c r="AX80" s="318">
        <f t="shared" si="167"/>
        <v>5.2137142857142868E-2</v>
      </c>
      <c r="AY80" s="318">
        <f t="shared" si="167"/>
        <v>5.3200000000000018E-2</v>
      </c>
      <c r="AZ80" s="319">
        <f t="shared" si="167"/>
        <v>7.0285714285714309E-3</v>
      </c>
      <c r="BF80" s="310">
        <v>2047</v>
      </c>
      <c r="BG80" s="300"/>
      <c r="BH80" s="318">
        <f t="shared" ref="BH80:BQ80" si="168">AVERAGE(BH31:BH45)</f>
        <v>2.2991999999999999</v>
      </c>
      <c r="BI80" s="318">
        <f t="shared" si="89"/>
        <v>1.1486666666666667</v>
      </c>
      <c r="BJ80" s="318">
        <f t="shared" si="90"/>
        <v>1.2973333333333337</v>
      </c>
      <c r="BK80" s="318" t="e">
        <f>AVERAGE(#REF!)</f>
        <v>#REF!</v>
      </c>
      <c r="BL80" s="318">
        <f t="shared" si="168"/>
        <v>19.476465022798891</v>
      </c>
      <c r="BM80" s="318">
        <f t="shared" si="168"/>
        <v>10.989857966686408</v>
      </c>
      <c r="BN80" s="318">
        <f t="shared" si="168"/>
        <v>9.7304021856450262</v>
      </c>
      <c r="BO80" s="318" t="e">
        <f t="shared" si="168"/>
        <v>#DIV/0!</v>
      </c>
      <c r="BP80" s="318" t="e">
        <f t="shared" si="168"/>
        <v>#DIV/0!</v>
      </c>
      <c r="BQ80" s="319" t="e">
        <f t="shared" si="168"/>
        <v>#DIV/0!</v>
      </c>
    </row>
    <row r="81" spans="2:69">
      <c r="B81" s="310">
        <v>2048</v>
      </c>
      <c r="C81" s="309">
        <f t="shared" si="92"/>
        <v>2</v>
      </c>
      <c r="D81" s="309">
        <f t="shared" ref="D81:G81" si="169">AVERAGE(D32:D46)</f>
        <v>1.6000000000000003</v>
      </c>
      <c r="E81" s="309">
        <f t="shared" si="169"/>
        <v>0.115</v>
      </c>
      <c r="F81" s="309">
        <f t="shared" si="169"/>
        <v>4.0066666666666668</v>
      </c>
      <c r="G81" s="309">
        <f t="shared" ca="1" si="169"/>
        <v>3.9277108433735033</v>
      </c>
      <c r="H81" s="309">
        <f t="shared" si="94"/>
        <v>0.15057333333333334</v>
      </c>
      <c r="K81" s="313"/>
      <c r="AP81" s="310">
        <v>2048</v>
      </c>
      <c r="AQ81" s="318">
        <f t="shared" ref="AQ81:AZ81" si="170">AVERAGE(AQ32:AQ46)</f>
        <v>4.4000000000000004E-2</v>
      </c>
      <c r="AR81" s="318">
        <f t="shared" si="170"/>
        <v>9.6999999999999989E-2</v>
      </c>
      <c r="AS81" s="318">
        <f t="shared" si="170"/>
        <v>2.2000000000000002E-2</v>
      </c>
      <c r="AT81" s="318">
        <f t="shared" si="170"/>
        <v>7.0200000000000019E-3</v>
      </c>
      <c r="AU81" s="318">
        <f t="shared" si="170"/>
        <v>2.3000000000000003E-2</v>
      </c>
      <c r="AV81" s="318">
        <f t="shared" si="170"/>
        <v>5.0000000000000001E-3</v>
      </c>
      <c r="AW81" s="318">
        <f t="shared" si="170"/>
        <v>2.3031428571428574E-2</v>
      </c>
      <c r="AX81" s="318">
        <f t="shared" si="170"/>
        <v>5.2068571428571443E-2</v>
      </c>
      <c r="AY81" s="318">
        <f t="shared" si="170"/>
        <v>5.3100000000000015E-2</v>
      </c>
      <c r="AZ81" s="319">
        <f t="shared" si="170"/>
        <v>7.0142857142857168E-3</v>
      </c>
      <c r="BF81" s="310">
        <v>2048</v>
      </c>
      <c r="BG81" s="300"/>
      <c r="BH81" s="318">
        <f t="shared" ref="BH81:BQ81" si="171">AVERAGE(BH32:BH46)</f>
        <v>2.2995999999999999</v>
      </c>
      <c r="BI81" s="318">
        <f t="shared" si="89"/>
        <v>1.1493333333333335</v>
      </c>
      <c r="BJ81" s="318">
        <f t="shared" si="90"/>
        <v>1.2986666666666669</v>
      </c>
      <c r="BK81" s="318" t="e">
        <f>AVERAGE(#REF!)</f>
        <v>#REF!</v>
      </c>
      <c r="BL81" s="318">
        <f t="shared" si="171"/>
        <v>19.499138007104147</v>
      </c>
      <c r="BM81" s="318">
        <f t="shared" si="171"/>
        <v>11.011931624175149</v>
      </c>
      <c r="BN81" s="318">
        <f t="shared" si="171"/>
        <v>9.745640817284329</v>
      </c>
      <c r="BO81" s="318" t="e">
        <f t="shared" si="171"/>
        <v>#DIV/0!</v>
      </c>
      <c r="BP81" s="318" t="e">
        <f t="shared" si="171"/>
        <v>#DIV/0!</v>
      </c>
      <c r="BQ81" s="319" t="e">
        <f t="shared" si="171"/>
        <v>#DIV/0!</v>
      </c>
    </row>
    <row r="82" spans="2:69">
      <c r="B82" s="310">
        <v>2049</v>
      </c>
      <c r="C82" s="309">
        <f t="shared" si="92"/>
        <v>2</v>
      </c>
      <c r="D82" s="309">
        <f t="shared" ref="D82:G82" si="172">AVERAGE(D33:D47)</f>
        <v>1.6000000000000003</v>
      </c>
      <c r="E82" s="309">
        <f t="shared" si="172"/>
        <v>0.115</v>
      </c>
      <c r="F82" s="309">
        <f t="shared" si="172"/>
        <v>4.0022222222222217</v>
      </c>
      <c r="G82" s="309">
        <f t="shared" ca="1" si="172"/>
        <v>3.9277108433735033</v>
      </c>
      <c r="H82" s="309">
        <f t="shared" si="94"/>
        <v>0.14985777777777778</v>
      </c>
      <c r="K82" s="313"/>
      <c r="AP82" s="310">
        <v>2049</v>
      </c>
      <c r="AQ82" s="318">
        <f t="shared" ref="AQ82:AZ82" si="173">AVERAGE(AQ33:AQ47)</f>
        <v>4.4000000000000004E-2</v>
      </c>
      <c r="AR82" s="318">
        <f t="shared" si="173"/>
        <v>9.6999999999999989E-2</v>
      </c>
      <c r="AS82" s="318">
        <f t="shared" si="173"/>
        <v>2.2000000000000002E-2</v>
      </c>
      <c r="AT82" s="318">
        <f t="shared" si="173"/>
        <v>7.0066666666666697E-3</v>
      </c>
      <c r="AU82" s="318">
        <f t="shared" si="173"/>
        <v>2.3000000000000003E-2</v>
      </c>
      <c r="AV82" s="318">
        <f t="shared" si="173"/>
        <v>5.0000000000000001E-3</v>
      </c>
      <c r="AW82" s="318">
        <f t="shared" si="173"/>
        <v>2.3010476190476192E-2</v>
      </c>
      <c r="AX82" s="318">
        <f t="shared" si="173"/>
        <v>5.2022857142857155E-2</v>
      </c>
      <c r="AY82" s="318">
        <f t="shared" si="173"/>
        <v>5.3033333333333349E-2</v>
      </c>
      <c r="AZ82" s="319">
        <f t="shared" si="173"/>
        <v>7.0047619047619069E-3</v>
      </c>
      <c r="BF82" s="310">
        <v>2049</v>
      </c>
      <c r="BG82" s="300"/>
      <c r="BH82" s="318">
        <f t="shared" ref="BH82:BQ82" si="174">AVERAGE(BH33:BH47)</f>
        <v>2.2998666666666669</v>
      </c>
      <c r="BI82" s="318">
        <f t="shared" si="89"/>
        <v>1.1497777777777778</v>
      </c>
      <c r="BJ82" s="318">
        <f t="shared" si="90"/>
        <v>1.299555555555556</v>
      </c>
      <c r="BK82" s="318" t="e">
        <f>AVERAGE(#REF!)</f>
        <v>#REF!</v>
      </c>
      <c r="BL82" s="318">
        <f t="shared" si="174"/>
        <v>19.514296585655071</v>
      </c>
      <c r="BM82" s="318">
        <f t="shared" si="174"/>
        <v>11.026702706338831</v>
      </c>
      <c r="BN82" s="318">
        <f t="shared" si="174"/>
        <v>9.7558345400158579</v>
      </c>
      <c r="BO82" s="318" t="e">
        <f t="shared" si="174"/>
        <v>#DIV/0!</v>
      </c>
      <c r="BP82" s="318" t="e">
        <f t="shared" si="174"/>
        <v>#DIV/0!</v>
      </c>
      <c r="BQ82" s="319" t="e">
        <f t="shared" si="174"/>
        <v>#DIV/0!</v>
      </c>
    </row>
    <row r="83" spans="2:69" ht="16" thickBot="1">
      <c r="B83" s="314">
        <v>2050</v>
      </c>
      <c r="C83" s="315">
        <f t="shared" si="92"/>
        <v>2</v>
      </c>
      <c r="D83" s="315">
        <f t="shared" ref="D83:G83" si="175">AVERAGE(D34:D48)</f>
        <v>1.6000000000000003</v>
      </c>
      <c r="E83" s="315">
        <f t="shared" si="175"/>
        <v>0.115</v>
      </c>
      <c r="F83" s="315">
        <f>AVERAGE(F34:F49)</f>
        <v>4</v>
      </c>
      <c r="G83" s="315">
        <f t="shared" ca="1" si="175"/>
        <v>3.9277108433735033</v>
      </c>
      <c r="H83" s="315">
        <f t="shared" si="94"/>
        <v>0.14950000000000002</v>
      </c>
      <c r="I83" s="316"/>
      <c r="J83" s="316"/>
      <c r="K83" s="317"/>
      <c r="AP83" s="314">
        <v>2050</v>
      </c>
      <c r="AQ83" s="320">
        <f t="shared" ref="AQ83:AZ83" si="176">AVERAGE(AQ34:AQ48)</f>
        <v>4.4000000000000004E-2</v>
      </c>
      <c r="AR83" s="320">
        <f t="shared" si="176"/>
        <v>9.6999999999999989E-2</v>
      </c>
      <c r="AS83" s="320">
        <f t="shared" si="176"/>
        <v>2.2000000000000002E-2</v>
      </c>
      <c r="AT83" s="320">
        <f t="shared" si="176"/>
        <v>7.0000000000000027E-3</v>
      </c>
      <c r="AU83" s="320">
        <f t="shared" si="176"/>
        <v>2.3000000000000003E-2</v>
      </c>
      <c r="AV83" s="320">
        <f t="shared" si="176"/>
        <v>5.0000000000000001E-3</v>
      </c>
      <c r="AW83" s="320">
        <f t="shared" si="176"/>
        <v>2.3000000000000003E-2</v>
      </c>
      <c r="AX83" s="320">
        <f t="shared" si="176"/>
        <v>5.2000000000000018E-2</v>
      </c>
      <c r="AY83" s="320">
        <f t="shared" si="176"/>
        <v>5.3000000000000019E-2</v>
      </c>
      <c r="AZ83" s="321">
        <f t="shared" si="176"/>
        <v>7.0000000000000027E-3</v>
      </c>
      <c r="BF83" s="314">
        <v>2050</v>
      </c>
      <c r="BG83" s="812"/>
      <c r="BH83" s="320">
        <f t="shared" ref="BH83:BQ83" si="177">AVERAGE(BH34:BH48)</f>
        <v>2.2999999999999998</v>
      </c>
      <c r="BI83" s="320">
        <f t="shared" si="89"/>
        <v>1.1499999999999999</v>
      </c>
      <c r="BJ83" s="320">
        <f t="shared" si="90"/>
        <v>1.3000000000000003</v>
      </c>
      <c r="BK83" s="320" t="e">
        <f>AVERAGE(#REF!)</f>
        <v>#REF!</v>
      </c>
      <c r="BL83" s="320">
        <f t="shared" si="177"/>
        <v>19.521897584065478</v>
      </c>
      <c r="BM83" s="320">
        <f t="shared" si="177"/>
        <v>11.034116025776143</v>
      </c>
      <c r="BN83" s="320">
        <f t="shared" si="177"/>
        <v>9.7609487920327389</v>
      </c>
      <c r="BO83" s="320" t="e">
        <f t="shared" si="177"/>
        <v>#DIV/0!</v>
      </c>
      <c r="BP83" s="320" t="e">
        <f t="shared" si="177"/>
        <v>#DIV/0!</v>
      </c>
      <c r="BQ83" s="321" t="e">
        <f t="shared" si="177"/>
        <v>#DIV/0!</v>
      </c>
    </row>
  </sheetData>
  <mergeCells count="8">
    <mergeCell ref="B1:S1"/>
    <mergeCell ref="AD3:AJ3"/>
    <mergeCell ref="BF52:BQ52"/>
    <mergeCell ref="BF3:BN3"/>
    <mergeCell ref="AP3:AW3"/>
    <mergeCell ref="B52:K52"/>
    <mergeCell ref="AP52:AZ52"/>
    <mergeCell ref="H3:I3"/>
  </mergeCells>
  <phoneticPr fontId="37" type="noConversion"/>
  <pageMargins left="0.7" right="0.7" top="0.75" bottom="0.75" header="0.3" footer="0.3"/>
  <pageSetup orientation="portrait" r:id="rId1"/>
  <headerFooter>
    <oddFooter>&amp;C&amp;1#&amp;"Calibri"&amp;14&amp;K008000Classification: General Use</oddFooter>
  </headerFooter>
  <ignoredErrors>
    <ignoredError sqref="V35:V49 V20:V33 V10:V18 BG10:BG18 BG20:BG34" formula="1"/>
  </ignoredError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80384-FD27-42DD-9025-80FB0DF1AFE3}">
  <sheetPr codeName="Sheet19">
    <tabColor rgb="FFFF0000"/>
  </sheetPr>
  <dimension ref="A1:Y55"/>
  <sheetViews>
    <sheetView tabSelected="1" zoomScaleNormal="100" workbookViewId="0">
      <selection activeCell="V54" sqref="V54"/>
    </sheetView>
  </sheetViews>
  <sheetFormatPr defaultRowHeight="14.5"/>
  <cols>
    <col min="2" max="3" width="12.26953125" bestFit="1" customWidth="1"/>
    <col min="4" max="8" width="14" bestFit="1" customWidth="1"/>
  </cols>
  <sheetData>
    <row r="1" spans="1:25" ht="52">
      <c r="A1" s="966" t="s">
        <v>253</v>
      </c>
      <c r="B1" s="967" t="s">
        <v>454</v>
      </c>
      <c r="C1" s="968" t="s">
        <v>529</v>
      </c>
      <c r="D1" s="968" t="s">
        <v>530</v>
      </c>
      <c r="E1" s="969" t="s">
        <v>523</v>
      </c>
      <c r="F1" s="969" t="s">
        <v>445</v>
      </c>
      <c r="G1" s="972" t="s">
        <v>414</v>
      </c>
      <c r="H1" s="970" t="s">
        <v>413</v>
      </c>
      <c r="J1" s="967" t="s">
        <v>454</v>
      </c>
      <c r="K1" s="968" t="s">
        <v>529</v>
      </c>
      <c r="L1" s="968" t="s">
        <v>530</v>
      </c>
      <c r="M1" s="969" t="s">
        <v>523</v>
      </c>
      <c r="N1" s="969" t="s">
        <v>445</v>
      </c>
      <c r="O1" s="972" t="s">
        <v>414</v>
      </c>
      <c r="P1" s="970" t="s">
        <v>413</v>
      </c>
      <c r="R1" s="966" t="s">
        <v>253</v>
      </c>
      <c r="S1" s="967" t="s">
        <v>454</v>
      </c>
      <c r="T1" s="968" t="s">
        <v>529</v>
      </c>
      <c r="U1" s="968" t="s">
        <v>530</v>
      </c>
      <c r="V1" s="969" t="s">
        <v>523</v>
      </c>
      <c r="W1" s="969" t="s">
        <v>445</v>
      </c>
      <c r="X1" s="972" t="s">
        <v>414</v>
      </c>
      <c r="Y1" s="970" t="s">
        <v>413</v>
      </c>
    </row>
    <row r="2" spans="1:25">
      <c r="A2">
        <v>2025</v>
      </c>
      <c r="B2" s="93">
        <v>583632</v>
      </c>
      <c r="C2" s="93">
        <v>740709.19</v>
      </c>
      <c r="D2" s="93">
        <v>908731.82</v>
      </c>
      <c r="E2" s="93">
        <v>1128924.96</v>
      </c>
      <c r="F2" s="93">
        <v>1151138.8</v>
      </c>
      <c r="G2" s="93">
        <v>1543296.62</v>
      </c>
      <c r="H2" s="93">
        <v>1311861.5</v>
      </c>
      <c r="J2" s="93">
        <f>B2/1000000</f>
        <v>0.58363200000000004</v>
      </c>
      <c r="K2" s="93">
        <f t="shared" ref="K2:P2" si="0">C2/1000000</f>
        <v>0.74070918999999991</v>
      </c>
      <c r="L2" s="93">
        <f t="shared" si="0"/>
        <v>0.90873181999999997</v>
      </c>
      <c r="M2" s="93">
        <f t="shared" si="0"/>
        <v>1.12892496</v>
      </c>
      <c r="N2" s="93">
        <f t="shared" si="0"/>
        <v>1.1511388</v>
      </c>
      <c r="O2" s="93">
        <f t="shared" si="0"/>
        <v>1.54329662</v>
      </c>
      <c r="P2" s="93">
        <f t="shared" si="0"/>
        <v>1.3118615</v>
      </c>
      <c r="R2">
        <v>2025</v>
      </c>
      <c r="S2" s="971">
        <f>B2/$B2</f>
        <v>1</v>
      </c>
      <c r="T2" s="971">
        <f t="shared" ref="T2:Y17" si="1">C2/$B2</f>
        <v>1.2691373845162703</v>
      </c>
      <c r="U2" s="971">
        <f t="shared" si="1"/>
        <v>1.5570287784083121</v>
      </c>
      <c r="V2" s="971">
        <f t="shared" si="1"/>
        <v>1.9343095649313264</v>
      </c>
      <c r="W2" s="971">
        <f t="shared" si="1"/>
        <v>1.9723709460756094</v>
      </c>
      <c r="X2" s="971">
        <f t="shared" si="1"/>
        <v>2.6442974682676756</v>
      </c>
      <c r="Y2" s="971">
        <f t="shared" si="1"/>
        <v>2.2477545782273762</v>
      </c>
    </row>
    <row r="3" spans="1:25">
      <c r="A3">
        <v>2026</v>
      </c>
      <c r="B3" s="93">
        <v>588910.88</v>
      </c>
      <c r="C3" s="93">
        <v>735477.69</v>
      </c>
      <c r="D3" s="93">
        <v>893943.16</v>
      </c>
      <c r="E3" s="93">
        <v>1107927.75</v>
      </c>
      <c r="F3" s="93">
        <v>1125282.79</v>
      </c>
      <c r="G3" s="93">
        <v>1444626.69</v>
      </c>
      <c r="H3" s="93">
        <v>1245784.23</v>
      </c>
      <c r="J3" s="93">
        <f t="shared" ref="J3:J27" si="2">B3/1000000</f>
        <v>0.58891088000000003</v>
      </c>
      <c r="K3" s="93">
        <f t="shared" ref="K3:K27" si="3">C3/1000000</f>
        <v>0.73547768999999996</v>
      </c>
      <c r="L3" s="93">
        <f t="shared" ref="L3:L27" si="4">D3/1000000</f>
        <v>0.89394316000000007</v>
      </c>
      <c r="M3" s="93">
        <f t="shared" ref="M3:M27" si="5">E3/1000000</f>
        <v>1.10792775</v>
      </c>
      <c r="N3" s="93">
        <f t="shared" ref="N3:N27" si="6">F3/1000000</f>
        <v>1.12528279</v>
      </c>
      <c r="O3" s="93">
        <f t="shared" ref="O3:O27" si="7">G3/1000000</f>
        <v>1.44462669</v>
      </c>
      <c r="P3" s="93">
        <f t="shared" ref="P3:P27" si="8">H3/1000000</f>
        <v>1.2457842299999999</v>
      </c>
      <c r="R3">
        <v>2026</v>
      </c>
      <c r="S3" s="971">
        <f t="shared" ref="S3:Y27" si="9">B3/$B3</f>
        <v>1</v>
      </c>
      <c r="T3" s="971">
        <f t="shared" si="1"/>
        <v>1.2488777419089285</v>
      </c>
      <c r="U3" s="971">
        <f t="shared" si="1"/>
        <v>1.5179600010106793</v>
      </c>
      <c r="V3" s="971">
        <f t="shared" si="1"/>
        <v>1.8813164905358855</v>
      </c>
      <c r="W3" s="971">
        <f t="shared" si="1"/>
        <v>1.9107862126778843</v>
      </c>
      <c r="X3" s="971">
        <f t="shared" si="1"/>
        <v>2.4530480571185915</v>
      </c>
      <c r="Y3" s="971">
        <f t="shared" si="1"/>
        <v>2.115403658359988</v>
      </c>
    </row>
    <row r="4" spans="1:25">
      <c r="A4">
        <v>2027</v>
      </c>
      <c r="B4" s="93">
        <v>593916.87</v>
      </c>
      <c r="C4" s="93">
        <v>730212.8</v>
      </c>
      <c r="D4" s="93">
        <v>879352.92</v>
      </c>
      <c r="E4" s="93">
        <v>1084989.97</v>
      </c>
      <c r="F4" s="93">
        <v>1095267.18</v>
      </c>
      <c r="G4" s="93">
        <v>1368353.76</v>
      </c>
      <c r="H4" s="93">
        <v>1184062.07</v>
      </c>
      <c r="J4" s="93">
        <f t="shared" si="2"/>
        <v>0.59391687000000004</v>
      </c>
      <c r="K4" s="93">
        <f t="shared" si="3"/>
        <v>0.7302128</v>
      </c>
      <c r="L4" s="93">
        <f t="shared" si="4"/>
        <v>0.87935292000000009</v>
      </c>
      <c r="M4" s="93">
        <f t="shared" si="5"/>
        <v>1.0849899700000001</v>
      </c>
      <c r="N4" s="93">
        <f t="shared" si="6"/>
        <v>1.09526718</v>
      </c>
      <c r="O4" s="93">
        <f t="shared" si="7"/>
        <v>1.36835376</v>
      </c>
      <c r="P4" s="93">
        <f t="shared" si="8"/>
        <v>1.18406207</v>
      </c>
      <c r="R4">
        <v>2027</v>
      </c>
      <c r="S4" s="971">
        <f t="shared" si="9"/>
        <v>1</v>
      </c>
      <c r="T4" s="971">
        <f t="shared" si="1"/>
        <v>1.2294865441353771</v>
      </c>
      <c r="U4" s="971">
        <f t="shared" si="1"/>
        <v>1.4805993303406251</v>
      </c>
      <c r="V4" s="971">
        <f t="shared" si="1"/>
        <v>1.826838106147751</v>
      </c>
      <c r="W4" s="971">
        <f t="shared" si="1"/>
        <v>1.8441422281875912</v>
      </c>
      <c r="X4" s="971">
        <f t="shared" si="1"/>
        <v>2.3039482949861316</v>
      </c>
      <c r="Y4" s="971">
        <f t="shared" si="1"/>
        <v>1.9936494984559037</v>
      </c>
    </row>
    <row r="5" spans="1:25">
      <c r="A5">
        <v>2028</v>
      </c>
      <c r="B5" s="93">
        <v>598641.44999999995</v>
      </c>
      <c r="C5" s="93">
        <v>724914.93</v>
      </c>
      <c r="D5" s="93">
        <v>864970.42</v>
      </c>
      <c r="E5" s="93">
        <v>1066134.79</v>
      </c>
      <c r="F5" s="93">
        <v>1073219.28</v>
      </c>
      <c r="G5" s="93">
        <v>1293862.0900000001</v>
      </c>
      <c r="H5" s="93">
        <v>1126819.8400000001</v>
      </c>
      <c r="J5" s="93">
        <f t="shared" si="2"/>
        <v>0.59864144999999991</v>
      </c>
      <c r="K5" s="93">
        <f t="shared" si="3"/>
        <v>0.72491493000000007</v>
      </c>
      <c r="L5" s="93">
        <f t="shared" si="4"/>
        <v>0.86497042000000002</v>
      </c>
      <c r="M5" s="93">
        <f t="shared" si="5"/>
        <v>1.06613479</v>
      </c>
      <c r="N5" s="93">
        <f t="shared" si="6"/>
        <v>1.07321928</v>
      </c>
      <c r="O5" s="93">
        <f t="shared" si="7"/>
        <v>1.2938620900000002</v>
      </c>
      <c r="P5" s="93">
        <f t="shared" si="8"/>
        <v>1.12681984</v>
      </c>
      <c r="R5">
        <v>2028</v>
      </c>
      <c r="S5" s="971">
        <f t="shared" si="9"/>
        <v>1</v>
      </c>
      <c r="T5" s="971">
        <f t="shared" si="1"/>
        <v>1.2109334059644552</v>
      </c>
      <c r="U5" s="971">
        <f t="shared" si="1"/>
        <v>1.4448889564863912</v>
      </c>
      <c r="V5" s="971">
        <f t="shared" si="1"/>
        <v>1.7809237733204075</v>
      </c>
      <c r="W5" s="971">
        <f t="shared" si="1"/>
        <v>1.7927580524201927</v>
      </c>
      <c r="X5" s="971">
        <f t="shared" si="1"/>
        <v>2.1613306094992257</v>
      </c>
      <c r="Y5" s="971">
        <f t="shared" si="1"/>
        <v>1.8822950532409679</v>
      </c>
    </row>
    <row r="6" spans="1:25">
      <c r="A6">
        <v>2029</v>
      </c>
      <c r="B6" s="93">
        <v>603074.98</v>
      </c>
      <c r="C6" s="93">
        <v>719585.15</v>
      </c>
      <c r="D6" s="93">
        <v>850807.54</v>
      </c>
      <c r="E6" s="93">
        <v>1045448.67</v>
      </c>
      <c r="F6" s="93">
        <v>1047020.46</v>
      </c>
      <c r="G6" s="93">
        <v>1230935.81</v>
      </c>
      <c r="H6" s="93">
        <v>1074105.3600000001</v>
      </c>
      <c r="J6" s="93">
        <f t="shared" si="2"/>
        <v>0.60307497999999993</v>
      </c>
      <c r="K6" s="93">
        <f t="shared" si="3"/>
        <v>0.71958515000000001</v>
      </c>
      <c r="L6" s="93">
        <f t="shared" si="4"/>
        <v>0.85080754000000003</v>
      </c>
      <c r="M6" s="93">
        <f t="shared" si="5"/>
        <v>1.0454486700000001</v>
      </c>
      <c r="N6" s="93">
        <f t="shared" si="6"/>
        <v>1.0470204599999999</v>
      </c>
      <c r="O6" s="93">
        <f t="shared" si="7"/>
        <v>1.2309358100000001</v>
      </c>
      <c r="P6" s="93">
        <f t="shared" si="8"/>
        <v>1.0741053600000001</v>
      </c>
      <c r="R6">
        <v>2029</v>
      </c>
      <c r="S6" s="971">
        <f>B6/$B6</f>
        <v>1</v>
      </c>
      <c r="T6" s="971">
        <f t="shared" si="1"/>
        <v>1.1931935063862209</v>
      </c>
      <c r="U6" s="971">
        <f t="shared" si="1"/>
        <v>1.4107823541278401</v>
      </c>
      <c r="V6" s="971">
        <f t="shared" si="1"/>
        <v>1.7335301656852022</v>
      </c>
      <c r="W6" s="971">
        <f t="shared" si="1"/>
        <v>1.7361364585212937</v>
      </c>
      <c r="X6" s="971">
        <f t="shared" si="1"/>
        <v>2.0410991183882312</v>
      </c>
      <c r="Y6" s="971">
        <f t="shared" si="1"/>
        <v>1.7810477894473422</v>
      </c>
    </row>
    <row r="7" spans="1:25">
      <c r="A7">
        <v>2030</v>
      </c>
      <c r="B7" s="93">
        <v>607209.26</v>
      </c>
      <c r="C7" s="93">
        <v>714225.84</v>
      </c>
      <c r="D7" s="93">
        <v>836877.5</v>
      </c>
      <c r="E7" s="93">
        <v>1028281.38</v>
      </c>
      <c r="F7" s="93">
        <v>1027414.69</v>
      </c>
      <c r="G7" s="93">
        <v>1165774.6299999999</v>
      </c>
      <c r="H7" s="93">
        <v>1026046.41</v>
      </c>
      <c r="J7" s="93">
        <f t="shared" si="2"/>
        <v>0.60720925999999997</v>
      </c>
      <c r="K7" s="93">
        <f t="shared" si="3"/>
        <v>0.71422584</v>
      </c>
      <c r="L7" s="93">
        <f t="shared" si="4"/>
        <v>0.83687750000000005</v>
      </c>
      <c r="M7" s="93">
        <f t="shared" si="5"/>
        <v>1.0282813799999999</v>
      </c>
      <c r="N7" s="93">
        <f t="shared" si="6"/>
        <v>1.0274146899999999</v>
      </c>
      <c r="O7" s="93">
        <f t="shared" si="7"/>
        <v>1.1657746299999998</v>
      </c>
      <c r="P7" s="93">
        <f t="shared" si="8"/>
        <v>1.02604641</v>
      </c>
      <c r="R7">
        <v>2030</v>
      </c>
      <c r="S7" s="971">
        <f t="shared" si="9"/>
        <v>1</v>
      </c>
      <c r="T7" s="971">
        <f t="shared" si="1"/>
        <v>1.1762433267239698</v>
      </c>
      <c r="U7" s="971">
        <f t="shared" si="1"/>
        <v>1.3782357337567612</v>
      </c>
      <c r="V7" s="971">
        <f t="shared" si="1"/>
        <v>1.6934547078547517</v>
      </c>
      <c r="W7" s="971">
        <f t="shared" si="1"/>
        <v>1.6920273745495908</v>
      </c>
      <c r="X7" s="971">
        <f t="shared" si="1"/>
        <v>1.9198894134124369</v>
      </c>
      <c r="Y7" s="971">
        <f t="shared" si="1"/>
        <v>1.6897739833546017</v>
      </c>
    </row>
    <row r="8" spans="1:25">
      <c r="A8">
        <v>2031</v>
      </c>
      <c r="B8" s="93">
        <v>612904.32999999996</v>
      </c>
      <c r="C8" s="93">
        <v>710710.67</v>
      </c>
      <c r="D8" s="93">
        <v>825068.03</v>
      </c>
      <c r="E8" s="93">
        <v>1013204.61</v>
      </c>
      <c r="F8" s="93">
        <v>1010123.99</v>
      </c>
      <c r="G8" s="93">
        <v>1112900.3400000001</v>
      </c>
      <c r="H8" s="93">
        <v>984675.16</v>
      </c>
      <c r="J8" s="93">
        <f t="shared" si="2"/>
        <v>0.61290433</v>
      </c>
      <c r="K8" s="93">
        <f t="shared" si="3"/>
        <v>0.71071066999999999</v>
      </c>
      <c r="L8" s="93">
        <f t="shared" si="4"/>
        <v>0.82506803000000006</v>
      </c>
      <c r="M8" s="93">
        <f t="shared" si="5"/>
        <v>1.0132046100000001</v>
      </c>
      <c r="N8" s="93">
        <f t="shared" si="6"/>
        <v>1.0101239900000001</v>
      </c>
      <c r="O8" s="93">
        <f t="shared" si="7"/>
        <v>1.1129003400000002</v>
      </c>
      <c r="P8" s="93">
        <f t="shared" si="8"/>
        <v>0.98467515999999999</v>
      </c>
      <c r="R8">
        <v>2031</v>
      </c>
      <c r="S8" s="971">
        <f t="shared" si="9"/>
        <v>1</v>
      </c>
      <c r="T8" s="971">
        <f t="shared" si="1"/>
        <v>1.1595784777699321</v>
      </c>
      <c r="U8" s="971">
        <f t="shared" si="1"/>
        <v>1.3461612026790544</v>
      </c>
      <c r="V8" s="971">
        <f t="shared" si="1"/>
        <v>1.6531203328258426</v>
      </c>
      <c r="W8" s="971">
        <f t="shared" si="1"/>
        <v>1.648094067144215</v>
      </c>
      <c r="X8" s="971">
        <f t="shared" si="1"/>
        <v>1.8157814939894457</v>
      </c>
      <c r="Y8" s="971">
        <f t="shared" si="1"/>
        <v>1.6065723666856786</v>
      </c>
    </row>
    <row r="9" spans="1:25">
      <c r="A9">
        <v>2032</v>
      </c>
      <c r="B9" s="93">
        <v>618275.43999999994</v>
      </c>
      <c r="C9" s="93">
        <v>707173.06</v>
      </c>
      <c r="D9" s="93">
        <v>813531.17</v>
      </c>
      <c r="E9" s="93">
        <v>1001298.04</v>
      </c>
      <c r="F9" s="93">
        <v>998414.24</v>
      </c>
      <c r="G9" s="93">
        <v>1059286.52</v>
      </c>
      <c r="H9" s="93">
        <v>948290.77</v>
      </c>
      <c r="J9" s="93">
        <f t="shared" si="2"/>
        <v>0.6182754399999999</v>
      </c>
      <c r="K9" s="93">
        <f t="shared" si="3"/>
        <v>0.70717306000000002</v>
      </c>
      <c r="L9" s="93">
        <f t="shared" si="4"/>
        <v>0.81353117000000008</v>
      </c>
      <c r="M9" s="93">
        <f t="shared" si="5"/>
        <v>1.00129804</v>
      </c>
      <c r="N9" s="93">
        <f t="shared" si="6"/>
        <v>0.99841424000000001</v>
      </c>
      <c r="O9" s="93">
        <f t="shared" si="7"/>
        <v>1.0592865200000001</v>
      </c>
      <c r="P9" s="93">
        <f t="shared" si="8"/>
        <v>0.94829077000000006</v>
      </c>
      <c r="R9">
        <v>2032</v>
      </c>
      <c r="S9" s="971">
        <f t="shared" si="9"/>
        <v>1</v>
      </c>
      <c r="T9" s="971">
        <f t="shared" si="1"/>
        <v>1.1437831979869686</v>
      </c>
      <c r="U9" s="971">
        <f t="shared" si="1"/>
        <v>1.3158070293071971</v>
      </c>
      <c r="V9" s="971">
        <f t="shared" si="1"/>
        <v>1.6195015606636423</v>
      </c>
      <c r="W9" s="971">
        <f t="shared" si="1"/>
        <v>1.6148372964645015</v>
      </c>
      <c r="X9" s="971">
        <f t="shared" si="1"/>
        <v>1.713292250457175</v>
      </c>
      <c r="Y9" s="971">
        <f t="shared" si="1"/>
        <v>1.5337674904246561</v>
      </c>
    </row>
    <row r="10" spans="1:25">
      <c r="A10">
        <v>2033</v>
      </c>
      <c r="B10" s="93">
        <v>623302.35</v>
      </c>
      <c r="C10" s="93">
        <v>703618.24</v>
      </c>
      <c r="D10" s="93">
        <v>802298.27</v>
      </c>
      <c r="E10" s="93">
        <v>988408.66</v>
      </c>
      <c r="F10" s="93">
        <v>983617.49</v>
      </c>
      <c r="G10" s="93">
        <v>1016078.17</v>
      </c>
      <c r="H10" s="93">
        <v>917195.71</v>
      </c>
      <c r="J10" s="93">
        <f t="shared" si="2"/>
        <v>0.62330235000000001</v>
      </c>
      <c r="K10" s="93">
        <f t="shared" si="3"/>
        <v>0.70361823999999995</v>
      </c>
      <c r="L10" s="93">
        <f t="shared" si="4"/>
        <v>0.80229826999999998</v>
      </c>
      <c r="M10" s="93">
        <f t="shared" si="5"/>
        <v>0.98840866000000005</v>
      </c>
      <c r="N10" s="93">
        <f t="shared" si="6"/>
        <v>0.98361748999999998</v>
      </c>
      <c r="O10" s="93">
        <f t="shared" si="7"/>
        <v>1.0160781700000001</v>
      </c>
      <c r="P10" s="93">
        <f t="shared" si="8"/>
        <v>0.91719571</v>
      </c>
      <c r="R10">
        <v>2033</v>
      </c>
      <c r="S10" s="971">
        <f t="shared" si="9"/>
        <v>1</v>
      </c>
      <c r="T10" s="971">
        <f t="shared" si="1"/>
        <v>1.1288554262630328</v>
      </c>
      <c r="U10" s="971">
        <f t="shared" si="1"/>
        <v>1.2871735041589367</v>
      </c>
      <c r="V10" s="971">
        <f t="shared" si="1"/>
        <v>1.5857611639038423</v>
      </c>
      <c r="W10" s="971">
        <f t="shared" si="1"/>
        <v>1.5780744128431412</v>
      </c>
      <c r="X10" s="971">
        <f t="shared" si="1"/>
        <v>1.6301529586724646</v>
      </c>
      <c r="Y10" s="971">
        <f t="shared" si="1"/>
        <v>1.4715101106228783</v>
      </c>
    </row>
    <row r="11" spans="1:25">
      <c r="A11">
        <v>2034</v>
      </c>
      <c r="B11" s="93">
        <v>627974.35</v>
      </c>
      <c r="C11" s="93">
        <v>700054.2</v>
      </c>
      <c r="D11" s="93">
        <v>791397.14</v>
      </c>
      <c r="E11" s="93">
        <v>978983.68</v>
      </c>
      <c r="F11" s="93">
        <v>974534.46</v>
      </c>
      <c r="G11" s="93">
        <v>973782.58</v>
      </c>
      <c r="H11" s="93">
        <v>891608.92</v>
      </c>
      <c r="J11" s="93">
        <f t="shared" si="2"/>
        <v>0.62797435000000001</v>
      </c>
      <c r="K11" s="93">
        <f t="shared" si="3"/>
        <v>0.70005419999999996</v>
      </c>
      <c r="L11" s="93">
        <f t="shared" si="4"/>
        <v>0.79139714000000005</v>
      </c>
      <c r="M11" s="93">
        <f t="shared" si="5"/>
        <v>0.97898368000000002</v>
      </c>
      <c r="N11" s="93">
        <f t="shared" si="6"/>
        <v>0.97453445999999999</v>
      </c>
      <c r="O11" s="93">
        <f t="shared" si="7"/>
        <v>0.97378257999999995</v>
      </c>
      <c r="P11" s="93">
        <f t="shared" si="8"/>
        <v>0.89160892000000003</v>
      </c>
      <c r="R11">
        <v>2034</v>
      </c>
      <c r="S11" s="971">
        <f t="shared" si="9"/>
        <v>1</v>
      </c>
      <c r="T11" s="971">
        <f t="shared" si="1"/>
        <v>1.1147815193407182</v>
      </c>
      <c r="U11" s="971">
        <f t="shared" si="1"/>
        <v>1.2602380017591484</v>
      </c>
      <c r="V11" s="971">
        <f t="shared" si="1"/>
        <v>1.5589548840649305</v>
      </c>
      <c r="W11" s="971">
        <f t="shared" si="1"/>
        <v>1.551869849461208</v>
      </c>
      <c r="X11" s="971">
        <f t="shared" si="1"/>
        <v>1.5506725394118406</v>
      </c>
      <c r="Y11" s="971">
        <f t="shared" si="1"/>
        <v>1.4198174177018537</v>
      </c>
    </row>
    <row r="12" spans="1:25">
      <c r="A12">
        <v>2035</v>
      </c>
      <c r="B12" s="93">
        <v>632286.31999999995</v>
      </c>
      <c r="C12" s="93">
        <v>696490.67</v>
      </c>
      <c r="D12" s="93">
        <v>780853.85</v>
      </c>
      <c r="E12" s="93">
        <v>969083.36</v>
      </c>
      <c r="F12" s="93">
        <v>963033.32</v>
      </c>
      <c r="G12" s="93">
        <v>937545.88</v>
      </c>
      <c r="H12" s="93">
        <v>871533.66</v>
      </c>
      <c r="J12" s="93">
        <f t="shared" si="2"/>
        <v>0.63228631999999996</v>
      </c>
      <c r="K12" s="93">
        <f t="shared" si="3"/>
        <v>0.69649067000000009</v>
      </c>
      <c r="L12" s="93">
        <f t="shared" si="4"/>
        <v>0.78085384999999996</v>
      </c>
      <c r="M12" s="93">
        <f t="shared" si="5"/>
        <v>0.96908335999999995</v>
      </c>
      <c r="N12" s="93">
        <f t="shared" si="6"/>
        <v>0.96303331999999997</v>
      </c>
      <c r="O12" s="93">
        <f t="shared" si="7"/>
        <v>0.93754588000000005</v>
      </c>
      <c r="P12" s="93">
        <f t="shared" si="8"/>
        <v>0.87153365999999999</v>
      </c>
      <c r="R12">
        <v>2035</v>
      </c>
      <c r="S12" s="971">
        <f t="shared" si="9"/>
        <v>1</v>
      </c>
      <c r="T12" s="971">
        <f t="shared" si="1"/>
        <v>1.101543158485542</v>
      </c>
      <c r="U12" s="971">
        <f t="shared" si="1"/>
        <v>1.2349687559269036</v>
      </c>
      <c r="V12" s="971">
        <f t="shared" si="1"/>
        <v>1.5326653912107415</v>
      </c>
      <c r="W12" s="971">
        <f t="shared" si="1"/>
        <v>1.523096878009317</v>
      </c>
      <c r="X12" s="971">
        <f t="shared" si="1"/>
        <v>1.482786912106528</v>
      </c>
      <c r="Y12" s="971">
        <f t="shared" si="1"/>
        <v>1.3783844951761728</v>
      </c>
    </row>
    <row r="13" spans="1:25">
      <c r="A13">
        <v>2036</v>
      </c>
      <c r="B13" s="93">
        <v>638160.26</v>
      </c>
      <c r="C13" s="93">
        <v>696570.31</v>
      </c>
      <c r="D13" s="93">
        <v>775152.94</v>
      </c>
      <c r="E13" s="93">
        <v>964704.08</v>
      </c>
      <c r="F13" s="93">
        <v>959814.05</v>
      </c>
      <c r="G13" s="93">
        <v>926977.69</v>
      </c>
      <c r="H13" s="93">
        <v>865778.16</v>
      </c>
      <c r="J13" s="93">
        <f t="shared" si="2"/>
        <v>0.63816026000000003</v>
      </c>
      <c r="K13" s="93">
        <f t="shared" si="3"/>
        <v>0.69657031000000003</v>
      </c>
      <c r="L13" s="93">
        <f t="shared" si="4"/>
        <v>0.7751529399999999</v>
      </c>
      <c r="M13" s="93">
        <f t="shared" si="5"/>
        <v>0.96470407999999996</v>
      </c>
      <c r="N13" s="93">
        <f t="shared" si="6"/>
        <v>0.95981405000000009</v>
      </c>
      <c r="O13" s="93">
        <f t="shared" si="7"/>
        <v>0.92697768999999997</v>
      </c>
      <c r="P13" s="93">
        <f t="shared" si="8"/>
        <v>0.86577816000000007</v>
      </c>
      <c r="R13">
        <v>2036</v>
      </c>
      <c r="S13" s="971">
        <f t="shared" si="9"/>
        <v>1</v>
      </c>
      <c r="T13" s="971">
        <f t="shared" si="1"/>
        <v>1.0915288112738328</v>
      </c>
      <c r="U13" s="971">
        <f t="shared" si="1"/>
        <v>1.2146681462114233</v>
      </c>
      <c r="V13" s="971">
        <f t="shared" si="1"/>
        <v>1.5116956358266496</v>
      </c>
      <c r="W13" s="971">
        <f t="shared" si="1"/>
        <v>1.5040329368049337</v>
      </c>
      <c r="X13" s="971">
        <f t="shared" si="1"/>
        <v>1.4525782128771227</v>
      </c>
      <c r="Y13" s="971">
        <f t="shared" si="1"/>
        <v>1.3566782738868761</v>
      </c>
    </row>
    <row r="14" spans="1:25">
      <c r="A14">
        <v>2037</v>
      </c>
      <c r="B14" s="93">
        <v>643838.39</v>
      </c>
      <c r="C14" s="93">
        <v>696612.03</v>
      </c>
      <c r="D14" s="93">
        <v>769564.34</v>
      </c>
      <c r="E14" s="93">
        <v>960322.72</v>
      </c>
      <c r="F14" s="93">
        <v>956567.74</v>
      </c>
      <c r="G14" s="93">
        <v>916551.52</v>
      </c>
      <c r="H14" s="93">
        <v>860110.45</v>
      </c>
      <c r="J14" s="93">
        <f t="shared" si="2"/>
        <v>0.64383838999999998</v>
      </c>
      <c r="K14" s="93">
        <f t="shared" si="3"/>
        <v>0.69661203000000005</v>
      </c>
      <c r="L14" s="93">
        <f t="shared" si="4"/>
        <v>0.76956433999999996</v>
      </c>
      <c r="M14" s="93">
        <f t="shared" si="5"/>
        <v>0.96032271999999996</v>
      </c>
      <c r="N14" s="93">
        <f t="shared" si="6"/>
        <v>0.95656774</v>
      </c>
      <c r="O14" s="93">
        <f t="shared" si="7"/>
        <v>0.91655152000000006</v>
      </c>
      <c r="P14" s="93">
        <f t="shared" si="8"/>
        <v>0.86011044999999997</v>
      </c>
      <c r="R14">
        <v>2037</v>
      </c>
      <c r="S14" s="971">
        <f t="shared" si="9"/>
        <v>1</v>
      </c>
      <c r="T14" s="971">
        <f t="shared" si="1"/>
        <v>1.0819672154063382</v>
      </c>
      <c r="U14" s="971">
        <f t="shared" si="1"/>
        <v>1.1952756343094111</v>
      </c>
      <c r="V14" s="971">
        <f t="shared" si="1"/>
        <v>1.491558650300427</v>
      </c>
      <c r="W14" s="971">
        <f t="shared" si="1"/>
        <v>1.4857264724459813</v>
      </c>
      <c r="X14" s="971">
        <f t="shared" si="1"/>
        <v>1.4235738878509558</v>
      </c>
      <c r="Y14" s="971">
        <f t="shared" si="1"/>
        <v>1.3359104759192753</v>
      </c>
    </row>
    <row r="15" spans="1:25">
      <c r="A15">
        <v>2038</v>
      </c>
      <c r="B15" s="93">
        <v>649297.89</v>
      </c>
      <c r="C15" s="93">
        <v>696610.66</v>
      </c>
      <c r="D15" s="93">
        <v>764099.46</v>
      </c>
      <c r="E15" s="93">
        <v>955988.62</v>
      </c>
      <c r="F15" s="93">
        <v>953329.68</v>
      </c>
      <c r="G15" s="93">
        <v>906744.49</v>
      </c>
      <c r="H15" s="93">
        <v>854532.94</v>
      </c>
      <c r="J15" s="93">
        <f t="shared" si="2"/>
        <v>0.64929789000000004</v>
      </c>
      <c r="K15" s="93">
        <f t="shared" si="3"/>
        <v>0.69661066000000005</v>
      </c>
      <c r="L15" s="93">
        <f t="shared" si="4"/>
        <v>0.76409945999999995</v>
      </c>
      <c r="M15" s="93">
        <f t="shared" si="5"/>
        <v>0.95598861999999996</v>
      </c>
      <c r="N15" s="93">
        <f t="shared" si="6"/>
        <v>0.95332968000000007</v>
      </c>
      <c r="O15" s="93">
        <f t="shared" si="7"/>
        <v>0.90674449000000001</v>
      </c>
      <c r="P15" s="93">
        <f t="shared" si="8"/>
        <v>0.85453293999999991</v>
      </c>
      <c r="R15">
        <v>2038</v>
      </c>
      <c r="S15" s="971">
        <f t="shared" si="9"/>
        <v>1</v>
      </c>
      <c r="T15" s="971">
        <f t="shared" si="1"/>
        <v>1.0728675862476622</v>
      </c>
      <c r="U15" s="971">
        <f t="shared" si="1"/>
        <v>1.1768087834075664</v>
      </c>
      <c r="V15" s="971">
        <f t="shared" si="1"/>
        <v>1.4723421017123588</v>
      </c>
      <c r="W15" s="971">
        <f t="shared" si="1"/>
        <v>1.4682470013879145</v>
      </c>
      <c r="X15" s="971">
        <f t="shared" si="1"/>
        <v>1.3964999793854251</v>
      </c>
      <c r="Y15" s="971">
        <f t="shared" si="1"/>
        <v>1.3160876589326356</v>
      </c>
    </row>
    <row r="16" spans="1:25">
      <c r="A16">
        <v>2039</v>
      </c>
      <c r="B16" s="93">
        <v>654515.76</v>
      </c>
      <c r="C16" s="93">
        <v>696560.95</v>
      </c>
      <c r="D16" s="93">
        <v>758769.82</v>
      </c>
      <c r="E16" s="93">
        <v>951750.18</v>
      </c>
      <c r="F16" s="93">
        <v>950134.85</v>
      </c>
      <c r="G16" s="93">
        <v>897061.66</v>
      </c>
      <c r="H16" s="93">
        <v>849047.53</v>
      </c>
      <c r="J16" s="93">
        <f t="shared" si="2"/>
        <v>0.65451576</v>
      </c>
      <c r="K16" s="93">
        <f t="shared" si="3"/>
        <v>0.69656094999999996</v>
      </c>
      <c r="L16" s="93">
        <f t="shared" si="4"/>
        <v>0.75876981999999993</v>
      </c>
      <c r="M16" s="93">
        <f t="shared" si="5"/>
        <v>0.95175018</v>
      </c>
      <c r="N16" s="93">
        <f t="shared" si="6"/>
        <v>0.95013484999999998</v>
      </c>
      <c r="O16" s="93">
        <f t="shared" si="7"/>
        <v>0.89706165999999998</v>
      </c>
      <c r="P16" s="93">
        <f t="shared" si="8"/>
        <v>0.84904752999999999</v>
      </c>
      <c r="R16">
        <v>2039</v>
      </c>
      <c r="S16" s="971">
        <f t="shared" si="9"/>
        <v>1</v>
      </c>
      <c r="T16" s="971">
        <f t="shared" si="1"/>
        <v>1.0642386212365611</v>
      </c>
      <c r="U16" s="971">
        <f t="shared" si="1"/>
        <v>1.1592842623071444</v>
      </c>
      <c r="V16" s="971">
        <f t="shared" si="1"/>
        <v>1.4541287439740183</v>
      </c>
      <c r="W16" s="971">
        <f t="shared" si="1"/>
        <v>1.4516607667323396</v>
      </c>
      <c r="X16" s="971">
        <f t="shared" si="1"/>
        <v>1.3705730477750453</v>
      </c>
      <c r="Y16" s="971">
        <f t="shared" si="1"/>
        <v>1.2972147989224889</v>
      </c>
    </row>
    <row r="17" spans="1:25">
      <c r="A17">
        <v>2040</v>
      </c>
      <c r="B17" s="93">
        <v>659460.39</v>
      </c>
      <c r="C17" s="93">
        <v>696455.73</v>
      </c>
      <c r="D17" s="93">
        <v>753591.26</v>
      </c>
      <c r="E17" s="93">
        <v>947659.42</v>
      </c>
      <c r="F17" s="93">
        <v>947018.51</v>
      </c>
      <c r="G17" s="93">
        <v>887504.23</v>
      </c>
      <c r="H17" s="93">
        <v>843657.24</v>
      </c>
      <c r="J17" s="93">
        <f t="shared" si="2"/>
        <v>0.65946039000000001</v>
      </c>
      <c r="K17" s="93">
        <f t="shared" si="3"/>
        <v>0.69645572999999994</v>
      </c>
      <c r="L17" s="93">
        <f t="shared" si="4"/>
        <v>0.75359125999999999</v>
      </c>
      <c r="M17" s="93">
        <f t="shared" si="5"/>
        <v>0.94765942000000003</v>
      </c>
      <c r="N17" s="93">
        <f t="shared" si="6"/>
        <v>0.94701851000000004</v>
      </c>
      <c r="O17" s="93">
        <f t="shared" si="7"/>
        <v>0.88750423000000001</v>
      </c>
      <c r="P17" s="93">
        <f t="shared" si="8"/>
        <v>0.84365723999999997</v>
      </c>
      <c r="R17">
        <v>2040</v>
      </c>
      <c r="S17" s="971">
        <f t="shared" si="9"/>
        <v>1</v>
      </c>
      <c r="T17" s="971">
        <f t="shared" si="1"/>
        <v>1.0560994118236577</v>
      </c>
      <c r="U17" s="971">
        <f t="shared" si="1"/>
        <v>1.1427392326019763</v>
      </c>
      <c r="V17" s="971">
        <f t="shared" si="1"/>
        <v>1.4370225025948868</v>
      </c>
      <c r="W17" s="971">
        <f t="shared" si="1"/>
        <v>1.436050632244948</v>
      </c>
      <c r="X17" s="971">
        <f t="shared" si="1"/>
        <v>1.3458036956548671</v>
      </c>
      <c r="Y17" s="971">
        <f t="shared" si="1"/>
        <v>1.2793145013607261</v>
      </c>
    </row>
    <row r="18" spans="1:25">
      <c r="A18">
        <v>2041</v>
      </c>
      <c r="B18" s="93">
        <v>664095.9</v>
      </c>
      <c r="C18" s="93">
        <v>696286.84</v>
      </c>
      <c r="D18" s="93">
        <v>748581.77</v>
      </c>
      <c r="E18" s="93">
        <v>943743.21</v>
      </c>
      <c r="F18" s="93">
        <v>943989.15</v>
      </c>
      <c r="G18" s="93">
        <v>878073.47</v>
      </c>
      <c r="H18" s="93">
        <v>838365.13</v>
      </c>
      <c r="J18" s="93">
        <f t="shared" si="2"/>
        <v>0.66409590000000007</v>
      </c>
      <c r="K18" s="93">
        <f t="shared" si="3"/>
        <v>0.69628683999999996</v>
      </c>
      <c r="L18" s="93">
        <f t="shared" si="4"/>
        <v>0.74858177000000004</v>
      </c>
      <c r="M18" s="93">
        <f t="shared" si="5"/>
        <v>0.94374320999999994</v>
      </c>
      <c r="N18" s="93">
        <f t="shared" si="6"/>
        <v>0.94398915000000005</v>
      </c>
      <c r="O18" s="93">
        <f t="shared" si="7"/>
        <v>0.87807347000000002</v>
      </c>
      <c r="P18" s="93">
        <f t="shared" si="8"/>
        <v>0.83836513000000001</v>
      </c>
      <c r="R18">
        <v>2041</v>
      </c>
      <c r="S18" s="971">
        <f t="shared" si="9"/>
        <v>1</v>
      </c>
      <c r="T18" s="971">
        <f t="shared" si="9"/>
        <v>1.0484733304331497</v>
      </c>
      <c r="U18" s="971">
        <f t="shared" si="9"/>
        <v>1.1272193820199763</v>
      </c>
      <c r="V18" s="971">
        <f t="shared" si="9"/>
        <v>1.4210947695957767</v>
      </c>
      <c r="W18" s="971">
        <f t="shared" si="9"/>
        <v>1.4214651076749607</v>
      </c>
      <c r="X18" s="971">
        <f t="shared" si="9"/>
        <v>1.3222088406207597</v>
      </c>
      <c r="Y18" s="971">
        <f t="shared" si="9"/>
        <v>1.2624157595311158</v>
      </c>
    </row>
    <row r="19" spans="1:25">
      <c r="A19">
        <v>2042</v>
      </c>
      <c r="B19" s="93">
        <v>668383.56999999995</v>
      </c>
      <c r="C19" s="93">
        <v>696045.5</v>
      </c>
      <c r="D19" s="93">
        <v>743760.77</v>
      </c>
      <c r="E19" s="93">
        <v>939848.69</v>
      </c>
      <c r="F19" s="93">
        <v>940872.18</v>
      </c>
      <c r="G19" s="93">
        <v>868770.42</v>
      </c>
      <c r="H19" s="93">
        <v>833173.94</v>
      </c>
      <c r="J19" s="93">
        <f t="shared" si="2"/>
        <v>0.66838356999999993</v>
      </c>
      <c r="K19" s="93">
        <f t="shared" si="3"/>
        <v>0.69604549999999998</v>
      </c>
      <c r="L19" s="93">
        <f t="shared" si="4"/>
        <v>0.74376077000000007</v>
      </c>
      <c r="M19" s="93">
        <f t="shared" si="5"/>
        <v>0.93984868999999993</v>
      </c>
      <c r="N19" s="93">
        <f t="shared" si="6"/>
        <v>0.94087218000000006</v>
      </c>
      <c r="O19" s="93">
        <f t="shared" si="7"/>
        <v>0.86877042000000004</v>
      </c>
      <c r="P19" s="93">
        <f t="shared" si="8"/>
        <v>0.83317393999999989</v>
      </c>
      <c r="R19">
        <v>2042</v>
      </c>
      <c r="S19" s="971">
        <f t="shared" si="9"/>
        <v>1</v>
      </c>
      <c r="T19" s="971">
        <f t="shared" si="9"/>
        <v>1.0413863105581724</v>
      </c>
      <c r="U19" s="971">
        <f t="shared" si="9"/>
        <v>1.1127753634039808</v>
      </c>
      <c r="V19" s="971">
        <f t="shared" si="9"/>
        <v>1.4061516952010056</v>
      </c>
      <c r="W19" s="971">
        <f t="shared" si="9"/>
        <v>1.407682986582091</v>
      </c>
      <c r="X19" s="971">
        <f t="shared" si="9"/>
        <v>1.2998081625495375</v>
      </c>
      <c r="Y19" s="971">
        <f t="shared" si="9"/>
        <v>1.2465505996803603</v>
      </c>
    </row>
    <row r="20" spans="1:25">
      <c r="A20">
        <v>2043</v>
      </c>
      <c r="B20" s="93">
        <v>672273.9</v>
      </c>
      <c r="C20" s="93">
        <v>695720.49</v>
      </c>
      <c r="D20" s="93">
        <v>739153.12</v>
      </c>
      <c r="E20" s="93">
        <v>935985.61</v>
      </c>
      <c r="F20" s="93">
        <v>937653.84</v>
      </c>
      <c r="G20" s="93">
        <v>856862.5</v>
      </c>
      <c r="H20" s="93">
        <v>828087.3</v>
      </c>
      <c r="J20" s="93">
        <f t="shared" si="2"/>
        <v>0.67227389999999998</v>
      </c>
      <c r="K20" s="93">
        <f t="shared" si="3"/>
        <v>0.69572049000000002</v>
      </c>
      <c r="L20" s="93">
        <f t="shared" si="4"/>
        <v>0.73915312</v>
      </c>
      <c r="M20" s="93">
        <f t="shared" si="5"/>
        <v>0.93598561000000002</v>
      </c>
      <c r="N20" s="93">
        <f t="shared" si="6"/>
        <v>0.93765383999999996</v>
      </c>
      <c r="O20" s="93">
        <f t="shared" si="7"/>
        <v>0.85686249999999997</v>
      </c>
      <c r="P20" s="93">
        <f t="shared" si="8"/>
        <v>0.82808730000000008</v>
      </c>
      <c r="R20">
        <v>2043</v>
      </c>
      <c r="S20" s="971">
        <f t="shared" si="9"/>
        <v>1</v>
      </c>
      <c r="T20" s="971">
        <f t="shared" si="9"/>
        <v>1.0348765436230678</v>
      </c>
      <c r="U20" s="971">
        <f t="shared" si="9"/>
        <v>1.0994821009710476</v>
      </c>
      <c r="V20" s="971">
        <f t="shared" si="9"/>
        <v>1.3922682555428672</v>
      </c>
      <c r="W20" s="971">
        <f t="shared" si="9"/>
        <v>1.3947497292398232</v>
      </c>
      <c r="X20" s="971">
        <f t="shared" si="9"/>
        <v>1.2745735034485199</v>
      </c>
      <c r="Y20" s="971">
        <f t="shared" si="9"/>
        <v>1.2317707113127552</v>
      </c>
    </row>
    <row r="21" spans="1:25">
      <c r="A21">
        <v>2044</v>
      </c>
      <c r="B21" s="93">
        <v>675709.39</v>
      </c>
      <c r="C21" s="93">
        <v>695298.76</v>
      </c>
      <c r="D21" s="93">
        <v>734787.69</v>
      </c>
      <c r="E21" s="93">
        <v>932164.75</v>
      </c>
      <c r="F21" s="93">
        <v>934318.58</v>
      </c>
      <c r="G21" s="93">
        <v>847820.56</v>
      </c>
      <c r="H21" s="93">
        <v>823108.96</v>
      </c>
      <c r="J21" s="93">
        <f t="shared" si="2"/>
        <v>0.67570938999999997</v>
      </c>
      <c r="K21" s="93">
        <f t="shared" si="3"/>
        <v>0.69529876000000002</v>
      </c>
      <c r="L21" s="93">
        <f t="shared" si="4"/>
        <v>0.73478768999999999</v>
      </c>
      <c r="M21" s="93">
        <f t="shared" si="5"/>
        <v>0.93216474999999999</v>
      </c>
      <c r="N21" s="93">
        <f t="shared" si="6"/>
        <v>0.93431858000000001</v>
      </c>
      <c r="O21" s="93">
        <f t="shared" si="7"/>
        <v>0.84782056000000006</v>
      </c>
      <c r="P21" s="93">
        <f t="shared" si="8"/>
        <v>0.82310896</v>
      </c>
      <c r="R21">
        <v>2044</v>
      </c>
      <c r="S21" s="971">
        <f t="shared" si="9"/>
        <v>1</v>
      </c>
      <c r="T21" s="971">
        <f t="shared" si="9"/>
        <v>1.0289908210392045</v>
      </c>
      <c r="U21" s="971">
        <f t="shared" si="9"/>
        <v>1.0874315214118897</v>
      </c>
      <c r="V21" s="971">
        <f t="shared" si="9"/>
        <v>1.3795349950664442</v>
      </c>
      <c r="W21" s="971">
        <f t="shared" si="9"/>
        <v>1.3827225044186524</v>
      </c>
      <c r="X21" s="971">
        <f t="shared" si="9"/>
        <v>1.2547118221932658</v>
      </c>
      <c r="Y21" s="971">
        <f t="shared" si="9"/>
        <v>1.2181404790008912</v>
      </c>
    </row>
    <row r="22" spans="1:25">
      <c r="A22">
        <v>2045</v>
      </c>
      <c r="B22" s="93">
        <v>678632.3</v>
      </c>
      <c r="C22" s="93">
        <v>694767.22</v>
      </c>
      <c r="D22" s="93">
        <v>730693.47</v>
      </c>
      <c r="E22" s="93">
        <v>928395.07</v>
      </c>
      <c r="F22" s="93">
        <v>930849.65</v>
      </c>
      <c r="G22" s="93">
        <v>838911.15</v>
      </c>
      <c r="H22" s="93">
        <v>818241.54</v>
      </c>
      <c r="J22" s="93">
        <f t="shared" si="2"/>
        <v>0.67863230000000008</v>
      </c>
      <c r="K22" s="93">
        <f t="shared" si="3"/>
        <v>0.69476722000000002</v>
      </c>
      <c r="L22" s="93">
        <f t="shared" si="4"/>
        <v>0.73069346999999996</v>
      </c>
      <c r="M22" s="93">
        <f t="shared" si="5"/>
        <v>0.92839506999999999</v>
      </c>
      <c r="N22" s="93">
        <f t="shared" si="6"/>
        <v>0.93084964999999997</v>
      </c>
      <c r="O22" s="93">
        <f t="shared" si="7"/>
        <v>0.83891115000000005</v>
      </c>
      <c r="P22" s="93">
        <f t="shared" si="8"/>
        <v>0.81824154000000004</v>
      </c>
      <c r="R22">
        <v>2045</v>
      </c>
      <c r="S22" s="971">
        <f t="shared" si="9"/>
        <v>1</v>
      </c>
      <c r="T22" s="971">
        <f t="shared" si="9"/>
        <v>1.0237756440416996</v>
      </c>
      <c r="U22" s="971">
        <f t="shared" si="9"/>
        <v>1.076714842485393</v>
      </c>
      <c r="V22" s="971">
        <f t="shared" si="9"/>
        <v>1.3680384355416031</v>
      </c>
      <c r="W22" s="971">
        <f t="shared" si="9"/>
        <v>1.371655386871506</v>
      </c>
      <c r="X22" s="971">
        <f t="shared" si="9"/>
        <v>1.2361792240068739</v>
      </c>
      <c r="Y22" s="971">
        <f t="shared" si="9"/>
        <v>1.2057214783322279</v>
      </c>
    </row>
    <row r="23" spans="1:25">
      <c r="A23">
        <v>2046</v>
      </c>
      <c r="B23" s="93">
        <v>680971.5</v>
      </c>
      <c r="C23" s="93">
        <v>694109.77</v>
      </c>
      <c r="D23" s="93">
        <v>726906.2</v>
      </c>
      <c r="E23" s="93">
        <v>924687.09</v>
      </c>
      <c r="F23" s="93">
        <v>927226.79</v>
      </c>
      <c r="G23" s="93">
        <v>830135.79</v>
      </c>
      <c r="H23" s="93">
        <v>813488.21</v>
      </c>
      <c r="J23" s="93">
        <f t="shared" si="2"/>
        <v>0.68097149999999995</v>
      </c>
      <c r="K23" s="93">
        <f t="shared" si="3"/>
        <v>0.69410977000000007</v>
      </c>
      <c r="L23" s="93">
        <f t="shared" si="4"/>
        <v>0.72690619999999995</v>
      </c>
      <c r="M23" s="93">
        <f t="shared" si="5"/>
        <v>0.92468708999999993</v>
      </c>
      <c r="N23" s="93">
        <f t="shared" si="6"/>
        <v>0.92722679000000008</v>
      </c>
      <c r="O23" s="93">
        <f t="shared" si="7"/>
        <v>0.83013579000000004</v>
      </c>
      <c r="P23" s="93">
        <f t="shared" si="8"/>
        <v>0.81348820999999993</v>
      </c>
      <c r="R23">
        <v>2046</v>
      </c>
      <c r="S23" s="971">
        <f t="shared" si="9"/>
        <v>1</v>
      </c>
      <c r="T23" s="971">
        <f t="shared" si="9"/>
        <v>1.0192934212371589</v>
      </c>
      <c r="U23" s="971">
        <f t="shared" si="9"/>
        <v>1.0674546585282938</v>
      </c>
      <c r="V23" s="971">
        <f t="shared" si="9"/>
        <v>1.357893964725396</v>
      </c>
      <c r="W23" s="971">
        <f t="shared" si="9"/>
        <v>1.3616234893824486</v>
      </c>
      <c r="X23" s="971">
        <f t="shared" si="9"/>
        <v>1.2190463036999346</v>
      </c>
      <c r="Y23" s="971">
        <f t="shared" si="9"/>
        <v>1.1945994949862071</v>
      </c>
    </row>
    <row r="24" spans="1:25">
      <c r="A24">
        <v>2047</v>
      </c>
      <c r="B24" s="93">
        <v>682636.33</v>
      </c>
      <c r="C24" s="93">
        <v>693305.85</v>
      </c>
      <c r="D24" s="93">
        <v>723471.46</v>
      </c>
      <c r="E24" s="93">
        <v>921072.86</v>
      </c>
      <c r="F24" s="93">
        <v>923444.15</v>
      </c>
      <c r="G24" s="93">
        <v>821496.78</v>
      </c>
      <c r="H24" s="93">
        <v>808853.06</v>
      </c>
      <c r="J24" s="93">
        <f t="shared" si="2"/>
        <v>0.68263633000000001</v>
      </c>
      <c r="K24" s="93">
        <f t="shared" si="3"/>
        <v>0.69330585</v>
      </c>
      <c r="L24" s="93">
        <f t="shared" si="4"/>
        <v>0.72347145999999996</v>
      </c>
      <c r="M24" s="93">
        <f t="shared" si="5"/>
        <v>0.92107285999999999</v>
      </c>
      <c r="N24" s="93">
        <f t="shared" si="6"/>
        <v>0.92344415000000002</v>
      </c>
      <c r="O24" s="93">
        <f t="shared" si="7"/>
        <v>0.82149678000000004</v>
      </c>
      <c r="P24" s="93">
        <f t="shared" si="8"/>
        <v>0.80885306000000001</v>
      </c>
      <c r="R24">
        <v>2047</v>
      </c>
      <c r="S24" s="971">
        <f t="shared" si="9"/>
        <v>1</v>
      </c>
      <c r="T24" s="971">
        <f t="shared" si="9"/>
        <v>1.0156298742553007</v>
      </c>
      <c r="U24" s="971">
        <f t="shared" si="9"/>
        <v>1.0598197432591963</v>
      </c>
      <c r="V24" s="971">
        <f t="shared" si="9"/>
        <v>1.3492877825591263</v>
      </c>
      <c r="W24" s="971">
        <f t="shared" si="9"/>
        <v>1.3527615062620533</v>
      </c>
      <c r="X24" s="971">
        <f t="shared" si="9"/>
        <v>1.2034179018863529</v>
      </c>
      <c r="Y24" s="971">
        <f t="shared" si="9"/>
        <v>1.1848960045827037</v>
      </c>
    </row>
    <row r="25" spans="1:25">
      <c r="A25">
        <v>2048</v>
      </c>
      <c r="B25" s="93">
        <v>683504.46</v>
      </c>
      <c r="C25" s="93">
        <v>692327.78</v>
      </c>
      <c r="D25" s="93">
        <v>720450.75</v>
      </c>
      <c r="E25" s="93">
        <v>917553.17</v>
      </c>
      <c r="F25" s="93">
        <v>919451.94</v>
      </c>
      <c r="G25" s="93">
        <v>812997.89</v>
      </c>
      <c r="H25" s="93">
        <v>804341.77</v>
      </c>
      <c r="J25" s="93">
        <f t="shared" si="2"/>
        <v>0.68350445999999998</v>
      </c>
      <c r="K25" s="93">
        <f t="shared" si="3"/>
        <v>0.69232778000000006</v>
      </c>
      <c r="L25" s="93">
        <f t="shared" si="4"/>
        <v>0.72045075000000003</v>
      </c>
      <c r="M25" s="93">
        <f t="shared" si="5"/>
        <v>0.91755317000000003</v>
      </c>
      <c r="N25" s="93">
        <f t="shared" si="6"/>
        <v>0.91945193999999997</v>
      </c>
      <c r="O25" s="93">
        <f t="shared" si="7"/>
        <v>0.81299789</v>
      </c>
      <c r="P25" s="93">
        <f t="shared" si="8"/>
        <v>0.80434177000000007</v>
      </c>
      <c r="R25">
        <v>2048</v>
      </c>
      <c r="S25" s="971">
        <f t="shared" si="9"/>
        <v>1</v>
      </c>
      <c r="T25" s="971">
        <f t="shared" si="9"/>
        <v>1.0129089428326481</v>
      </c>
      <c r="U25" s="971">
        <f t="shared" si="9"/>
        <v>1.0540542047084813</v>
      </c>
      <c r="V25" s="971">
        <f t="shared" si="9"/>
        <v>1.342424554186523</v>
      </c>
      <c r="W25" s="971">
        <f t="shared" si="9"/>
        <v>1.3452025463008683</v>
      </c>
      <c r="X25" s="971">
        <f t="shared" si="9"/>
        <v>1.1894551353768783</v>
      </c>
      <c r="Y25" s="971">
        <f t="shared" si="9"/>
        <v>1.1767908142106345</v>
      </c>
    </row>
    <row r="26" spans="1:25">
      <c r="A26">
        <v>2049</v>
      </c>
      <c r="B26" s="93">
        <v>683479.9</v>
      </c>
      <c r="C26" s="93">
        <v>691153.82</v>
      </c>
      <c r="D26" s="93">
        <v>717892.32</v>
      </c>
      <c r="E26" s="93">
        <v>914136.04</v>
      </c>
      <c r="F26" s="93">
        <v>915219.55</v>
      </c>
      <c r="G26" s="93">
        <v>804638.69</v>
      </c>
      <c r="H26" s="93">
        <v>799955.33</v>
      </c>
      <c r="J26" s="93">
        <f t="shared" si="2"/>
        <v>0.68347990000000003</v>
      </c>
      <c r="K26" s="93">
        <f t="shared" si="3"/>
        <v>0.69115381999999992</v>
      </c>
      <c r="L26" s="93">
        <f t="shared" si="4"/>
        <v>0.71789231999999992</v>
      </c>
      <c r="M26" s="93">
        <f t="shared" si="5"/>
        <v>0.91413604000000004</v>
      </c>
      <c r="N26" s="93">
        <f t="shared" si="6"/>
        <v>0.91521954999999999</v>
      </c>
      <c r="O26" s="93">
        <f t="shared" si="7"/>
        <v>0.80463868999999999</v>
      </c>
      <c r="P26" s="93">
        <f t="shared" si="8"/>
        <v>0.79995532999999996</v>
      </c>
      <c r="R26">
        <v>2049</v>
      </c>
      <c r="S26" s="971">
        <f t="shared" si="9"/>
        <v>1</v>
      </c>
      <c r="T26" s="971">
        <f t="shared" si="9"/>
        <v>1.0112277186205474</v>
      </c>
      <c r="U26" s="971">
        <f t="shared" si="9"/>
        <v>1.0503488398122607</v>
      </c>
      <c r="V26" s="971">
        <f t="shared" si="9"/>
        <v>1.3374731868486549</v>
      </c>
      <c r="W26" s="971">
        <f t="shared" si="9"/>
        <v>1.3390584712147351</v>
      </c>
      <c r="X26" s="971">
        <f t="shared" si="9"/>
        <v>1.1772675246192315</v>
      </c>
      <c r="Y26" s="971">
        <f t="shared" si="9"/>
        <v>1.1704152967775643</v>
      </c>
    </row>
    <row r="27" spans="1:25">
      <c r="A27">
        <v>2050</v>
      </c>
      <c r="B27" s="93">
        <v>682481</v>
      </c>
      <c r="C27" s="93">
        <v>689765.45</v>
      </c>
      <c r="D27" s="93">
        <v>715837.21</v>
      </c>
      <c r="E27" s="93">
        <v>910826.18</v>
      </c>
      <c r="F27" s="93">
        <v>910719.69</v>
      </c>
      <c r="G27" s="93">
        <v>793945.2</v>
      </c>
      <c r="H27" s="93">
        <v>795691.82</v>
      </c>
      <c r="J27" s="93">
        <f t="shared" si="2"/>
        <v>0.682481</v>
      </c>
      <c r="K27" s="93">
        <f t="shared" si="3"/>
        <v>0.68976545</v>
      </c>
      <c r="L27" s="93">
        <f t="shared" si="4"/>
        <v>0.71583721</v>
      </c>
      <c r="M27" s="93">
        <f t="shared" si="5"/>
        <v>0.91082618000000004</v>
      </c>
      <c r="N27" s="93">
        <f t="shared" si="6"/>
        <v>0.91071968999999997</v>
      </c>
      <c r="O27" s="93">
        <f t="shared" si="7"/>
        <v>0.79394519999999991</v>
      </c>
      <c r="P27" s="93">
        <f t="shared" si="8"/>
        <v>0.79569181999999994</v>
      </c>
      <c r="R27">
        <v>2050</v>
      </c>
      <c r="S27" s="971">
        <f t="shared" si="9"/>
        <v>1</v>
      </c>
      <c r="T27" s="971">
        <f t="shared" si="9"/>
        <v>1.010673483950469</v>
      </c>
      <c r="U27" s="971">
        <f t="shared" si="9"/>
        <v>1.0488749283862846</v>
      </c>
      <c r="V27" s="971">
        <f t="shared" si="9"/>
        <v>1.3345810066507346</v>
      </c>
      <c r="W27" s="971">
        <f t="shared" si="9"/>
        <v>1.3344249730029114</v>
      </c>
      <c r="X27" s="971">
        <f t="shared" si="9"/>
        <v>1.1633220558521042</v>
      </c>
      <c r="Y27" s="971">
        <f t="shared" si="9"/>
        <v>1.1658812772809792</v>
      </c>
    </row>
    <row r="29" spans="1:25">
      <c r="S29" s="977"/>
      <c r="T29" s="978"/>
      <c r="U29" s="978"/>
      <c r="V29" s="979"/>
      <c r="W29" s="979"/>
      <c r="X29" s="980"/>
      <c r="Y29" s="980"/>
    </row>
    <row r="30" spans="1:25">
      <c r="S30" s="971"/>
      <c r="T30" s="971"/>
      <c r="U30" s="971"/>
      <c r="V30" s="971"/>
      <c r="W30" s="971"/>
      <c r="X30" s="971"/>
      <c r="Y30" s="971"/>
    </row>
    <row r="31" spans="1:25">
      <c r="S31" s="971"/>
      <c r="T31" s="971"/>
      <c r="U31" s="971"/>
      <c r="V31" s="971"/>
      <c r="W31" s="971"/>
      <c r="X31" s="971"/>
      <c r="Y31" s="971"/>
    </row>
    <row r="32" spans="1:25">
      <c r="S32" s="971"/>
      <c r="T32" s="971"/>
      <c r="U32" s="971"/>
      <c r="V32" s="971"/>
      <c r="W32" s="971"/>
      <c r="X32" s="971"/>
      <c r="Y32" s="971"/>
    </row>
    <row r="33" spans="19:25">
      <c r="S33" s="971"/>
      <c r="T33" s="971"/>
      <c r="U33" s="971"/>
      <c r="V33" s="971"/>
      <c r="W33" s="971"/>
      <c r="X33" s="971"/>
      <c r="Y33" s="971"/>
    </row>
    <row r="34" spans="19:25">
      <c r="S34" s="971"/>
      <c r="T34" s="971"/>
      <c r="U34" s="971"/>
      <c r="V34" s="971"/>
      <c r="W34" s="971"/>
      <c r="X34" s="971"/>
      <c r="Y34" s="971"/>
    </row>
    <row r="35" spans="19:25">
      <c r="S35" s="971"/>
      <c r="T35" s="971"/>
      <c r="U35" s="971"/>
      <c r="V35" s="971"/>
      <c r="W35" s="971"/>
      <c r="X35" s="971"/>
      <c r="Y35" s="971"/>
    </row>
    <row r="36" spans="19:25">
      <c r="S36" s="971"/>
      <c r="T36" s="971"/>
      <c r="U36" s="971"/>
      <c r="V36" s="971"/>
      <c r="W36" s="971"/>
      <c r="X36" s="971"/>
      <c r="Y36" s="971"/>
    </row>
    <row r="37" spans="19:25">
      <c r="S37" s="971"/>
      <c r="T37" s="971"/>
      <c r="U37" s="971"/>
      <c r="V37" s="971"/>
      <c r="W37" s="971"/>
      <c r="X37" s="971"/>
      <c r="Y37" s="971"/>
    </row>
    <row r="38" spans="19:25">
      <c r="S38" s="971"/>
      <c r="T38" s="971"/>
      <c r="U38" s="971"/>
      <c r="V38" s="971"/>
      <c r="W38" s="971"/>
      <c r="X38" s="971"/>
      <c r="Y38" s="971"/>
    </row>
    <row r="39" spans="19:25">
      <c r="S39" s="971"/>
      <c r="T39" s="971"/>
      <c r="U39" s="971"/>
      <c r="V39" s="971"/>
      <c r="W39" s="971"/>
      <c r="X39" s="971"/>
      <c r="Y39" s="971"/>
    </row>
    <row r="40" spans="19:25">
      <c r="S40" s="971"/>
      <c r="T40" s="971"/>
      <c r="U40" s="971"/>
      <c r="V40" s="971"/>
      <c r="W40" s="971"/>
      <c r="X40" s="971"/>
      <c r="Y40" s="971"/>
    </row>
    <row r="41" spans="19:25">
      <c r="S41" s="971"/>
      <c r="T41" s="971"/>
      <c r="U41" s="971"/>
      <c r="V41" s="971"/>
      <c r="W41" s="971"/>
      <c r="X41" s="971"/>
      <c r="Y41" s="971"/>
    </row>
    <row r="42" spans="19:25">
      <c r="S42" s="971"/>
      <c r="T42" s="971"/>
      <c r="U42" s="971"/>
      <c r="V42" s="971"/>
      <c r="W42" s="971"/>
      <c r="X42" s="971"/>
      <c r="Y42" s="971"/>
    </row>
    <row r="43" spans="19:25">
      <c r="S43" s="971"/>
      <c r="T43" s="971"/>
      <c r="U43" s="971"/>
      <c r="V43" s="971"/>
      <c r="W43" s="971"/>
      <c r="X43" s="971"/>
      <c r="Y43" s="971"/>
    </row>
    <row r="44" spans="19:25">
      <c r="S44" s="971"/>
      <c r="T44" s="971"/>
      <c r="U44" s="971"/>
      <c r="V44" s="971"/>
      <c r="W44" s="971"/>
      <c r="X44" s="971"/>
      <c r="Y44" s="971"/>
    </row>
    <row r="45" spans="19:25">
      <c r="S45" s="971"/>
      <c r="T45" s="971"/>
      <c r="U45" s="971"/>
      <c r="V45" s="971"/>
      <c r="W45" s="971"/>
      <c r="X45" s="971"/>
      <c r="Y45" s="971"/>
    </row>
    <row r="46" spans="19:25">
      <c r="S46" s="971"/>
      <c r="T46" s="971"/>
      <c r="U46" s="971"/>
      <c r="V46" s="971"/>
      <c r="W46" s="971"/>
      <c r="X46" s="971"/>
      <c r="Y46" s="971"/>
    </row>
    <row r="47" spans="19:25">
      <c r="S47" s="971"/>
      <c r="T47" s="971"/>
      <c r="U47" s="971"/>
      <c r="V47" s="971"/>
      <c r="W47" s="971"/>
      <c r="X47" s="971"/>
      <c r="Y47" s="971"/>
    </row>
    <row r="48" spans="19:25">
      <c r="S48" s="971"/>
      <c r="T48" s="971"/>
      <c r="U48" s="971"/>
      <c r="V48" s="971"/>
      <c r="W48" s="971"/>
      <c r="X48" s="971"/>
      <c r="Y48" s="971"/>
    </row>
    <row r="49" spans="19:25">
      <c r="S49" s="971"/>
      <c r="T49" s="971"/>
      <c r="U49" s="971"/>
      <c r="V49" s="971"/>
      <c r="W49" s="971"/>
      <c r="X49" s="971"/>
      <c r="Y49" s="971"/>
    </row>
    <row r="50" spans="19:25">
      <c r="S50" s="971"/>
      <c r="T50" s="971"/>
      <c r="U50" s="971"/>
      <c r="V50" s="971"/>
      <c r="W50" s="971"/>
      <c r="X50" s="971"/>
      <c r="Y50" s="971"/>
    </row>
    <row r="51" spans="19:25">
      <c r="S51" s="971"/>
      <c r="T51" s="971"/>
      <c r="U51" s="971"/>
      <c r="V51" s="971"/>
      <c r="W51" s="971"/>
      <c r="X51" s="971"/>
      <c r="Y51" s="971"/>
    </row>
    <row r="52" spans="19:25">
      <c r="S52" s="971"/>
      <c r="T52" s="971"/>
      <c r="U52" s="971"/>
      <c r="V52" s="971"/>
      <c r="W52" s="971"/>
      <c r="X52" s="971"/>
      <c r="Y52" s="971"/>
    </row>
    <row r="53" spans="19:25">
      <c r="S53" s="971"/>
      <c r="T53" s="971"/>
      <c r="U53" s="971"/>
      <c r="V53" s="971"/>
      <c r="W53" s="971"/>
      <c r="X53" s="971"/>
      <c r="Y53" s="971"/>
    </row>
    <row r="54" spans="19:25">
      <c r="S54" s="971"/>
      <c r="T54" s="971"/>
      <c r="U54" s="971"/>
      <c r="V54" s="971"/>
      <c r="W54" s="971"/>
      <c r="X54" s="971"/>
      <c r="Y54" s="971"/>
    </row>
    <row r="55" spans="19:25">
      <c r="S55" s="971"/>
      <c r="T55" s="971"/>
      <c r="U55" s="971"/>
      <c r="V55" s="971"/>
      <c r="W55" s="971"/>
      <c r="X55" s="971"/>
      <c r="Y55" s="971"/>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39997558519241921"/>
  </sheetPr>
  <dimension ref="A1:CM74"/>
  <sheetViews>
    <sheetView zoomScale="115" zoomScaleNormal="115" workbookViewId="0">
      <selection activeCell="R44" sqref="R44"/>
    </sheetView>
  </sheetViews>
  <sheetFormatPr defaultColWidth="20.453125" defaultRowHeight="14.5"/>
  <cols>
    <col min="1" max="1" width="20.54296875" customWidth="1"/>
    <col min="2" max="2" width="16.54296875" bestFit="1" customWidth="1"/>
    <col min="3" max="3" width="42" bestFit="1" customWidth="1"/>
    <col min="4" max="4" width="25.1796875" bestFit="1" customWidth="1"/>
    <col min="5" max="5" width="8.81640625" bestFit="1" customWidth="1"/>
    <col min="6" max="6" width="9.54296875" bestFit="1" customWidth="1"/>
    <col min="7" max="7" width="8.54296875" bestFit="1" customWidth="1"/>
    <col min="8" max="8" width="9.54296875" bestFit="1" customWidth="1"/>
    <col min="9" max="9" width="16.7265625" bestFit="1" customWidth="1"/>
    <col min="10" max="10" width="9.1796875" customWidth="1"/>
    <col min="11" max="11" width="8.54296875" bestFit="1" customWidth="1"/>
    <col min="12" max="12" width="9.1796875" bestFit="1" customWidth="1"/>
    <col min="13" max="14" width="9.54296875" bestFit="1" customWidth="1"/>
    <col min="15" max="15" width="8.54296875" bestFit="1" customWidth="1"/>
    <col min="16" max="16" width="9.1796875" bestFit="1" customWidth="1"/>
    <col min="17" max="17" width="9.54296875" bestFit="1" customWidth="1"/>
    <col min="18" max="18" width="9.1796875" bestFit="1" customWidth="1"/>
    <col min="19" max="19" width="8.54296875" bestFit="1" customWidth="1"/>
    <col min="20" max="20" width="9.1796875" bestFit="1" customWidth="1"/>
    <col min="21" max="21" width="8.54296875" bestFit="1" customWidth="1"/>
    <col min="22" max="22" width="9.1796875" bestFit="1" customWidth="1"/>
    <col min="23" max="23" width="8.54296875" bestFit="1" customWidth="1"/>
    <col min="24" max="24" width="9.54296875" bestFit="1" customWidth="1"/>
    <col min="25" max="25" width="8.54296875" bestFit="1" customWidth="1"/>
    <col min="26" max="26" width="9.1796875" bestFit="1" customWidth="1"/>
    <col min="27" max="27" width="8.54296875" bestFit="1" customWidth="1"/>
    <col min="28" max="28" width="9.1796875" bestFit="1" customWidth="1"/>
    <col min="29" max="30" width="9.54296875" bestFit="1" customWidth="1"/>
    <col min="31" max="31" width="8.54296875" bestFit="1" customWidth="1"/>
    <col min="32" max="32" width="9.54296875" bestFit="1" customWidth="1"/>
    <col min="33" max="33" width="8.54296875" bestFit="1" customWidth="1"/>
    <col min="34" max="34" width="9.1796875" bestFit="1" customWidth="1"/>
    <col min="35" max="35" width="8.54296875" bestFit="1" customWidth="1"/>
    <col min="36" max="36" width="9.1796875" bestFit="1" customWidth="1"/>
    <col min="37" max="37" width="8.54296875" bestFit="1" customWidth="1"/>
    <col min="38" max="38" width="9.1796875" bestFit="1" customWidth="1"/>
    <col min="39" max="39" width="8.54296875" bestFit="1" customWidth="1"/>
    <col min="40" max="40" width="9.1796875" bestFit="1" customWidth="1"/>
    <col min="41" max="42" width="9.54296875" bestFit="1" customWidth="1"/>
    <col min="43" max="43" width="8.54296875" bestFit="1" customWidth="1"/>
    <col min="44" max="44" width="9.54296875" bestFit="1" customWidth="1"/>
    <col min="45" max="45" width="8.54296875" bestFit="1" customWidth="1"/>
    <col min="46" max="46" width="9.54296875" bestFit="1" customWidth="1"/>
    <col min="47" max="47" width="8.54296875" bestFit="1" customWidth="1"/>
    <col min="48" max="48" width="9.1796875" bestFit="1" customWidth="1"/>
    <col min="49" max="49" width="9.54296875" bestFit="1" customWidth="1"/>
    <col min="50" max="50" width="9.1796875" bestFit="1" customWidth="1"/>
    <col min="51" max="52" width="9.54296875" bestFit="1" customWidth="1"/>
    <col min="53" max="53" width="8.54296875" bestFit="1" customWidth="1"/>
    <col min="54" max="54" width="9.1796875" bestFit="1" customWidth="1"/>
    <col min="55" max="55" width="9.54296875" bestFit="1" customWidth="1"/>
    <col min="56" max="56" width="9.1796875" bestFit="1" customWidth="1"/>
    <col min="57" max="57" width="9.54296875" bestFit="1" customWidth="1"/>
    <col min="58" max="58" width="9.1796875" bestFit="1" customWidth="1"/>
    <col min="59" max="59" width="8.54296875" bestFit="1" customWidth="1"/>
    <col min="60" max="60" width="9.54296875" bestFit="1" customWidth="1"/>
    <col min="61" max="61" width="8.54296875" bestFit="1" customWidth="1"/>
    <col min="62" max="62" width="9.1796875" bestFit="1" customWidth="1"/>
    <col min="63" max="63" width="9.54296875" bestFit="1" customWidth="1"/>
    <col min="64" max="64" width="9.1796875" bestFit="1" customWidth="1"/>
    <col min="65" max="69" width="9.54296875" bestFit="1" customWidth="1"/>
    <col min="70" max="70" width="9.1796875" bestFit="1" customWidth="1"/>
    <col min="71" max="71" width="9.54296875" bestFit="1" customWidth="1"/>
    <col min="72" max="72" width="9.1796875" bestFit="1" customWidth="1"/>
    <col min="73" max="73" width="9.54296875" bestFit="1" customWidth="1"/>
    <col min="74" max="74" width="8.54296875" bestFit="1" customWidth="1"/>
    <col min="75" max="75" width="9.54296875" bestFit="1" customWidth="1"/>
    <col min="76" max="76" width="8.54296875" bestFit="1" customWidth="1"/>
    <col min="77" max="77" width="9.54296875" bestFit="1" customWidth="1"/>
    <col min="78" max="78" width="8.54296875" bestFit="1" customWidth="1"/>
    <col min="79" max="79" width="9.54296875" bestFit="1" customWidth="1"/>
    <col min="80" max="80" width="8.54296875" bestFit="1" customWidth="1"/>
    <col min="81" max="81" width="9.54296875" bestFit="1" customWidth="1"/>
    <col min="82" max="82" width="9.1796875" bestFit="1" customWidth="1"/>
    <col min="83" max="83" width="8.54296875" bestFit="1" customWidth="1"/>
    <col min="84" max="84" width="9.1796875" bestFit="1" customWidth="1"/>
    <col min="85" max="85" width="8.54296875" bestFit="1" customWidth="1"/>
    <col min="86" max="86" width="9.1796875" bestFit="1" customWidth="1"/>
    <col min="87" max="87" width="8.54296875" bestFit="1" customWidth="1"/>
    <col min="88" max="88" width="9.1796875" bestFit="1" customWidth="1"/>
    <col min="89" max="89" width="9.54296875" bestFit="1" customWidth="1"/>
    <col min="90" max="90" width="9.1796875" bestFit="1" customWidth="1"/>
    <col min="91" max="91" width="9.54296875" bestFit="1" customWidth="1"/>
  </cols>
  <sheetData>
    <row r="1" spans="1:91">
      <c r="D1" s="12" t="s">
        <v>243</v>
      </c>
    </row>
    <row r="2" spans="1:91">
      <c r="C2" t="s">
        <v>183</v>
      </c>
      <c r="D2" s="9">
        <v>54981</v>
      </c>
    </row>
    <row r="3" spans="1:91">
      <c r="C3" t="s">
        <v>184</v>
      </c>
      <c r="D3" s="9">
        <v>30300</v>
      </c>
    </row>
    <row r="6" spans="1:91">
      <c r="A6" s="14" t="s">
        <v>194</v>
      </c>
    </row>
    <row r="7" spans="1:91">
      <c r="A7" s="11" t="s">
        <v>195</v>
      </c>
    </row>
    <row r="8" spans="1:91" s="57" customFormat="1" ht="304">
      <c r="B8" s="56" t="str">
        <f>[2]Hydrogen!B303</f>
        <v>Central Plants: NG to Gaseous Hydrogen with CCS</v>
      </c>
      <c r="C8" s="57">
        <f>[2]Hydrogen!C303</f>
        <v>0</v>
      </c>
      <c r="D8" s="56" t="str">
        <f>[2]Hydrogen!D303</f>
        <v>Central Plants: PEM electrolysis to Gaseous Hydrogen via Solar</v>
      </c>
      <c r="E8" s="57">
        <f>[2]Hydrogen!E303</f>
        <v>0</v>
      </c>
      <c r="F8" s="56" t="str">
        <f>[2]Hydrogen!F303</f>
        <v>Central Plants: Nuclear Energy to Gaseous Hydrogen (Thermo-Chemical Cracking of Water)</v>
      </c>
      <c r="G8" s="57">
        <f>[2]Hydrogen!G303</f>
        <v>0</v>
      </c>
      <c r="H8" s="57" t="str">
        <f>[2]Hydrogen!H303</f>
        <v>Central Plants: Electrolysis (HTGR) to Gaseous Hydrogen</v>
      </c>
      <c r="I8" s="57">
        <f>[2]Hydrogen!I303</f>
        <v>0</v>
      </c>
      <c r="J8" s="57" t="str">
        <f>[2]Hydrogen!J303</f>
        <v>Central Plants: Coal to Gaseous Hydrogen with CCS</v>
      </c>
      <c r="K8" s="57">
        <f>[2]Hydrogen!K303</f>
        <v>0</v>
      </c>
      <c r="L8" s="57" t="str">
        <f>[2]Hydrogen!L303</f>
        <v>Central Plants: Biomass to Gaseous Hydrogen</v>
      </c>
      <c r="M8" s="57">
        <f>[2]Hydrogen!M303</f>
        <v>0</v>
      </c>
      <c r="N8" s="57" t="str">
        <f>[2]Hydrogen!N303</f>
        <v>Central Plants: High Temperature Eletrolysis with SOEC to Gaseous Hydrogen</v>
      </c>
      <c r="O8" s="57">
        <f>[2]Hydrogen!O303</f>
        <v>0</v>
      </c>
      <c r="P8" s="57" t="str">
        <f>[2]Hydrogen!P303</f>
        <v>Central Plants: Integrated Fermentation to Gaseous Hydrogen</v>
      </c>
      <c r="Q8" s="57">
        <f>[2]Hydrogen!Q303</f>
        <v>0</v>
      </c>
      <c r="R8" s="57" t="str">
        <f>[2]Hydrogen!R303</f>
        <v>Central Plants: Coke Oven Gas to Gaseous Hydrogen</v>
      </c>
      <c r="S8" s="57">
        <f>[2]Hydrogen!S303</f>
        <v>0</v>
      </c>
      <c r="T8" s="57" t="str">
        <f>[2]Hydrogen!T303</f>
        <v>Central Plants: Pet Coke  to Gaseous Hydrogen</v>
      </c>
      <c r="U8" s="57">
        <f>[2]Hydrogen!U303</f>
        <v>0</v>
      </c>
      <c r="V8" s="57" t="str">
        <f>[2]Hydrogen!V303</f>
        <v>Central Plants: Byproduction of Gaseous H2 from Chlorine plants</v>
      </c>
      <c r="W8" s="57">
        <f>[2]Hydrogen!W303</f>
        <v>0</v>
      </c>
      <c r="X8" s="57" t="str">
        <f>[2]Hydrogen!X303</f>
        <v>Central Plants: By-product Gaseous H2 from NGL Steam Cracker Plants</v>
      </c>
      <c r="Y8" s="57">
        <f>[2]Hydrogen!Y303</f>
        <v>0</v>
      </c>
      <c r="Z8" s="57" t="str">
        <f>[2]Hydrogen!Z303</f>
        <v>Refueling Stations: NG or FG to Gaseous Hydrogen</v>
      </c>
      <c r="AA8" s="57">
        <f>[2]Hydrogen!AA303</f>
        <v>0</v>
      </c>
      <c r="AB8" s="57" t="str">
        <f>[2]Hydrogen!AB303</f>
        <v>Refueling Stations: Electricity to Gaseous Hydrogen</v>
      </c>
      <c r="AC8" s="57">
        <f>[2]Hydrogen!AC303</f>
        <v>0</v>
      </c>
      <c r="AD8" s="57" t="str">
        <f>[2]Hydrogen!AD303</f>
        <v>Refueling Stations: EtOH to Gaseous Hydrogen</v>
      </c>
      <c r="AE8" s="57">
        <f>[2]Hydrogen!AE303</f>
        <v>0</v>
      </c>
      <c r="AF8" s="57" t="str">
        <f>[2]Hydrogen!AF303</f>
        <v>Biomass-derived Liquid Reforming to Gaseous Hydrogen</v>
      </c>
      <c r="AG8" s="57">
        <f>[2]Hydrogen!AG303</f>
        <v>0</v>
      </c>
      <c r="AH8" s="57" t="str">
        <f>[2]Hydrogen!AH303</f>
        <v>Refueling Stations: MeOH to Gaseous Hydrogen</v>
      </c>
      <c r="AI8" s="57">
        <f>[2]Hydrogen!AI303</f>
        <v>0</v>
      </c>
      <c r="AJ8" s="57" t="str">
        <f>[2]Hydrogen!AJ303</f>
        <v>Gaseous Hydrogen: Combined</v>
      </c>
      <c r="AK8" s="57">
        <f>[2]Hydrogen!AK303</f>
        <v>0</v>
      </c>
      <c r="AL8" s="57" t="str">
        <f>[2]Hydrogen!AL303</f>
        <v>Gaseous Hydrogen: Combined (for MHDVs)</v>
      </c>
      <c r="AM8" s="57">
        <f>[2]Hydrogen!AM303</f>
        <v>0</v>
      </c>
      <c r="AN8" s="57" t="str">
        <f>[2]Hydrogen!AN303</f>
        <v xml:space="preserve">Central Plants: NG or FG to Liquid Hydrogen </v>
      </c>
      <c r="AO8" s="57">
        <f>[2]Hydrogen!AO303</f>
        <v>0</v>
      </c>
      <c r="AP8" s="57" t="str">
        <f>[2]Hydrogen!AP303</f>
        <v>Central Plants: PEM Electrolysis to Liquid Hydrogen</v>
      </c>
      <c r="AQ8" s="57">
        <f>[2]Hydrogen!AQ303</f>
        <v>0</v>
      </c>
      <c r="AR8" s="57" t="str">
        <f>[2]Hydrogen!AR303</f>
        <v>Central Plants: Nuclear Energy to Liquid Hydrogen (Thermo-Chemical Cracking of Water)</v>
      </c>
      <c r="AS8" s="57">
        <f>[2]Hydrogen!AS303</f>
        <v>0</v>
      </c>
      <c r="AT8" s="57" t="str">
        <f>[2]Hydrogen!AT303</f>
        <v>Central Plants: Electrolysis (HTGR) to Liquid Hydrogen</v>
      </c>
      <c r="AU8" s="57">
        <f>[2]Hydrogen!AU303</f>
        <v>0</v>
      </c>
      <c r="AV8" s="57" t="str">
        <f>[2]Hydrogen!AV303</f>
        <v>Central Plants: Coal to Liquid Hydrogen</v>
      </c>
      <c r="AW8" s="57">
        <f>[2]Hydrogen!AW303</f>
        <v>0</v>
      </c>
      <c r="AX8" s="57" t="str">
        <f>[2]Hydrogen!AX303</f>
        <v>Central Plants: Biomass to Liquid Hydrogen</v>
      </c>
      <c r="AY8" s="57">
        <f>[2]Hydrogen!AY303</f>
        <v>0</v>
      </c>
      <c r="AZ8" s="57" t="str">
        <f>[2]Hydrogen!AZ303</f>
        <v>Central Plants: High Temperature Eletrolysis with SOEC to Liquid Hydrogen</v>
      </c>
      <c r="BA8" s="57">
        <f>[2]Hydrogen!BA303</f>
        <v>0</v>
      </c>
      <c r="BB8" s="57" t="str">
        <f>[2]Hydrogen!BB303</f>
        <v>Central Plants: Integrated Fermentation to Liquid Hydrogen</v>
      </c>
      <c r="BC8" s="57">
        <f>[2]Hydrogen!BC303</f>
        <v>0</v>
      </c>
      <c r="BD8" s="57" t="str">
        <f>[2]Hydrogen!BD303</f>
        <v>Central Plants: Coke Oven Gas to Liquid Hydrogen</v>
      </c>
      <c r="BE8" s="57">
        <f>[2]Hydrogen!BE303</f>
        <v>0</v>
      </c>
      <c r="BF8" s="57" t="str">
        <f>[2]Hydrogen!BF303</f>
        <v>Central Plants: Byproduction of Liquid H2 from Chlorine plants</v>
      </c>
      <c r="BG8" s="57">
        <f>[2]Hydrogen!BG303</f>
        <v>0</v>
      </c>
      <c r="BH8" s="57" t="str">
        <f>[2]Hydrogen!BH303</f>
        <v>Central Plants: By-product Liquid H2 from NGL Steam Cracker Plants</v>
      </c>
      <c r="BI8" s="57">
        <f>[2]Hydrogen!BI303</f>
        <v>0</v>
      </c>
      <c r="BJ8" s="57" t="str">
        <f>[2]Hydrogen!BJ303</f>
        <v>Refueling Stations: NG or FG to Liquid Hydrogen</v>
      </c>
      <c r="BK8" s="57">
        <f>[2]Hydrogen!BK303</f>
        <v>0</v>
      </c>
      <c r="BL8" s="57" t="str">
        <f>[2]Hydrogen!BL303</f>
        <v>Refueling Stations: Electricity to Liquid Hydrogen</v>
      </c>
      <c r="BM8" s="57">
        <f>[2]Hydrogen!BM303</f>
        <v>0</v>
      </c>
      <c r="BN8" s="57" t="str">
        <f>[2]Hydrogen!BN303</f>
        <v>Refueling Stations: EtOH to Liquid Hydrogen</v>
      </c>
      <c r="BO8" s="57">
        <f>[2]Hydrogen!BO303</f>
        <v>0</v>
      </c>
      <c r="BP8" s="57" t="str">
        <f>[2]Hydrogen!BP303</f>
        <v>Biomass-derived Liquid Reforming to Liquid Hydrogen</v>
      </c>
      <c r="BQ8" s="57">
        <f>[2]Hydrogen!BQ303</f>
        <v>0</v>
      </c>
      <c r="BR8" s="57" t="str">
        <f>[2]Hydrogen!BR303</f>
        <v>Refueling Stations: MeOH to Liquid Hydrogen</v>
      </c>
      <c r="BS8" s="57">
        <f>[2]Hydrogen!BS303</f>
        <v>0</v>
      </c>
      <c r="BT8" s="57" t="str">
        <f>[2]Hydrogen!BT303</f>
        <v>Liquid Hydrogen: Combined</v>
      </c>
      <c r="BU8" s="57">
        <f>[2]Hydrogen!BU303</f>
        <v>0</v>
      </c>
      <c r="BV8" s="57" t="str">
        <f>[2]Hydrogen!BV303</f>
        <v>G. Hydrogen for Use in Refineries</v>
      </c>
      <c r="BW8" s="57">
        <f>[2]Hydrogen!BW303</f>
        <v>0</v>
      </c>
      <c r="BX8" s="57" t="str">
        <f>[2]Hydrogen!BX303</f>
        <v>G. Hydrogen for Use in Renewable Diesel Production</v>
      </c>
      <c r="BY8" s="57">
        <f>[2]Hydrogen!BY303</f>
        <v>0</v>
      </c>
      <c r="BZ8" s="57" t="str">
        <f>[2]Hydrogen!BZ303</f>
        <v>G. Hydrogen for Use in Pyrolysis Oil Upgrading</v>
      </c>
      <c r="CA8" s="57">
        <f>[2]Hydrogen!CA303</f>
        <v>0</v>
      </c>
      <c r="CB8" s="57" t="str">
        <f>[2]Hydrogen!CB303</f>
        <v>G. Hydrogen for Process Fuels</v>
      </c>
      <c r="CC8" s="57">
        <f>[2]Hydrogen!CC303</f>
        <v>0</v>
      </c>
      <c r="CD8" s="57" t="str">
        <f>[2]Hydrogen!CD303</f>
        <v>SMR Gaseous H2 for Industries</v>
      </c>
      <c r="CE8" s="57">
        <f>[2]Hydrogen!CE303</f>
        <v>0</v>
      </c>
      <c r="CF8" s="57" t="str">
        <f>[2]Hydrogen!CF303</f>
        <v>Central Plants: RNG to Gaseous H2</v>
      </c>
      <c r="CG8" s="57">
        <f>[2]Hydrogen!CG303</f>
        <v>0</v>
      </c>
      <c r="CH8" s="57" t="str">
        <f>[2]Hydrogen!CH303</f>
        <v>Refueling Stations: RNG to Gaseous H2</v>
      </c>
      <c r="CI8" s="57">
        <f>[2]Hydrogen!CI303</f>
        <v>0</v>
      </c>
      <c r="CJ8" s="57" t="str">
        <f>[2]Hydrogen!CJ303</f>
        <v>Central Plants: NG ATR with CCS to Gaseous Hydrogen</v>
      </c>
      <c r="CK8" s="57">
        <f>[2]Hydrogen!CK303</f>
        <v>0</v>
      </c>
      <c r="CL8" s="57" t="str">
        <f>[2]Hydrogen!CL303</f>
        <v>Central Plants: RNG ATR with CCS to Gaseous Hydrogen</v>
      </c>
      <c r="CM8" s="57">
        <f>[2]Hydrogen!CM303</f>
        <v>0</v>
      </c>
    </row>
    <row r="9" spans="1:91">
      <c r="B9" s="3" t="str">
        <f>[2]Hydrogen!B304</f>
        <v>Feedstock</v>
      </c>
      <c r="C9" s="3" t="str">
        <f>[2]Hydrogen!C304</f>
        <v>Fuel</v>
      </c>
      <c r="D9" s="3" t="str">
        <f>[2]Hydrogen!D304</f>
        <v>Feedstock</v>
      </c>
      <c r="E9" s="3" t="str">
        <f>[2]Hydrogen!E304</f>
        <v>Fuel</v>
      </c>
      <c r="F9" s="3" t="str">
        <f>[2]Hydrogen!F304</f>
        <v>Feedstock</v>
      </c>
      <c r="G9" s="3" t="str">
        <f>[2]Hydrogen!G304</f>
        <v>Fuel</v>
      </c>
      <c r="H9" s="3" t="str">
        <f>[2]Hydrogen!H304</f>
        <v>Feedstock</v>
      </c>
      <c r="I9" s="3" t="str">
        <f>[2]Hydrogen!I304</f>
        <v>Fuel</v>
      </c>
      <c r="J9" s="3" t="str">
        <f>[2]Hydrogen!J304</f>
        <v>Feedstock</v>
      </c>
      <c r="K9" s="3" t="str">
        <f>[2]Hydrogen!K304</f>
        <v>Fuel</v>
      </c>
      <c r="L9" s="3" t="str">
        <f>[2]Hydrogen!L304</f>
        <v>Feedstock</v>
      </c>
      <c r="M9" s="3" t="str">
        <f>[2]Hydrogen!M304</f>
        <v>Fuel</v>
      </c>
      <c r="N9" s="3" t="str">
        <f>[2]Hydrogen!N304</f>
        <v>Feedstock</v>
      </c>
      <c r="O9" s="3" t="str">
        <f>[2]Hydrogen!O304</f>
        <v>Fuel</v>
      </c>
      <c r="P9" s="3" t="str">
        <f>[2]Hydrogen!P304</f>
        <v>Feedstock</v>
      </c>
      <c r="Q9" s="3" t="str">
        <f>[2]Hydrogen!Q304</f>
        <v>Fuel</v>
      </c>
      <c r="R9" s="3" t="str">
        <f>[2]Hydrogen!R304</f>
        <v>Feedstock</v>
      </c>
      <c r="S9" s="3" t="str">
        <f>[2]Hydrogen!S304</f>
        <v>Fuel</v>
      </c>
      <c r="T9" s="3" t="str">
        <f>[2]Hydrogen!T304</f>
        <v>Feedstock</v>
      </c>
      <c r="U9" s="3" t="str">
        <f>[2]Hydrogen!U304</f>
        <v>Fuel</v>
      </c>
      <c r="V9" s="3" t="str">
        <f>[2]Hydrogen!V304</f>
        <v>Feedstock</v>
      </c>
      <c r="W9" s="3" t="str">
        <f>[2]Hydrogen!W304</f>
        <v>Fuel</v>
      </c>
      <c r="X9" s="3" t="str">
        <f>[2]Hydrogen!X304</f>
        <v>Feedstock</v>
      </c>
      <c r="Y9" s="3" t="str">
        <f>[2]Hydrogen!Y304</f>
        <v>Fuel</v>
      </c>
      <c r="Z9" s="3" t="str">
        <f>[2]Hydrogen!Z304</f>
        <v>Feedstock</v>
      </c>
      <c r="AA9" s="3" t="str">
        <f>[2]Hydrogen!AA304</f>
        <v>Fuel</v>
      </c>
      <c r="AB9" s="3" t="str">
        <f>[2]Hydrogen!AB304</f>
        <v>Feedstock</v>
      </c>
      <c r="AC9" s="3" t="str">
        <f>[2]Hydrogen!AC304</f>
        <v>Fuel</v>
      </c>
      <c r="AD9" s="3" t="str">
        <f>[2]Hydrogen!AD304</f>
        <v>Feedstock</v>
      </c>
      <c r="AE9" s="3" t="str">
        <f>[2]Hydrogen!AE304</f>
        <v>Fuel</v>
      </c>
      <c r="AF9" s="3" t="str">
        <f>[2]Hydrogen!AF304</f>
        <v>Feedstock</v>
      </c>
      <c r="AG9" s="3" t="str">
        <f>[2]Hydrogen!AG304</f>
        <v>Fuel</v>
      </c>
      <c r="AH9" s="3" t="str">
        <f>[2]Hydrogen!AH304</f>
        <v>Feedstock</v>
      </c>
      <c r="AI9" s="3" t="str">
        <f>[2]Hydrogen!AI304</f>
        <v>Fuel</v>
      </c>
      <c r="AJ9" s="3" t="str">
        <f>[2]Hydrogen!AJ304</f>
        <v>Feedstock</v>
      </c>
      <c r="AK9" s="3" t="str">
        <f>[2]Hydrogen!AK304</f>
        <v>Fuel</v>
      </c>
      <c r="AL9" s="3" t="str">
        <f>[2]Hydrogen!AL304</f>
        <v>Feedstock</v>
      </c>
      <c r="AM9" s="3" t="str">
        <f>[2]Hydrogen!AM304</f>
        <v>Fuel</v>
      </c>
      <c r="AN9" s="3" t="str">
        <f>[2]Hydrogen!AN304</f>
        <v>Feedstock</v>
      </c>
      <c r="AO9" s="3" t="str">
        <f>[2]Hydrogen!AO304</f>
        <v>Fuel</v>
      </c>
      <c r="AP9" s="3" t="str">
        <f>[2]Hydrogen!AP304</f>
        <v>Feedstock</v>
      </c>
      <c r="AQ9" s="3" t="str">
        <f>[2]Hydrogen!AQ304</f>
        <v>Fuel</v>
      </c>
      <c r="AR9" s="3" t="str">
        <f>[2]Hydrogen!AR304</f>
        <v>Feedstock</v>
      </c>
      <c r="AS9" s="3" t="str">
        <f>[2]Hydrogen!AS304</f>
        <v>Fuel</v>
      </c>
      <c r="AT9" s="3" t="str">
        <f>[2]Hydrogen!AT304</f>
        <v>Feedstock</v>
      </c>
      <c r="AU9" s="3" t="str">
        <f>[2]Hydrogen!AU304</f>
        <v>Fuel</v>
      </c>
      <c r="AV9" s="3" t="str">
        <f>[2]Hydrogen!AV304</f>
        <v>Feedstock</v>
      </c>
      <c r="AW9" s="3" t="str">
        <f>[2]Hydrogen!AW304</f>
        <v>Fuel</v>
      </c>
      <c r="AX9" s="3" t="str">
        <f>[2]Hydrogen!AX304</f>
        <v>Feedstock</v>
      </c>
      <c r="AY9" s="3" t="str">
        <f>[2]Hydrogen!AY304</f>
        <v>Fuel</v>
      </c>
      <c r="AZ9" s="3" t="str">
        <f>[2]Hydrogen!AZ304</f>
        <v>Feedstock</v>
      </c>
      <c r="BA9" s="3" t="str">
        <f>[2]Hydrogen!BA304</f>
        <v>Fuel</v>
      </c>
      <c r="BB9" s="3" t="str">
        <f>[2]Hydrogen!BB304</f>
        <v>Feedstock</v>
      </c>
      <c r="BC9" s="3" t="str">
        <f>[2]Hydrogen!BC304</f>
        <v>Fuel</v>
      </c>
      <c r="BD9" s="3" t="str">
        <f>[2]Hydrogen!BD304</f>
        <v>Feedstock</v>
      </c>
      <c r="BE9" s="3" t="str">
        <f>[2]Hydrogen!BE304</f>
        <v>Fuel</v>
      </c>
      <c r="BF9" s="3" t="str">
        <f>[2]Hydrogen!BF304</f>
        <v>Feedstock</v>
      </c>
      <c r="BG9" s="3" t="str">
        <f>[2]Hydrogen!BG304</f>
        <v>Fuel</v>
      </c>
      <c r="BH9" s="3" t="str">
        <f>[2]Hydrogen!BH304</f>
        <v>Feedstock</v>
      </c>
      <c r="BI9" s="3" t="str">
        <f>[2]Hydrogen!BI304</f>
        <v>Fuel</v>
      </c>
      <c r="BJ9" s="3" t="str">
        <f>[2]Hydrogen!BJ304</f>
        <v>Feedstock</v>
      </c>
      <c r="BK9" s="3" t="str">
        <f>[2]Hydrogen!BK304</f>
        <v>Fuel</v>
      </c>
      <c r="BL9" s="3" t="str">
        <f>[2]Hydrogen!BL304</f>
        <v>Feedstock</v>
      </c>
      <c r="BM9" s="3" t="str">
        <f>[2]Hydrogen!BM304</f>
        <v>Fuel</v>
      </c>
      <c r="BN9" s="3" t="str">
        <f>[2]Hydrogen!BN304</f>
        <v>Feedstock</v>
      </c>
      <c r="BO9" s="3" t="str">
        <f>[2]Hydrogen!BO304</f>
        <v>Fuel</v>
      </c>
      <c r="BP9" s="3" t="str">
        <f>[2]Hydrogen!BP304</f>
        <v>Feedstock</v>
      </c>
      <c r="BQ9" s="3" t="str">
        <f>[2]Hydrogen!BQ304</f>
        <v>Fuel</v>
      </c>
      <c r="BR9" s="3" t="str">
        <f>[2]Hydrogen!BR304</f>
        <v>Feedstock</v>
      </c>
      <c r="BS9" s="3" t="str">
        <f>[2]Hydrogen!BS304</f>
        <v>Fuel</v>
      </c>
      <c r="BT9" s="3" t="str">
        <f>[2]Hydrogen!BT304</f>
        <v>Feedstock</v>
      </c>
      <c r="BU9" s="3" t="str">
        <f>[2]Hydrogen!BU304</f>
        <v>Fuel</v>
      </c>
      <c r="BV9" s="3" t="str">
        <f>[2]Hydrogen!BV304</f>
        <v>WTP</v>
      </c>
      <c r="BW9" s="3" t="str">
        <f>[2]Hydrogen!BW304</f>
        <v>PTW</v>
      </c>
      <c r="BX9" s="3" t="str">
        <f>[2]Hydrogen!BX304</f>
        <v>WTP</v>
      </c>
      <c r="BY9" s="3" t="str">
        <f>[2]Hydrogen!BY304</f>
        <v>PTW</v>
      </c>
      <c r="BZ9" s="3" t="str">
        <f>[2]Hydrogen!BZ304</f>
        <v>WTP</v>
      </c>
      <c r="CA9" s="3" t="str">
        <f>[2]Hydrogen!CA304</f>
        <v>PTW</v>
      </c>
      <c r="CB9" s="3" t="str">
        <f>[2]Hydrogen!CB304</f>
        <v>WTP</v>
      </c>
      <c r="CC9" s="3" t="str">
        <f>[2]Hydrogen!CC304</f>
        <v>PTW</v>
      </c>
      <c r="CD9" s="3" t="str">
        <f>[2]Hydrogen!CD304</f>
        <v>Feedstock</v>
      </c>
      <c r="CE9" s="3" t="str">
        <f>[2]Hydrogen!CE304</f>
        <v>Fuel</v>
      </c>
      <c r="CF9" s="3" t="str">
        <f>[2]Hydrogen!CF304</f>
        <v>Feedstock</v>
      </c>
      <c r="CG9" s="3" t="str">
        <f>[2]Hydrogen!CG304</f>
        <v>Fuel</v>
      </c>
      <c r="CH9" s="3" t="str">
        <f>[2]Hydrogen!CH304</f>
        <v>Feedstock</v>
      </c>
      <c r="CI9" s="3" t="str">
        <f>[2]Hydrogen!CI304</f>
        <v>Fuel</v>
      </c>
      <c r="CJ9" s="3" t="str">
        <f>[2]Hydrogen!CJ304</f>
        <v>Feedstock</v>
      </c>
      <c r="CK9" s="3" t="str">
        <f>[2]Hydrogen!CK304</f>
        <v>Fuel</v>
      </c>
      <c r="CL9" s="3" t="str">
        <f>[2]Hydrogen!CL304</f>
        <v>Feedstock</v>
      </c>
      <c r="CM9" s="3" t="str">
        <f>[2]Hydrogen!CM304</f>
        <v>Fuel</v>
      </c>
    </row>
    <row r="10" spans="1:91">
      <c r="A10" t="s">
        <v>196</v>
      </c>
      <c r="B10" s="45">
        <f>[2]Hydrogen!B305</f>
        <v>0</v>
      </c>
      <c r="C10" s="45">
        <f>[2]Hydrogen!C305</f>
        <v>0.9877134657839125</v>
      </c>
      <c r="D10" s="45">
        <f>[2]Hydrogen!D305</f>
        <v>0</v>
      </c>
      <c r="E10" s="45">
        <f>[2]Hydrogen!E305</f>
        <v>1</v>
      </c>
      <c r="F10" s="45">
        <f>[2]Hydrogen!F305</f>
        <v>0</v>
      </c>
      <c r="G10" s="45">
        <f>[2]Hydrogen!G305</f>
        <v>1</v>
      </c>
      <c r="H10" s="45">
        <f>[2]Hydrogen!H305</f>
        <v>0</v>
      </c>
      <c r="I10" s="45">
        <f>[2]Hydrogen!I305</f>
        <v>1</v>
      </c>
      <c r="J10" s="45">
        <f>[2]Hydrogen!J305</f>
        <v>0</v>
      </c>
      <c r="K10" s="45">
        <f>[2]Hydrogen!K305</f>
        <v>1</v>
      </c>
      <c r="L10" s="45">
        <f>[2]Hydrogen!L305</f>
        <v>0</v>
      </c>
      <c r="M10" s="45">
        <f>[2]Hydrogen!M305</f>
        <v>1</v>
      </c>
      <c r="N10" s="45">
        <f>[2]Hydrogen!N305</f>
        <v>0</v>
      </c>
      <c r="O10" s="45">
        <f>[2]Hydrogen!O305</f>
        <v>1</v>
      </c>
      <c r="P10" s="45">
        <f>[2]Hydrogen!P305</f>
        <v>0</v>
      </c>
      <c r="Q10" s="45">
        <f>[2]Hydrogen!Q305</f>
        <v>1</v>
      </c>
      <c r="R10" s="45">
        <f>[2]Hydrogen!R305</f>
        <v>0</v>
      </c>
      <c r="S10" s="45">
        <f>[2]Hydrogen!S305</f>
        <v>1</v>
      </c>
      <c r="T10" s="45">
        <f>[2]Hydrogen!T305</f>
        <v>0</v>
      </c>
      <c r="U10" s="45">
        <f>[2]Hydrogen!U305</f>
        <v>1</v>
      </c>
      <c r="V10" s="45">
        <f>[2]Hydrogen!V305</f>
        <v>0</v>
      </c>
      <c r="W10" s="45">
        <f>[2]Hydrogen!W305</f>
        <v>1</v>
      </c>
      <c r="X10" s="45">
        <f>[2]Hydrogen!X305</f>
        <v>0</v>
      </c>
      <c r="Y10" s="45">
        <f>[2]Hydrogen!Y305</f>
        <v>1</v>
      </c>
      <c r="Z10" s="45">
        <f>[2]Hydrogen!Z305</f>
        <v>0</v>
      </c>
      <c r="AA10" s="45">
        <f>[2]Hydrogen!AA305</f>
        <v>1</v>
      </c>
      <c r="AB10" s="45">
        <f>[2]Hydrogen!AB305</f>
        <v>0</v>
      </c>
      <c r="AC10" s="45">
        <f>[2]Hydrogen!AC305</f>
        <v>1</v>
      </c>
      <c r="AD10" s="45">
        <f>[2]Hydrogen!AD305</f>
        <v>0</v>
      </c>
      <c r="AE10" s="45">
        <f>[2]Hydrogen!AE305</f>
        <v>1</v>
      </c>
      <c r="AF10" s="45">
        <f>[2]Hydrogen!AF305</f>
        <v>0</v>
      </c>
      <c r="AG10" s="45">
        <f>[2]Hydrogen!AG305</f>
        <v>1</v>
      </c>
      <c r="AH10" s="45">
        <f>[2]Hydrogen!AH305</f>
        <v>0</v>
      </c>
      <c r="AI10" s="45">
        <f>[2]Hydrogen!AI305</f>
        <v>1</v>
      </c>
      <c r="AJ10" s="45">
        <f>[2]Hydrogen!AJ305</f>
        <v>0</v>
      </c>
      <c r="AK10" s="45">
        <f>[2]Hydrogen!AK305</f>
        <v>1</v>
      </c>
      <c r="AL10" s="45">
        <f>[2]Hydrogen!AL305</f>
        <v>0</v>
      </c>
      <c r="AM10" s="45">
        <f>[2]Hydrogen!AM305</f>
        <v>1</v>
      </c>
      <c r="AN10" s="45">
        <f>[2]Hydrogen!AN305</f>
        <v>0</v>
      </c>
      <c r="AO10" s="45">
        <f>[2]Hydrogen!AO305</f>
        <v>1.0670673831669069</v>
      </c>
      <c r="AP10" s="45">
        <f>[2]Hydrogen!AP305</f>
        <v>0</v>
      </c>
      <c r="AQ10" s="45">
        <f>[2]Hydrogen!AQ305</f>
        <v>1.080341030199496</v>
      </c>
      <c r="AR10" s="45">
        <f>[2]Hydrogen!AR305</f>
        <v>0</v>
      </c>
      <c r="AS10" s="45">
        <f>[2]Hydrogen!AS305</f>
        <v>1.080341030199496</v>
      </c>
      <c r="AT10" s="45">
        <f>[2]Hydrogen!AT305</f>
        <v>0</v>
      </c>
      <c r="AU10" s="45">
        <f>[2]Hydrogen!AU305</f>
        <v>1.080341030199496</v>
      </c>
      <c r="AV10" s="45">
        <f>[2]Hydrogen!AV305</f>
        <v>0</v>
      </c>
      <c r="AW10" s="45">
        <f>[2]Hydrogen!AW305</f>
        <v>1.080341030199496</v>
      </c>
      <c r="AX10" s="45">
        <f>[2]Hydrogen!AX305</f>
        <v>0</v>
      </c>
      <c r="AY10" s="45">
        <f>[2]Hydrogen!AY305</f>
        <v>1.080341030199496</v>
      </c>
      <c r="AZ10" s="45">
        <f>[2]Hydrogen!AZ305</f>
        <v>0</v>
      </c>
      <c r="BA10" s="45">
        <f>[2]Hydrogen!BA305</f>
        <v>1.080341030199496</v>
      </c>
      <c r="BB10" s="45">
        <f>[2]Hydrogen!BB305</f>
        <v>0</v>
      </c>
      <c r="BC10" s="45">
        <f>[2]Hydrogen!BC305</f>
        <v>1.080341030199496</v>
      </c>
      <c r="BD10" s="45">
        <f>[2]Hydrogen!BD305</f>
        <v>0</v>
      </c>
      <c r="BE10" s="45">
        <f>[2]Hydrogen!BE305</f>
        <v>1.080341030199496</v>
      </c>
      <c r="BF10" s="45">
        <f>[2]Hydrogen!BF305</f>
        <v>0</v>
      </c>
      <c r="BG10" s="45">
        <f>[2]Hydrogen!BG305</f>
        <v>1.080341030199496</v>
      </c>
      <c r="BH10" s="45">
        <f>[2]Hydrogen!BH305</f>
        <v>0</v>
      </c>
      <c r="BI10" s="45">
        <f>[2]Hydrogen!BI305</f>
        <v>1.0803366698495154</v>
      </c>
      <c r="BJ10" s="45">
        <f>[2]Hydrogen!BJ305</f>
        <v>0</v>
      </c>
      <c r="BK10" s="45">
        <f>[2]Hydrogen!BK305</f>
        <v>1.001816347124117</v>
      </c>
      <c r="BL10" s="45">
        <f>[2]Hydrogen!BL305</f>
        <v>0</v>
      </c>
      <c r="BM10" s="45">
        <f>[2]Hydrogen!BM305</f>
        <v>1.0222245103894232</v>
      </c>
      <c r="BN10" s="45">
        <f>[2]Hydrogen!BN305</f>
        <v>0</v>
      </c>
      <c r="BO10" s="45">
        <f>[2]Hydrogen!BO305</f>
        <v>1.001816347124117</v>
      </c>
      <c r="BP10" s="45">
        <f>[2]Hydrogen!BP305</f>
        <v>0</v>
      </c>
      <c r="BQ10" s="45">
        <f>[2]Hydrogen!BQ305</f>
        <v>1.001816347124117</v>
      </c>
      <c r="BR10" s="45">
        <f>[2]Hydrogen!BR305</f>
        <v>0</v>
      </c>
      <c r="BS10" s="45">
        <f>[2]Hydrogen!BS305</f>
        <v>1.001816347124117</v>
      </c>
      <c r="BT10" s="45">
        <f>[2]Hydrogen!BT305</f>
        <v>0</v>
      </c>
      <c r="BU10" s="45">
        <f>[2]Hydrogen!BU305</f>
        <v>1</v>
      </c>
      <c r="BV10" s="45">
        <f>[2]Hydrogen!BV305</f>
        <v>0</v>
      </c>
      <c r="BW10" s="45">
        <f>[2]Hydrogen!BW305</f>
        <v>0</v>
      </c>
      <c r="BX10" s="45">
        <f>[2]Hydrogen!BX305</f>
        <v>0</v>
      </c>
      <c r="BY10" s="45">
        <f>[2]Hydrogen!BY305</f>
        <v>0</v>
      </c>
      <c r="BZ10" s="45">
        <f>[2]Hydrogen!BZ305</f>
        <v>0</v>
      </c>
      <c r="CA10" s="45">
        <f>[2]Hydrogen!CA305</f>
        <v>0</v>
      </c>
      <c r="CB10" s="45">
        <f>[2]Hydrogen!CB305</f>
        <v>0</v>
      </c>
      <c r="CC10" s="45">
        <f>[2]Hydrogen!CC305</f>
        <v>0</v>
      </c>
      <c r="CD10" s="45">
        <f>[2]Hydrogen!CD305</f>
        <v>0</v>
      </c>
      <c r="CE10" s="45">
        <f>[2]Hydrogen!CE305</f>
        <v>0.96143599537692093</v>
      </c>
      <c r="CF10" s="45">
        <f>[2]Hydrogen!CF305</f>
        <v>0</v>
      </c>
      <c r="CG10" s="45">
        <f>[2]Hydrogen!CG305</f>
        <v>0.9877134657839125</v>
      </c>
      <c r="CH10" s="45">
        <f>[2]Hydrogen!CH305</f>
        <v>0</v>
      </c>
      <c r="CI10" s="45">
        <f>[2]Hydrogen!CI305</f>
        <v>1</v>
      </c>
      <c r="CJ10" s="45">
        <f>[2]Hydrogen!CJ305</f>
        <v>0</v>
      </c>
      <c r="CK10" s="45">
        <f>[2]Hydrogen!CK305</f>
        <v>1.408572504040601</v>
      </c>
      <c r="CL10" s="45">
        <f>[2]Hydrogen!CL305</f>
        <v>0</v>
      </c>
      <c r="CM10" s="45">
        <f>[2]Hydrogen!CM305</f>
        <v>1.408572504040601</v>
      </c>
    </row>
    <row r="11" spans="1:91">
      <c r="A11" t="s">
        <v>197</v>
      </c>
      <c r="B11" s="45">
        <f>[2]Hydrogen!B306</f>
        <v>113022.27535094548</v>
      </c>
      <c r="C11" s="45">
        <f>[2]Hydrogen!C306</f>
        <v>831944.25988597597</v>
      </c>
      <c r="D11" s="45">
        <f>[2]Hydrogen!D306</f>
        <v>1617842.5049796465</v>
      </c>
      <c r="E11" s="45">
        <f>[2]Hydrogen!E306</f>
        <v>213709.56881825134</v>
      </c>
      <c r="F11" s="45">
        <f>[2]Hydrogen!F306</f>
        <v>1024855.287612317</v>
      </c>
      <c r="G11" s="45">
        <f>[2]Hydrogen!G306</f>
        <v>213709.56881825134</v>
      </c>
      <c r="H11" s="45">
        <f>[2]Hydrogen!H306</f>
        <v>1227661.1774794725</v>
      </c>
      <c r="I11" s="45">
        <f>[2]Hydrogen!I306</f>
        <v>162782.35563891599</v>
      </c>
      <c r="J11" s="45">
        <f>[2]Hydrogen!J306</f>
        <v>19872.060468546959</v>
      </c>
      <c r="K11" s="45">
        <f>[2]Hydrogen!K306</f>
        <v>967501.32807648194</v>
      </c>
      <c r="L11" s="45">
        <f>[2]Hydrogen!L306</f>
        <v>38026.550898104775</v>
      </c>
      <c r="M11" s="45">
        <f>[2]Hydrogen!M306</f>
        <v>1540529.0659248955</v>
      </c>
      <c r="N11" s="45">
        <f>[2]Hydrogen!N306</f>
        <v>1276204.4849490093</v>
      </c>
      <c r="O11" s="45">
        <f>[2]Hydrogen!O306</f>
        <v>165800.88552825496</v>
      </c>
      <c r="P11" s="45">
        <f>[2]Hydrogen!P306</f>
        <v>38026.550898104775</v>
      </c>
      <c r="Q11" s="45">
        <f>[2]Hydrogen!Q306</f>
        <v>3214022.9209262053</v>
      </c>
      <c r="R11" s="45">
        <f>[2]Hydrogen!R306</f>
        <v>0</v>
      </c>
      <c r="S11" s="45">
        <f>[2]Hydrogen!S306</f>
        <v>495728.16442956345</v>
      </c>
      <c r="T11" s="45">
        <f>[2]Hydrogen!T306</f>
        <v>155422.13089026854</v>
      </c>
      <c r="U11" s="45">
        <f>[2]Hydrogen!U306</f>
        <v>894975.80364565225</v>
      </c>
      <c r="V11" s="45">
        <f>[2]Hydrogen!V306</f>
        <v>191930.63020213746</v>
      </c>
      <c r="W11" s="45">
        <f>[2]Hydrogen!W306</f>
        <v>213709.56881825134</v>
      </c>
      <c r="X11" s="45">
        <f>[2]Hydrogen!X306</f>
        <v>1141786.2061512326</v>
      </c>
      <c r="Y11" s="45">
        <f>[2]Hydrogen!Y306</f>
        <v>213709.56881825134</v>
      </c>
      <c r="Z11" s="45">
        <f>[2]Hydrogen!Z306</f>
        <v>117609.62388458439</v>
      </c>
      <c r="AA11" s="45">
        <f>[2]Hydrogen!AA306</f>
        <v>663277.3339923413</v>
      </c>
      <c r="AB11" s="45">
        <f>[2]Hydrogen!AB306</f>
        <v>82979.195824761875</v>
      </c>
      <c r="AC11" s="45">
        <f>[2]Hydrogen!AC306</f>
        <v>1623078.4516313919</v>
      </c>
      <c r="AD11" s="45">
        <f>[2]Hydrogen!AD306</f>
        <v>1175232.9264387076</v>
      </c>
      <c r="AE11" s="45">
        <f>[2]Hydrogen!AE306</f>
        <v>596254.21293520997</v>
      </c>
      <c r="AF11" s="45">
        <f>[2]Hydrogen!AF306</f>
        <v>6515999.7617971767</v>
      </c>
      <c r="AG11" s="45">
        <f>[2]Hydrogen!AG306</f>
        <v>493652.25503868132</v>
      </c>
      <c r="AH11" s="45">
        <f>[2]Hydrogen!AH306</f>
        <v>531372.32241327001</v>
      </c>
      <c r="AI11" s="45">
        <f>[2]Hydrogen!AI306</f>
        <v>759291.73544624948</v>
      </c>
      <c r="AJ11" s="45">
        <f>[2]Hydrogen!AJ306</f>
        <v>111633.62329766602</v>
      </c>
      <c r="AK11" s="45">
        <f>[2]Hydrogen!AK306</f>
        <v>831944.25988597597</v>
      </c>
      <c r="AL11" s="45">
        <f>[2]Hydrogen!AL306</f>
        <v>111633.62329766602</v>
      </c>
      <c r="AM11" s="45">
        <f>[2]Hydrogen!AM306</f>
        <v>831944.25988597597</v>
      </c>
      <c r="AN11" s="45">
        <f>[2]Hydrogen!AN306</f>
        <v>113022.27535094548</v>
      </c>
      <c r="AO11" s="45">
        <f>[2]Hydrogen!AO306</f>
        <v>1481045.6724043146</v>
      </c>
      <c r="AP11" s="45">
        <f>[2]Hydrogen!AP306</f>
        <v>1617842.5049796465</v>
      </c>
      <c r="AQ11" s="45">
        <f>[2]Hydrogen!AQ306</f>
        <v>732758.65662478365</v>
      </c>
      <c r="AR11" s="45">
        <f>[2]Hydrogen!AR306</f>
        <v>1024855.287612317</v>
      </c>
      <c r="AS11" s="45">
        <f>[2]Hydrogen!AS306</f>
        <v>403892.51334443619</v>
      </c>
      <c r="AT11" s="45">
        <f>[2]Hydrogen!AT306</f>
        <v>1227661.1774794725</v>
      </c>
      <c r="AU11" s="45">
        <f>[2]Hydrogen!AU306</f>
        <v>403892.51334443619</v>
      </c>
      <c r="AV11" s="45">
        <f>[2]Hydrogen!AV306</f>
        <v>19872.060468546959</v>
      </c>
      <c r="AW11" s="45">
        <f>[2]Hydrogen!AW306</f>
        <v>1627493.5351040682</v>
      </c>
      <c r="AX11" s="45">
        <f>[2]Hydrogen!AX306</f>
        <v>38026.550898104775</v>
      </c>
      <c r="AY11" s="45">
        <f>[2]Hydrogen!AY306</f>
        <v>2246558.9117441103</v>
      </c>
      <c r="AZ11" s="45">
        <f>[2]Hydrogen!AZ306</f>
        <v>1276204.4849490093</v>
      </c>
      <c r="BA11" s="45">
        <f>[2]Hydrogen!BA306</f>
        <v>423384.88728580403</v>
      </c>
      <c r="BB11" s="45">
        <f>[2]Hydrogen!BB306</f>
        <v>38026.550898104775</v>
      </c>
      <c r="BC11" s="45">
        <f>[2]Hydrogen!BC306</f>
        <v>4054502.9870887515</v>
      </c>
      <c r="BD11" s="45">
        <f>[2]Hydrogen!BD306</f>
        <v>0</v>
      </c>
      <c r="BE11" s="45">
        <f>[2]Hydrogen!BE306</f>
        <v>1117813.1987557155</v>
      </c>
      <c r="BF11" s="45">
        <f>[2]Hydrogen!BF306</f>
        <v>191930.63020213746</v>
      </c>
      <c r="BG11" s="45">
        <f>[2]Hydrogen!BG306</f>
        <v>732758.65662478365</v>
      </c>
      <c r="BH11" s="45">
        <f>[2]Hydrogen!BH306</f>
        <v>1141786.2061512326</v>
      </c>
      <c r="BI11" s="45">
        <f>[2]Hydrogen!BI306</f>
        <v>732755.80515744037</v>
      </c>
      <c r="BJ11" s="45">
        <f>[2]Hydrogen!BJ306</f>
        <v>117609.62388458439</v>
      </c>
      <c r="BK11" s="45">
        <f>[2]Hydrogen!BK306</f>
        <v>1343587.222989649</v>
      </c>
      <c r="BL11" s="45">
        <f>[2]Hydrogen!BL306</f>
        <v>99644.367625328247</v>
      </c>
      <c r="BM11" s="45">
        <f>[2]Hydrogen!BM306</f>
        <v>1986394.5074706888</v>
      </c>
      <c r="BN11" s="45">
        <f>[2]Hydrogen!BN306</f>
        <v>1175232.9264387074</v>
      </c>
      <c r="BO11" s="45">
        <f>[2]Hydrogen!BO306</f>
        <v>1276442.3646793361</v>
      </c>
      <c r="BP11" s="45">
        <f>[2]Hydrogen!BP306</f>
        <v>6515999.7617971767</v>
      </c>
      <c r="BQ11" s="45">
        <f>[2]Hydrogen!BQ306</f>
        <v>1173654.0460116535</v>
      </c>
      <c r="BR11" s="45">
        <f>[2]Hydrogen!BR306</f>
        <v>531372.32241327001</v>
      </c>
      <c r="BS11" s="45">
        <f>[2]Hydrogen!BS306</f>
        <v>1439776.0199255119</v>
      </c>
      <c r="BT11" s="45">
        <f>[2]Hydrogen!BT306</f>
        <v>120602.38359830299</v>
      </c>
      <c r="BU11" s="45">
        <f>[2]Hydrogen!BU306</f>
        <v>1481045.6724043146</v>
      </c>
      <c r="BV11" s="45">
        <f>[2]Hydrogen!BV306</f>
        <v>268663.18813012616</v>
      </c>
      <c r="BW11" s="45">
        <f>[2]Hydrogen!BW306</f>
        <v>1000000</v>
      </c>
      <c r="BX11" s="45">
        <f>[2]Hydrogen!BX306</f>
        <v>268663.18813012616</v>
      </c>
      <c r="BY11" s="45">
        <f>[2]Hydrogen!BY306</f>
        <v>1000000</v>
      </c>
      <c r="BZ11" s="45">
        <f>[2]Hydrogen!BZ306</f>
        <v>268663.18813012616</v>
      </c>
      <c r="CA11" s="45">
        <f>[2]Hydrogen!CA306</f>
        <v>1000000</v>
      </c>
      <c r="CB11" s="45">
        <f>[2]Hydrogen!CB306</f>
        <v>268663.18813012616</v>
      </c>
      <c r="CC11" s="45">
        <f>[2]Hydrogen!CC306</f>
        <v>1000000</v>
      </c>
      <c r="CD11" s="45">
        <f>[2]Hydrogen!CD306</f>
        <v>113022.27535094548</v>
      </c>
      <c r="CE11" s="45">
        <f>[2]Hydrogen!CE306</f>
        <v>159999.50432832545</v>
      </c>
      <c r="CF11" s="45">
        <f>[2]Hydrogen!CF306</f>
        <v>34356.817727573056</v>
      </c>
      <c r="CG11" s="45">
        <f>[2]Hydrogen!CG306</f>
        <v>793506.26798589888</v>
      </c>
      <c r="CH11" s="45">
        <f>[2]Hydrogen!CH306</f>
        <v>38843.250272433026</v>
      </c>
      <c r="CI11" s="45">
        <f>[2]Hydrogen!CI306</f>
        <v>637879.03959916811</v>
      </c>
      <c r="CJ11" s="45">
        <f>[2]Hydrogen!CJ306</f>
        <v>113022.27535094548</v>
      </c>
      <c r="CK11" s="45">
        <f>[2]Hydrogen!CK306</f>
        <v>1826666.679457363</v>
      </c>
      <c r="CL11" s="45">
        <f>[2]Hydrogen!CL306</f>
        <v>34356.817727573056</v>
      </c>
      <c r="CM11" s="45">
        <f>[2]Hydrogen!CM306</f>
        <v>1826666.679457363</v>
      </c>
    </row>
    <row r="12" spans="1:91">
      <c r="A12" t="s">
        <v>198</v>
      </c>
      <c r="B12" s="45">
        <f>[2]Hydrogen!B307</f>
        <v>112272.17118212429</v>
      </c>
      <c r="C12" s="45">
        <f>[2]Hydrogen!C307</f>
        <v>760077.69396841968</v>
      </c>
      <c r="D12" s="45">
        <f>[2]Hydrogen!D307</f>
        <v>0</v>
      </c>
      <c r="E12" s="45">
        <f>[2]Hydrogen!E307</f>
        <v>165316.19177661045</v>
      </c>
      <c r="F12" s="45">
        <f>[2]Hydrogen!F307</f>
        <v>20102.196608973558</v>
      </c>
      <c r="G12" s="45">
        <f>[2]Hydrogen!G307</f>
        <v>165316.19177661045</v>
      </c>
      <c r="H12" s="45">
        <f>[2]Hydrogen!H307</f>
        <v>24080.166885211802</v>
      </c>
      <c r="I12" s="45">
        <f>[2]Hydrogen!I307</f>
        <v>86226.033795331488</v>
      </c>
      <c r="J12" s="45">
        <f>[2]Hydrogen!J307</f>
        <v>18817.430800950548</v>
      </c>
      <c r="K12" s="45">
        <f>[2]Hydrogen!K307</f>
        <v>902619.10965386033</v>
      </c>
      <c r="L12" s="45">
        <f>[2]Hydrogen!L307</f>
        <v>37555.245528659558</v>
      </c>
      <c r="M12" s="45">
        <f>[2]Hydrogen!M307</f>
        <v>286714.45266318461</v>
      </c>
      <c r="N12" s="45">
        <f>[2]Hydrogen!N307</f>
        <v>25756.974382406093</v>
      </c>
      <c r="O12" s="45">
        <f>[2]Hydrogen!O307</f>
        <v>86320.159934721771</v>
      </c>
      <c r="P12" s="45">
        <f>[2]Hydrogen!P307</f>
        <v>37555.245528659558</v>
      </c>
      <c r="Q12" s="45">
        <f>[2]Hydrogen!Q307</f>
        <v>1278339.8553628402</v>
      </c>
      <c r="R12" s="45">
        <f>[2]Hydrogen!R307</f>
        <v>0</v>
      </c>
      <c r="S12" s="45">
        <f>[2]Hydrogen!S307</f>
        <v>401529.18456835288</v>
      </c>
      <c r="T12" s="45">
        <f>[2]Hydrogen!T307</f>
        <v>149094.46410193402</v>
      </c>
      <c r="U12" s="45">
        <f>[2]Hydrogen!U307</f>
        <v>841087.15598456759</v>
      </c>
      <c r="V12" s="45">
        <f>[2]Hydrogen!V307</f>
        <v>146144.68165594246</v>
      </c>
      <c r="W12" s="45">
        <f>[2]Hydrogen!W307</f>
        <v>165316.19177661045</v>
      </c>
      <c r="X12" s="45">
        <f>[2]Hydrogen!X307</f>
        <v>1133367.4764023654</v>
      </c>
      <c r="Y12" s="45">
        <f>[2]Hydrogen!Y307</f>
        <v>165316.19177661045</v>
      </c>
      <c r="Z12" s="45">
        <f>[2]Hydrogen!Z307</f>
        <v>116827.89218464201</v>
      </c>
      <c r="AA12" s="45">
        <f>[2]Hydrogen!AA307</f>
        <v>582269.33704559109</v>
      </c>
      <c r="AB12" s="45">
        <f>[2]Hydrogen!AB307</f>
        <v>0</v>
      </c>
      <c r="AC12" s="45">
        <f>[2]Hydrogen!AC307</f>
        <v>0</v>
      </c>
      <c r="AD12" s="45">
        <f>[2]Hydrogen!AD307</f>
        <v>716980.70309168519</v>
      </c>
      <c r="AE12" s="45">
        <f>[2]Hydrogen!AE307</f>
        <v>195432.07303879139</v>
      </c>
      <c r="AF12" s="45">
        <f>[2]Hydrogen!AF307</f>
        <v>148690.40843246368</v>
      </c>
      <c r="AG12" s="45">
        <f>[2]Hydrogen!AG307</f>
        <v>366485.58105109783</v>
      </c>
      <c r="AH12" s="45">
        <f>[2]Hydrogen!AH307</f>
        <v>508534.60671353433</v>
      </c>
      <c r="AI12" s="45">
        <f>[2]Hydrogen!AI307</f>
        <v>663318.75026694988</v>
      </c>
      <c r="AJ12" s="45">
        <f>[2]Hydrogen!AJ307</f>
        <v>110892.73530938069</v>
      </c>
      <c r="AK12" s="45">
        <f>[2]Hydrogen!AK307</f>
        <v>760077.69396841968</v>
      </c>
      <c r="AL12" s="45">
        <f>[2]Hydrogen!AL307</f>
        <v>110892.73530938069</v>
      </c>
      <c r="AM12" s="45">
        <f>[2]Hydrogen!AM307</f>
        <v>760077.69396841968</v>
      </c>
      <c r="AN12" s="45">
        <f>[2]Hydrogen!AN307</f>
        <v>112272.17118212429</v>
      </c>
      <c r="AO12" s="45">
        <f>[2]Hydrogen!AO307</f>
        <v>1262632.8023963734</v>
      </c>
      <c r="AP12" s="45">
        <f>[2]Hydrogen!AP307</f>
        <v>0</v>
      </c>
      <c r="AQ12" s="45">
        <f>[2]Hydrogen!AQ307</f>
        <v>539704.83566911612</v>
      </c>
      <c r="AR12" s="45">
        <f>[2]Hydrogen!AR307</f>
        <v>20102.196608973558</v>
      </c>
      <c r="AS12" s="45">
        <f>[2]Hydrogen!AS307</f>
        <v>28974.45002746399</v>
      </c>
      <c r="AT12" s="45">
        <f>[2]Hydrogen!AT307</f>
        <v>24080.166885211802</v>
      </c>
      <c r="AU12" s="45">
        <f>[2]Hydrogen!AU307</f>
        <v>28974.45002746399</v>
      </c>
      <c r="AV12" s="45">
        <f>[2]Hydrogen!AV307</f>
        <v>18817.430800950548</v>
      </c>
      <c r="AW12" s="45">
        <f>[2]Hydrogen!AW307</f>
        <v>1416626.142264076</v>
      </c>
      <c r="AX12" s="45">
        <f>[2]Hydrogen!AX307</f>
        <v>37555.245528659558</v>
      </c>
      <c r="AY12" s="45">
        <f>[2]Hydrogen!AY307</f>
        <v>670856.35789974499</v>
      </c>
      <c r="AZ12" s="45">
        <f>[2]Hydrogen!AZ307</f>
        <v>25756.974382406093</v>
      </c>
      <c r="BA12" s="45">
        <f>[2]Hydrogen!BA307</f>
        <v>29582.276344881971</v>
      </c>
      <c r="BB12" s="45">
        <f>[2]Hydrogen!BB307</f>
        <v>37555.245528659558</v>
      </c>
      <c r="BC12" s="45">
        <f>[2]Hydrogen!BC307</f>
        <v>1742149.9670242807</v>
      </c>
      <c r="BD12" s="45">
        <f>[2]Hydrogen!BD307</f>
        <v>0</v>
      </c>
      <c r="BE12" s="45">
        <f>[2]Hydrogen!BE307</f>
        <v>875273.73236351006</v>
      </c>
      <c r="BF12" s="45">
        <f>[2]Hydrogen!BF307</f>
        <v>146144.68165594246</v>
      </c>
      <c r="BG12" s="45">
        <f>[2]Hydrogen!BG307</f>
        <v>539704.83566911612</v>
      </c>
      <c r="BH12" s="45">
        <f>[2]Hydrogen!BH307</f>
        <v>1133367.4764023654</v>
      </c>
      <c r="BI12" s="45">
        <f>[2]Hydrogen!BI307</f>
        <v>539702.74442163401</v>
      </c>
      <c r="BJ12" s="45">
        <f>[2]Hydrogen!BJ307</f>
        <v>116827.89218464201</v>
      </c>
      <c r="BK12" s="45">
        <f>[2]Hydrogen!BK307</f>
        <v>1081863.3389719946</v>
      </c>
      <c r="BL12" s="45">
        <f>[2]Hydrogen!BL307</f>
        <v>0</v>
      </c>
      <c r="BM12" s="45">
        <f>[2]Hydrogen!BM307</f>
        <v>0</v>
      </c>
      <c r="BN12" s="45">
        <f>[2]Hydrogen!BN307</f>
        <v>716980.70309168519</v>
      </c>
      <c r="BO12" s="45">
        <f>[2]Hydrogen!BO307</f>
        <v>692503.79797222244</v>
      </c>
      <c r="BP12" s="45">
        <f>[2]Hydrogen!BP307</f>
        <v>148690.40843246368</v>
      </c>
      <c r="BQ12" s="45">
        <f>[2]Hydrogen!BQ307</f>
        <v>865687.64477286965</v>
      </c>
      <c r="BR12" s="45">
        <f>[2]Hydrogen!BR307</f>
        <v>508534.60671353433</v>
      </c>
      <c r="BS12" s="45">
        <f>[2]Hydrogen!BS307</f>
        <v>1163059.9660619693</v>
      </c>
      <c r="BT12" s="45">
        <f>[2]Hydrogen!BT307</f>
        <v>119801.97190577639</v>
      </c>
      <c r="BU12" s="45">
        <f>[2]Hydrogen!BU307</f>
        <v>1262632.8023963734</v>
      </c>
      <c r="BV12" s="45">
        <f>[2]Hydrogen!BV307</f>
        <v>262393.0086577303</v>
      </c>
      <c r="BW12" s="45">
        <f>[2]Hydrogen!BW307</f>
        <v>1000000</v>
      </c>
      <c r="BX12" s="45">
        <f>[2]Hydrogen!BX307</f>
        <v>262393.0086577303</v>
      </c>
      <c r="BY12" s="45">
        <f>[2]Hydrogen!BY307</f>
        <v>1000000</v>
      </c>
      <c r="BZ12" s="45">
        <f>[2]Hydrogen!BZ307</f>
        <v>262393.0086577303</v>
      </c>
      <c r="CA12" s="45">
        <f>[2]Hydrogen!CA307</f>
        <v>1000000</v>
      </c>
      <c r="CB12" s="45">
        <f>[2]Hydrogen!CB307</f>
        <v>262393.0086577303</v>
      </c>
      <c r="CC12" s="45">
        <f>[2]Hydrogen!CC307</f>
        <v>1000000</v>
      </c>
      <c r="CD12" s="45">
        <f>[2]Hydrogen!CD307</f>
        <v>112272.17118212429</v>
      </c>
      <c r="CE12" s="45">
        <f>[2]Hydrogen!CE307</f>
        <v>154450.5020041166</v>
      </c>
      <c r="CF12" s="45">
        <f>[2]Hydrogen!CF307</f>
        <v>30778.025445031297</v>
      </c>
      <c r="CG12" s="45">
        <f>[2]Hydrogen!CG307</f>
        <v>243918.01469077254</v>
      </c>
      <c r="CH12" s="45">
        <f>[2]Hydrogen!CH307</f>
        <v>33946.351593784515</v>
      </c>
      <c r="CI12" s="45">
        <f>[2]Hydrogen!CI307</f>
        <v>233093.16114404739</v>
      </c>
      <c r="CJ12" s="45">
        <f>[2]Hydrogen!CJ307</f>
        <v>112272.17118212429</v>
      </c>
      <c r="CK12" s="45">
        <f>[2]Hydrogen!CK307</f>
        <v>1723783.0282791667</v>
      </c>
      <c r="CL12" s="45">
        <f>[2]Hydrogen!CL307</f>
        <v>30778.025445031297</v>
      </c>
      <c r="CM12" s="45">
        <f>[2]Hydrogen!CM307</f>
        <v>315210.52423856565</v>
      </c>
    </row>
    <row r="13" spans="1:91">
      <c r="A13" t="s">
        <v>199</v>
      </c>
      <c r="B13" s="45">
        <f>[2]Hydrogen!B308</f>
        <v>792.82858024727443</v>
      </c>
      <c r="C13" s="45">
        <f>[2]Hydrogen!C308</f>
        <v>75963.836706342496</v>
      </c>
      <c r="D13" s="45">
        <f>[2]Hydrogen!D308</f>
        <v>0</v>
      </c>
      <c r="E13" s="45">
        <f>[2]Hydrogen!E308</f>
        <v>51149.364853852087</v>
      </c>
      <c r="F13" s="45">
        <f>[2]Hydrogen!F308</f>
        <v>5023.9960809428439</v>
      </c>
      <c r="G13" s="45">
        <f>[2]Hydrogen!G308</f>
        <v>51149.364853852087</v>
      </c>
      <c r="H13" s="45">
        <f>[2]Hydrogen!H308</f>
        <v>6018.1813168491872</v>
      </c>
      <c r="I13" s="45">
        <f>[2]Hydrogen!I308</f>
        <v>20601.057653975105</v>
      </c>
      <c r="J13" s="45">
        <f>[2]Hydrogen!J308</f>
        <v>1745.29429701104</v>
      </c>
      <c r="K13" s="45">
        <f>[2]Hydrogen!K308</f>
        <v>750113.81127128249</v>
      </c>
      <c r="L13" s="45">
        <f>[2]Hydrogen!L308</f>
        <v>495.10276858447276</v>
      </c>
      <c r="M13" s="45">
        <f>[2]Hydrogen!M308</f>
        <v>58973.074910141608</v>
      </c>
      <c r="N13" s="45">
        <f>[2]Hydrogen!N308</f>
        <v>6107.6682995482533</v>
      </c>
      <c r="O13" s="45">
        <f>[2]Hydrogen!O308</f>
        <v>20608.700128688168</v>
      </c>
      <c r="P13" s="45">
        <f>[2]Hydrogen!P308</f>
        <v>495.10276858447276</v>
      </c>
      <c r="Q13" s="45">
        <f>[2]Hydrogen!Q308</f>
        <v>419530.21369406779</v>
      </c>
      <c r="R13" s="45">
        <f>[2]Hydrogen!R308</f>
        <v>0</v>
      </c>
      <c r="S13" s="45">
        <f>[2]Hydrogen!S308</f>
        <v>99572.342045744561</v>
      </c>
      <c r="T13" s="45">
        <f>[2]Hydrogen!T308</f>
        <v>6348.9744786947604</v>
      </c>
      <c r="U13" s="45">
        <f>[2]Hydrogen!U308</f>
        <v>56760.008965032001</v>
      </c>
      <c r="V13" s="45">
        <f>[2]Hydrogen!V308</f>
        <v>48401.390003896238</v>
      </c>
      <c r="W13" s="45">
        <f>[2]Hydrogen!W308</f>
        <v>51149.364853852087</v>
      </c>
      <c r="X13" s="45">
        <f>[2]Hydrogen!X308</f>
        <v>8899.6698519964702</v>
      </c>
      <c r="Y13" s="45">
        <f>[2]Hydrogen!Y308</f>
        <v>51149.364853852087</v>
      </c>
      <c r="Z13" s="45">
        <f>[2]Hydrogen!Z308</f>
        <v>826.26287241176806</v>
      </c>
      <c r="AA13" s="45">
        <f>[2]Hydrogen!AA308</f>
        <v>85637.070143654477</v>
      </c>
      <c r="AB13" s="45">
        <f>[2]Hydrogen!AB308</f>
        <v>0</v>
      </c>
      <c r="AC13" s="45">
        <f>[2]Hydrogen!AC308</f>
        <v>0</v>
      </c>
      <c r="AD13" s="45">
        <f>[2]Hydrogen!AD308</f>
        <v>47093.801984141726</v>
      </c>
      <c r="AE13" s="45">
        <f>[2]Hydrogen!AE308</f>
        <v>75104.118856687157</v>
      </c>
      <c r="AF13" s="45">
        <f>[2]Hydrogen!AF308</f>
        <v>910.36035679954455</v>
      </c>
      <c r="AG13" s="45">
        <f>[2]Hydrogen!AG308</f>
        <v>134428.61409871731</v>
      </c>
      <c r="AH13" s="45">
        <f>[2]Hydrogen!AH308</f>
        <v>24139.534779603815</v>
      </c>
      <c r="AI13" s="45">
        <f>[2]Hydrogen!AI308</f>
        <v>101456.37335557071</v>
      </c>
      <c r="AJ13" s="45">
        <f>[2]Hydrogen!AJ308</f>
        <v>783.08746476857425</v>
      </c>
      <c r="AK13" s="45">
        <f>[2]Hydrogen!AK308</f>
        <v>75963.836706342496</v>
      </c>
      <c r="AL13" s="45">
        <f>[2]Hydrogen!AL308</f>
        <v>783.08746476857425</v>
      </c>
      <c r="AM13" s="45">
        <f>[2]Hydrogen!AM308</f>
        <v>75963.836706342496</v>
      </c>
      <c r="AN13" s="45">
        <f>[2]Hydrogen!AN308</f>
        <v>792.82858024727443</v>
      </c>
      <c r="AO13" s="45">
        <f>[2]Hydrogen!AO308</f>
        <v>230891.25009551173</v>
      </c>
      <c r="AP13" s="45">
        <f>[2]Hydrogen!AP308</f>
        <v>0</v>
      </c>
      <c r="AQ13" s="45">
        <f>[2]Hydrogen!AQ308</f>
        <v>204083.15801053582</v>
      </c>
      <c r="AR13" s="45">
        <f>[2]Hydrogen!AR308</f>
        <v>5023.9960809428439</v>
      </c>
      <c r="AS13" s="45">
        <f>[2]Hydrogen!AS308</f>
        <v>6815.2663395406325</v>
      </c>
      <c r="AT13" s="45">
        <f>[2]Hydrogen!AT308</f>
        <v>6018.1813168491872</v>
      </c>
      <c r="AU13" s="45">
        <f>[2]Hydrogen!AU308</f>
        <v>6815.2663395406325</v>
      </c>
      <c r="AV13" s="45">
        <f>[2]Hydrogen!AV308</f>
        <v>1745.29429701104</v>
      </c>
      <c r="AW13" s="45">
        <f>[2]Hydrogen!AW308</f>
        <v>1039585.8408523207</v>
      </c>
      <c r="AX13" s="45">
        <f>[2]Hydrogen!AX308</f>
        <v>495.10276858447276</v>
      </c>
      <c r="AY13" s="45">
        <f>[2]Hydrogen!AY308</f>
        <v>212535.43299272979</v>
      </c>
      <c r="AZ13" s="45">
        <f>[2]Hydrogen!AZ308</f>
        <v>6107.6682995482533</v>
      </c>
      <c r="BA13" s="45">
        <f>[2]Hydrogen!BA308</f>
        <v>6864.6181698705523</v>
      </c>
      <c r="BB13" s="45">
        <f>[2]Hydrogen!BB308</f>
        <v>495.10276858447276</v>
      </c>
      <c r="BC13" s="45">
        <f>[2]Hydrogen!BC308</f>
        <v>602060.10375233926</v>
      </c>
      <c r="BD13" s="45">
        <f>[2]Hydrogen!BD308</f>
        <v>0</v>
      </c>
      <c r="BE13" s="45">
        <f>[2]Hydrogen!BE308</f>
        <v>256396.46011169502</v>
      </c>
      <c r="BF13" s="45">
        <f>[2]Hydrogen!BF308</f>
        <v>48401.390003896238</v>
      </c>
      <c r="BG13" s="45">
        <f>[2]Hydrogen!BG308</f>
        <v>204083.15801053582</v>
      </c>
      <c r="BH13" s="45">
        <f>[2]Hydrogen!BH308</f>
        <v>8899.6698519964702</v>
      </c>
      <c r="BI13" s="45">
        <f>[2]Hydrogen!BI308</f>
        <v>204082.35434869558</v>
      </c>
      <c r="BJ13" s="45">
        <f>[2]Hydrogen!BJ308</f>
        <v>826.26287241176806</v>
      </c>
      <c r="BK13" s="45">
        <f>[2]Hydrogen!BK308</f>
        <v>276679.77995602193</v>
      </c>
      <c r="BL13" s="45">
        <f>[2]Hydrogen!BL308</f>
        <v>0</v>
      </c>
      <c r="BM13" s="45">
        <f>[2]Hydrogen!BM308</f>
        <v>0</v>
      </c>
      <c r="BN13" s="45">
        <f>[2]Hydrogen!BN308</f>
        <v>47093.801984141726</v>
      </c>
      <c r="BO13" s="45">
        <f>[2]Hydrogen!BO308</f>
        <v>266127.6971732761</v>
      </c>
      <c r="BP13" s="45">
        <f>[2]Hydrogen!BP308</f>
        <v>910.36035679954455</v>
      </c>
      <c r="BQ13" s="45">
        <f>[2]Hydrogen!BQ308</f>
        <v>325559.94629162882</v>
      </c>
      <c r="BR13" s="45">
        <f>[2]Hydrogen!BR308</f>
        <v>24139.534779603815</v>
      </c>
      <c r="BS13" s="45">
        <f>[2]Hydrogen!BS308</f>
        <v>292527.81651383272</v>
      </c>
      <c r="BT13" s="45">
        <f>[2]Hydrogen!BT308</f>
        <v>846.00151842439311</v>
      </c>
      <c r="BU13" s="45">
        <f>[2]Hydrogen!BU308</f>
        <v>230891.25009551173</v>
      </c>
      <c r="BV13" s="45">
        <f>[2]Hydrogen!BV308</f>
        <v>6628.3259319248391</v>
      </c>
      <c r="BW13" s="45">
        <f>[2]Hydrogen!BW308</f>
        <v>0</v>
      </c>
      <c r="BX13" s="45">
        <f>[2]Hydrogen!BX308</f>
        <v>6628.3259319248391</v>
      </c>
      <c r="BY13" s="45">
        <f>[2]Hydrogen!BY308</f>
        <v>0</v>
      </c>
      <c r="BZ13" s="45">
        <f>[2]Hydrogen!BZ308</f>
        <v>6628.3259319248391</v>
      </c>
      <c r="CA13" s="45">
        <f>[2]Hydrogen!CA308</f>
        <v>0</v>
      </c>
      <c r="CB13" s="45">
        <f>[2]Hydrogen!CB308</f>
        <v>6628.3259319248391</v>
      </c>
      <c r="CC13" s="45">
        <f>[2]Hydrogen!CC308</f>
        <v>0</v>
      </c>
      <c r="CD13" s="45">
        <f>[2]Hydrogen!CD308</f>
        <v>792.82858024727443</v>
      </c>
      <c r="CE13" s="45">
        <f>[2]Hydrogen!CE308</f>
        <v>5866.0719967115301</v>
      </c>
      <c r="CF13" s="45">
        <f>[2]Hydrogen!CF308</f>
        <v>318.88398232427244</v>
      </c>
      <c r="CG13" s="45">
        <f>[2]Hydrogen!CG308</f>
        <v>75732.255029118038</v>
      </c>
      <c r="CH13" s="45">
        <f>[2]Hydrogen!CH308</f>
        <v>351.71027462235935</v>
      </c>
      <c r="CI13" s="45">
        <f>[2]Hydrogen!CI308</f>
        <v>85484.050193249641</v>
      </c>
      <c r="CJ13" s="45">
        <f>[2]Hydrogen!CJ308</f>
        <v>792.82858024727443</v>
      </c>
      <c r="CK13" s="45">
        <f>[2]Hydrogen!CK308</f>
        <v>108753.42945860056</v>
      </c>
      <c r="CL13" s="45">
        <f>[2]Hydrogen!CL308</f>
        <v>318.88398232427244</v>
      </c>
      <c r="CM13" s="45">
        <f>[2]Hydrogen!CM308</f>
        <v>108753.42945860056</v>
      </c>
    </row>
    <row r="14" spans="1:91">
      <c r="A14" t="s">
        <v>200</v>
      </c>
      <c r="B14" s="45">
        <f>[2]Hydrogen!B309</f>
        <v>111022.14790599093</v>
      </c>
      <c r="C14" s="45">
        <f>[2]Hydrogen!C309</f>
        <v>652365.31443098036</v>
      </c>
      <c r="D14" s="45">
        <f>[2]Hydrogen!D309</f>
        <v>0</v>
      </c>
      <c r="E14" s="45">
        <f>[2]Hydrogen!E309</f>
        <v>83431.01687674968</v>
      </c>
      <c r="F14" s="45">
        <f>[2]Hydrogen!F309</f>
        <v>12733.051023797005</v>
      </c>
      <c r="G14" s="45">
        <f>[2]Hydrogen!G309</f>
        <v>83431.01687674968</v>
      </c>
      <c r="H14" s="45">
        <f>[2]Hydrogen!H309</f>
        <v>15252.760659702102</v>
      </c>
      <c r="I14" s="45">
        <f>[2]Hydrogen!I309</f>
        <v>35751.752246984295</v>
      </c>
      <c r="J14" s="45">
        <f>[2]Hydrogen!J309</f>
        <v>3286.1143257952463</v>
      </c>
      <c r="K14" s="45">
        <f>[2]Hydrogen!K309</f>
        <v>111841.04419866551</v>
      </c>
      <c r="L14" s="45">
        <f>[2]Hydrogen!L309</f>
        <v>10088.684186203223</v>
      </c>
      <c r="M14" s="45">
        <f>[2]Hydrogen!M309</f>
        <v>164437.2689175813</v>
      </c>
      <c r="N14" s="45">
        <f>[2]Hydrogen!N309</f>
        <v>16185.152126275234</v>
      </c>
      <c r="O14" s="45">
        <f>[2]Hydrogen!O309</f>
        <v>35805.122155426085</v>
      </c>
      <c r="P14" s="45">
        <f>[2]Hydrogen!P309</f>
        <v>10088.684186203223</v>
      </c>
      <c r="Q14" s="45">
        <f>[2]Hydrogen!Q309</f>
        <v>767141.85745323531</v>
      </c>
      <c r="R14" s="45">
        <f>[2]Hydrogen!R309</f>
        <v>0</v>
      </c>
      <c r="S14" s="45">
        <f>[2]Hydrogen!S309</f>
        <v>269224.71542873012</v>
      </c>
      <c r="T14" s="45">
        <f>[2]Hydrogen!T309</f>
        <v>89933.486328305036</v>
      </c>
      <c r="U14" s="45">
        <f>[2]Hydrogen!U309</f>
        <v>138921.55128660565</v>
      </c>
      <c r="V14" s="45">
        <f>[2]Hydrogen!V309</f>
        <v>93242.701892690311</v>
      </c>
      <c r="W14" s="45">
        <f>[2]Hydrogen!W309</f>
        <v>83431.01687674968</v>
      </c>
      <c r="X14" s="45">
        <f>[2]Hydrogen!X309</f>
        <v>1123748.6441022865</v>
      </c>
      <c r="Y14" s="45">
        <f>[2]Hydrogen!Y309</f>
        <v>83431.01687674968</v>
      </c>
      <c r="Z14" s="45">
        <f>[2]Hydrogen!Z309</f>
        <v>115541.61707184681</v>
      </c>
      <c r="AA14" s="45">
        <f>[2]Hydrogen!AA309</f>
        <v>493725.27197072224</v>
      </c>
      <c r="AB14" s="45">
        <f>[2]Hydrogen!AB309</f>
        <v>0</v>
      </c>
      <c r="AC14" s="45">
        <f>[2]Hydrogen!AC309</f>
        <v>0</v>
      </c>
      <c r="AD14" s="45">
        <f>[2]Hydrogen!AD309</f>
        <v>596943.27635297342</v>
      </c>
      <c r="AE14" s="45">
        <f>[2]Hydrogen!AE309</f>
        <v>117901.04263758488</v>
      </c>
      <c r="AF14" s="45">
        <f>[2]Hydrogen!AF309</f>
        <v>15666.966724282916</v>
      </c>
      <c r="AG14" s="45">
        <f>[2]Hydrogen!AG309</f>
        <v>212653.9676663088</v>
      </c>
      <c r="AH14" s="45">
        <f>[2]Hydrogen!AH309</f>
        <v>473658.7343035189</v>
      </c>
      <c r="AI14" s="45">
        <f>[2]Hydrogen!AI309</f>
        <v>555833.9476401495</v>
      </c>
      <c r="AJ14" s="45">
        <f>[2]Hydrogen!AJ309</f>
        <v>109658.07048700044</v>
      </c>
      <c r="AK14" s="45">
        <f>[2]Hydrogen!AK309</f>
        <v>652365.31443098036</v>
      </c>
      <c r="AL14" s="45">
        <f>[2]Hydrogen!AL309</f>
        <v>109658.07048700044</v>
      </c>
      <c r="AM14" s="45">
        <f>[2]Hydrogen!AM309</f>
        <v>652365.31443098036</v>
      </c>
      <c r="AN14" s="45">
        <f>[2]Hydrogen!AN309</f>
        <v>111022.14790599093</v>
      </c>
      <c r="AO14" s="45">
        <f>[2]Hydrogen!AO309</f>
        <v>1016244.280310288</v>
      </c>
      <c r="AP14" s="45">
        <f>[2]Hydrogen!AP309</f>
        <v>0</v>
      </c>
      <c r="AQ14" s="45">
        <f>[2]Hydrogen!AQ309</f>
        <v>321218.50244836562</v>
      </c>
      <c r="AR14" s="45">
        <f>[2]Hydrogen!AR309</f>
        <v>12733.051023797005</v>
      </c>
      <c r="AS14" s="45">
        <f>[2]Hydrogen!AS309</f>
        <v>13326.220614328595</v>
      </c>
      <c r="AT14" s="45">
        <f>[2]Hydrogen!AT309</f>
        <v>15252.760659702102</v>
      </c>
      <c r="AU14" s="45">
        <f>[2]Hydrogen!AU309</f>
        <v>13326.220614328595</v>
      </c>
      <c r="AV14" s="45">
        <f>[2]Hydrogen!AV309</f>
        <v>3286.1143257952463</v>
      </c>
      <c r="AW14" s="45">
        <f>[2]Hydrogen!AW309</f>
        <v>351911.02063331974</v>
      </c>
      <c r="AX14" s="45">
        <f>[2]Hydrogen!AX309</f>
        <v>10088.684186203223</v>
      </c>
      <c r="AY14" s="45">
        <f>[2]Hydrogen!AY309</f>
        <v>408732.88023075782</v>
      </c>
      <c r="AZ14" s="45">
        <f>[2]Hydrogen!AZ309</f>
        <v>16185.152126275234</v>
      </c>
      <c r="BA14" s="45">
        <f>[2]Hydrogen!BA309</f>
        <v>13670.860638016464</v>
      </c>
      <c r="BB14" s="45">
        <f>[2]Hydrogen!BB309</f>
        <v>10088.684186203223</v>
      </c>
      <c r="BC14" s="45">
        <f>[2]Hydrogen!BC309</f>
        <v>1059859.3763153292</v>
      </c>
      <c r="BD14" s="45">
        <f>[2]Hydrogen!BD309</f>
        <v>0</v>
      </c>
      <c r="BE14" s="45">
        <f>[2]Hydrogen!BE309</f>
        <v>602321.30683833687</v>
      </c>
      <c r="BF14" s="45">
        <f>[2]Hydrogen!BF309</f>
        <v>93242.701892690311</v>
      </c>
      <c r="BG14" s="45">
        <f>[2]Hydrogen!BG309</f>
        <v>321218.50244836562</v>
      </c>
      <c r="BH14" s="45">
        <f>[2]Hydrogen!BH309</f>
        <v>1123748.6441022865</v>
      </c>
      <c r="BI14" s="45">
        <f>[2]Hydrogen!BI309</f>
        <v>321217.24083222082</v>
      </c>
      <c r="BJ14" s="45">
        <f>[2]Hydrogen!BJ309</f>
        <v>115541.61707184681</v>
      </c>
      <c r="BK14" s="45">
        <f>[2]Hydrogen!BK309</f>
        <v>796102.9636857704</v>
      </c>
      <c r="BL14" s="45">
        <f>[2]Hydrogen!BL309</f>
        <v>0</v>
      </c>
      <c r="BM14" s="45">
        <f>[2]Hydrogen!BM309</f>
        <v>0</v>
      </c>
      <c r="BN14" s="45">
        <f>[2]Hydrogen!BN309</f>
        <v>596943.27635297342</v>
      </c>
      <c r="BO14" s="45">
        <f>[2]Hydrogen!BO309</f>
        <v>417776.46085351787</v>
      </c>
      <c r="BP14" s="45">
        <f>[2]Hydrogen!BP309</f>
        <v>15666.966724282916</v>
      </c>
      <c r="BQ14" s="45">
        <f>[2]Hydrogen!BQ309</f>
        <v>514521.13632611179</v>
      </c>
      <c r="BR14" s="45">
        <f>[2]Hydrogen!BR309</f>
        <v>473658.7343035189</v>
      </c>
      <c r="BS14" s="45">
        <f>[2]Hydrogen!BS309</f>
        <v>858324.45026963251</v>
      </c>
      <c r="BT14" s="45">
        <f>[2]Hydrogen!BT309</f>
        <v>118468.11283961503</v>
      </c>
      <c r="BU14" s="45">
        <f>[2]Hydrogen!BU309</f>
        <v>1016244.280310288</v>
      </c>
      <c r="BV14" s="45">
        <f>[2]Hydrogen!BV309</f>
        <v>255066.46587730339</v>
      </c>
      <c r="BW14" s="45">
        <f>[2]Hydrogen!BW309</f>
        <v>1000000</v>
      </c>
      <c r="BX14" s="45">
        <f>[2]Hydrogen!BX309</f>
        <v>255066.46587730339</v>
      </c>
      <c r="BY14" s="45">
        <f>[2]Hydrogen!BY309</f>
        <v>1000000</v>
      </c>
      <c r="BZ14" s="45">
        <f>[2]Hydrogen!BZ309</f>
        <v>255066.46587730339</v>
      </c>
      <c r="CA14" s="45">
        <f>[2]Hydrogen!CA309</f>
        <v>1000000</v>
      </c>
      <c r="CB14" s="45">
        <f>[2]Hydrogen!CB309</f>
        <v>255066.46587730339</v>
      </c>
      <c r="CC14" s="45">
        <f>[2]Hydrogen!CC309</f>
        <v>1000000</v>
      </c>
      <c r="CD14" s="45">
        <f>[2]Hydrogen!CD309</f>
        <v>111022.14790599093</v>
      </c>
      <c r="CE14" s="45">
        <f>[2]Hydrogen!CE309</f>
        <v>148325.77659642327</v>
      </c>
      <c r="CF14" s="45">
        <f>[2]Hydrogen!CF309</f>
        <v>30437.195082873648</v>
      </c>
      <c r="CG14" s="45">
        <f>[2]Hydrogen!CG309</f>
        <v>136649.89049638767</v>
      </c>
      <c r="CH14" s="45">
        <f>[2]Hydrogen!CH309</f>
        <v>33570.435753169455</v>
      </c>
      <c r="CI14" s="45">
        <f>[2]Hydrogen!CI309</f>
        <v>144842.64230900208</v>
      </c>
      <c r="CJ14" s="45">
        <f>[2]Hydrogen!CJ309</f>
        <v>111022.14790599093</v>
      </c>
      <c r="CK14" s="45">
        <f>[2]Hydrogen!CK309</f>
        <v>1582432.3732952378</v>
      </c>
      <c r="CL14" s="45">
        <f>[2]Hydrogen!CL309</f>
        <v>30437.195082873648</v>
      </c>
      <c r="CM14" s="45">
        <f>[2]Hydrogen!CM309</f>
        <v>173859.86925463672</v>
      </c>
    </row>
    <row r="15" spans="1:91">
      <c r="A15" t="s">
        <v>201</v>
      </c>
      <c r="B15" s="45">
        <f>[2]Hydrogen!B310</f>
        <v>457.194695886094</v>
      </c>
      <c r="C15" s="45">
        <f>[2]Hydrogen!C310</f>
        <v>31748.542831096835</v>
      </c>
      <c r="D15" s="45">
        <f>[2]Hydrogen!D310</f>
        <v>0</v>
      </c>
      <c r="E15" s="45">
        <f>[2]Hydrogen!E310</f>
        <v>30735.810046008686</v>
      </c>
      <c r="F15" s="45">
        <f>[2]Hydrogen!F310</f>
        <v>2345.1495042337083</v>
      </c>
      <c r="G15" s="45">
        <f>[2]Hydrogen!G310</f>
        <v>30735.810046008686</v>
      </c>
      <c r="H15" s="45">
        <f>[2]Hydrogen!H310</f>
        <v>2809.2249086605134</v>
      </c>
      <c r="I15" s="45">
        <f>[2]Hydrogen!I310</f>
        <v>29873.223894372088</v>
      </c>
      <c r="J15" s="45">
        <f>[2]Hydrogen!J310</f>
        <v>13786.02217814426</v>
      </c>
      <c r="K15" s="45">
        <f>[2]Hydrogen!K310</f>
        <v>40664.25418391233</v>
      </c>
      <c r="L15" s="45">
        <f>[2]Hydrogen!L310</f>
        <v>26971.45857387186</v>
      </c>
      <c r="M15" s="45">
        <f>[2]Hydrogen!M310</f>
        <v>63304.108835461702</v>
      </c>
      <c r="N15" s="45">
        <f>[2]Hydrogen!N310</f>
        <v>3464.1539565826047</v>
      </c>
      <c r="O15" s="45">
        <f>[2]Hydrogen!O310</f>
        <v>29906.337650607515</v>
      </c>
      <c r="P15" s="45">
        <f>[2]Hydrogen!P310</f>
        <v>26971.45857387186</v>
      </c>
      <c r="Q15" s="45">
        <f>[2]Hydrogen!Q310</f>
        <v>91667.784215537118</v>
      </c>
      <c r="R15" s="45">
        <f>[2]Hydrogen!R310</f>
        <v>0</v>
      </c>
      <c r="S15" s="45">
        <f>[2]Hydrogen!S310</f>
        <v>32732.127093878222</v>
      </c>
      <c r="T15" s="45">
        <f>[2]Hydrogen!T310</f>
        <v>52812.003294934235</v>
      </c>
      <c r="U15" s="45">
        <f>[2]Hydrogen!U310</f>
        <v>645405.59573292988</v>
      </c>
      <c r="V15" s="45">
        <f>[2]Hydrogen!V310</f>
        <v>4500.5897593559239</v>
      </c>
      <c r="W15" s="45">
        <f>[2]Hydrogen!W310</f>
        <v>30735.810046008686</v>
      </c>
      <c r="X15" s="45">
        <f>[2]Hydrogen!X310</f>
        <v>719.16244808236354</v>
      </c>
      <c r="Y15" s="45">
        <f>[2]Hydrogen!Y310</f>
        <v>30735.810046008686</v>
      </c>
      <c r="Z15" s="45">
        <f>[2]Hydrogen!Z310</f>
        <v>460.01224038344071</v>
      </c>
      <c r="AA15" s="45">
        <f>[2]Hydrogen!AA310</f>
        <v>2906.9949312144008</v>
      </c>
      <c r="AB15" s="45">
        <f>[2]Hydrogen!AB310</f>
        <v>0</v>
      </c>
      <c r="AC15" s="45">
        <f>[2]Hydrogen!AC310</f>
        <v>0</v>
      </c>
      <c r="AD15" s="45">
        <f>[2]Hydrogen!AD310</f>
        <v>72943.624754570104</v>
      </c>
      <c r="AE15" s="45">
        <f>[2]Hydrogen!AE310</f>
        <v>2426.9115445193593</v>
      </c>
      <c r="AF15" s="45">
        <f>[2]Hydrogen!AF310</f>
        <v>132113.08135138123</v>
      </c>
      <c r="AG15" s="45">
        <f>[2]Hydrogen!AG310</f>
        <v>19402.999286071725</v>
      </c>
      <c r="AH15" s="45">
        <f>[2]Hydrogen!AH310</f>
        <v>10736.337630411628</v>
      </c>
      <c r="AI15" s="45">
        <f>[2]Hydrogen!AI310</f>
        <v>6028.4292712296719</v>
      </c>
      <c r="AJ15" s="45">
        <f>[2]Hydrogen!AJ310</f>
        <v>451.57735761167578</v>
      </c>
      <c r="AK15" s="45">
        <f>[2]Hydrogen!AK310</f>
        <v>31748.542831096835</v>
      </c>
      <c r="AL15" s="45">
        <f>[2]Hydrogen!AL310</f>
        <v>451.57735761167578</v>
      </c>
      <c r="AM15" s="45">
        <f>[2]Hydrogen!AM310</f>
        <v>31748.542831096835</v>
      </c>
      <c r="AN15" s="45">
        <f>[2]Hydrogen!AN310</f>
        <v>457.194695886094</v>
      </c>
      <c r="AO15" s="45">
        <f>[2]Hydrogen!AO310</f>
        <v>15497.271990573627</v>
      </c>
      <c r="AP15" s="45">
        <f>[2]Hydrogen!AP310</f>
        <v>0</v>
      </c>
      <c r="AQ15" s="45">
        <f>[2]Hydrogen!AQ310</f>
        <v>14403.175210214693</v>
      </c>
      <c r="AR15" s="45">
        <f>[2]Hydrogen!AR310</f>
        <v>2345.1495042337083</v>
      </c>
      <c r="AS15" s="45">
        <f>[2]Hydrogen!AS310</f>
        <v>8832.9630735947649</v>
      </c>
      <c r="AT15" s="45">
        <f>[2]Hydrogen!AT310</f>
        <v>2809.2249086605134</v>
      </c>
      <c r="AU15" s="45">
        <f>[2]Hydrogen!AU310</f>
        <v>8832.9630735947649</v>
      </c>
      <c r="AV15" s="45">
        <f>[2]Hydrogen!AV310</f>
        <v>13786.02217814426</v>
      </c>
      <c r="AW15" s="45">
        <f>[2]Hydrogen!AW310</f>
        <v>25129.280778435656</v>
      </c>
      <c r="AX15" s="45">
        <f>[2]Hydrogen!AX310</f>
        <v>26971.45857387186</v>
      </c>
      <c r="AY15" s="45">
        <f>[2]Hydrogen!AY310</f>
        <v>49588.04467625737</v>
      </c>
      <c r="AZ15" s="45">
        <f>[2]Hydrogen!AZ310</f>
        <v>3464.1539565826047</v>
      </c>
      <c r="BA15" s="45">
        <f>[2]Hydrogen!BA310</f>
        <v>9046.7975369949563</v>
      </c>
      <c r="BB15" s="45">
        <f>[2]Hydrogen!BB310</f>
        <v>26971.45857387186</v>
      </c>
      <c r="BC15" s="45">
        <f>[2]Hydrogen!BC310</f>
        <v>80230.486956612134</v>
      </c>
      <c r="BD15" s="45">
        <f>[2]Hydrogen!BD310</f>
        <v>0</v>
      </c>
      <c r="BE15" s="45">
        <f>[2]Hydrogen!BE310</f>
        <v>16555.965413478203</v>
      </c>
      <c r="BF15" s="45">
        <f>[2]Hydrogen!BF310</f>
        <v>4500.5897593559239</v>
      </c>
      <c r="BG15" s="45">
        <f>[2]Hydrogen!BG310</f>
        <v>14403.175210214693</v>
      </c>
      <c r="BH15" s="45">
        <f>[2]Hydrogen!BH310</f>
        <v>719.16244808236354</v>
      </c>
      <c r="BI15" s="45">
        <f>[2]Hydrogen!BI310</f>
        <v>14403.149240717579</v>
      </c>
      <c r="BJ15" s="45">
        <f>[2]Hydrogen!BJ310</f>
        <v>460.01224038344071</v>
      </c>
      <c r="BK15" s="45">
        <f>[2]Hydrogen!BK310</f>
        <v>9080.5953302022917</v>
      </c>
      <c r="BL15" s="45">
        <f>[2]Hydrogen!BL310</f>
        <v>0</v>
      </c>
      <c r="BM15" s="45">
        <f>[2]Hydrogen!BM310</f>
        <v>0</v>
      </c>
      <c r="BN15" s="45">
        <f>[2]Hydrogen!BN310</f>
        <v>72943.624754570104</v>
      </c>
      <c r="BO15" s="45">
        <f>[2]Hydrogen!BO310</f>
        <v>8599.6399454284892</v>
      </c>
      <c r="BP15" s="45">
        <f>[2]Hydrogen!BP310</f>
        <v>132113.08135138123</v>
      </c>
      <c r="BQ15" s="45">
        <f>[2]Hydrogen!BQ310</f>
        <v>25606.562155128981</v>
      </c>
      <c r="BR15" s="45">
        <f>[2]Hydrogen!BR310</f>
        <v>10736.337630411628</v>
      </c>
      <c r="BS15" s="45">
        <f>[2]Hydrogen!BS310</f>
        <v>12207.699278504169</v>
      </c>
      <c r="BT15" s="45">
        <f>[2]Hydrogen!BT310</f>
        <v>487.85754773696414</v>
      </c>
      <c r="BU15" s="45">
        <f>[2]Hydrogen!BU310</f>
        <v>15497.271990573627</v>
      </c>
      <c r="BV15" s="45">
        <f>[2]Hydrogen!BV310</f>
        <v>698.21684850207589</v>
      </c>
      <c r="BW15" s="45">
        <f>[2]Hydrogen!BW310</f>
        <v>0</v>
      </c>
      <c r="BX15" s="45">
        <f>[2]Hydrogen!BX310</f>
        <v>698.21684850207589</v>
      </c>
      <c r="BY15" s="45">
        <f>[2]Hydrogen!BY310</f>
        <v>0</v>
      </c>
      <c r="BZ15" s="45">
        <f>[2]Hydrogen!BZ310</f>
        <v>698.21684850207589</v>
      </c>
      <c r="CA15" s="45">
        <f>[2]Hydrogen!CA310</f>
        <v>0</v>
      </c>
      <c r="CB15" s="45">
        <f>[2]Hydrogen!CB310</f>
        <v>698.21684850207589</v>
      </c>
      <c r="CC15" s="45">
        <f>[2]Hydrogen!CC310</f>
        <v>0</v>
      </c>
      <c r="CD15" s="45">
        <f>[2]Hydrogen!CD310</f>
        <v>457.194695886094</v>
      </c>
      <c r="CE15" s="45">
        <f>[2]Hydrogen!CE310</f>
        <v>258.6534109817805</v>
      </c>
      <c r="CF15" s="45">
        <f>[2]Hydrogen!CF310</f>
        <v>21.946379833378025</v>
      </c>
      <c r="CG15" s="45">
        <f>[2]Hydrogen!CG310</f>
        <v>31535.869165266846</v>
      </c>
      <c r="CH15" s="45">
        <f>[2]Hydrogen!CH310</f>
        <v>24.205565992696354</v>
      </c>
      <c r="CI15" s="45">
        <f>[2]Hydrogen!CI310</f>
        <v>2766.46864179566</v>
      </c>
      <c r="CJ15" s="45">
        <f>[2]Hydrogen!CJ310</f>
        <v>457.194695886094</v>
      </c>
      <c r="CK15" s="45">
        <f>[2]Hydrogen!CK310</f>
        <v>32597.225525328373</v>
      </c>
      <c r="CL15" s="45">
        <f>[2]Hydrogen!CL310</f>
        <v>21.946379833378025</v>
      </c>
      <c r="CM15" s="45">
        <f>[2]Hydrogen!CM310</f>
        <v>32597.225525328373</v>
      </c>
    </row>
    <row r="16" spans="1:91">
      <c r="A16" t="s">
        <v>202</v>
      </c>
      <c r="B16" s="45">
        <f>[2]Hydrogen!B311</f>
        <v>3.4779713295852681</v>
      </c>
      <c r="C16" s="45">
        <f>[2]Hydrogen!C311</f>
        <v>82.916224664717049</v>
      </c>
      <c r="D16" s="45">
        <f>[2]Hydrogen!D311</f>
        <v>82.397139975247683</v>
      </c>
      <c r="E16" s="45">
        <f>[2]Hydrogen!E311</f>
        <v>17.06724204004345</v>
      </c>
      <c r="F16" s="45">
        <f>[2]Hydrogen!F311</f>
        <v>168.36852873247722</v>
      </c>
      <c r="G16" s="45">
        <f>[2]Hydrogen!G311</f>
        <v>17.06724204004345</v>
      </c>
      <c r="H16" s="45">
        <f>[2]Hydrogen!H311</f>
        <v>194.55234963337153</v>
      </c>
      <c r="I16" s="45">
        <f>[2]Hydrogen!I311</f>
        <v>14.678047055026333</v>
      </c>
      <c r="J16" s="45">
        <f>[2]Hydrogen!J311</f>
        <v>3.8668131808192499</v>
      </c>
      <c r="K16" s="45">
        <f>[2]Hydrogen!K311</f>
        <v>80.058092993628819</v>
      </c>
      <c r="L16" s="45">
        <f>[2]Hydrogen!L311</f>
        <v>1.7792738404336454</v>
      </c>
      <c r="M16" s="45">
        <f>[2]Hydrogen!M311</f>
        <v>52.032082577180809</v>
      </c>
      <c r="N16" s="45">
        <f>[2]Hydrogen!N311</f>
        <v>187.31618950738476</v>
      </c>
      <c r="O16" s="45">
        <f>[2]Hydrogen!O311</f>
        <v>15.258981307395597</v>
      </c>
      <c r="P16" s="45">
        <f>[2]Hydrogen!P311</f>
        <v>1.7792738404336454</v>
      </c>
      <c r="Q16" s="45">
        <f>[2]Hydrogen!Q311</f>
        <v>419.41056994835958</v>
      </c>
      <c r="R16" s="45">
        <f>[2]Hydrogen!R311</f>
        <v>0</v>
      </c>
      <c r="S16" s="45">
        <f>[2]Hydrogen!S311</f>
        <v>61.38282841986608</v>
      </c>
      <c r="T16" s="45">
        <f>[2]Hydrogen!T311</f>
        <v>21.749059626334951</v>
      </c>
      <c r="U16" s="45">
        <f>[2]Hydrogen!U311</f>
        <v>96.853528854677862</v>
      </c>
      <c r="V16" s="45">
        <f>[2]Hydrogen!V311</f>
        <v>18.186121644198138</v>
      </c>
      <c r="W16" s="45">
        <f>[2]Hydrogen!W311</f>
        <v>17.06724204004345</v>
      </c>
      <c r="X16" s="45">
        <f>[2]Hydrogen!X311</f>
        <v>6.0758542305598944</v>
      </c>
      <c r="Y16" s="45">
        <f>[2]Hydrogen!Y311</f>
        <v>17.06724204004345</v>
      </c>
      <c r="Z16" s="45">
        <f>[2]Hydrogen!Z311</f>
        <v>3.5016771807036244</v>
      </c>
      <c r="AA16" s="45">
        <f>[2]Hydrogen!AA311</f>
        <v>50.629795041652791</v>
      </c>
      <c r="AB16" s="45">
        <f>[2]Hydrogen!AB311</f>
        <v>4.1585246608762816</v>
      </c>
      <c r="AC16" s="45">
        <f>[2]Hydrogen!AC311</f>
        <v>81.341012051985473</v>
      </c>
      <c r="AD16" s="45">
        <f>[2]Hydrogen!AD311</f>
        <v>556.78992903596259</v>
      </c>
      <c r="AE16" s="45">
        <f>[2]Hydrogen!AE311</f>
        <v>24.208661216333944</v>
      </c>
      <c r="AF16" s="45">
        <f>[2]Hydrogen!AF311</f>
        <v>2.9277069377971676</v>
      </c>
      <c r="AG16" s="45">
        <f>[2]Hydrogen!AG311</f>
        <v>98.551339770922297</v>
      </c>
      <c r="AH16" s="45">
        <f>[2]Hydrogen!AH311</f>
        <v>12.134938250612105</v>
      </c>
      <c r="AI16" s="45">
        <f>[2]Hydrogen!AI311</f>
        <v>33.905480811648296</v>
      </c>
      <c r="AJ16" s="45">
        <f>[2]Hydrogen!AJ311</f>
        <v>3.4352391158417475</v>
      </c>
      <c r="AK16" s="45">
        <f>[2]Hydrogen!AK311</f>
        <v>82.916224664717049</v>
      </c>
      <c r="AL16" s="45">
        <f>[2]Hydrogen!AL311</f>
        <v>3.4352391158417475</v>
      </c>
      <c r="AM16" s="45">
        <f>[2]Hydrogen!AM311</f>
        <v>82.916224664717049</v>
      </c>
      <c r="AN16" s="45">
        <f>[2]Hydrogen!AN311</f>
        <v>3.4779713295852681</v>
      </c>
      <c r="AO16" s="45">
        <f>[2]Hydrogen!AO311</f>
        <v>137.07816562212037</v>
      </c>
      <c r="AP16" s="45">
        <f>[2]Hydrogen!AP311</f>
        <v>82.397139975247683</v>
      </c>
      <c r="AQ16" s="45">
        <f>[2]Hydrogen!AQ311</f>
        <v>65.938807895791783</v>
      </c>
      <c r="AR16" s="45">
        <f>[2]Hydrogen!AR311</f>
        <v>168.36852873247722</v>
      </c>
      <c r="AS16" s="45">
        <f>[2]Hydrogen!AS311</f>
        <v>50.510409379256636</v>
      </c>
      <c r="AT16" s="45">
        <f>[2]Hydrogen!AT311</f>
        <v>194.55234963337153</v>
      </c>
      <c r="AU16" s="45">
        <f>[2]Hydrogen!AU311</f>
        <v>50.510409379256636</v>
      </c>
      <c r="AV16" s="45">
        <f>[2]Hydrogen!AV311</f>
        <v>3.8668131808192499</v>
      </c>
      <c r="AW16" s="45">
        <f>[2]Hydrogen!AW311</f>
        <v>133.99040870813107</v>
      </c>
      <c r="AX16" s="45">
        <f>[2]Hydrogen!AX311</f>
        <v>1.7792738404336454</v>
      </c>
      <c r="AY16" s="45">
        <f>[2]Hydrogen!AY311</f>
        <v>103.71275974244386</v>
      </c>
      <c r="AZ16" s="45">
        <f>[2]Hydrogen!AZ311</f>
        <v>187.31618950738476</v>
      </c>
      <c r="BA16" s="45">
        <f>[2]Hydrogen!BA311</f>
        <v>54.261834111714869</v>
      </c>
      <c r="BB16" s="45">
        <f>[2]Hydrogen!BB311</f>
        <v>1.7792738404336454</v>
      </c>
      <c r="BC16" s="45">
        <f>[2]Hydrogen!BC311</f>
        <v>500.6068132621557</v>
      </c>
      <c r="BD16" s="45">
        <f>[2]Hydrogen!BD311</f>
        <v>0</v>
      </c>
      <c r="BE16" s="45">
        <f>[2]Hydrogen!BE311</f>
        <v>113.81466742449891</v>
      </c>
      <c r="BF16" s="45">
        <f>[2]Hydrogen!BF311</f>
        <v>18.186121644198138</v>
      </c>
      <c r="BG16" s="45">
        <f>[2]Hydrogen!BG311</f>
        <v>65.938807895791783</v>
      </c>
      <c r="BH16" s="45">
        <f>[2]Hydrogen!BH311</f>
        <v>6.0758542305598944</v>
      </c>
      <c r="BI16" s="45">
        <f>[2]Hydrogen!BI311</f>
        <v>65.938548847719318</v>
      </c>
      <c r="BJ16" s="45">
        <f>[2]Hydrogen!BJ311</f>
        <v>3.5016771807036244</v>
      </c>
      <c r="BK16" s="45">
        <f>[2]Hydrogen!BK311</f>
        <v>112.2513066869865</v>
      </c>
      <c r="BL16" s="45">
        <f>[2]Hydrogen!BL311</f>
        <v>4.7224109732044468</v>
      </c>
      <c r="BM16" s="45">
        <f>[2]Hydrogen!BM311</f>
        <v>94.140506310044628</v>
      </c>
      <c r="BN16" s="45">
        <f>[2]Hydrogen!BN311</f>
        <v>556.78992903596259</v>
      </c>
      <c r="BO16" s="45">
        <f>[2]Hydrogen!BO311</f>
        <v>85.782182911228134</v>
      </c>
      <c r="BP16" s="45">
        <f>[2]Hydrogen!BP311</f>
        <v>2.9277069377971676</v>
      </c>
      <c r="BQ16" s="45">
        <f>[2]Hydrogen!BQ311</f>
        <v>160.25989357620824</v>
      </c>
      <c r="BR16" s="45">
        <f>[2]Hydrogen!BR311</f>
        <v>12.134938250612105</v>
      </c>
      <c r="BS16" s="45">
        <f>[2]Hydrogen!BS311</f>
        <v>95.496615296927516</v>
      </c>
      <c r="BT16" s="45">
        <f>[2]Hydrogen!BT311</f>
        <v>3.7112297653900796</v>
      </c>
      <c r="BU16" s="45">
        <f>[2]Hydrogen!BU311</f>
        <v>137.07816562212037</v>
      </c>
      <c r="BV16" s="45">
        <f>[2]Hydrogen!BV311</f>
        <v>42.4178516094914</v>
      </c>
      <c r="BW16" s="45">
        <f>[2]Hydrogen!BW311</f>
        <v>0</v>
      </c>
      <c r="BX16" s="45">
        <f>[2]Hydrogen!BX311</f>
        <v>42.4178516094914</v>
      </c>
      <c r="BY16" s="45">
        <f>[2]Hydrogen!BY311</f>
        <v>0</v>
      </c>
      <c r="BZ16" s="45">
        <f>[2]Hydrogen!BZ311</f>
        <v>42.4178516094914</v>
      </c>
      <c r="CA16" s="45">
        <f>[2]Hydrogen!CA311</f>
        <v>0</v>
      </c>
      <c r="CB16" s="45">
        <f>[2]Hydrogen!CB311</f>
        <v>42.4178516094914</v>
      </c>
      <c r="CC16" s="45">
        <f>[2]Hydrogen!CC311</f>
        <v>0</v>
      </c>
      <c r="CD16" s="45">
        <f>[2]Hydrogen!CD311</f>
        <v>3.4779713295852681</v>
      </c>
      <c r="CE16" s="45">
        <f>[2]Hydrogen!CE311</f>
        <v>39.074004782339195</v>
      </c>
      <c r="CF16" s="45">
        <f>[2]Hydrogen!CF311</f>
        <v>0.18930210633967651</v>
      </c>
      <c r="CG16" s="45">
        <f>[2]Hydrogen!CG311</f>
        <v>81.309295209474314</v>
      </c>
      <c r="CH16" s="45">
        <f>[2]Hydrogen!CH311</f>
        <v>0.20878908787464323</v>
      </c>
      <c r="CI16" s="45">
        <f>[2]Hydrogen!CI311</f>
        <v>49.568000047798428</v>
      </c>
      <c r="CJ16" s="45">
        <f>[2]Hydrogen!CJ311</f>
        <v>3.4779713295852681</v>
      </c>
      <c r="CK16" s="45">
        <f>[2]Hydrogen!CK311</f>
        <v>93.070689837391598</v>
      </c>
      <c r="CL16" s="45">
        <f>[2]Hydrogen!CL311</f>
        <v>0.18930210633967651</v>
      </c>
      <c r="CM16" s="45">
        <f>[2]Hydrogen!CM311</f>
        <v>93.070689837391598</v>
      </c>
    </row>
    <row r="17" spans="1:91">
      <c r="A17" t="s">
        <v>203</v>
      </c>
      <c r="B17" s="45">
        <f>[2]Hydrogen!B312</f>
        <v>11.107691832965823</v>
      </c>
      <c r="C17" s="45">
        <f>[2]Hydrogen!C312</f>
        <v>9.6726743295326667</v>
      </c>
      <c r="D17" s="45">
        <f>[2]Hydrogen!D312</f>
        <v>0</v>
      </c>
      <c r="E17" s="45">
        <f>[2]Hydrogen!E312</f>
        <v>1.6102382871450622</v>
      </c>
      <c r="F17" s="45">
        <f>[2]Hydrogen!F312</f>
        <v>0.75315524514925936</v>
      </c>
      <c r="G17" s="45">
        <f>[2]Hydrogen!G312</f>
        <v>1.6102382871450622</v>
      </c>
      <c r="H17" s="45">
        <f>[2]Hydrogen!H312</f>
        <v>0.90219513550926433</v>
      </c>
      <c r="I17" s="45">
        <f>[2]Hydrogen!I312</f>
        <v>0.90894945204427291</v>
      </c>
      <c r="J17" s="45">
        <f>[2]Hydrogen!J312</f>
        <v>7.321007930154769</v>
      </c>
      <c r="K17" s="45">
        <f>[2]Hydrogen!K312</f>
        <v>9.7540113654402489</v>
      </c>
      <c r="L17" s="45">
        <f>[2]Hydrogen!L312</f>
        <v>1.4982203207720808</v>
      </c>
      <c r="M17" s="45">
        <f>[2]Hydrogen!M312</f>
        <v>4.286629135596085</v>
      </c>
      <c r="N17" s="45">
        <f>[2]Hydrogen!N312</f>
        <v>1.0496111162614683</v>
      </c>
      <c r="O17" s="45">
        <f>[2]Hydrogen!O312</f>
        <v>0.91655227033108921</v>
      </c>
      <c r="P17" s="45">
        <f>[2]Hydrogen!P312</f>
        <v>1.4982203207720808</v>
      </c>
      <c r="Q17" s="45">
        <f>[2]Hydrogen!Q312</f>
        <v>18.773304076981756</v>
      </c>
      <c r="R17" s="45">
        <f>[2]Hydrogen!R312</f>
        <v>0</v>
      </c>
      <c r="S17" s="45">
        <f>[2]Hydrogen!S312</f>
        <v>16.407585647965476</v>
      </c>
      <c r="T17" s="45">
        <f>[2]Hydrogen!T312</f>
        <v>6.3321864987545595</v>
      </c>
      <c r="U17" s="45">
        <f>[2]Hydrogen!U312</f>
        <v>8.1077910261834951</v>
      </c>
      <c r="V17" s="45">
        <f>[2]Hydrogen!V312</f>
        <v>1.4031095011604517</v>
      </c>
      <c r="W17" s="45">
        <f>[2]Hydrogen!W312</f>
        <v>1.6102382871450622</v>
      </c>
      <c r="X17" s="45">
        <f>[2]Hydrogen!X312</f>
        <v>13.843373292288849</v>
      </c>
      <c r="Y17" s="45">
        <f>[2]Hydrogen!Y312</f>
        <v>1.6102382871450622</v>
      </c>
      <c r="Z17" s="45">
        <f>[2]Hydrogen!Z312</f>
        <v>11.518719403989991</v>
      </c>
      <c r="AA17" s="45">
        <f>[2]Hydrogen!AA312</f>
        <v>6.9284067254991504</v>
      </c>
      <c r="AB17" s="45">
        <f>[2]Hydrogen!AB312</f>
        <v>0</v>
      </c>
      <c r="AC17" s="45">
        <f>[2]Hydrogen!AC312</f>
        <v>0</v>
      </c>
      <c r="AD17" s="45">
        <f>[2]Hydrogen!AD312</f>
        <v>79.463281541180109</v>
      </c>
      <c r="AE17" s="45">
        <f>[2]Hydrogen!AE312</f>
        <v>2.7010183054403445</v>
      </c>
      <c r="AF17" s="45">
        <f>[2]Hydrogen!AF312</f>
        <v>2.9663383688339962</v>
      </c>
      <c r="AG17" s="45">
        <f>[2]Hydrogen!AG312</f>
        <v>3.4392119015120155</v>
      </c>
      <c r="AH17" s="45">
        <f>[2]Hydrogen!AH312</f>
        <v>24.49220598330632</v>
      </c>
      <c r="AI17" s="45">
        <f>[2]Hydrogen!AI312</f>
        <v>9.9410053436027379</v>
      </c>
      <c r="AJ17" s="45">
        <f>[2]Hydrogen!AJ312</f>
        <v>10.971216797198332</v>
      </c>
      <c r="AK17" s="45">
        <f>[2]Hydrogen!AK312</f>
        <v>9.6726743295326667</v>
      </c>
      <c r="AL17" s="45">
        <f>[2]Hydrogen!AL312</f>
        <v>10.971216797198332</v>
      </c>
      <c r="AM17" s="45">
        <f>[2]Hydrogen!AM312</f>
        <v>9.6726743295326667</v>
      </c>
      <c r="AN17" s="45">
        <f>[2]Hydrogen!AN312</f>
        <v>11.107691832965823</v>
      </c>
      <c r="AO17" s="45">
        <f>[2]Hydrogen!AO312</f>
        <v>13.737045930398619</v>
      </c>
      <c r="AP17" s="45">
        <f>[2]Hydrogen!AP312</f>
        <v>0</v>
      </c>
      <c r="AQ17" s="45">
        <f>[2]Hydrogen!AQ312</f>
        <v>5.0268654704480422</v>
      </c>
      <c r="AR17" s="45">
        <f>[2]Hydrogen!AR312</f>
        <v>0.75315524514925936</v>
      </c>
      <c r="AS17" s="45">
        <f>[2]Hydrogen!AS312</f>
        <v>0.49824236057902677</v>
      </c>
      <c r="AT17" s="45">
        <f>[2]Hydrogen!AT312</f>
        <v>0.90219513550926433</v>
      </c>
      <c r="AU17" s="45">
        <f>[2]Hydrogen!AU312</f>
        <v>0.49824236057902677</v>
      </c>
      <c r="AV17" s="45">
        <f>[2]Hydrogen!AV312</f>
        <v>7.321007930154769</v>
      </c>
      <c r="AW17" s="45">
        <f>[2]Hydrogen!AW312</f>
        <v>13.824917667564383</v>
      </c>
      <c r="AX17" s="45">
        <f>[2]Hydrogen!AX312</f>
        <v>1.4982203207720808</v>
      </c>
      <c r="AY17" s="45">
        <f>[2]Hydrogen!AY312</f>
        <v>7.918280316880125</v>
      </c>
      <c r="AZ17" s="45">
        <f>[2]Hydrogen!AZ312</f>
        <v>1.0496111162614683</v>
      </c>
      <c r="BA17" s="45">
        <f>[2]Hydrogen!BA312</f>
        <v>0.5473381066832167</v>
      </c>
      <c r="BB17" s="45">
        <f>[2]Hydrogen!BB312</f>
        <v>1.4982203207720808</v>
      </c>
      <c r="BC17" s="45">
        <f>[2]Hydrogen!BC312</f>
        <v>23.568829647221943</v>
      </c>
      <c r="BD17" s="45">
        <f>[2]Hydrogen!BD312</f>
        <v>0</v>
      </c>
      <c r="BE17" s="45">
        <f>[2]Hydrogen!BE312</f>
        <v>21.012942098249098</v>
      </c>
      <c r="BF17" s="45">
        <f>[2]Hydrogen!BF312</f>
        <v>1.4031095011604517</v>
      </c>
      <c r="BG17" s="45">
        <f>[2]Hydrogen!BG312</f>
        <v>5.0268654704480422</v>
      </c>
      <c r="BH17" s="45">
        <f>[2]Hydrogen!BH312</f>
        <v>13.843373292288849</v>
      </c>
      <c r="BI17" s="45">
        <f>[2]Hydrogen!BI312</f>
        <v>5.0268460724622193</v>
      </c>
      <c r="BJ17" s="45">
        <f>[2]Hydrogen!BJ312</f>
        <v>11.518719403989991</v>
      </c>
      <c r="BK17" s="45">
        <f>[2]Hydrogen!BK312</f>
        <v>11.548434570941586</v>
      </c>
      <c r="BL17" s="45">
        <f>[2]Hydrogen!BL312</f>
        <v>0</v>
      </c>
      <c r="BM17" s="45">
        <f>[2]Hydrogen!BM312</f>
        <v>0</v>
      </c>
      <c r="BN17" s="45">
        <f>[2]Hydrogen!BN312</f>
        <v>79.463281541180109</v>
      </c>
      <c r="BO17" s="45">
        <f>[2]Hydrogen!BO312</f>
        <v>7.3133677460834816</v>
      </c>
      <c r="BP17" s="45">
        <f>[2]Hydrogen!BP312</f>
        <v>2.9663383688339962</v>
      </c>
      <c r="BQ17" s="45">
        <f>[2]Hydrogen!BQ312</f>
        <v>8.0529021579704185</v>
      </c>
      <c r="BR17" s="45">
        <f>[2]Hydrogen!BR312</f>
        <v>24.49220598330632</v>
      </c>
      <c r="BS17" s="45">
        <f>[2]Hydrogen!BS312</f>
        <v>14.566505113881286</v>
      </c>
      <c r="BT17" s="45">
        <f>[2]Hydrogen!BT312</f>
        <v>11.852655657227265</v>
      </c>
      <c r="BU17" s="45">
        <f>[2]Hydrogen!BU312</f>
        <v>13.737045930398619</v>
      </c>
      <c r="BV17" s="45">
        <f>[2]Hydrogen!BV312</f>
        <v>13.827490004470189</v>
      </c>
      <c r="BW17" s="45">
        <f>[2]Hydrogen!BW312</f>
        <v>0</v>
      </c>
      <c r="BX17" s="45">
        <f>[2]Hydrogen!BX312</f>
        <v>13.827490004470189</v>
      </c>
      <c r="BY17" s="45">
        <f>[2]Hydrogen!BY312</f>
        <v>0</v>
      </c>
      <c r="BZ17" s="45">
        <f>[2]Hydrogen!BZ312</f>
        <v>13.827490004470189</v>
      </c>
      <c r="CA17" s="45">
        <f>[2]Hydrogen!CA312</f>
        <v>0</v>
      </c>
      <c r="CB17" s="45">
        <f>[2]Hydrogen!CB312</f>
        <v>13.827490004470189</v>
      </c>
      <c r="CC17" s="45">
        <f>[2]Hydrogen!CC312</f>
        <v>0</v>
      </c>
      <c r="CD17" s="45">
        <f>[2]Hydrogen!CD312</f>
        <v>11.107691832965823</v>
      </c>
      <c r="CE17" s="45">
        <f>[2]Hydrogen!CE312</f>
        <v>3.1481552507025983</v>
      </c>
      <c r="CF17" s="45">
        <f>[2]Hydrogen!CF312</f>
        <v>-24.405622942553713</v>
      </c>
      <c r="CG17" s="45">
        <f>[2]Hydrogen!CG312</f>
        <v>-7.680056423294312</v>
      </c>
      <c r="CH17" s="45">
        <f>[2]Hydrogen!CH312</f>
        <v>-24.040153630308737</v>
      </c>
      <c r="CI17" s="45">
        <f>[2]Hydrogen!CI312</f>
        <v>-4.5375867460507164</v>
      </c>
      <c r="CJ17" s="45">
        <f>[2]Hydrogen!CJ312</f>
        <v>11.107691832965823</v>
      </c>
      <c r="CK17" s="45">
        <f>[2]Hydrogen!CK312</f>
        <v>3.0006275934437276</v>
      </c>
      <c r="CL17" s="45">
        <f>[2]Hydrogen!CL312</f>
        <v>-24.405622942553713</v>
      </c>
      <c r="CM17" s="45">
        <f>[2]Hydrogen!CM312</f>
        <v>3.0006275934437276</v>
      </c>
    </row>
    <row r="18" spans="1:91">
      <c r="A18" t="s">
        <v>204</v>
      </c>
      <c r="B18" s="45">
        <f>[2]Hydrogen!B313</f>
        <v>35.014272979137885</v>
      </c>
      <c r="C18" s="45">
        <f>[2]Hydrogen!C313</f>
        <v>31.518996045177399</v>
      </c>
      <c r="D18" s="45">
        <f>[2]Hydrogen!D313</f>
        <v>0</v>
      </c>
      <c r="E18" s="45">
        <f>[2]Hydrogen!E313</f>
        <v>9.9741308636219017</v>
      </c>
      <c r="F18" s="45">
        <f>[2]Hydrogen!F313</f>
        <v>2.9363395746649323</v>
      </c>
      <c r="G18" s="45">
        <f>[2]Hydrogen!G313</f>
        <v>9.9741308636219017</v>
      </c>
      <c r="H18" s="45">
        <f>[2]Hydrogen!H313</f>
        <v>3.5174040113616134</v>
      </c>
      <c r="I18" s="45">
        <f>[2]Hydrogen!I313</f>
        <v>7.4872915461475964</v>
      </c>
      <c r="J18" s="45">
        <f>[2]Hydrogen!J313</f>
        <v>1.7421531066535456</v>
      </c>
      <c r="K18" s="45">
        <f>[2]Hydrogen!K313</f>
        <v>17.663880424576313</v>
      </c>
      <c r="L18" s="45">
        <f>[2]Hydrogen!L313</f>
        <v>6.2350283000810425</v>
      </c>
      <c r="M18" s="45">
        <f>[2]Hydrogen!M313</f>
        <v>21.03116934060046</v>
      </c>
      <c r="N18" s="45">
        <f>[2]Hydrogen!N313</f>
        <v>4.0541705699488597</v>
      </c>
      <c r="O18" s="45">
        <f>[2]Hydrogen!O313</f>
        <v>7.5151032784376559</v>
      </c>
      <c r="P18" s="45">
        <f>[2]Hydrogen!P313</f>
        <v>6.2350283000810425</v>
      </c>
      <c r="Q18" s="45">
        <f>[2]Hydrogen!Q313</f>
        <v>60.429336467756812</v>
      </c>
      <c r="R18" s="45">
        <f>[2]Hydrogen!R313</f>
        <v>0</v>
      </c>
      <c r="S18" s="45">
        <f>[2]Hydrogen!S313</f>
        <v>71.298612994664254</v>
      </c>
      <c r="T18" s="45">
        <f>[2]Hydrogen!T313</f>
        <v>11.11902484451179</v>
      </c>
      <c r="U18" s="45">
        <f>[2]Hydrogen!U313</f>
        <v>21.697095564097577</v>
      </c>
      <c r="V18" s="45">
        <f>[2]Hydrogen!V313</f>
        <v>5.3437540222596116</v>
      </c>
      <c r="W18" s="45">
        <f>[2]Hydrogen!W313</f>
        <v>9.9741308636219017</v>
      </c>
      <c r="X18" s="45">
        <f>[2]Hydrogen!X313</f>
        <v>57.922172414664956</v>
      </c>
      <c r="Y18" s="45">
        <f>[2]Hydrogen!Y313</f>
        <v>9.9741308636219017</v>
      </c>
      <c r="Z18" s="45">
        <f>[2]Hydrogen!Z313</f>
        <v>37.093833066572728</v>
      </c>
      <c r="AA18" s="45">
        <f>[2]Hydrogen!AA313</f>
        <v>23.079601277724382</v>
      </c>
      <c r="AB18" s="45">
        <f>[2]Hydrogen!AB313</f>
        <v>0</v>
      </c>
      <c r="AC18" s="45">
        <f>[2]Hydrogen!AC313</f>
        <v>0</v>
      </c>
      <c r="AD18" s="45">
        <f>[2]Hydrogen!AD313</f>
        <v>53.815317773556984</v>
      </c>
      <c r="AE18" s="45">
        <f>[2]Hydrogen!AE313</f>
        <v>7.6261724917803528</v>
      </c>
      <c r="AF18" s="45">
        <f>[2]Hydrogen!AF313</f>
        <v>22.411635820566698</v>
      </c>
      <c r="AG18" s="45">
        <f>[2]Hydrogen!AG313</f>
        <v>14.45675466808267</v>
      </c>
      <c r="AH18" s="45">
        <f>[2]Hydrogen!AH313</f>
        <v>25.592183466973395</v>
      </c>
      <c r="AI18" s="45">
        <f>[2]Hydrogen!AI313</f>
        <v>16.38938569693228</v>
      </c>
      <c r="AJ18" s="45">
        <f>[2]Hydrogen!AJ313</f>
        <v>34.584068916128281</v>
      </c>
      <c r="AK18" s="45">
        <f>[2]Hydrogen!AK313</f>
        <v>31.518996045177399</v>
      </c>
      <c r="AL18" s="45">
        <f>[2]Hydrogen!AL313</f>
        <v>34.584068916128281</v>
      </c>
      <c r="AM18" s="45">
        <f>[2]Hydrogen!AM313</f>
        <v>31.518996045177399</v>
      </c>
      <c r="AN18" s="45">
        <f>[2]Hydrogen!AN313</f>
        <v>35.014272979137885</v>
      </c>
      <c r="AO18" s="45">
        <f>[2]Hydrogen!AO313</f>
        <v>42.33957469947854</v>
      </c>
      <c r="AP18" s="45">
        <f>[2]Hydrogen!AP313</f>
        <v>0</v>
      </c>
      <c r="AQ18" s="45">
        <f>[2]Hydrogen!AQ313</f>
        <v>19.06377285372762</v>
      </c>
      <c r="AR18" s="45">
        <f>[2]Hydrogen!AR313</f>
        <v>2.9363395746649323</v>
      </c>
      <c r="AS18" s="45">
        <f>[2]Hydrogen!AS313</f>
        <v>3.0048290349137194</v>
      </c>
      <c r="AT18" s="45">
        <f>[2]Hydrogen!AT313</f>
        <v>3.5174040113616134</v>
      </c>
      <c r="AU18" s="45">
        <f>[2]Hydrogen!AU313</f>
        <v>3.0048290349137194</v>
      </c>
      <c r="AV18" s="45">
        <f>[2]Hydrogen!AV313</f>
        <v>1.7421531066535456</v>
      </c>
      <c r="AW18" s="45">
        <f>[2]Hydrogen!AW313</f>
        <v>27.371324816385236</v>
      </c>
      <c r="AX18" s="45">
        <f>[2]Hydrogen!AX313</f>
        <v>6.2350283000810425</v>
      </c>
      <c r="AY18" s="45">
        <f>[2]Hydrogen!AY313</f>
        <v>31.00914519290211</v>
      </c>
      <c r="AZ18" s="45">
        <f>[2]Hydrogen!AZ313</f>
        <v>4.0541705699488597</v>
      </c>
      <c r="BA18" s="45">
        <f>[2]Hydrogen!BA313</f>
        <v>3.184425297210058</v>
      </c>
      <c r="BB18" s="45">
        <f>[2]Hydrogen!BB313</f>
        <v>6.2350283000810425</v>
      </c>
      <c r="BC18" s="45">
        <f>[2]Hydrogen!BC313</f>
        <v>73.572601655026119</v>
      </c>
      <c r="BD18" s="45">
        <f>[2]Hydrogen!BD313</f>
        <v>0</v>
      </c>
      <c r="BE18" s="45">
        <f>[2]Hydrogen!BE313</f>
        <v>85.314572223479772</v>
      </c>
      <c r="BF18" s="45">
        <f>[2]Hydrogen!BF313</f>
        <v>5.3437540222596116</v>
      </c>
      <c r="BG18" s="45">
        <f>[2]Hydrogen!BG313</f>
        <v>19.06377285372762</v>
      </c>
      <c r="BH18" s="45">
        <f>[2]Hydrogen!BH313</f>
        <v>57.922172414664956</v>
      </c>
      <c r="BI18" s="45">
        <f>[2]Hydrogen!BI313</f>
        <v>19.06370367160012</v>
      </c>
      <c r="BJ18" s="45">
        <f>[2]Hydrogen!BJ313</f>
        <v>37.093833066572728</v>
      </c>
      <c r="BK18" s="45">
        <f>[2]Hydrogen!BK313</f>
        <v>39.553781534006248</v>
      </c>
      <c r="BL18" s="45">
        <f>[2]Hydrogen!BL313</f>
        <v>0</v>
      </c>
      <c r="BM18" s="45">
        <f>[2]Hydrogen!BM313</f>
        <v>0</v>
      </c>
      <c r="BN18" s="45">
        <f>[2]Hydrogen!BN313</f>
        <v>53.815317773556984</v>
      </c>
      <c r="BO18" s="45">
        <f>[2]Hydrogen!BO313</f>
        <v>24.07228395712912</v>
      </c>
      <c r="BP18" s="45">
        <f>[2]Hydrogen!BP313</f>
        <v>22.411635820566698</v>
      </c>
      <c r="BQ18" s="45">
        <f>[2]Hydrogen!BQ313</f>
        <v>30.915272841723411</v>
      </c>
      <c r="BR18" s="45">
        <f>[2]Hydrogen!BR313</f>
        <v>25.592183466973395</v>
      </c>
      <c r="BS18" s="45">
        <f>[2]Hydrogen!BS313</f>
        <v>32.851414199384244</v>
      </c>
      <c r="BT18" s="45">
        <f>[2]Hydrogen!BT313</f>
        <v>37.362588641340402</v>
      </c>
      <c r="BU18" s="45">
        <f>[2]Hydrogen!BU313</f>
        <v>42.33957469947854</v>
      </c>
      <c r="BV18" s="45">
        <f>[2]Hydrogen!BV313</f>
        <v>36.038584225514008</v>
      </c>
      <c r="BW18" s="45">
        <f>[2]Hydrogen!BW313</f>
        <v>0</v>
      </c>
      <c r="BX18" s="45">
        <f>[2]Hydrogen!BX313</f>
        <v>36.038584225514008</v>
      </c>
      <c r="BY18" s="45">
        <f>[2]Hydrogen!BY313</f>
        <v>0</v>
      </c>
      <c r="BZ18" s="45">
        <f>[2]Hydrogen!BZ313</f>
        <v>36.038584225514008</v>
      </c>
      <c r="CA18" s="45">
        <f>[2]Hydrogen!CA313</f>
        <v>0</v>
      </c>
      <c r="CB18" s="45">
        <f>[2]Hydrogen!CB313</f>
        <v>36.038584225514008</v>
      </c>
      <c r="CC18" s="45">
        <f>[2]Hydrogen!CC313</f>
        <v>0</v>
      </c>
      <c r="CD18" s="45">
        <f>[2]Hydrogen!CD313</f>
        <v>35.014272979137885</v>
      </c>
      <c r="CE18" s="45">
        <f>[2]Hydrogen!CE313</f>
        <v>2.374601831417348</v>
      </c>
      <c r="CF18" s="45">
        <f>[2]Hydrogen!CF313</f>
        <v>-22.455589045339693</v>
      </c>
      <c r="CG18" s="45">
        <f>[2]Hydrogen!CG313</f>
        <v>3.4377243188805906</v>
      </c>
      <c r="CH18" s="45">
        <f>[2]Hydrogen!CH313</f>
        <v>-20.449754175127342</v>
      </c>
      <c r="CI18" s="45">
        <f>[2]Hydrogen!CI313</f>
        <v>4.5246151563565657</v>
      </c>
      <c r="CJ18" s="45">
        <f>[2]Hydrogen!CJ313</f>
        <v>35.014272979137885</v>
      </c>
      <c r="CK18" s="45">
        <f>[2]Hydrogen!CK313</f>
        <v>14.932897776069346</v>
      </c>
      <c r="CL18" s="45">
        <f>[2]Hydrogen!CL313</f>
        <v>-22.455589045339693</v>
      </c>
      <c r="CM18" s="45">
        <f>[2]Hydrogen!CM313</f>
        <v>14.932897776069346</v>
      </c>
    </row>
    <row r="19" spans="1:91">
      <c r="A19" t="s">
        <v>205</v>
      </c>
      <c r="B19" s="45">
        <f>[2]Hydrogen!B314</f>
        <v>41.203027417373818</v>
      </c>
      <c r="C19" s="45">
        <f>[2]Hydrogen!C314</f>
        <v>41.794251396994866</v>
      </c>
      <c r="D19" s="45">
        <f>[2]Hydrogen!D314</f>
        <v>0</v>
      </c>
      <c r="E19" s="45">
        <f>[2]Hydrogen!E314</f>
        <v>11.388752225595205</v>
      </c>
      <c r="F19" s="45">
        <f>[2]Hydrogen!F314</f>
        <v>2.9707113367421654</v>
      </c>
      <c r="G19" s="45">
        <f>[2]Hydrogen!G314</f>
        <v>11.388752225595205</v>
      </c>
      <c r="H19" s="45">
        <f>[2]Hydrogen!H314</f>
        <v>3.5585775101119483</v>
      </c>
      <c r="I19" s="45">
        <f>[2]Hydrogen!I314</f>
        <v>6.9245917162624826</v>
      </c>
      <c r="J19" s="45">
        <f>[2]Hydrogen!J314</f>
        <v>4.8328666854299254</v>
      </c>
      <c r="K19" s="45">
        <f>[2]Hydrogen!K314</f>
        <v>17.18574891052376</v>
      </c>
      <c r="L19" s="45">
        <f>[2]Hydrogen!L314</f>
        <v>8.977976416607671</v>
      </c>
      <c r="M19" s="45">
        <f>[2]Hydrogen!M314</f>
        <v>30.250511422339624</v>
      </c>
      <c r="N19" s="45">
        <f>[2]Hydrogen!N314</f>
        <v>3.976233388832032</v>
      </c>
      <c r="O19" s="45">
        <f>[2]Hydrogen!O314</f>
        <v>6.9466866255044835</v>
      </c>
      <c r="P19" s="45">
        <f>[2]Hydrogen!P314</f>
        <v>8.977976416607671</v>
      </c>
      <c r="Q19" s="45">
        <f>[2]Hydrogen!Q314</f>
        <v>93.564801144261978</v>
      </c>
      <c r="R19" s="45">
        <f>[2]Hydrogen!R314</f>
        <v>0</v>
      </c>
      <c r="S19" s="45">
        <f>[2]Hydrogen!S314</f>
        <v>73.04618229419664</v>
      </c>
      <c r="T19" s="45">
        <f>[2]Hydrogen!T314</f>
        <v>16.6514674176779</v>
      </c>
      <c r="U19" s="45">
        <f>[2]Hydrogen!U314</f>
        <v>21.395667108944608</v>
      </c>
      <c r="V19" s="45">
        <f>[2]Hydrogen!V314</f>
        <v>8.902165146445375</v>
      </c>
      <c r="W19" s="45">
        <f>[2]Hydrogen!W314</f>
        <v>11.388752225595205</v>
      </c>
      <c r="X19" s="45">
        <f>[2]Hydrogen!X314</f>
        <v>55.718138057083742</v>
      </c>
      <c r="Y19" s="45">
        <f>[2]Hydrogen!Y314</f>
        <v>11.388752225595205</v>
      </c>
      <c r="Z19" s="45">
        <f>[2]Hydrogen!Z314</f>
        <v>43.657594511647645</v>
      </c>
      <c r="AA19" s="45">
        <f>[2]Hydrogen!AA314</f>
        <v>32.709108699635479</v>
      </c>
      <c r="AB19" s="45">
        <f>[2]Hydrogen!AB314</f>
        <v>0</v>
      </c>
      <c r="AC19" s="45">
        <f>[2]Hydrogen!AC314</f>
        <v>0</v>
      </c>
      <c r="AD19" s="45">
        <f>[2]Hydrogen!AD314</f>
        <v>113.48941768174457</v>
      </c>
      <c r="AE19" s="45">
        <f>[2]Hydrogen!AE314</f>
        <v>12.80024950744024</v>
      </c>
      <c r="AF19" s="45">
        <f>[2]Hydrogen!AF314</f>
        <v>25.204477276975979</v>
      </c>
      <c r="AG19" s="45">
        <f>[2]Hydrogen!AG314</f>
        <v>22.118091202510897</v>
      </c>
      <c r="AH19" s="45">
        <f>[2]Hydrogen!AH314</f>
        <v>30.515063110062268</v>
      </c>
      <c r="AI19" s="45">
        <f>[2]Hydrogen!AI314</f>
        <v>24.186742206081664</v>
      </c>
      <c r="AJ19" s="45">
        <f>[2]Hydrogen!AJ314</f>
        <v>40.696785011203865</v>
      </c>
      <c r="AK19" s="45">
        <f>[2]Hydrogen!AK314</f>
        <v>41.794251396994866</v>
      </c>
      <c r="AL19" s="45">
        <f>[2]Hydrogen!AL314</f>
        <v>40.696785011203865</v>
      </c>
      <c r="AM19" s="45">
        <f>[2]Hydrogen!AM314</f>
        <v>41.794251396994866</v>
      </c>
      <c r="AN19" s="45">
        <f>[2]Hydrogen!AN314</f>
        <v>41.203027417373818</v>
      </c>
      <c r="AO19" s="45">
        <f>[2]Hydrogen!AO314</f>
        <v>64.512301671677307</v>
      </c>
      <c r="AP19" s="45">
        <f>[2]Hydrogen!AP314</f>
        <v>0</v>
      </c>
      <c r="AQ19" s="45">
        <f>[2]Hydrogen!AQ314</f>
        <v>31.663993373117478</v>
      </c>
      <c r="AR19" s="45">
        <f>[2]Hydrogen!AR314</f>
        <v>2.9707113367421654</v>
      </c>
      <c r="AS19" s="45">
        <f>[2]Hydrogen!AS314</f>
        <v>2.8363556911012253</v>
      </c>
      <c r="AT19" s="45">
        <f>[2]Hydrogen!AT314</f>
        <v>3.5585775101119483</v>
      </c>
      <c r="AU19" s="45">
        <f>[2]Hydrogen!AU314</f>
        <v>2.8363556911012253</v>
      </c>
      <c r="AV19" s="45">
        <f>[2]Hydrogen!AV314</f>
        <v>4.8328666854299254</v>
      </c>
      <c r="AW19" s="45">
        <f>[2]Hydrogen!AW314</f>
        <v>37.926726743776243</v>
      </c>
      <c r="AX19" s="45">
        <f>[2]Hydrogen!AX314</f>
        <v>8.977976416607671</v>
      </c>
      <c r="AY19" s="45">
        <f>[2]Hydrogen!AY314</f>
        <v>52.041125735103165</v>
      </c>
      <c r="AZ19" s="45">
        <f>[2]Hydrogen!AZ314</f>
        <v>3.976233388832032</v>
      </c>
      <c r="BA19" s="45">
        <f>[2]Hydrogen!BA314</f>
        <v>2.9790351572435934</v>
      </c>
      <c r="BB19" s="45">
        <f>[2]Hydrogen!BB314</f>
        <v>8.977976416607671</v>
      </c>
      <c r="BC19" s="45">
        <f>[2]Hydrogen!BC314</f>
        <v>120.44215071963413</v>
      </c>
      <c r="BD19" s="45">
        <f>[2]Hydrogen!BD314</f>
        <v>0</v>
      </c>
      <c r="BE19" s="45">
        <f>[2]Hydrogen!BE314</f>
        <v>98.272813995450733</v>
      </c>
      <c r="BF19" s="45">
        <f>[2]Hydrogen!BF314</f>
        <v>8.902165146445375</v>
      </c>
      <c r="BG19" s="45">
        <f>[2]Hydrogen!BG314</f>
        <v>31.663993373117478</v>
      </c>
      <c r="BH19" s="45">
        <f>[2]Hydrogen!BH314</f>
        <v>55.718138057083742</v>
      </c>
      <c r="BI19" s="45">
        <f>[2]Hydrogen!BI314</f>
        <v>31.663872604318783</v>
      </c>
      <c r="BJ19" s="45">
        <f>[2]Hydrogen!BJ314</f>
        <v>43.657594511647645</v>
      </c>
      <c r="BK19" s="45">
        <f>[2]Hydrogen!BK314</f>
        <v>61.45373567410045</v>
      </c>
      <c r="BL19" s="45">
        <f>[2]Hydrogen!BL314</f>
        <v>0</v>
      </c>
      <c r="BM19" s="45">
        <f>[2]Hydrogen!BM314</f>
        <v>0</v>
      </c>
      <c r="BN19" s="45">
        <f>[2]Hydrogen!BN314</f>
        <v>113.48941768174458</v>
      </c>
      <c r="BO19" s="45">
        <f>[2]Hydrogen!BO314</f>
        <v>41.508715082767019</v>
      </c>
      <c r="BP19" s="45">
        <f>[2]Hydrogen!BP314</f>
        <v>25.204477276975979</v>
      </c>
      <c r="BQ19" s="45">
        <f>[2]Hydrogen!BQ314</f>
        <v>50.843481212803496</v>
      </c>
      <c r="BR19" s="45">
        <f>[2]Hydrogen!BR314</f>
        <v>30.515063110062268</v>
      </c>
      <c r="BS19" s="45">
        <f>[2]Hydrogen!BS314</f>
        <v>52.915889604675407</v>
      </c>
      <c r="BT19" s="45">
        <f>[2]Hydrogen!BT314</f>
        <v>43.966406644811393</v>
      </c>
      <c r="BU19" s="45">
        <f>[2]Hydrogen!BU314</f>
        <v>64.512301671677307</v>
      </c>
      <c r="BV19" s="45">
        <f>[2]Hydrogen!BV314</f>
        <v>43.340731976070145</v>
      </c>
      <c r="BW19" s="45">
        <f>[2]Hydrogen!BW314</f>
        <v>0</v>
      </c>
      <c r="BX19" s="45">
        <f>[2]Hydrogen!BX314</f>
        <v>43.340731976070145</v>
      </c>
      <c r="BY19" s="45">
        <f>[2]Hydrogen!BY314</f>
        <v>0</v>
      </c>
      <c r="BZ19" s="45">
        <f>[2]Hydrogen!BZ314</f>
        <v>43.340731976070145</v>
      </c>
      <c r="CA19" s="45">
        <f>[2]Hydrogen!CA314</f>
        <v>0</v>
      </c>
      <c r="CB19" s="45">
        <f>[2]Hydrogen!CB314</f>
        <v>43.340731976070145</v>
      </c>
      <c r="CC19" s="45">
        <f>[2]Hydrogen!CC314</f>
        <v>0</v>
      </c>
      <c r="CD19" s="45">
        <f>[2]Hydrogen!CD314</f>
        <v>41.203027417373818</v>
      </c>
      <c r="CE19" s="45">
        <f>[2]Hydrogen!CE314</f>
        <v>3.7266582985047854</v>
      </c>
      <c r="CF19" s="45">
        <f>[2]Hydrogen!CF314</f>
        <v>9.8950272976341456</v>
      </c>
      <c r="CG19" s="45">
        <f>[2]Hydrogen!CG314</f>
        <v>26.496346937177524</v>
      </c>
      <c r="CH19" s="45">
        <f>[2]Hydrogen!CH314</f>
        <v>12.309430921380653</v>
      </c>
      <c r="CI19" s="45">
        <f>[2]Hydrogen!CI314</f>
        <v>22.600862616460162</v>
      </c>
      <c r="CJ19" s="45">
        <f>[2]Hydrogen!CJ314</f>
        <v>41.203027417373818</v>
      </c>
      <c r="CK19" s="45">
        <f>[2]Hydrogen!CK314</f>
        <v>20.045096640187708</v>
      </c>
      <c r="CL19" s="45">
        <f>[2]Hydrogen!CL314</f>
        <v>9.8950272976341456</v>
      </c>
      <c r="CM19" s="45">
        <f>[2]Hydrogen!CM314</f>
        <v>20.045096640187708</v>
      </c>
    </row>
    <row r="20" spans="1:91">
      <c r="A20" t="s">
        <v>206</v>
      </c>
      <c r="B20" s="45">
        <f>[2]Hydrogen!B315</f>
        <v>0.40554909582209131</v>
      </c>
      <c r="C20" s="45">
        <f>[2]Hydrogen!C315</f>
        <v>4.7398168237892229</v>
      </c>
      <c r="D20" s="45">
        <f>[2]Hydrogen!D315</f>
        <v>0</v>
      </c>
      <c r="E20" s="45">
        <f>[2]Hydrogen!E315</f>
        <v>1.3205957223263578</v>
      </c>
      <c r="F20" s="45">
        <f>[2]Hydrogen!F315</f>
        <v>0.18909575398713999</v>
      </c>
      <c r="G20" s="45">
        <f>[2]Hydrogen!G315</f>
        <v>1.3205957223263578</v>
      </c>
      <c r="H20" s="45">
        <f>[2]Hydrogen!H315</f>
        <v>0.22651541032399597</v>
      </c>
      <c r="I20" s="45">
        <f>[2]Hydrogen!I315</f>
        <v>0.6713853719205185</v>
      </c>
      <c r="J20" s="45">
        <f>[2]Hydrogen!J315</f>
        <v>8.5048430043686309</v>
      </c>
      <c r="K20" s="45">
        <f>[2]Hydrogen!K315</f>
        <v>7.4701242904202765</v>
      </c>
      <c r="L20" s="45">
        <f>[2]Hydrogen!L315</f>
        <v>0.649538353743218</v>
      </c>
      <c r="M20" s="45">
        <f>[2]Hydrogen!M315</f>
        <v>2.4555995090236173</v>
      </c>
      <c r="N20" s="45">
        <f>[2]Hydrogen!N315</f>
        <v>0.24973574189389477</v>
      </c>
      <c r="O20" s="45">
        <f>[2]Hydrogen!O315</f>
        <v>0.67262964361109878</v>
      </c>
      <c r="P20" s="45">
        <f>[2]Hydrogen!P315</f>
        <v>0.649538353743218</v>
      </c>
      <c r="Q20" s="45">
        <f>[2]Hydrogen!Q315</f>
        <v>10.830399383997561</v>
      </c>
      <c r="R20" s="45">
        <f>[2]Hydrogen!R315</f>
        <v>0</v>
      </c>
      <c r="S20" s="45">
        <f>[2]Hydrogen!S315</f>
        <v>5.9606999441293684</v>
      </c>
      <c r="T20" s="45">
        <f>[2]Hydrogen!T315</f>
        <v>1.2774105049139552</v>
      </c>
      <c r="U20" s="45">
        <f>[2]Hydrogen!U315</f>
        <v>2.1070787520069234</v>
      </c>
      <c r="V20" s="45">
        <f>[2]Hydrogen!V315</f>
        <v>1.1589388517332657</v>
      </c>
      <c r="W20" s="45">
        <f>[2]Hydrogen!W315</f>
        <v>1.3205957223263578</v>
      </c>
      <c r="X20" s="45">
        <f>[2]Hydrogen!X315</f>
        <v>3.7941366965497831</v>
      </c>
      <c r="Y20" s="45">
        <f>[2]Hydrogen!Y315</f>
        <v>1.3205957223263578</v>
      </c>
      <c r="Z20" s="45">
        <f>[2]Hydrogen!Z315</f>
        <v>0.41111952835317866</v>
      </c>
      <c r="AA20" s="45">
        <f>[2]Hydrogen!AA315</f>
        <v>3.4376854444750595</v>
      </c>
      <c r="AB20" s="45">
        <f>[2]Hydrogen!AB315</f>
        <v>0</v>
      </c>
      <c r="AC20" s="45">
        <f>[2]Hydrogen!AC315</f>
        <v>0</v>
      </c>
      <c r="AD20" s="45">
        <f>[2]Hydrogen!AD315</f>
        <v>21.180406548294556</v>
      </c>
      <c r="AE20" s="45">
        <f>[2]Hydrogen!AE315</f>
        <v>2.7189831331317307</v>
      </c>
      <c r="AF20" s="45">
        <f>[2]Hydrogen!AF315</f>
        <v>1.6442557493952186</v>
      </c>
      <c r="AG20" s="45">
        <f>[2]Hydrogen!AG315</f>
        <v>2.9942550062943014</v>
      </c>
      <c r="AH20" s="45">
        <f>[2]Hydrogen!AH315</f>
        <v>1.8339441592557144</v>
      </c>
      <c r="AI20" s="45">
        <f>[2]Hydrogen!AI315</f>
        <v>3.6468655193999804</v>
      </c>
      <c r="AJ20" s="45">
        <f>[2]Hydrogen!AJ315</f>
        <v>0.40056630297996981</v>
      </c>
      <c r="AK20" s="45">
        <f>[2]Hydrogen!AK315</f>
        <v>4.7398168237892229</v>
      </c>
      <c r="AL20" s="45">
        <f>[2]Hydrogen!AL315</f>
        <v>0.40056630297996981</v>
      </c>
      <c r="AM20" s="45">
        <f>[2]Hydrogen!AM315</f>
        <v>4.7398168237892229</v>
      </c>
      <c r="AN20" s="45">
        <f>[2]Hydrogen!AN315</f>
        <v>0.40554909582209131</v>
      </c>
      <c r="AO20" s="45">
        <f>[2]Hydrogen!AO315</f>
        <v>8.1228301655399893</v>
      </c>
      <c r="AP20" s="45">
        <f>[2]Hydrogen!AP315</f>
        <v>0</v>
      </c>
      <c r="AQ20" s="45">
        <f>[2]Hydrogen!AQ315</f>
        <v>4.428905318305743</v>
      </c>
      <c r="AR20" s="45">
        <f>[2]Hydrogen!AR315</f>
        <v>0.18909575398713999</v>
      </c>
      <c r="AS20" s="45">
        <f>[2]Hydrogen!AS315</f>
        <v>0.23658277036227718</v>
      </c>
      <c r="AT20" s="45">
        <f>[2]Hydrogen!AT315</f>
        <v>0.22651541032399597</v>
      </c>
      <c r="AU20" s="45">
        <f>[2]Hydrogen!AU315</f>
        <v>0.23658277036227718</v>
      </c>
      <c r="AV20" s="45">
        <f>[2]Hydrogen!AV315</f>
        <v>8.5048430043686309</v>
      </c>
      <c r="AW20" s="45">
        <f>[2]Hydrogen!AW315</f>
        <v>11.072493346801553</v>
      </c>
      <c r="AX20" s="45">
        <f>[2]Hydrogen!AX315</f>
        <v>0.649538353743218</v>
      </c>
      <c r="AY20" s="45">
        <f>[2]Hydrogen!AY315</f>
        <v>5.6550964785065903</v>
      </c>
      <c r="AZ20" s="45">
        <f>[2]Hydrogen!AZ315</f>
        <v>0.24973574189389477</v>
      </c>
      <c r="BA20" s="45">
        <f>[2]Hydrogen!BA315</f>
        <v>0.24461774432861455</v>
      </c>
      <c r="BB20" s="45">
        <f>[2]Hydrogen!BB315</f>
        <v>0.649538353743218</v>
      </c>
      <c r="BC20" s="45">
        <f>[2]Hydrogen!BC315</f>
        <v>14.702736403150549</v>
      </c>
      <c r="BD20" s="45">
        <f>[2]Hydrogen!BD315</f>
        <v>0</v>
      </c>
      <c r="BE20" s="45">
        <f>[2]Hydrogen!BE315</f>
        <v>9.4417345157572381</v>
      </c>
      <c r="BF20" s="45">
        <f>[2]Hydrogen!BF315</f>
        <v>1.1589388517332657</v>
      </c>
      <c r="BG20" s="45">
        <f>[2]Hydrogen!BG315</f>
        <v>4.428905318305743</v>
      </c>
      <c r="BH20" s="45">
        <f>[2]Hydrogen!BH315</f>
        <v>3.7941366965497831</v>
      </c>
      <c r="BI20" s="45">
        <f>[2]Hydrogen!BI315</f>
        <v>4.4288881165110574</v>
      </c>
      <c r="BJ20" s="45">
        <f>[2]Hydrogen!BJ315</f>
        <v>0.41111952835317866</v>
      </c>
      <c r="BK20" s="45">
        <f>[2]Hydrogen!BK315</f>
        <v>7.529729775559316</v>
      </c>
      <c r="BL20" s="45">
        <f>[2]Hydrogen!BL315</f>
        <v>0</v>
      </c>
      <c r="BM20" s="45">
        <f>[2]Hydrogen!BM315</f>
        <v>0</v>
      </c>
      <c r="BN20" s="45">
        <f>[2]Hydrogen!BN315</f>
        <v>21.180406548294556</v>
      </c>
      <c r="BO20" s="45">
        <f>[2]Hydrogen!BO315</f>
        <v>6.8097220513396817</v>
      </c>
      <c r="BP20" s="45">
        <f>[2]Hydrogen!BP315</f>
        <v>1.6442557493952186</v>
      </c>
      <c r="BQ20" s="45">
        <f>[2]Hydrogen!BQ315</f>
        <v>7.0854939137774231</v>
      </c>
      <c r="BR20" s="45">
        <f>[2]Hydrogen!BR315</f>
        <v>1.8339441592557144</v>
      </c>
      <c r="BS20" s="45">
        <f>[2]Hydrogen!BS315</f>
        <v>7.7392897941117491</v>
      </c>
      <c r="BT20" s="45">
        <f>[2]Hydrogen!BT315</f>
        <v>0.43274821242458411</v>
      </c>
      <c r="BU20" s="45">
        <f>[2]Hydrogen!BU315</f>
        <v>8.1228301655399893</v>
      </c>
      <c r="BV20" s="45">
        <f>[2]Hydrogen!BV315</f>
        <v>2.1519773742343538</v>
      </c>
      <c r="BW20" s="45">
        <f>[2]Hydrogen!BW315</f>
        <v>0</v>
      </c>
      <c r="BX20" s="45">
        <f>[2]Hydrogen!BX315</f>
        <v>2.1519773742343538</v>
      </c>
      <c r="BY20" s="45">
        <f>[2]Hydrogen!BY315</f>
        <v>0</v>
      </c>
      <c r="BZ20" s="45">
        <f>[2]Hydrogen!BZ315</f>
        <v>2.1519773742343538</v>
      </c>
      <c r="CA20" s="45">
        <f>[2]Hydrogen!CA315</f>
        <v>0</v>
      </c>
      <c r="CB20" s="45">
        <f>[2]Hydrogen!CB315</f>
        <v>2.1519773742343538</v>
      </c>
      <c r="CC20" s="45">
        <f>[2]Hydrogen!CC315</f>
        <v>0</v>
      </c>
      <c r="CD20" s="45">
        <f>[2]Hydrogen!CD315</f>
        <v>0.40554909582209131</v>
      </c>
      <c r="CE20" s="45">
        <f>[2]Hydrogen!CE315</f>
        <v>1.7620678756184311</v>
      </c>
      <c r="CF20" s="45">
        <f>[2]Hydrogen!CF315</f>
        <v>-5.3741985224860684</v>
      </c>
      <c r="CG20" s="45">
        <f>[2]Hydrogen!CG315</f>
        <v>1.9156815699060621</v>
      </c>
      <c r="CH20" s="45">
        <f>[2]Hydrogen!CH315</f>
        <v>-5.3760426396622591</v>
      </c>
      <c r="CI20" s="45">
        <f>[2]Hydrogen!CI315</f>
        <v>1.5716093297100793</v>
      </c>
      <c r="CJ20" s="45">
        <f>[2]Hydrogen!CJ315</f>
        <v>0.40554909582209131</v>
      </c>
      <c r="CK20" s="45">
        <f>[2]Hydrogen!CK315</f>
        <v>2.5535686504045536</v>
      </c>
      <c r="CL20" s="45">
        <f>[2]Hydrogen!CL315</f>
        <v>-5.3741985224860684</v>
      </c>
      <c r="CM20" s="45">
        <f>[2]Hydrogen!CM315</f>
        <v>2.5535686504045536</v>
      </c>
    </row>
    <row r="21" spans="1:91">
      <c r="A21" t="s">
        <v>207</v>
      </c>
      <c r="B21" s="45">
        <f>[2]Hydrogen!B316</f>
        <v>0.38455892510146839</v>
      </c>
      <c r="C21" s="45">
        <f>[2]Hydrogen!C316</f>
        <v>3.8250598240917095</v>
      </c>
      <c r="D21" s="45">
        <f>[2]Hydrogen!D316</f>
        <v>0</v>
      </c>
      <c r="E21" s="45">
        <f>[2]Hydrogen!E316</f>
        <v>0.68478596107060286</v>
      </c>
      <c r="F21" s="45">
        <f>[2]Hydrogen!F316</f>
        <v>0.13144315848101767</v>
      </c>
      <c r="G21" s="45">
        <f>[2]Hydrogen!G316</f>
        <v>0.68478596107060286</v>
      </c>
      <c r="H21" s="45">
        <f>[2]Hydrogen!H316</f>
        <v>0.15745409587374773</v>
      </c>
      <c r="I21" s="45">
        <f>[2]Hydrogen!I316</f>
        <v>0.3160284204686612</v>
      </c>
      <c r="J21" s="45">
        <f>[2]Hydrogen!J316</f>
        <v>1.183266795305052</v>
      </c>
      <c r="K21" s="45">
        <f>[2]Hydrogen!K316</f>
        <v>1.6941470577342375</v>
      </c>
      <c r="L21" s="45">
        <f>[2]Hydrogen!L316</f>
        <v>0.54526061645111901</v>
      </c>
      <c r="M21" s="45">
        <f>[2]Hydrogen!M316</f>
        <v>1.6276173984292859</v>
      </c>
      <c r="N21" s="45">
        <f>[2]Hydrogen!N316</f>
        <v>0.17644403535514397</v>
      </c>
      <c r="O21" s="45">
        <f>[2]Hydrogen!O316</f>
        <v>0.317030624252023</v>
      </c>
      <c r="P21" s="45">
        <f>[2]Hydrogen!P316</f>
        <v>0.54526061645111901</v>
      </c>
      <c r="Q21" s="45">
        <f>[2]Hydrogen!Q316</f>
        <v>6.5456763409055627</v>
      </c>
      <c r="R21" s="45">
        <f>[2]Hydrogen!R316</f>
        <v>0</v>
      </c>
      <c r="S21" s="45">
        <f>[2]Hydrogen!S316</f>
        <v>4.8656088898587031</v>
      </c>
      <c r="T21" s="45">
        <f>[2]Hydrogen!T316</f>
        <v>1.065309020300875</v>
      </c>
      <c r="U21" s="45">
        <f>[2]Hydrogen!U316</f>
        <v>1.3299259739736402</v>
      </c>
      <c r="V21" s="45">
        <f>[2]Hydrogen!V316</f>
        <v>0.68124062413441944</v>
      </c>
      <c r="W21" s="45">
        <f>[2]Hydrogen!W316</f>
        <v>0.68478596107060286</v>
      </c>
      <c r="X21" s="45">
        <f>[2]Hydrogen!X316</f>
        <v>3.6985476126347687</v>
      </c>
      <c r="Y21" s="45">
        <f>[2]Hydrogen!Y316</f>
        <v>0.68478596107060286</v>
      </c>
      <c r="Z21" s="45">
        <f>[2]Hydrogen!Z316</f>
        <v>0.38976657399906967</v>
      </c>
      <c r="AA21" s="45">
        <f>[2]Hydrogen!AA316</f>
        <v>2.6048002144604085</v>
      </c>
      <c r="AB21" s="45">
        <f>[2]Hydrogen!AB316</f>
        <v>0</v>
      </c>
      <c r="AC21" s="45">
        <f>[2]Hydrogen!AC316</f>
        <v>0</v>
      </c>
      <c r="AD21" s="45">
        <f>[2]Hydrogen!AD316</f>
        <v>7.6700483737997027</v>
      </c>
      <c r="AE21" s="45">
        <f>[2]Hydrogen!AE316</f>
        <v>1.9874553911472757</v>
      </c>
      <c r="AF21" s="45">
        <f>[2]Hydrogen!AF316</f>
        <v>1.140480468621238</v>
      </c>
      <c r="AG21" s="45">
        <f>[2]Hydrogen!AG316</f>
        <v>1.6717408072296447</v>
      </c>
      <c r="AH21" s="45">
        <f>[2]Hydrogen!AH316</f>
        <v>1.5210492909709201</v>
      </c>
      <c r="AI21" s="45">
        <f>[2]Hydrogen!AI316</f>
        <v>2.6477758586828255</v>
      </c>
      <c r="AJ21" s="45">
        <f>[2]Hydrogen!AJ316</f>
        <v>0.37983402871010735</v>
      </c>
      <c r="AK21" s="45">
        <f>[2]Hydrogen!AK316</f>
        <v>3.8250598240917095</v>
      </c>
      <c r="AL21" s="45">
        <f>[2]Hydrogen!AL316</f>
        <v>0.37983402871010735</v>
      </c>
      <c r="AM21" s="45">
        <f>[2]Hydrogen!AM316</f>
        <v>3.8250598240917095</v>
      </c>
      <c r="AN21" s="45">
        <f>[2]Hydrogen!AN316</f>
        <v>0.38455892510146839</v>
      </c>
      <c r="AO21" s="45">
        <f>[2]Hydrogen!AO316</f>
        <v>5.8991884246037616</v>
      </c>
      <c r="AP21" s="45">
        <f>[2]Hydrogen!AP316</f>
        <v>0</v>
      </c>
      <c r="AQ21" s="45">
        <f>[2]Hydrogen!AQ316</f>
        <v>2.5066217243189879</v>
      </c>
      <c r="AR21" s="45">
        <f>[2]Hydrogen!AR316</f>
        <v>0.13144315848101767</v>
      </c>
      <c r="AS21" s="45">
        <f>[2]Hydrogen!AS316</f>
        <v>0.12534337405349757</v>
      </c>
      <c r="AT21" s="45">
        <f>[2]Hydrogen!AT316</f>
        <v>0.15745409587374773</v>
      </c>
      <c r="AU21" s="45">
        <f>[2]Hydrogen!AU316</f>
        <v>0.12534337405349757</v>
      </c>
      <c r="AV21" s="45">
        <f>[2]Hydrogen!AV316</f>
        <v>1.183266795305052</v>
      </c>
      <c r="AW21" s="45">
        <f>[2]Hydrogen!AW316</f>
        <v>3.597075931331871</v>
      </c>
      <c r="AX21" s="45">
        <f>[2]Hydrogen!AX316</f>
        <v>0.54526061645111901</v>
      </c>
      <c r="AY21" s="45">
        <f>[2]Hydrogen!AY316</f>
        <v>3.5252012106595392</v>
      </c>
      <c r="AZ21" s="45">
        <f>[2]Hydrogen!AZ316</f>
        <v>0.17644403535514397</v>
      </c>
      <c r="BA21" s="45">
        <f>[2]Hydrogen!BA316</f>
        <v>0.13181517709236648</v>
      </c>
      <c r="BB21" s="45">
        <f>[2]Hydrogen!BB316</f>
        <v>0.54526061645111901</v>
      </c>
      <c r="BC21" s="45">
        <f>[2]Hydrogen!BC316</f>
        <v>8.8383820751562023</v>
      </c>
      <c r="BD21" s="45">
        <f>[2]Hydrogen!BD316</f>
        <v>0</v>
      </c>
      <c r="BE21" s="45">
        <f>[2]Hydrogen!BE316</f>
        <v>7.0232730499124161</v>
      </c>
      <c r="BF21" s="45">
        <f>[2]Hydrogen!BF316</f>
        <v>0.68124062413441944</v>
      </c>
      <c r="BG21" s="45">
        <f>[2]Hydrogen!BG316</f>
        <v>2.5066217243189879</v>
      </c>
      <c r="BH21" s="45">
        <f>[2]Hydrogen!BH316</f>
        <v>3.6985476126347687</v>
      </c>
      <c r="BI21" s="45">
        <f>[2]Hydrogen!BI316</f>
        <v>2.5066119177948338</v>
      </c>
      <c r="BJ21" s="45">
        <f>[2]Hydrogen!BJ316</f>
        <v>0.38976657399906967</v>
      </c>
      <c r="BK21" s="45">
        <f>[2]Hydrogen!BK316</f>
        <v>4.9387941712149575</v>
      </c>
      <c r="BL21" s="45">
        <f>[2]Hydrogen!BL316</f>
        <v>0</v>
      </c>
      <c r="BM21" s="45">
        <f>[2]Hydrogen!BM316</f>
        <v>0</v>
      </c>
      <c r="BN21" s="45">
        <f>[2]Hydrogen!BN316</f>
        <v>7.6700483737997036</v>
      </c>
      <c r="BO21" s="45">
        <f>[2]Hydrogen!BO316</f>
        <v>4.3203280354074121</v>
      </c>
      <c r="BP21" s="45">
        <f>[2]Hydrogen!BP316</f>
        <v>1.140480468621238</v>
      </c>
      <c r="BQ21" s="45">
        <f>[2]Hydrogen!BQ316</f>
        <v>4.0040400042132402</v>
      </c>
      <c r="BR21" s="45">
        <f>[2]Hydrogen!BR316</f>
        <v>1.5210492909709201</v>
      </c>
      <c r="BS21" s="45">
        <f>[2]Hydrogen!BS316</f>
        <v>4.9818478741251653</v>
      </c>
      <c r="BT21" s="45">
        <f>[2]Hydrogen!BT316</f>
        <v>0.41035028588150241</v>
      </c>
      <c r="BU21" s="45">
        <f>[2]Hydrogen!BU316</f>
        <v>5.8991884246037616</v>
      </c>
      <c r="BV21" s="45">
        <f>[2]Hydrogen!BV316</f>
        <v>2.0317109583134347</v>
      </c>
      <c r="BW21" s="45">
        <f>[2]Hydrogen!BW316</f>
        <v>0</v>
      </c>
      <c r="BX21" s="45">
        <f>[2]Hydrogen!BX316</f>
        <v>2.0317109583134347</v>
      </c>
      <c r="BY21" s="45">
        <f>[2]Hydrogen!BY316</f>
        <v>0</v>
      </c>
      <c r="BZ21" s="45">
        <f>[2]Hydrogen!BZ316</f>
        <v>2.0317109583134347</v>
      </c>
      <c r="CA21" s="45">
        <f>[2]Hydrogen!CA316</f>
        <v>0</v>
      </c>
      <c r="CB21" s="45">
        <f>[2]Hydrogen!CB316</f>
        <v>2.0317109583134347</v>
      </c>
      <c r="CC21" s="45">
        <f>[2]Hydrogen!CC316</f>
        <v>0</v>
      </c>
      <c r="CD21" s="45">
        <f>[2]Hydrogen!CD316</f>
        <v>0.38455892510146839</v>
      </c>
      <c r="CE21" s="45">
        <f>[2]Hydrogen!CE316</f>
        <v>1.6619821653774256</v>
      </c>
      <c r="CF21" s="45">
        <f>[2]Hydrogen!CF316</f>
        <v>-5.3775022990008265</v>
      </c>
      <c r="CG21" s="45">
        <f>[2]Hydrogen!CG316</f>
        <v>1.0095666031638695</v>
      </c>
      <c r="CH21" s="45">
        <f>[2]Hydrogen!CH316</f>
        <v>-5.3796865108182432</v>
      </c>
      <c r="CI21" s="45">
        <f>[2]Hydrogen!CI316</f>
        <v>0.74443441093451024</v>
      </c>
      <c r="CJ21" s="45">
        <f>[2]Hydrogen!CJ316</f>
        <v>0.38455892510146839</v>
      </c>
      <c r="CK21" s="45">
        <f>[2]Hydrogen!CK316</f>
        <v>1.3876881304173714</v>
      </c>
      <c r="CL21" s="45">
        <f>[2]Hydrogen!CL316</f>
        <v>-5.3775022990008265</v>
      </c>
      <c r="CM21" s="45">
        <f>[2]Hydrogen!CM316</f>
        <v>1.3876881304173714</v>
      </c>
    </row>
    <row r="22" spans="1:91">
      <c r="A22" t="s">
        <v>208</v>
      </c>
      <c r="B22" s="45">
        <f>[2]Hydrogen!B317</f>
        <v>11.197976748962525</v>
      </c>
      <c r="C22" s="45">
        <f>[2]Hydrogen!C317</f>
        <v>14.993771439049459</v>
      </c>
      <c r="D22" s="45">
        <f>[2]Hydrogen!D317</f>
        <v>0</v>
      </c>
      <c r="E22" s="45">
        <f>[2]Hydrogen!E317</f>
        <v>6.4362554691119662</v>
      </c>
      <c r="F22" s="45">
        <f>[2]Hydrogen!F317</f>
        <v>0.67675908082205116</v>
      </c>
      <c r="G22" s="45">
        <f>[2]Hydrogen!G317</f>
        <v>6.4362554691119662</v>
      </c>
      <c r="H22" s="45">
        <f>[2]Hydrogen!H317</f>
        <v>0.81068113720481882</v>
      </c>
      <c r="I22" s="45">
        <f>[2]Hydrogen!I317</f>
        <v>2.6722944576267591</v>
      </c>
      <c r="J22" s="45">
        <f>[2]Hydrogen!J317</f>
        <v>6.8002276753518149</v>
      </c>
      <c r="K22" s="45">
        <f>[2]Hydrogen!K317</f>
        <v>25.899878290262823</v>
      </c>
      <c r="L22" s="45">
        <f>[2]Hydrogen!L317</f>
        <v>1.4472399151035868</v>
      </c>
      <c r="M22" s="45">
        <f>[2]Hydrogen!M317</f>
        <v>26.051496938166334</v>
      </c>
      <c r="N22" s="45">
        <f>[2]Hydrogen!N317</f>
        <v>0.83208883075131668</v>
      </c>
      <c r="O22" s="45">
        <f>[2]Hydrogen!O317</f>
        <v>2.6737746498344874</v>
      </c>
      <c r="P22" s="45">
        <f>[2]Hydrogen!P317</f>
        <v>1.4472399151035868</v>
      </c>
      <c r="Q22" s="45">
        <f>[2]Hydrogen!Q317</f>
        <v>78.217753222141596</v>
      </c>
      <c r="R22" s="45">
        <f>[2]Hydrogen!R317</f>
        <v>0</v>
      </c>
      <c r="S22" s="45">
        <f>[2]Hydrogen!S317</f>
        <v>23.829487873462426</v>
      </c>
      <c r="T22" s="45">
        <f>[2]Hydrogen!T317</f>
        <v>4.4962886661917167</v>
      </c>
      <c r="U22" s="45">
        <f>[2]Hydrogen!U317</f>
        <v>22.071921934358809</v>
      </c>
      <c r="V22" s="45">
        <f>[2]Hydrogen!V317</f>
        <v>6.3660904289365767</v>
      </c>
      <c r="W22" s="45">
        <f>[2]Hydrogen!W317</f>
        <v>6.4362554691119662</v>
      </c>
      <c r="X22" s="45">
        <f>[2]Hydrogen!X317</f>
        <v>12.519208416337461</v>
      </c>
      <c r="Y22" s="45">
        <f>[2]Hydrogen!Y317</f>
        <v>6.4362554691119662</v>
      </c>
      <c r="Z22" s="45">
        <f>[2]Hydrogen!Z317</f>
        <v>11.247515960177143</v>
      </c>
      <c r="AA22" s="45">
        <f>[2]Hydrogen!AA317</f>
        <v>14.207741633053576</v>
      </c>
      <c r="AB22" s="45">
        <f>[2]Hydrogen!AB317</f>
        <v>0</v>
      </c>
      <c r="AC22" s="45">
        <f>[2]Hydrogen!AC317</f>
        <v>0</v>
      </c>
      <c r="AD22" s="45">
        <f>[2]Hydrogen!AD317</f>
        <v>31.435149305290157</v>
      </c>
      <c r="AE22" s="45">
        <f>[2]Hydrogen!AE317</f>
        <v>9.2618584208554147</v>
      </c>
      <c r="AF22" s="45">
        <f>[2]Hydrogen!AF317</f>
        <v>0.68990689057256804</v>
      </c>
      <c r="AG22" s="45">
        <f>[2]Hydrogen!AG317</f>
        <v>16.644308362361137</v>
      </c>
      <c r="AH22" s="45">
        <f>[2]Hydrogen!AH317</f>
        <v>17.436634286434661</v>
      </c>
      <c r="AI22" s="45">
        <f>[2]Hydrogen!AI317</f>
        <v>16.505468844332011</v>
      </c>
      <c r="AJ22" s="45">
        <f>[2]Hydrogen!AJ317</f>
        <v>11.060392424485444</v>
      </c>
      <c r="AK22" s="45">
        <f>[2]Hydrogen!AK317</f>
        <v>14.993771439049459</v>
      </c>
      <c r="AL22" s="45">
        <f>[2]Hydrogen!AL317</f>
        <v>11.060392424485444</v>
      </c>
      <c r="AM22" s="45">
        <f>[2]Hydrogen!AM317</f>
        <v>14.993771439049459</v>
      </c>
      <c r="AN22" s="45">
        <f>[2]Hydrogen!AN317</f>
        <v>11.197976748962525</v>
      </c>
      <c r="AO22" s="45">
        <f>[2]Hydrogen!AO317</f>
        <v>34.447122500670091</v>
      </c>
      <c r="AP22" s="45">
        <f>[2]Hydrogen!AP317</f>
        <v>0</v>
      </c>
      <c r="AQ22" s="45">
        <f>[2]Hydrogen!AQ317</f>
        <v>25.20208688175919</v>
      </c>
      <c r="AR22" s="45">
        <f>[2]Hydrogen!AR317</f>
        <v>0.67675908082205116</v>
      </c>
      <c r="AS22" s="45">
        <f>[2]Hydrogen!AS317</f>
        <v>0.89603783592192998</v>
      </c>
      <c r="AT22" s="45">
        <f>[2]Hydrogen!AT317</f>
        <v>0.81068113720481882</v>
      </c>
      <c r="AU22" s="45">
        <f>[2]Hydrogen!AU317</f>
        <v>0.89603783592192998</v>
      </c>
      <c r="AV22" s="45">
        <f>[2]Hydrogen!AV317</f>
        <v>6.8002276753518149</v>
      </c>
      <c r="AW22" s="45">
        <f>[2]Hydrogen!AW317</f>
        <v>46.229437211775718</v>
      </c>
      <c r="AX22" s="45">
        <f>[2]Hydrogen!AX317</f>
        <v>1.4472399151035868</v>
      </c>
      <c r="AY22" s="45">
        <f>[2]Hydrogen!AY317</f>
        <v>46.393237058049259</v>
      </c>
      <c r="AZ22" s="45">
        <f>[2]Hydrogen!AZ317</f>
        <v>0.83208883075131668</v>
      </c>
      <c r="BA22" s="45">
        <f>[2]Hydrogen!BA317</f>
        <v>0.90559628360205491</v>
      </c>
      <c r="BB22" s="45">
        <f>[2]Hydrogen!BB317</f>
        <v>1.4472399151035868</v>
      </c>
      <c r="BC22" s="45">
        <f>[2]Hydrogen!BC317</f>
        <v>102.75058411353001</v>
      </c>
      <c r="BD22" s="45">
        <f>[2]Hydrogen!BD317</f>
        <v>0</v>
      </c>
      <c r="BE22" s="45">
        <f>[2]Hydrogen!BE317</f>
        <v>43.992688893521866</v>
      </c>
      <c r="BF22" s="45">
        <f>[2]Hydrogen!BF317</f>
        <v>6.3660904289365767</v>
      </c>
      <c r="BG22" s="45">
        <f>[2]Hydrogen!BG317</f>
        <v>25.20208688175919</v>
      </c>
      <c r="BH22" s="45">
        <f>[2]Hydrogen!BH317</f>
        <v>12.519208416337461</v>
      </c>
      <c r="BI22" s="45">
        <f>[2]Hydrogen!BI317</f>
        <v>25.201987773983266</v>
      </c>
      <c r="BJ22" s="45">
        <f>[2]Hydrogen!BJ317</f>
        <v>11.247515960177143</v>
      </c>
      <c r="BK22" s="45">
        <f>[2]Hydrogen!BK317</f>
        <v>37.773799763533539</v>
      </c>
      <c r="BL22" s="45">
        <f>[2]Hydrogen!BL317</f>
        <v>0</v>
      </c>
      <c r="BM22" s="45">
        <f>[2]Hydrogen!BM317</f>
        <v>0</v>
      </c>
      <c r="BN22" s="45">
        <f>[2]Hydrogen!BN317</f>
        <v>31.435149305290153</v>
      </c>
      <c r="BO22" s="45">
        <f>[2]Hydrogen!BO317</f>
        <v>32.818933110586684</v>
      </c>
      <c r="BP22" s="45">
        <f>[2]Hydrogen!BP317</f>
        <v>0.68990689057256804</v>
      </c>
      <c r="BQ22" s="45">
        <f>[2]Hydrogen!BQ317</f>
        <v>40.214792143812602</v>
      </c>
      <c r="BR22" s="45">
        <f>[2]Hydrogen!BR317</f>
        <v>17.436634286434661</v>
      </c>
      <c r="BS22" s="45">
        <f>[2]Hydrogen!BS317</f>
        <v>40.075700445024182</v>
      </c>
      <c r="BT22" s="45">
        <f>[2]Hydrogen!BT317</f>
        <v>11.948995746279309</v>
      </c>
      <c r="BU22" s="45">
        <f>[2]Hydrogen!BU317</f>
        <v>34.447122500670091</v>
      </c>
      <c r="BV22" s="45">
        <f>[2]Hydrogen!BV317</f>
        <v>13.262789187376624</v>
      </c>
      <c r="BW22" s="45">
        <f>[2]Hydrogen!BW317</f>
        <v>0</v>
      </c>
      <c r="BX22" s="45">
        <f>[2]Hydrogen!BX317</f>
        <v>13.262789187376624</v>
      </c>
      <c r="BY22" s="45">
        <f>[2]Hydrogen!BY317</f>
        <v>0</v>
      </c>
      <c r="BZ22" s="45">
        <f>[2]Hydrogen!BZ317</f>
        <v>13.262789187376624</v>
      </c>
      <c r="CA22" s="45">
        <f>[2]Hydrogen!CA317</f>
        <v>0</v>
      </c>
      <c r="CB22" s="45">
        <f>[2]Hydrogen!CB317</f>
        <v>13.262789187376624</v>
      </c>
      <c r="CC22" s="45">
        <f>[2]Hydrogen!CC317</f>
        <v>0</v>
      </c>
      <c r="CD22" s="45">
        <f>[2]Hydrogen!CD317</f>
        <v>11.197976748962525</v>
      </c>
      <c r="CE22" s="45">
        <f>[2]Hydrogen!CE317</f>
        <v>2.4966512655302213</v>
      </c>
      <c r="CF22" s="45">
        <f>[2]Hydrogen!CF317</f>
        <v>7.1166373810774453E-2</v>
      </c>
      <c r="CG22" s="45">
        <f>[2]Hydrogen!CG317</f>
        <v>9.5569220264210824</v>
      </c>
      <c r="CH22" s="45">
        <f>[2]Hydrogen!CH317</f>
        <v>0.10643155542093358</v>
      </c>
      <c r="CI22" s="45">
        <f>[2]Hydrogen!CI317</f>
        <v>10.615288044108164</v>
      </c>
      <c r="CJ22" s="45">
        <f>[2]Hydrogen!CJ317</f>
        <v>11.197976748962525</v>
      </c>
      <c r="CK22" s="45">
        <f>[2]Hydrogen!CK317</f>
        <v>13.540002892779199</v>
      </c>
      <c r="CL22" s="45">
        <f>[2]Hydrogen!CL317</f>
        <v>7.1166373810774453E-2</v>
      </c>
      <c r="CM22" s="45">
        <f>[2]Hydrogen!CM317</f>
        <v>13.540002892779199</v>
      </c>
    </row>
    <row r="23" spans="1:91">
      <c r="A23" t="s">
        <v>209</v>
      </c>
      <c r="B23" s="45">
        <f>[2]Hydrogen!B318</f>
        <v>7.896569397128804E-2</v>
      </c>
      <c r="C23" s="45">
        <f>[2]Hydrogen!C318</f>
        <v>0.37682542351372927</v>
      </c>
      <c r="D23" s="45">
        <f>[2]Hydrogen!D318</f>
        <v>0</v>
      </c>
      <c r="E23" s="45">
        <f>[2]Hydrogen!E318</f>
        <v>3.9361466762969088E-2</v>
      </c>
      <c r="F23" s="45">
        <f>[2]Hydrogen!F318</f>
        <v>2.0848703295403236E-2</v>
      </c>
      <c r="G23" s="45">
        <f>[2]Hydrogen!G318</f>
        <v>3.9361466762969088E-2</v>
      </c>
      <c r="H23" s="45">
        <f>[2]Hydrogen!H318</f>
        <v>2.4974397796381418E-2</v>
      </c>
      <c r="I23" s="45">
        <f>[2]Hydrogen!I318</f>
        <v>2.0185510836078495E-2</v>
      </c>
      <c r="J23" s="45">
        <f>[2]Hydrogen!J318</f>
        <v>3.4674684697917998E-2</v>
      </c>
      <c r="K23" s="45">
        <f>[2]Hydrogen!K318</f>
        <v>7.3989706336653388E-2</v>
      </c>
      <c r="L23" s="45">
        <f>[2]Hydrogen!L318</f>
        <v>0.27048168872382977</v>
      </c>
      <c r="M23" s="45">
        <f>[2]Hydrogen!M318</f>
        <v>0.40226518755183072</v>
      </c>
      <c r="N23" s="45">
        <f>[2]Hydrogen!N318</f>
        <v>2.9726481232379878E-2</v>
      </c>
      <c r="O23" s="45">
        <f>[2]Hydrogen!O318</f>
        <v>2.042832069946118E-2</v>
      </c>
      <c r="P23" s="45">
        <f>[2]Hydrogen!P318</f>
        <v>0.27048168872382977</v>
      </c>
      <c r="Q23" s="45">
        <f>[2]Hydrogen!Q318</f>
        <v>0.75785801199940339</v>
      </c>
      <c r="R23" s="45">
        <f>[2]Hydrogen!R318</f>
        <v>0</v>
      </c>
      <c r="S23" s="45">
        <f>[2]Hydrogen!S318</f>
        <v>0.68027147296400448</v>
      </c>
      <c r="T23" s="45">
        <f>[2]Hydrogen!T318</f>
        <v>0.16395182142956022</v>
      </c>
      <c r="U23" s="45">
        <f>[2]Hydrogen!U318</f>
        <v>0.13633059960416724</v>
      </c>
      <c r="V23" s="45">
        <f>[2]Hydrogen!V318</f>
        <v>4.4271088151124266E-2</v>
      </c>
      <c r="W23" s="45">
        <f>[2]Hydrogen!W318</f>
        <v>3.9361466762969088E-2</v>
      </c>
      <c r="X23" s="45">
        <f>[2]Hydrogen!X318</f>
        <v>0.61480604134454109</v>
      </c>
      <c r="Y23" s="45">
        <f>[2]Hydrogen!Y318</f>
        <v>3.9361466762969088E-2</v>
      </c>
      <c r="Z23" s="45">
        <f>[2]Hydrogen!Z318</f>
        <v>7.9961658660016574E-2</v>
      </c>
      <c r="AA23" s="45">
        <f>[2]Hydrogen!AA318</f>
        <v>0.14262266238172075</v>
      </c>
      <c r="AB23" s="45">
        <f>[2]Hydrogen!AB318</f>
        <v>0</v>
      </c>
      <c r="AC23" s="45">
        <f>[2]Hydrogen!AC318</f>
        <v>0</v>
      </c>
      <c r="AD23" s="45">
        <f>[2]Hydrogen!AD318</f>
        <v>0.75323618148407534</v>
      </c>
      <c r="AE23" s="45">
        <f>[2]Hydrogen!AE318</f>
        <v>4.9604028892438624E-2</v>
      </c>
      <c r="AF23" s="45">
        <f>[2]Hydrogen!AF318</f>
        <v>0.72580052110467452</v>
      </c>
      <c r="AG23" s="45">
        <f>[2]Hydrogen!AG318</f>
        <v>9.1674793461129472E-2</v>
      </c>
      <c r="AH23" s="45">
        <f>[2]Hydrogen!AH318</f>
        <v>4.5989481364263167E-2</v>
      </c>
      <c r="AI23" s="45">
        <f>[2]Hydrogen!AI318</f>
        <v>7.5307754356944215E-2</v>
      </c>
      <c r="AJ23" s="45">
        <f>[2]Hydrogen!AJ318</f>
        <v>7.7995479270412713E-2</v>
      </c>
      <c r="AK23" s="45">
        <f>[2]Hydrogen!AK318</f>
        <v>0.37682542351372927</v>
      </c>
      <c r="AL23" s="45">
        <f>[2]Hydrogen!AL318</f>
        <v>7.7995479270412713E-2</v>
      </c>
      <c r="AM23" s="45">
        <f>[2]Hydrogen!AM318</f>
        <v>0.37682542351372927</v>
      </c>
      <c r="AN23" s="45">
        <f>[2]Hydrogen!AN318</f>
        <v>7.896569397128804E-2</v>
      </c>
      <c r="AO23" s="45">
        <f>[2]Hydrogen!AO318</f>
        <v>0.50087295158428347</v>
      </c>
      <c r="AP23" s="45">
        <f>[2]Hydrogen!AP318</f>
        <v>0</v>
      </c>
      <c r="AQ23" s="45">
        <f>[2]Hydrogen!AQ318</f>
        <v>0.13629679289296903</v>
      </c>
      <c r="AR23" s="45">
        <f>[2]Hydrogen!AR318</f>
        <v>2.0848703295403236E-2</v>
      </c>
      <c r="AS23" s="45">
        <f>[2]Hydrogen!AS318</f>
        <v>1.2466677799427447E-2</v>
      </c>
      <c r="AT23" s="45">
        <f>[2]Hydrogen!AT318</f>
        <v>2.4974397796381418E-2</v>
      </c>
      <c r="AU23" s="45">
        <f>[2]Hydrogen!AU318</f>
        <v>1.2466677799427447E-2</v>
      </c>
      <c r="AV23" s="45">
        <f>[2]Hydrogen!AV318</f>
        <v>3.4674684697917998E-2</v>
      </c>
      <c r="AW23" s="45">
        <f>[2]Hydrogen!AW318</f>
        <v>0.17370710090799807</v>
      </c>
      <c r="AX23" s="45">
        <f>[2]Hydrogen!AX318</f>
        <v>0.27048168872382977</v>
      </c>
      <c r="AY23" s="45">
        <f>[2]Hydrogen!AY318</f>
        <v>0.52835657247323808</v>
      </c>
      <c r="AZ23" s="45">
        <f>[2]Hydrogen!AZ318</f>
        <v>2.9726481232379878E-2</v>
      </c>
      <c r="BA23" s="45">
        <f>[2]Hydrogen!BA318</f>
        <v>1.4034639962208681E-2</v>
      </c>
      <c r="BB23" s="45">
        <f>[2]Hydrogen!BB318</f>
        <v>0.27048168872382977</v>
      </c>
      <c r="BC23" s="45">
        <f>[2]Hydrogen!BC318</f>
        <v>0.91251809076847723</v>
      </c>
      <c r="BD23" s="45">
        <f>[2]Hydrogen!BD318</f>
        <v>0</v>
      </c>
      <c r="BE23" s="45">
        <f>[2]Hydrogen!BE318</f>
        <v>0.82868929594729657</v>
      </c>
      <c r="BF23" s="45">
        <f>[2]Hydrogen!BF318</f>
        <v>4.4271088151124266E-2</v>
      </c>
      <c r="BG23" s="45">
        <f>[2]Hydrogen!BG318</f>
        <v>0.13629679289296903</v>
      </c>
      <c r="BH23" s="45">
        <f>[2]Hydrogen!BH318</f>
        <v>0.61480604134454109</v>
      </c>
      <c r="BI23" s="45">
        <f>[2]Hydrogen!BI318</f>
        <v>0.13629626209831022</v>
      </c>
      <c r="BJ23" s="45">
        <f>[2]Hydrogen!BJ318</f>
        <v>7.9961658660016574E-2</v>
      </c>
      <c r="BK23" s="45">
        <f>[2]Hydrogen!BK318</f>
        <v>0.26895698855797306</v>
      </c>
      <c r="BL23" s="45">
        <f>[2]Hydrogen!BL318</f>
        <v>0</v>
      </c>
      <c r="BM23" s="45">
        <f>[2]Hydrogen!BM318</f>
        <v>0</v>
      </c>
      <c r="BN23" s="45">
        <f>[2]Hydrogen!BN318</f>
        <v>0.75323618148407534</v>
      </c>
      <c r="BO23" s="45">
        <f>[2]Hydrogen!BO318</f>
        <v>0.17576940094126345</v>
      </c>
      <c r="BP23" s="45">
        <f>[2]Hydrogen!BP318</f>
        <v>0.72580052110467452</v>
      </c>
      <c r="BQ23" s="45">
        <f>[2]Hydrogen!BQ318</f>
        <v>0.21791658062218805</v>
      </c>
      <c r="BR23" s="45">
        <f>[2]Hydrogen!BR318</f>
        <v>4.5989481364263167E-2</v>
      </c>
      <c r="BS23" s="45">
        <f>[2]Hydrogen!BS318</f>
        <v>0.20151981329359558</v>
      </c>
      <c r="BT23" s="45">
        <f>[2]Hydrogen!BT318</f>
        <v>8.426171642590112E-2</v>
      </c>
      <c r="BU23" s="45">
        <f>[2]Hydrogen!BU318</f>
        <v>0.50087295158428347</v>
      </c>
      <c r="BV23" s="45">
        <f>[2]Hydrogen!BV318</f>
        <v>0.18499940075515639</v>
      </c>
      <c r="BW23" s="45">
        <f>[2]Hydrogen!BW318</f>
        <v>0</v>
      </c>
      <c r="BX23" s="45">
        <f>[2]Hydrogen!BX318</f>
        <v>0.18499940075515639</v>
      </c>
      <c r="BY23" s="45">
        <f>[2]Hydrogen!BY318</f>
        <v>0</v>
      </c>
      <c r="BZ23" s="45">
        <f>[2]Hydrogen!BZ318</f>
        <v>0.18499940075515639</v>
      </c>
      <c r="CA23" s="45">
        <f>[2]Hydrogen!CA318</f>
        <v>0</v>
      </c>
      <c r="CB23" s="45">
        <f>[2]Hydrogen!CB318</f>
        <v>0.18499940075515639</v>
      </c>
      <c r="CC23" s="45">
        <f>[2]Hydrogen!CC318</f>
        <v>0</v>
      </c>
      <c r="CD23" s="45">
        <f>[2]Hydrogen!CD318</f>
        <v>7.896569397128804E-2</v>
      </c>
      <c r="CE23" s="45">
        <f>[2]Hydrogen!CE318</f>
        <v>0.10907894017124176</v>
      </c>
      <c r="CF23" s="45">
        <f>[2]Hydrogen!CF318</f>
        <v>-5.7395234867252167</v>
      </c>
      <c r="CG23" s="45">
        <f>[2]Hydrogen!CG318</f>
        <v>-2.466239967004614</v>
      </c>
      <c r="CH23" s="45">
        <f>[2]Hydrogen!CH318</f>
        <v>-5.745991771360262</v>
      </c>
      <c r="CI23" s="45">
        <f>[2]Hydrogen!CI318</f>
        <v>-1.7359617328473693</v>
      </c>
      <c r="CJ23" s="45">
        <f>[2]Hydrogen!CJ318</f>
        <v>7.896569397128804E-2</v>
      </c>
      <c r="CK23" s="45">
        <f>[2]Hydrogen!CK318</f>
        <v>7.7407232141407128E-2</v>
      </c>
      <c r="CL23" s="45">
        <f>[2]Hydrogen!CL318</f>
        <v>-5.7395234867252167</v>
      </c>
      <c r="CM23" s="45">
        <f>[2]Hydrogen!CM318</f>
        <v>7.7407232141407128E-2</v>
      </c>
    </row>
    <row r="24" spans="1:91">
      <c r="A24" t="s">
        <v>210</v>
      </c>
      <c r="B24" s="45">
        <f>[2]Hydrogen!B319</f>
        <v>0.1618291608287932</v>
      </c>
      <c r="C24" s="45">
        <f>[2]Hydrogen!C319</f>
        <v>1.0845350196993255</v>
      </c>
      <c r="D24" s="45">
        <f>[2]Hydrogen!D319</f>
        <v>0</v>
      </c>
      <c r="E24" s="45">
        <f>[2]Hydrogen!E319</f>
        <v>0.18717582431844221</v>
      </c>
      <c r="F24" s="45">
        <f>[2]Hydrogen!F319</f>
        <v>4.0181949282612733E-2</v>
      </c>
      <c r="G24" s="45">
        <f>[2]Hydrogen!G319</f>
        <v>0.18717582431844221</v>
      </c>
      <c r="H24" s="45">
        <f>[2]Hydrogen!H319</f>
        <v>4.8133448464358519E-2</v>
      </c>
      <c r="I24" s="45">
        <f>[2]Hydrogen!I319</f>
        <v>8.2348092660784467E-2</v>
      </c>
      <c r="J24" s="45">
        <f>[2]Hydrogen!J319</f>
        <v>7.0420975242240183E-2</v>
      </c>
      <c r="K24" s="45">
        <f>[2]Hydrogen!K319</f>
        <v>0.29305727971268924</v>
      </c>
      <c r="L24" s="45">
        <f>[2]Hydrogen!L319</f>
        <v>9.8804404786870512E-2</v>
      </c>
      <c r="M24" s="45">
        <f>[2]Hydrogen!M319</f>
        <v>0.41677929978491729</v>
      </c>
      <c r="N24" s="45">
        <f>[2]Hydrogen!N319</f>
        <v>5.3879269601574728E-2</v>
      </c>
      <c r="O24" s="45">
        <f>[2]Hydrogen!O319</f>
        <v>8.265160372822386E-2</v>
      </c>
      <c r="P24" s="45">
        <f>[2]Hydrogen!P319</f>
        <v>9.8804404786870512E-2</v>
      </c>
      <c r="Q24" s="45">
        <f>[2]Hydrogen!Q319</f>
        <v>1.7680647235859228</v>
      </c>
      <c r="R24" s="45">
        <f>[2]Hydrogen!R319</f>
        <v>0</v>
      </c>
      <c r="S24" s="45">
        <f>[2]Hydrogen!S319</f>
        <v>1.8905202958353966</v>
      </c>
      <c r="T24" s="45">
        <f>[2]Hydrogen!T319</f>
        <v>0.28455622571962147</v>
      </c>
      <c r="U24" s="45">
        <f>[2]Hydrogen!U319</f>
        <v>0.35990879135479381</v>
      </c>
      <c r="V24" s="45">
        <f>[2]Hydrogen!V319</f>
        <v>0.19576245216230972</v>
      </c>
      <c r="W24" s="45">
        <f>[2]Hydrogen!W319</f>
        <v>0.18717582431844221</v>
      </c>
      <c r="X24" s="45">
        <f>[2]Hydrogen!X319</f>
        <v>1.5660407531987381</v>
      </c>
      <c r="Y24" s="45">
        <f>[2]Hydrogen!Y319</f>
        <v>0.18717582431844221</v>
      </c>
      <c r="Z24" s="45">
        <f>[2]Hydrogen!Z319</f>
        <v>0.16399403414999342</v>
      </c>
      <c r="AA24" s="45">
        <f>[2]Hydrogen!AA319</f>
        <v>0.50627159739930727</v>
      </c>
      <c r="AB24" s="45">
        <f>[2]Hydrogen!AB319</f>
        <v>0</v>
      </c>
      <c r="AC24" s="45">
        <f>[2]Hydrogen!AC319</f>
        <v>0</v>
      </c>
      <c r="AD24" s="45">
        <f>[2]Hydrogen!AD319</f>
        <v>1.2898236862405188</v>
      </c>
      <c r="AE24" s="45">
        <f>[2]Hydrogen!AE319</f>
        <v>0.26091123122247101</v>
      </c>
      <c r="AF24" s="45">
        <f>[2]Hydrogen!AF319</f>
        <v>0.2351990432296828</v>
      </c>
      <c r="AG24" s="45">
        <f>[2]Hydrogen!AG319</f>
        <v>0.47191455291364054</v>
      </c>
      <c r="AH24" s="45">
        <f>[2]Hydrogen!AH319</f>
        <v>0.11957053240972176</v>
      </c>
      <c r="AI24" s="45">
        <f>[2]Hydrogen!AI319</f>
        <v>0.36232203850812522</v>
      </c>
      <c r="AJ24" s="45">
        <f>[2]Hydrogen!AJ319</f>
        <v>0.15984084130710952</v>
      </c>
      <c r="AK24" s="45">
        <f>[2]Hydrogen!AK319</f>
        <v>1.0845350196993255</v>
      </c>
      <c r="AL24" s="45">
        <f>[2]Hydrogen!AL319</f>
        <v>0.15984084130710952</v>
      </c>
      <c r="AM24" s="45">
        <f>[2]Hydrogen!AM319</f>
        <v>1.0845350196993255</v>
      </c>
      <c r="AN24" s="45">
        <f>[2]Hydrogen!AN319</f>
        <v>0.1618291608287932</v>
      </c>
      <c r="AO24" s="45">
        <f>[2]Hydrogen!AO319</f>
        <v>1.6810111886290766</v>
      </c>
      <c r="AP24" s="45">
        <f>[2]Hydrogen!AP319</f>
        <v>0</v>
      </c>
      <c r="AQ24" s="45">
        <f>[2]Hydrogen!AQ319</f>
        <v>0.71155723103230251</v>
      </c>
      <c r="AR24" s="45">
        <f>[2]Hydrogen!AR319</f>
        <v>4.0181949282612733E-2</v>
      </c>
      <c r="AS24" s="45">
        <f>[2]Hydrogen!AS319</f>
        <v>3.4624611576313087E-2</v>
      </c>
      <c r="AT24" s="45">
        <f>[2]Hydrogen!AT319</f>
        <v>4.8133448464358519E-2</v>
      </c>
      <c r="AU24" s="45">
        <f>[2]Hydrogen!AU319</f>
        <v>3.4624611576313087E-2</v>
      </c>
      <c r="AV24" s="45">
        <f>[2]Hydrogen!AV319</f>
        <v>7.0420975242240183E-2</v>
      </c>
      <c r="AW24" s="45">
        <f>[2]Hydrogen!AW319</f>
        <v>0.82594531163194529</v>
      </c>
      <c r="AX24" s="45">
        <f>[2]Hydrogen!AX319</f>
        <v>9.8804404786870512E-2</v>
      </c>
      <c r="AY24" s="45">
        <f>[2]Hydrogen!AY319</f>
        <v>0.9596072862551388</v>
      </c>
      <c r="AZ24" s="45">
        <f>[2]Hydrogen!AZ319</f>
        <v>5.3879269601574728E-2</v>
      </c>
      <c r="BA24" s="45">
        <f>[2]Hydrogen!BA319</f>
        <v>3.6584556131696692E-2</v>
      </c>
      <c r="BB24" s="45">
        <f>[2]Hydrogen!BB319</f>
        <v>9.8804404786870512E-2</v>
      </c>
      <c r="BC24" s="45">
        <f>[2]Hydrogen!BC319</f>
        <v>2.41945637309788</v>
      </c>
      <c r="BD24" s="45">
        <f>[2]Hydrogen!BD319</f>
        <v>0</v>
      </c>
      <c r="BE24" s="45">
        <f>[2]Hydrogen!BE319</f>
        <v>2.55172128884539</v>
      </c>
      <c r="BF24" s="45">
        <f>[2]Hydrogen!BF319</f>
        <v>0.19576245216230972</v>
      </c>
      <c r="BG24" s="45">
        <f>[2]Hydrogen!BG319</f>
        <v>0.71155723103230251</v>
      </c>
      <c r="BH24" s="45">
        <f>[2]Hydrogen!BH319</f>
        <v>1.5660407531987381</v>
      </c>
      <c r="BI24" s="45">
        <f>[2]Hydrogen!BI319</f>
        <v>0.71155443911618088</v>
      </c>
      <c r="BJ24" s="45">
        <f>[2]Hydrogen!BJ319</f>
        <v>0.16399403414999342</v>
      </c>
      <c r="BK24" s="45">
        <f>[2]Hydrogen!BK319</f>
        <v>1.1703319530969767</v>
      </c>
      <c r="BL24" s="45">
        <f>[2]Hydrogen!BL319</f>
        <v>0</v>
      </c>
      <c r="BM24" s="45">
        <f>[2]Hydrogen!BM319</f>
        <v>0</v>
      </c>
      <c r="BN24" s="45">
        <f>[2]Hydrogen!BN319</f>
        <v>1.2898236862405188</v>
      </c>
      <c r="BO24" s="45">
        <f>[2]Hydrogen!BO319</f>
        <v>0.92452592732466299</v>
      </c>
      <c r="BP24" s="45">
        <f>[2]Hydrogen!BP319</f>
        <v>0.2351990432296828</v>
      </c>
      <c r="BQ24" s="45">
        <f>[2]Hydrogen!BQ319</f>
        <v>1.1359125042923652</v>
      </c>
      <c r="BR24" s="45">
        <f>[2]Hydrogen!BR319</f>
        <v>0.11957053240972176</v>
      </c>
      <c r="BS24" s="45">
        <f>[2]Hydrogen!BS319</f>
        <v>1.026120931838485</v>
      </c>
      <c r="BT24" s="45">
        <f>[2]Hydrogen!BT319</f>
        <v>0.17268261916567687</v>
      </c>
      <c r="BU24" s="45">
        <f>[2]Hydrogen!BU319</f>
        <v>1.6810111886290766</v>
      </c>
      <c r="BV24" s="45">
        <f>[2]Hydrogen!BV319</f>
        <v>0.44175285364415329</v>
      </c>
      <c r="BW24" s="45">
        <f>[2]Hydrogen!BW319</f>
        <v>0</v>
      </c>
      <c r="BX24" s="45">
        <f>[2]Hydrogen!BX319</f>
        <v>0.44175285364415329</v>
      </c>
      <c r="BY24" s="45">
        <f>[2]Hydrogen!BY319</f>
        <v>0</v>
      </c>
      <c r="BZ24" s="45">
        <f>[2]Hydrogen!BZ319</f>
        <v>0.44175285364415329</v>
      </c>
      <c r="CA24" s="45">
        <f>[2]Hydrogen!CA319</f>
        <v>0</v>
      </c>
      <c r="CB24" s="45">
        <f>[2]Hydrogen!CB319</f>
        <v>0.44175285364415329</v>
      </c>
      <c r="CC24" s="45">
        <f>[2]Hydrogen!CC319</f>
        <v>0</v>
      </c>
      <c r="CD24" s="45">
        <f>[2]Hydrogen!CD319</f>
        <v>0.1618291608287932</v>
      </c>
      <c r="CE24" s="45">
        <f>[2]Hydrogen!CE319</f>
        <v>0.28616447332171069</v>
      </c>
      <c r="CF24" s="45">
        <f>[2]Hydrogen!CF319</f>
        <v>0.15550171128678877</v>
      </c>
      <c r="CG24" s="45">
        <f>[2]Hydrogen!CG319</f>
        <v>1.0814432630174009</v>
      </c>
      <c r="CH24" s="45">
        <f>[2]Hydrogen!CH319</f>
        <v>0.15765846743882383</v>
      </c>
      <c r="CI24" s="45">
        <f>[2]Hydrogen!CI319</f>
        <v>0.50422868770195062</v>
      </c>
      <c r="CJ24" s="45">
        <f>[2]Hydrogen!CJ319</f>
        <v>0.1618291608287932</v>
      </c>
      <c r="CK24" s="45">
        <f>[2]Hydrogen!CK319</f>
        <v>0.38729197837549068</v>
      </c>
      <c r="CL24" s="45">
        <f>[2]Hydrogen!CL319</f>
        <v>0.15550171128678877</v>
      </c>
      <c r="CM24" s="45">
        <f>[2]Hydrogen!CM319</f>
        <v>0.38729197837549068</v>
      </c>
    </row>
    <row r="25" spans="1:91">
      <c r="A25" t="s">
        <v>211</v>
      </c>
      <c r="B25" s="45">
        <f>[2]Hydrogen!B320</f>
        <v>223.13239626949712</v>
      </c>
      <c r="C25" s="45">
        <f>[2]Hydrogen!C320</f>
        <v>145.10318152082053</v>
      </c>
      <c r="D25" s="45">
        <f>[2]Hydrogen!D320</f>
        <v>0</v>
      </c>
      <c r="E25" s="45">
        <f>[2]Hydrogen!E320</f>
        <v>25.047003309163834</v>
      </c>
      <c r="F25" s="45">
        <f>[2]Hydrogen!F320</f>
        <v>4.1350835048023411</v>
      </c>
      <c r="G25" s="45">
        <f>[2]Hydrogen!G320</f>
        <v>25.047003309163834</v>
      </c>
      <c r="H25" s="45">
        <f>[2]Hydrogen!H320</f>
        <v>4.9533641928204801</v>
      </c>
      <c r="I25" s="45">
        <f>[2]Hydrogen!I320</f>
        <v>12.015970281428061</v>
      </c>
      <c r="J25" s="45">
        <f>[2]Hydrogen!J320</f>
        <v>147.64210240580911</v>
      </c>
      <c r="K25" s="45">
        <f>[2]Hydrogen!K320</f>
        <v>133.16976264881734</v>
      </c>
      <c r="L25" s="45">
        <f>[2]Hydrogen!L320</f>
        <v>6.4422688694198103</v>
      </c>
      <c r="M25" s="45">
        <f>[2]Hydrogen!M320</f>
        <v>47.488106401726405</v>
      </c>
      <c r="N25" s="45">
        <f>[2]Hydrogen!N320</f>
        <v>5.33354491797681</v>
      </c>
      <c r="O25" s="45">
        <f>[2]Hydrogen!O320</f>
        <v>12.037031217689929</v>
      </c>
      <c r="P25" s="45">
        <f>[2]Hydrogen!P320</f>
        <v>6.4422688694198103</v>
      </c>
      <c r="Q25" s="45">
        <f>[2]Hydrogen!Q320</f>
        <v>226.19791263484234</v>
      </c>
      <c r="R25" s="45">
        <f>[2]Hydrogen!R320</f>
        <v>0</v>
      </c>
      <c r="S25" s="45">
        <f>[2]Hydrogen!S320</f>
        <v>269.73264034638078</v>
      </c>
      <c r="T25" s="45">
        <f>[2]Hydrogen!T320</f>
        <v>105.07091365423157</v>
      </c>
      <c r="U25" s="45">
        <f>[2]Hydrogen!U320</f>
        <v>87.594387367325425</v>
      </c>
      <c r="V25" s="45">
        <f>[2]Hydrogen!V320</f>
        <v>24.553002635443171</v>
      </c>
      <c r="W25" s="45">
        <f>[2]Hydrogen!W320</f>
        <v>25.047003309163834</v>
      </c>
      <c r="X25" s="45">
        <f>[2]Hydrogen!X320</f>
        <v>227.680436505866</v>
      </c>
      <c r="Y25" s="45">
        <f>[2]Hydrogen!Y320</f>
        <v>25.047003309163834</v>
      </c>
      <c r="Z25" s="45">
        <f>[2]Hydrogen!Z320</f>
        <v>251.87502899482831</v>
      </c>
      <c r="AA25" s="45">
        <f>[2]Hydrogen!AA320</f>
        <v>118.05945302196125</v>
      </c>
      <c r="AB25" s="45">
        <f>[2]Hydrogen!AB320</f>
        <v>0</v>
      </c>
      <c r="AC25" s="45">
        <f>[2]Hydrogen!AC320</f>
        <v>0</v>
      </c>
      <c r="AD25" s="45">
        <f>[2]Hydrogen!AD320</f>
        <v>162.41619421188651</v>
      </c>
      <c r="AE25" s="45">
        <f>[2]Hydrogen!AE320</f>
        <v>32.314112554016432</v>
      </c>
      <c r="AF25" s="45">
        <f>[2]Hydrogen!AF320</f>
        <v>14.242550349989115</v>
      </c>
      <c r="AG25" s="45">
        <f>[2]Hydrogen!AG320</f>
        <v>59.412821396190964</v>
      </c>
      <c r="AH25" s="45">
        <f>[2]Hydrogen!AH320</f>
        <v>207.81430265448489</v>
      </c>
      <c r="AI25" s="45">
        <f>[2]Hydrogen!AI320</f>
        <v>98.182872444621211</v>
      </c>
      <c r="AJ25" s="45">
        <f>[2]Hydrogen!AJ320</f>
        <v>220.39087244801436</v>
      </c>
      <c r="AK25" s="45">
        <f>[2]Hydrogen!AK320</f>
        <v>145.10318152082053</v>
      </c>
      <c r="AL25" s="45">
        <f>[2]Hydrogen!AL320</f>
        <v>220.39087244801436</v>
      </c>
      <c r="AM25" s="45">
        <f>[2]Hydrogen!AM320</f>
        <v>145.10318152082053</v>
      </c>
      <c r="AN25" s="45">
        <f>[2]Hydrogen!AN320</f>
        <v>223.13239626949712</v>
      </c>
      <c r="AO25" s="45">
        <f>[2]Hydrogen!AO320</f>
        <v>218.32603676259481</v>
      </c>
      <c r="AP25" s="45">
        <f>[2]Hydrogen!AP320</f>
        <v>0</v>
      </c>
      <c r="AQ25" s="45">
        <f>[2]Hydrogen!AQ320</f>
        <v>88.624421511599309</v>
      </c>
      <c r="AR25" s="45">
        <f>[2]Hydrogen!AR320</f>
        <v>4.1350835048023411</v>
      </c>
      <c r="AS25" s="45">
        <f>[2]Hydrogen!AS320</f>
        <v>4.4755881619434197</v>
      </c>
      <c r="AT25" s="45">
        <f>[2]Hydrogen!AT320</f>
        <v>4.9533641928204801</v>
      </c>
      <c r="AU25" s="45">
        <f>[2]Hydrogen!AU320</f>
        <v>4.4755881619434197</v>
      </c>
      <c r="AV25" s="45">
        <f>[2]Hydrogen!AV320</f>
        <v>147.64210240580911</v>
      </c>
      <c r="AW25" s="45">
        <f>[2]Hydrogen!AW320</f>
        <v>205.43387472461268</v>
      </c>
      <c r="AX25" s="45">
        <f>[2]Hydrogen!AX320</f>
        <v>6.4422688694198103</v>
      </c>
      <c r="AY25" s="45">
        <f>[2]Hydrogen!AY320</f>
        <v>112.86846594543144</v>
      </c>
      <c r="AZ25" s="45">
        <f>[2]Hydrogen!AZ320</f>
        <v>5.33354491797681</v>
      </c>
      <c r="BA25" s="45">
        <f>[2]Hydrogen!BA320</f>
        <v>4.6115906731729908</v>
      </c>
      <c r="BB25" s="45">
        <f>[2]Hydrogen!BB320</f>
        <v>6.4422688694198103</v>
      </c>
      <c r="BC25" s="45">
        <f>[2]Hydrogen!BC320</f>
        <v>305.93600211806819</v>
      </c>
      <c r="BD25" s="45">
        <f>[2]Hydrogen!BD320</f>
        <v>0</v>
      </c>
      <c r="BE25" s="45">
        <f>[2]Hydrogen!BE320</f>
        <v>352.96792624561095</v>
      </c>
      <c r="BF25" s="45">
        <f>[2]Hydrogen!BF320</f>
        <v>24.553002635443171</v>
      </c>
      <c r="BG25" s="45">
        <f>[2]Hydrogen!BG320</f>
        <v>88.624421511599309</v>
      </c>
      <c r="BH25" s="45">
        <f>[2]Hydrogen!BH320</f>
        <v>227.680436505866</v>
      </c>
      <c r="BI25" s="45">
        <f>[2]Hydrogen!BI320</f>
        <v>88.624075730042208</v>
      </c>
      <c r="BJ25" s="45">
        <f>[2]Hydrogen!BJ320</f>
        <v>251.87502899482831</v>
      </c>
      <c r="BK25" s="45">
        <f>[2]Hydrogen!BK320</f>
        <v>200.40452900243233</v>
      </c>
      <c r="BL25" s="45">
        <f>[2]Hydrogen!BL320</f>
        <v>0</v>
      </c>
      <c r="BM25" s="45">
        <f>[2]Hydrogen!BM320</f>
        <v>0</v>
      </c>
      <c r="BN25" s="45">
        <f>[2]Hydrogen!BN320</f>
        <v>162.41619421188648</v>
      </c>
      <c r="BO25" s="45">
        <f>[2]Hydrogen!BO320</f>
        <v>114.50344523192211</v>
      </c>
      <c r="BP25" s="45">
        <f>[2]Hydrogen!BP320</f>
        <v>14.242550349989115</v>
      </c>
      <c r="BQ25" s="45">
        <f>[2]Hydrogen!BQ320</f>
        <v>141.65137473596943</v>
      </c>
      <c r="BR25" s="45">
        <f>[2]Hydrogen!BR320</f>
        <v>207.81430265448489</v>
      </c>
      <c r="BS25" s="45">
        <f>[2]Hydrogen!BS320</f>
        <v>180.49184565512334</v>
      </c>
      <c r="BT25" s="45">
        <f>[2]Hydrogen!BT320</f>
        <v>238.09730218705357</v>
      </c>
      <c r="BU25" s="45">
        <f>[2]Hydrogen!BU320</f>
        <v>218.32603676259481</v>
      </c>
      <c r="BV25" s="45">
        <f>[2]Hydrogen!BV320</f>
        <v>252.89116496987413</v>
      </c>
      <c r="BW25" s="45">
        <f>[2]Hydrogen!BW320</f>
        <v>0</v>
      </c>
      <c r="BX25" s="45">
        <f>[2]Hydrogen!BX320</f>
        <v>252.89116496987413</v>
      </c>
      <c r="BY25" s="45">
        <f>[2]Hydrogen!BY320</f>
        <v>0</v>
      </c>
      <c r="BZ25" s="45">
        <f>[2]Hydrogen!BZ320</f>
        <v>252.89116496987413</v>
      </c>
      <c r="CA25" s="45">
        <f>[2]Hydrogen!CA320</f>
        <v>0</v>
      </c>
      <c r="CB25" s="45">
        <f>[2]Hydrogen!CB320</f>
        <v>252.89116496987413</v>
      </c>
      <c r="CC25" s="45">
        <f>[2]Hydrogen!CC320</f>
        <v>0</v>
      </c>
      <c r="CD25" s="45">
        <f>[2]Hydrogen!CD320</f>
        <v>223.13239626949712</v>
      </c>
      <c r="CE25" s="45">
        <f>[2]Hydrogen!CE320</f>
        <v>38.363647461672599</v>
      </c>
      <c r="CF25" s="45">
        <f>[2]Hydrogen!CF320</f>
        <v>472.78763923558654</v>
      </c>
      <c r="CG25" s="45">
        <f>[2]Hydrogen!CG320</f>
        <v>267.09123697568543</v>
      </c>
      <c r="CH25" s="45">
        <f>[2]Hydrogen!CH320</f>
        <v>501.85054220988002</v>
      </c>
      <c r="CI25" s="45">
        <f>[2]Hydrogen!CI320</f>
        <v>198.66430233218736</v>
      </c>
      <c r="CJ25" s="45">
        <f>[2]Hydrogen!CJ320</f>
        <v>223.13239626949712</v>
      </c>
      <c r="CK25" s="45">
        <f>[2]Hydrogen!CK320</f>
        <v>49.831585773390934</v>
      </c>
      <c r="CL25" s="45">
        <f>[2]Hydrogen!CL320</f>
        <v>472.78763923558654</v>
      </c>
      <c r="CM25" s="45">
        <f>[2]Hydrogen!CM320</f>
        <v>49.831585773390934</v>
      </c>
    </row>
    <row r="26" spans="1:91">
      <c r="A26" t="s">
        <v>212</v>
      </c>
      <c r="B26" s="45">
        <f>[2]Hydrogen!B321</f>
        <v>1.4170701764813036</v>
      </c>
      <c r="C26" s="45">
        <f>[2]Hydrogen!C321</f>
        <v>1.3628821542387586</v>
      </c>
      <c r="D26" s="45">
        <f>[2]Hydrogen!D321</f>
        <v>0</v>
      </c>
      <c r="E26" s="45">
        <f>[2]Hydrogen!E321</f>
        <v>0.20883523766963139</v>
      </c>
      <c r="F26" s="45">
        <f>[2]Hydrogen!F321</f>
        <v>2.8256183011875321E-2</v>
      </c>
      <c r="G26" s="45">
        <f>[2]Hydrogen!G321</f>
        <v>0.20883523766963139</v>
      </c>
      <c r="H26" s="45">
        <f>[2]Hydrogen!H321</f>
        <v>3.384772399257651E-2</v>
      </c>
      <c r="I26" s="45">
        <f>[2]Hydrogen!I321</f>
        <v>9.0324452425521257E-2</v>
      </c>
      <c r="J26" s="45">
        <f>[2]Hydrogen!J321</f>
        <v>2.9140232650243465E-2</v>
      </c>
      <c r="K26" s="45">
        <f>[2]Hydrogen!K321</f>
        <v>0.29363038678142311</v>
      </c>
      <c r="L26" s="45">
        <f>[2]Hydrogen!L321</f>
        <v>2.9562366939840325</v>
      </c>
      <c r="M26" s="45">
        <f>[2]Hydrogen!M321</f>
        <v>3.8908798779398848</v>
      </c>
      <c r="N26" s="45">
        <f>[2]Hydrogen!N321</f>
        <v>3.5827975149085221E-2</v>
      </c>
      <c r="O26" s="45">
        <f>[2]Hydrogen!O321</f>
        <v>9.0438605843091921E-2</v>
      </c>
      <c r="P26" s="45">
        <f>[2]Hydrogen!P321</f>
        <v>2.9562366939840325</v>
      </c>
      <c r="Q26" s="45">
        <f>[2]Hydrogen!Q321</f>
        <v>8.5345031621801084</v>
      </c>
      <c r="R26" s="45">
        <f>[2]Hydrogen!R321</f>
        <v>0</v>
      </c>
      <c r="S26" s="45">
        <f>[2]Hydrogen!S321</f>
        <v>2.2126890748997092</v>
      </c>
      <c r="T26" s="45">
        <f>[2]Hydrogen!T321</f>
        <v>0.18732359923175865</v>
      </c>
      <c r="U26" s="45">
        <f>[2]Hydrogen!U321</f>
        <v>0.32560894866246437</v>
      </c>
      <c r="V26" s="45">
        <f>[2]Hydrogen!V321</f>
        <v>0.22323548249785505</v>
      </c>
      <c r="W26" s="45">
        <f>[2]Hydrogen!W321</f>
        <v>0.20883523766963139</v>
      </c>
      <c r="X26" s="45">
        <f>[2]Hydrogen!X321</f>
        <v>1.8498838312342691</v>
      </c>
      <c r="Y26" s="45">
        <f>[2]Hydrogen!Y321</f>
        <v>0.20883523766963139</v>
      </c>
      <c r="Z26" s="45">
        <f>[2]Hydrogen!Z321</f>
        <v>1.5600051275621034</v>
      </c>
      <c r="AA26" s="45">
        <f>[2]Hydrogen!AA321</f>
        <v>0.87216732243694284</v>
      </c>
      <c r="AB26" s="45">
        <f>[2]Hydrogen!AB321</f>
        <v>0</v>
      </c>
      <c r="AC26" s="45">
        <f>[2]Hydrogen!AC321</f>
        <v>0</v>
      </c>
      <c r="AD26" s="45">
        <f>[2]Hydrogen!AD321</f>
        <v>50.01393896761968</v>
      </c>
      <c r="AE26" s="45">
        <f>[2]Hydrogen!AE321</f>
        <v>0.29258132501986289</v>
      </c>
      <c r="AF26" s="45">
        <f>[2]Hydrogen!AF321</f>
        <v>0.13884405073498585</v>
      </c>
      <c r="AG26" s="45">
        <f>[2]Hydrogen!AG321</f>
        <v>0.52864767214926933</v>
      </c>
      <c r="AH26" s="45">
        <f>[2]Hydrogen!AH321</f>
        <v>0.31916066366779583</v>
      </c>
      <c r="AI26" s="45">
        <f>[2]Hydrogen!AI321</f>
        <v>0.45742054247268149</v>
      </c>
      <c r="AJ26" s="45">
        <f>[2]Hydrogen!AJ321</f>
        <v>1.3996592952713689</v>
      </c>
      <c r="AK26" s="45">
        <f>[2]Hydrogen!AK321</f>
        <v>1.3628821542387586</v>
      </c>
      <c r="AL26" s="45">
        <f>[2]Hydrogen!AL321</f>
        <v>1.3996592952713689</v>
      </c>
      <c r="AM26" s="45">
        <f>[2]Hydrogen!AM321</f>
        <v>1.3628821542387586</v>
      </c>
      <c r="AN26" s="45">
        <f>[2]Hydrogen!AN321</f>
        <v>1.4170701764813036</v>
      </c>
      <c r="AO26" s="45">
        <f>[2]Hydrogen!AO321</f>
        <v>2.0443837705097798</v>
      </c>
      <c r="AP26" s="45">
        <f>[2]Hydrogen!AP321</f>
        <v>0</v>
      </c>
      <c r="AQ26" s="45">
        <f>[2]Hydrogen!AQ321</f>
        <v>0.79761953576493727</v>
      </c>
      <c r="AR26" s="45">
        <f>[2]Hydrogen!AR321</f>
        <v>2.8256183011875321E-2</v>
      </c>
      <c r="AS26" s="45">
        <f>[2]Hydrogen!AS321</f>
        <v>3.2327613288989289E-2</v>
      </c>
      <c r="AT26" s="45">
        <f>[2]Hydrogen!AT321</f>
        <v>3.384772399257651E-2</v>
      </c>
      <c r="AU26" s="45">
        <f>[2]Hydrogen!AU321</f>
        <v>3.2327613288989289E-2</v>
      </c>
      <c r="AV26" s="45">
        <f>[2]Hydrogen!AV321</f>
        <v>2.9140232650243465E-2</v>
      </c>
      <c r="AW26" s="45">
        <f>[2]Hydrogen!AW321</f>
        <v>0.88922721451229014</v>
      </c>
      <c r="AX26" s="45">
        <f>[2]Hydrogen!AX321</f>
        <v>2.9562366939840325</v>
      </c>
      <c r="AY26" s="45">
        <f>[2]Hydrogen!AY321</f>
        <v>4.7754834356750342</v>
      </c>
      <c r="AZ26" s="45">
        <f>[2]Hydrogen!AZ321</f>
        <v>3.5827975149085221E-2</v>
      </c>
      <c r="BA26" s="45">
        <f>[2]Hydrogen!BA321</f>
        <v>3.3064767196204589E-2</v>
      </c>
      <c r="BB26" s="45">
        <f>[2]Hydrogen!BB321</f>
        <v>2.9562366939840325</v>
      </c>
      <c r="BC26" s="45">
        <f>[2]Hydrogen!BC321</f>
        <v>9.7921801984294863</v>
      </c>
      <c r="BD26" s="45">
        <f>[2]Hydrogen!BD321</f>
        <v>0</v>
      </c>
      <c r="BE26" s="45">
        <f>[2]Hydrogen!BE321</f>
        <v>2.9624564931057491</v>
      </c>
      <c r="BF26" s="45">
        <f>[2]Hydrogen!BF321</f>
        <v>0.22323548249785505</v>
      </c>
      <c r="BG26" s="45">
        <f>[2]Hydrogen!BG321</f>
        <v>0.79761953576493727</v>
      </c>
      <c r="BH26" s="45">
        <f>[2]Hydrogen!BH321</f>
        <v>1.8498838312342691</v>
      </c>
      <c r="BI26" s="45">
        <f>[2]Hydrogen!BI321</f>
        <v>0.79761640495866903</v>
      </c>
      <c r="BJ26" s="45">
        <f>[2]Hydrogen!BJ321</f>
        <v>1.5600051275621034</v>
      </c>
      <c r="BK26" s="45">
        <f>[2]Hydrogen!BK321</f>
        <v>1.6173860510082601</v>
      </c>
      <c r="BL26" s="45">
        <f>[2]Hydrogen!BL321</f>
        <v>0</v>
      </c>
      <c r="BM26" s="45">
        <f>[2]Hydrogen!BM321</f>
        <v>0</v>
      </c>
      <c r="BN26" s="45">
        <f>[2]Hydrogen!BN321</f>
        <v>50.01393896761968</v>
      </c>
      <c r="BO26" s="45">
        <f>[2]Hydrogen!BO321</f>
        <v>1.0367473242315932</v>
      </c>
      <c r="BP26" s="45">
        <f>[2]Hydrogen!BP321</f>
        <v>0.13884405073498585</v>
      </c>
      <c r="BQ26" s="45">
        <f>[2]Hydrogen!BQ321</f>
        <v>1.273242449791709</v>
      </c>
      <c r="BR26" s="45">
        <f>[2]Hydrogen!BR321</f>
        <v>0.31916066366779583</v>
      </c>
      <c r="BS26" s="45">
        <f>[2]Hydrogen!BS321</f>
        <v>1.2018859469229739</v>
      </c>
      <c r="BT26" s="45">
        <f>[2]Hydrogen!BT321</f>
        <v>1.5121093649817716</v>
      </c>
      <c r="BU26" s="45">
        <f>[2]Hydrogen!BU321</f>
        <v>2.0443837705097798</v>
      </c>
      <c r="BV26" s="45">
        <f>[2]Hydrogen!BV321</f>
        <v>1.7317390295462896</v>
      </c>
      <c r="BW26" s="45">
        <f>[2]Hydrogen!BW321</f>
        <v>0</v>
      </c>
      <c r="BX26" s="45">
        <f>[2]Hydrogen!BX321</f>
        <v>1.7317390295462896</v>
      </c>
      <c r="BY26" s="45">
        <f>[2]Hydrogen!BY321</f>
        <v>0</v>
      </c>
      <c r="BZ26" s="45">
        <f>[2]Hydrogen!BZ321</f>
        <v>1.7317390295462896</v>
      </c>
      <c r="CA26" s="45">
        <f>[2]Hydrogen!CA321</f>
        <v>0</v>
      </c>
      <c r="CB26" s="45">
        <f>[2]Hydrogen!CB321</f>
        <v>1.7317390295462896</v>
      </c>
      <c r="CC26" s="45">
        <f>[2]Hydrogen!CC321</f>
        <v>0</v>
      </c>
      <c r="CD26" s="45">
        <f>[2]Hydrogen!CD321</f>
        <v>1.4170701764813036</v>
      </c>
      <c r="CE26" s="45">
        <f>[2]Hydrogen!CE321</f>
        <v>0.36931675390203822</v>
      </c>
      <c r="CF26" s="45">
        <f>[2]Hydrogen!CF321</f>
        <v>8.1930935665757376E-2</v>
      </c>
      <c r="CG26" s="45">
        <f>[2]Hydrogen!CG321</f>
        <v>0.71049833960885378</v>
      </c>
      <c r="CH26" s="45">
        <f>[2]Hydrogen!CH321</f>
        <v>0.22315310326172022</v>
      </c>
      <c r="CI26" s="45">
        <f>[2]Hydrogen!CI321</f>
        <v>0.44109807656204425</v>
      </c>
      <c r="CJ26" s="45">
        <f>[2]Hydrogen!CJ321</f>
        <v>1.4170701764813036</v>
      </c>
      <c r="CK26" s="45">
        <f>[2]Hydrogen!CK321</f>
        <v>0.43324201861792355</v>
      </c>
      <c r="CL26" s="45">
        <f>[2]Hydrogen!CL321</f>
        <v>8.1930935665757376E-2</v>
      </c>
      <c r="CM26" s="45">
        <f>[2]Hydrogen!CM321</f>
        <v>0.43324201861792355</v>
      </c>
    </row>
    <row r="27" spans="1:91">
      <c r="A27" t="s">
        <v>213</v>
      </c>
      <c r="B27" s="45">
        <f>[2]Hydrogen!B322</f>
        <v>6580.4448853720332</v>
      </c>
      <c r="C27" s="45">
        <f>[2]Hydrogen!C322</f>
        <v>23862.570289445492</v>
      </c>
      <c r="D27" s="45">
        <f>[2]Hydrogen!D322</f>
        <v>0</v>
      </c>
      <c r="E27" s="45">
        <f>[2]Hydrogen!E322</f>
        <v>12512.726361015655</v>
      </c>
      <c r="F27" s="45">
        <f>[2]Hydrogen!F322</f>
        <v>1437.5518023442273</v>
      </c>
      <c r="G27" s="45">
        <f>[2]Hydrogen!G322</f>
        <v>12512.726361015655</v>
      </c>
      <c r="H27" s="45">
        <f>[2]Hydrogen!H322</f>
        <v>1722.0251089939752</v>
      </c>
      <c r="I27" s="45">
        <f>[2]Hydrogen!I322</f>
        <v>6549.7894146734998</v>
      </c>
      <c r="J27" s="45">
        <f>[2]Hydrogen!J322</f>
        <v>1463.5657940991114</v>
      </c>
      <c r="K27" s="45">
        <f>[2]Hydrogen!K322</f>
        <v>28110.796620768426</v>
      </c>
      <c r="L27" s="45">
        <f>[2]Hydrogen!L322</f>
        <v>3104.666936361959</v>
      </c>
      <c r="M27" s="45">
        <f>[2]Hydrogen!M322</f>
        <v>21062.58661629165</v>
      </c>
      <c r="N27" s="45">
        <f>[2]Hydrogen!N322</f>
        <v>1836.6410229933495</v>
      </c>
      <c r="O27" s="45">
        <f>[2]Hydrogen!O322</f>
        <v>6556.2653688950013</v>
      </c>
      <c r="P27" s="45">
        <f>[2]Hydrogen!P322</f>
        <v>3104.666936361959</v>
      </c>
      <c r="Q27" s="45">
        <f>[2]Hydrogen!Q322</f>
        <v>98349.641059904112</v>
      </c>
      <c r="R27" s="45">
        <f>[2]Hydrogen!R322</f>
        <v>0</v>
      </c>
      <c r="S27" s="45">
        <f>[2]Hydrogen!S322</f>
        <v>87797.656664848793</v>
      </c>
      <c r="T27" s="45">
        <f>[2]Hydrogen!T322</f>
        <v>10412.089901442338</v>
      </c>
      <c r="U27" s="45">
        <f>[2]Hydrogen!U322</f>
        <v>188372.99370945175</v>
      </c>
      <c r="V27" s="45">
        <f>[2]Hydrogen!V322</f>
        <v>10756.572300253469</v>
      </c>
      <c r="W27" s="45">
        <f>[2]Hydrogen!W322</f>
        <v>12512.726361015655</v>
      </c>
      <c r="X27" s="45">
        <f>[2]Hydrogen!X322</f>
        <v>67536.685204051144</v>
      </c>
      <c r="Y27" s="45">
        <f>[2]Hydrogen!Y322</f>
        <v>12512.726361015655</v>
      </c>
      <c r="Z27" s="45">
        <f>[2]Hydrogen!Z322</f>
        <v>6767.8338624783246</v>
      </c>
      <c r="AA27" s="45">
        <f>[2]Hydrogen!AA322</f>
        <v>97479.098584491541</v>
      </c>
      <c r="AB27" s="45">
        <f>[2]Hydrogen!AB322</f>
        <v>0</v>
      </c>
      <c r="AC27" s="45">
        <f>[2]Hydrogen!AC322</f>
        <v>0</v>
      </c>
      <c r="AD27" s="45">
        <f>[2]Hydrogen!AD322</f>
        <v>-43742.171524453312</v>
      </c>
      <c r="AE27" s="45">
        <f>[2]Hydrogen!AE322</f>
        <v>114352.71869640658</v>
      </c>
      <c r="AF27" s="45">
        <f>[2]Hydrogen!AF322</f>
        <v>11466.335678805655</v>
      </c>
      <c r="AG27" s="45">
        <f>[2]Hydrogen!AG322</f>
        <v>27640.582943164321</v>
      </c>
      <c r="AH27" s="45">
        <f>[2]Hydrogen!AH322</f>
        <v>18747.770712204459</v>
      </c>
      <c r="AI27" s="45">
        <f>[2]Hydrogen!AI322</f>
        <v>115893.77397880873</v>
      </c>
      <c r="AJ27" s="45">
        <f>[2]Hydrogen!AJ322</f>
        <v>6499.5940241308317</v>
      </c>
      <c r="AK27" s="45">
        <f>[2]Hydrogen!AK322</f>
        <v>23862.570289445492</v>
      </c>
      <c r="AL27" s="45">
        <f>[2]Hydrogen!AL322</f>
        <v>6499.5940241308317</v>
      </c>
      <c r="AM27" s="45">
        <f>[2]Hydrogen!AM322</f>
        <v>23862.570289445492</v>
      </c>
      <c r="AN27" s="45">
        <f>[2]Hydrogen!AN322</f>
        <v>6580.4448853720332</v>
      </c>
      <c r="AO27" s="45">
        <f>[2]Hydrogen!AO322</f>
        <v>52937.928849246295</v>
      </c>
      <c r="AP27" s="45">
        <f>[2]Hydrogen!AP322</f>
        <v>0</v>
      </c>
      <c r="AQ27" s="45">
        <f>[2]Hydrogen!AQ322</f>
        <v>40676.226767002918</v>
      </c>
      <c r="AR27" s="45">
        <f>[2]Hydrogen!AR322</f>
        <v>1437.5518023442273</v>
      </c>
      <c r="AS27" s="45">
        <f>[2]Hydrogen!AS322</f>
        <v>2170.1324071577792</v>
      </c>
      <c r="AT27" s="45">
        <f>[2]Hydrogen!AT322</f>
        <v>1722.0251089939752</v>
      </c>
      <c r="AU27" s="45">
        <f>[2]Hydrogen!AU322</f>
        <v>2170.1324071577792</v>
      </c>
      <c r="AV27" s="45">
        <f>[2]Hydrogen!AV322</f>
        <v>1463.5657940991114</v>
      </c>
      <c r="AW27" s="45">
        <f>[2]Hydrogen!AW322</f>
        <v>57527.462060548336</v>
      </c>
      <c r="AX27" s="45">
        <f>[2]Hydrogen!AX322</f>
        <v>3104.666936361959</v>
      </c>
      <c r="AY27" s="45">
        <f>[2]Hydrogen!AY322</f>
        <v>49912.991603249517</v>
      </c>
      <c r="AZ27" s="45">
        <f>[2]Hydrogen!AZ322</f>
        <v>1836.6410229933495</v>
      </c>
      <c r="BA27" s="45">
        <f>[2]Hydrogen!BA322</f>
        <v>2211.9513474831692</v>
      </c>
      <c r="BB27" s="45">
        <f>[2]Hydrogen!BB322</f>
        <v>3104.666936361959</v>
      </c>
      <c r="BC27" s="45">
        <f>[2]Hydrogen!BC322</f>
        <v>133409.36762194632</v>
      </c>
      <c r="BD27" s="45">
        <f>[2]Hydrogen!BD322</f>
        <v>0</v>
      </c>
      <c r="BE27" s="45">
        <f>[2]Hydrogen!BE322</f>
        <v>122009.28621235532</v>
      </c>
      <c r="BF27" s="45">
        <f>[2]Hydrogen!BF322</f>
        <v>10756.572300253469</v>
      </c>
      <c r="BG27" s="45">
        <f>[2]Hydrogen!BG322</f>
        <v>40676.226767002918</v>
      </c>
      <c r="BH27" s="45">
        <f>[2]Hydrogen!BH322</f>
        <v>67536.685204051144</v>
      </c>
      <c r="BI27" s="45">
        <f>[2]Hydrogen!BI322</f>
        <v>40676.06921518514</v>
      </c>
      <c r="BJ27" s="45">
        <f>[2]Hydrogen!BJ322</f>
        <v>6767.8338624783246</v>
      </c>
      <c r="BK27" s="45">
        <f>[2]Hydrogen!BK322</f>
        <v>135078.13724315385</v>
      </c>
      <c r="BL27" s="45">
        <f>[2]Hydrogen!BL322</f>
        <v>0</v>
      </c>
      <c r="BM27" s="45">
        <f>[2]Hydrogen!BM322</f>
        <v>0</v>
      </c>
      <c r="BN27" s="45">
        <f>[2]Hydrogen!BN322</f>
        <v>-43742.171524453312</v>
      </c>
      <c r="BO27" s="45">
        <f>[2]Hydrogen!BO322</f>
        <v>151982.40570643259</v>
      </c>
      <c r="BP27" s="45">
        <f>[2]Hydrogen!BP322</f>
        <v>11466.335678805655</v>
      </c>
      <c r="BQ27" s="45">
        <f>[2]Hydrogen!BQ322</f>
        <v>65112.770614788897</v>
      </c>
      <c r="BR27" s="45">
        <f>[2]Hydrogen!BR322</f>
        <v>18747.770712204459</v>
      </c>
      <c r="BS27" s="45">
        <f>[2]Hydrogen!BS322</f>
        <v>153526.26008016506</v>
      </c>
      <c r="BT27" s="45">
        <f>[2]Hydrogen!BT322</f>
        <v>7021.7781039079919</v>
      </c>
      <c r="BU27" s="45">
        <f>[2]Hydrogen!BU322</f>
        <v>52937.928849246295</v>
      </c>
      <c r="BV27" s="45">
        <f>[2]Hydrogen!BV322</f>
        <v>75140.666954402637</v>
      </c>
      <c r="BW27" s="45">
        <f>[2]Hydrogen!BW322</f>
        <v>0</v>
      </c>
      <c r="BX27" s="45">
        <f>[2]Hydrogen!BX322</f>
        <v>75140.666954402637</v>
      </c>
      <c r="BY27" s="45">
        <f>[2]Hydrogen!BY322</f>
        <v>0</v>
      </c>
      <c r="BZ27" s="45">
        <f>[2]Hydrogen!BZ322</f>
        <v>75140.666954402637</v>
      </c>
      <c r="CA27" s="45">
        <f>[2]Hydrogen!CA322</f>
        <v>0</v>
      </c>
      <c r="CB27" s="45">
        <f>[2]Hydrogen!CB322</f>
        <v>75140.666954402637</v>
      </c>
      <c r="CC27" s="45">
        <f>[2]Hydrogen!CC322</f>
        <v>0</v>
      </c>
      <c r="CD27" s="45">
        <f>[2]Hydrogen!CD322</f>
        <v>6580.4448853720332</v>
      </c>
      <c r="CE27" s="45">
        <f>[2]Hydrogen!CE322</f>
        <v>68813.990376012007</v>
      </c>
      <c r="CF27" s="45">
        <f>[2]Hydrogen!CF322</f>
        <v>2019.3294464003443</v>
      </c>
      <c r="CG27" s="45">
        <f>[2]Hydrogen!CG322</f>
        <v>-66079.400154913877</v>
      </c>
      <c r="CH27" s="45">
        <f>[2]Hydrogen!CH322</f>
        <v>2200.867196190798</v>
      </c>
      <c r="CI27" s="45">
        <f>[2]Hydrogen!CI322</f>
        <v>17436.115796220911</v>
      </c>
      <c r="CJ27" s="45">
        <f>[2]Hydrogen!CJ322</f>
        <v>6580.4448853720332</v>
      </c>
      <c r="CK27" s="45">
        <f>[2]Hydrogen!CK322</f>
        <v>28411.498089770805</v>
      </c>
      <c r="CL27" s="45">
        <f>[2]Hydrogen!CL322</f>
        <v>2019.3294464003443</v>
      </c>
      <c r="CM27" s="45">
        <f>[2]Hydrogen!CM322</f>
        <v>-55275.572540254841</v>
      </c>
    </row>
    <row r="28" spans="1:91">
      <c r="A28" t="s">
        <v>214</v>
      </c>
      <c r="B28" s="45">
        <f>[2]Hydrogen!B323</f>
        <v>6670.0862872186599</v>
      </c>
      <c r="C28" s="45">
        <f>[2]Hydrogen!C323</f>
        <v>23942.246642034002</v>
      </c>
      <c r="D28" s="45">
        <f>[2]Hydrogen!D323</f>
        <v>0</v>
      </c>
      <c r="E28" s="45">
        <f>[2]Hydrogen!E323</f>
        <v>12533.418571224855</v>
      </c>
      <c r="F28" s="45">
        <f>[2]Hydrogen!F323</f>
        <v>1444.5133840946542</v>
      </c>
      <c r="G28" s="45">
        <f>[2]Hydrogen!G323</f>
        <v>12533.418571224855</v>
      </c>
      <c r="H28" s="45">
        <f>[2]Hydrogen!H323</f>
        <v>1730.3642996603569</v>
      </c>
      <c r="I28" s="45">
        <f>[2]Hydrogen!I323</f>
        <v>6564.388050990603</v>
      </c>
      <c r="J28" s="45">
        <f>[2]Hydrogen!J323</f>
        <v>1489.1206046490254</v>
      </c>
      <c r="K28" s="45">
        <f>[2]Hydrogen!K323</f>
        <v>28168.954149238856</v>
      </c>
      <c r="L28" s="45">
        <f>[2]Hydrogen!L323</f>
        <v>3119.134291309445</v>
      </c>
      <c r="M28" s="45">
        <f>[2]Hydrogen!M323</f>
        <v>21108.995590823299</v>
      </c>
      <c r="N28" s="45">
        <f>[2]Hydrogen!N323</f>
        <v>1846.2831504394269</v>
      </c>
      <c r="O28" s="45">
        <f>[2]Hydrogen!O323</f>
        <v>6570.9314048131728</v>
      </c>
      <c r="P28" s="45">
        <f>[2]Hydrogen!P323</f>
        <v>3119.134291309445</v>
      </c>
      <c r="Q28" s="45">
        <f>[2]Hydrogen!Q323</f>
        <v>98503.111576821946</v>
      </c>
      <c r="R28" s="45">
        <f>[2]Hydrogen!R323</f>
        <v>0</v>
      </c>
      <c r="S28" s="45">
        <f>[2]Hydrogen!S323</f>
        <v>87960.834317681321</v>
      </c>
      <c r="T28" s="45">
        <f>[2]Hydrogen!T323</f>
        <v>10449.297969357212</v>
      </c>
      <c r="U28" s="45">
        <f>[2]Hydrogen!U323</f>
        <v>188432.35842736979</v>
      </c>
      <c r="V28" s="45">
        <f>[2]Hydrogen!V323</f>
        <v>10769.342652614685</v>
      </c>
      <c r="W28" s="45">
        <f>[2]Hydrogen!W323</f>
        <v>12533.418571224855</v>
      </c>
      <c r="X28" s="45">
        <f>[2]Hydrogen!X323</f>
        <v>67670.850940797071</v>
      </c>
      <c r="Y28" s="45">
        <f>[2]Hydrogen!Y323</f>
        <v>12533.418571224855</v>
      </c>
      <c r="Z28" s="45">
        <f>[2]Hydrogen!Z323</f>
        <v>6862.0241803920417</v>
      </c>
      <c r="AA28" s="45">
        <f>[2]Hydrogen!AA323</f>
        <v>97536.960063651015</v>
      </c>
      <c r="AB28" s="45">
        <f>[2]Hydrogen!AB323</f>
        <v>0</v>
      </c>
      <c r="AC28" s="45">
        <f>[2]Hydrogen!AC323</f>
        <v>0</v>
      </c>
      <c r="AD28" s="45">
        <f>[2]Hydrogen!AD323</f>
        <v>-43409.944035720095</v>
      </c>
      <c r="AE28" s="45">
        <f>[2]Hydrogen!AE323</f>
        <v>114373.12085546942</v>
      </c>
      <c r="AF28" s="45">
        <f>[2]Hydrogen!AF323</f>
        <v>11466.335678805655</v>
      </c>
      <c r="AG28" s="45">
        <f>[2]Hydrogen!AG323</f>
        <v>27640.582943164321</v>
      </c>
      <c r="AH28" s="45">
        <f>[2]Hydrogen!AH323</f>
        <v>18864.321042491007</v>
      </c>
      <c r="AI28" s="45">
        <f>[2]Hydrogen!AI323</f>
        <v>115950.51152774862</v>
      </c>
      <c r="AJ28" s="45">
        <f>[2]Hydrogen!AJ323</f>
        <v>6588.1340438264915</v>
      </c>
      <c r="AK28" s="45">
        <f>[2]Hydrogen!AK323</f>
        <v>23942.246642034002</v>
      </c>
      <c r="AL28" s="45">
        <f>[2]Hydrogen!AL323</f>
        <v>6588.1340438264915</v>
      </c>
      <c r="AM28" s="45">
        <f>[2]Hydrogen!AM323</f>
        <v>23942.246642034002</v>
      </c>
      <c r="AN28" s="45">
        <f>[2]Hydrogen!AN323</f>
        <v>6670.0862872186599</v>
      </c>
      <c r="AO28" s="45">
        <f>[2]Hydrogen!AO323</f>
        <v>53047.276259780927</v>
      </c>
      <c r="AP28" s="45">
        <f>[2]Hydrogen!AP323</f>
        <v>0</v>
      </c>
      <c r="AQ28" s="45">
        <f>[2]Hydrogen!AQ323</f>
        <v>40721.851188394052</v>
      </c>
      <c r="AR28" s="45">
        <f>[2]Hydrogen!AR323</f>
        <v>1444.5133840946542</v>
      </c>
      <c r="AS28" s="45">
        <f>[2]Hydrogen!AS323</f>
        <v>2176.4071367126389</v>
      </c>
      <c r="AT28" s="45">
        <f>[2]Hydrogen!AT323</f>
        <v>1730.3642996603569</v>
      </c>
      <c r="AU28" s="45">
        <f>[2]Hydrogen!AU323</f>
        <v>2176.4071367126389</v>
      </c>
      <c r="AV28" s="45">
        <f>[2]Hydrogen!AV323</f>
        <v>1489.1206046490254</v>
      </c>
      <c r="AW28" s="45">
        <f>[2]Hydrogen!AW323</f>
        <v>57613.561802466567</v>
      </c>
      <c r="AX28" s="45">
        <f>[2]Hydrogen!AX323</f>
        <v>3119.134291309445</v>
      </c>
      <c r="AY28" s="45">
        <f>[2]Hydrogen!AY323</f>
        <v>49986.398900302163</v>
      </c>
      <c r="AZ28" s="45">
        <f>[2]Hydrogen!AZ323</f>
        <v>1846.2831504394269</v>
      </c>
      <c r="BA28" s="45">
        <f>[2]Hydrogen!BA323</f>
        <v>2218.661314811281</v>
      </c>
      <c r="BB28" s="45">
        <f>[2]Hydrogen!BB323</f>
        <v>3119.134291309445</v>
      </c>
      <c r="BC28" s="45">
        <f>[2]Hydrogen!BC323</f>
        <v>133598.43789599522</v>
      </c>
      <c r="BD28" s="45">
        <f>[2]Hydrogen!BD323</f>
        <v>0</v>
      </c>
      <c r="BE28" s="45">
        <f>[2]Hydrogen!BE323</f>
        <v>122208.8423049127</v>
      </c>
      <c r="BF28" s="45">
        <f>[2]Hydrogen!BF323</f>
        <v>10769.342652614685</v>
      </c>
      <c r="BG28" s="45">
        <f>[2]Hydrogen!BG323</f>
        <v>40721.851188394052</v>
      </c>
      <c r="BH28" s="45">
        <f>[2]Hydrogen!BH323</f>
        <v>67670.850940797071</v>
      </c>
      <c r="BI28" s="45">
        <f>[2]Hydrogen!BI323</f>
        <v>40721.693467404446</v>
      </c>
      <c r="BJ28" s="45">
        <f>[2]Hydrogen!BJ323</f>
        <v>6862.0241803920417</v>
      </c>
      <c r="BK28" s="45">
        <f>[2]Hydrogen!BK323</f>
        <v>135176.28580664386</v>
      </c>
      <c r="BL28" s="45">
        <f>[2]Hydrogen!BL323</f>
        <v>0</v>
      </c>
      <c r="BM28" s="45">
        <f>[2]Hydrogen!BM323</f>
        <v>0</v>
      </c>
      <c r="BN28" s="45">
        <f>[2]Hydrogen!BN323</f>
        <v>-43409.944035720095</v>
      </c>
      <c r="BO28" s="45">
        <f>[2]Hydrogen!BO323</f>
        <v>152043.02691069766</v>
      </c>
      <c r="BP28" s="45">
        <f>[2]Hydrogen!BP323</f>
        <v>11466.335678805655</v>
      </c>
      <c r="BQ28" s="45">
        <f>[2]Hydrogen!BQ323</f>
        <v>65112.770614788897</v>
      </c>
      <c r="BR28" s="45">
        <f>[2]Hydrogen!BR323</f>
        <v>18864.321042491007</v>
      </c>
      <c r="BS28" s="45">
        <f>[2]Hydrogen!BS323</f>
        <v>153623.28267198807</v>
      </c>
      <c r="BT28" s="45">
        <f>[2]Hydrogen!BT323</f>
        <v>7117.4315199998855</v>
      </c>
      <c r="BU28" s="45">
        <f>[2]Hydrogen!BU323</f>
        <v>53047.276259780927</v>
      </c>
      <c r="BV28" s="45">
        <f>[2]Hydrogen!BV323</f>
        <v>75240.394692509042</v>
      </c>
      <c r="BW28" s="45">
        <f>[2]Hydrogen!BW323</f>
        <v>0</v>
      </c>
      <c r="BX28" s="45">
        <f>[2]Hydrogen!BX323</f>
        <v>75240.394692509042</v>
      </c>
      <c r="BY28" s="45">
        <f>[2]Hydrogen!BY323</f>
        <v>0</v>
      </c>
      <c r="BZ28" s="45">
        <f>[2]Hydrogen!BZ323</f>
        <v>75240.394692509042</v>
      </c>
      <c r="CA28" s="45">
        <f>[2]Hydrogen!CA323</f>
        <v>0</v>
      </c>
      <c r="CB28" s="45">
        <f>[2]Hydrogen!CB323</f>
        <v>75240.394692509042</v>
      </c>
      <c r="CC28" s="45">
        <f>[2]Hydrogen!CC323</f>
        <v>0</v>
      </c>
      <c r="CD28" s="45">
        <f>[2]Hydrogen!CD323</f>
        <v>6670.0862872186599</v>
      </c>
      <c r="CE28" s="45">
        <f>[2]Hydrogen!CE323</f>
        <v>68827.533643707022</v>
      </c>
      <c r="CF28" s="45">
        <f>[2]Hydrogen!CF323</f>
        <v>1907.9779006819465</v>
      </c>
      <c r="CG28" s="45">
        <f>[2]Hydrogen!CG323</f>
        <v>-66097.934192551096</v>
      </c>
      <c r="CH28" s="45">
        <f>[2]Hydrogen!CH323</f>
        <v>2093.8067227201836</v>
      </c>
      <c r="CI28" s="45">
        <f>[2]Hydrogen!CI323</f>
        <v>17429.083760393805</v>
      </c>
      <c r="CJ28" s="45">
        <f>[2]Hydrogen!CJ323</f>
        <v>6670.0862872186599</v>
      </c>
      <c r="CK28" s="45">
        <f>[2]Hydrogen!CK323</f>
        <v>28444.316027989909</v>
      </c>
      <c r="CL28" s="45">
        <f>[2]Hydrogen!CL323</f>
        <v>1907.9779006819465</v>
      </c>
      <c r="CM28" s="45">
        <f>[2]Hydrogen!CM323</f>
        <v>-55242.754602035733</v>
      </c>
    </row>
    <row r="29" spans="1:91">
      <c r="A29" t="s">
        <v>215</v>
      </c>
      <c r="B29" s="45">
        <f>[2]Hydrogen!B324</f>
        <v>13706.29185422907</v>
      </c>
      <c r="C29" s="45">
        <f>[2]Hydrogen!C324</f>
        <v>28638.388279461637</v>
      </c>
      <c r="D29" s="45">
        <f>[2]Hydrogen!D324</f>
        <v>0</v>
      </c>
      <c r="E29" s="45">
        <f>[2]Hydrogen!E324</f>
        <v>13336.831289721746</v>
      </c>
      <c r="F29" s="45">
        <f>[2]Hydrogen!F324</f>
        <v>1575.4528105000059</v>
      </c>
      <c r="G29" s="45">
        <f>[2]Hydrogen!G324</f>
        <v>13336.831289721746</v>
      </c>
      <c r="H29" s="45">
        <f>[2]Hydrogen!H324</f>
        <v>1887.2149812563805</v>
      </c>
      <c r="I29" s="45">
        <f>[2]Hydrogen!I324</f>
        <v>6947.122540889327</v>
      </c>
      <c r="J29" s="45">
        <f>[2]Hydrogen!J324</f>
        <v>5896.8105398556536</v>
      </c>
      <c r="K29" s="45">
        <f>[2]Hydrogen!K324</f>
        <v>32217.57417176494</v>
      </c>
      <c r="L29" s="45">
        <f>[2]Hydrogen!L324</f>
        <v>4118.1665210757965</v>
      </c>
      <c r="M29" s="45">
        <f>[2]Hydrogen!M324</f>
        <v>23586.351368272335</v>
      </c>
      <c r="N29" s="45">
        <f>[2]Hydrogen!N324</f>
        <v>2015.003826210836</v>
      </c>
      <c r="O29" s="45">
        <f>[2]Hydrogen!O324</f>
        <v>6954.3246744954968</v>
      </c>
      <c r="P29" s="45">
        <f>[2]Hydrogen!P324</f>
        <v>4118.1665210757965</v>
      </c>
      <c r="Q29" s="45">
        <f>[2]Hydrogen!Q324</f>
        <v>107573.72873661542</v>
      </c>
      <c r="R29" s="45">
        <f>[2]Hydrogen!R324</f>
        <v>0</v>
      </c>
      <c r="S29" s="45">
        <f>[2]Hydrogen!S324</f>
        <v>96602.931117451095</v>
      </c>
      <c r="T29" s="45">
        <f>[2]Hydrogen!T324</f>
        <v>13631.550538843583</v>
      </c>
      <c r="U29" s="45">
        <f>[2]Hydrogen!U324</f>
        <v>191131.56241390095</v>
      </c>
      <c r="V29" s="45">
        <f>[2]Hydrogen!V324</f>
        <v>11561.965417872805</v>
      </c>
      <c r="W29" s="45">
        <f>[2]Hydrogen!W324</f>
        <v>13336.831289721746</v>
      </c>
      <c r="X29" s="45">
        <f>[2]Hydrogen!X324</f>
        <v>74960.746234598832</v>
      </c>
      <c r="Y29" s="45">
        <f>[2]Hydrogen!Y324</f>
        <v>13336.831289721746</v>
      </c>
      <c r="Z29" s="45">
        <f>[2]Hydrogen!Z324</f>
        <v>14793.781444262378</v>
      </c>
      <c r="AA29" s="45">
        <f>[2]Hydrogen!AA324</f>
        <v>101293.23344273075</v>
      </c>
      <c r="AB29" s="45">
        <f>[2]Hydrogen!AB324</f>
        <v>0</v>
      </c>
      <c r="AC29" s="45">
        <f>[2]Hydrogen!AC324</f>
        <v>0</v>
      </c>
      <c r="AD29" s="45">
        <f>[2]Hydrogen!AD324</f>
        <v>-24916.136110045703</v>
      </c>
      <c r="AE29" s="45">
        <f>[2]Hydrogen!AE324</f>
        <v>115415.95611130953</v>
      </c>
      <c r="AF29" s="45">
        <f>[2]Hydrogen!AF324</f>
        <v>11928.668105085982</v>
      </c>
      <c r="AG29" s="45">
        <f>[2]Hydrogen!AG324</f>
        <v>29555.405835267564</v>
      </c>
      <c r="AH29" s="45">
        <f>[2]Hydrogen!AH324</f>
        <v>25144.318122775963</v>
      </c>
      <c r="AI29" s="45">
        <f>[2]Hydrogen!AI324</f>
        <v>119001.23693469337</v>
      </c>
      <c r="AJ29" s="45">
        <f>[2]Hydrogen!AJ324</f>
        <v>13537.889030386403</v>
      </c>
      <c r="AK29" s="45">
        <f>[2]Hydrogen!AK324</f>
        <v>28638.388279461637</v>
      </c>
      <c r="AL29" s="45">
        <f>[2]Hydrogen!AL324</f>
        <v>13537.889030386403</v>
      </c>
      <c r="AM29" s="45">
        <f>[2]Hydrogen!AM324</f>
        <v>28638.388279461637</v>
      </c>
      <c r="AN29" s="45">
        <f>[2]Hydrogen!AN324</f>
        <v>13706.29185422907</v>
      </c>
      <c r="AO29" s="45">
        <f>[2]Hydrogen!AO324</f>
        <v>60111.50892465542</v>
      </c>
      <c r="AP29" s="45">
        <f>[2]Hydrogen!AP324</f>
        <v>0</v>
      </c>
      <c r="AQ29" s="45">
        <f>[2]Hydrogen!AQ324</f>
        <v>43580.609082703537</v>
      </c>
      <c r="AR29" s="45">
        <f>[2]Hydrogen!AR324</f>
        <v>1575.4528105000059</v>
      </c>
      <c r="AS29" s="45">
        <f>[2]Hydrogen!AS324</f>
        <v>2318.6051023664468</v>
      </c>
      <c r="AT29" s="45">
        <f>[2]Hydrogen!AT324</f>
        <v>1887.2149812563805</v>
      </c>
      <c r="AU29" s="45">
        <f>[2]Hydrogen!AU324</f>
        <v>2318.6051023664468</v>
      </c>
      <c r="AV29" s="45">
        <f>[2]Hydrogen!AV324</f>
        <v>5896.8105398556536</v>
      </c>
      <c r="AW29" s="45">
        <f>[2]Hydrogen!AW324</f>
        <v>63978.250298821884</v>
      </c>
      <c r="AX29" s="45">
        <f>[2]Hydrogen!AX324</f>
        <v>4118.1665210757965</v>
      </c>
      <c r="AY29" s="45">
        <f>[2]Hydrogen!AY324</f>
        <v>54653.586163415304</v>
      </c>
      <c r="AZ29" s="45">
        <f>[2]Hydrogen!AZ324</f>
        <v>2015.003826210836</v>
      </c>
      <c r="BA29" s="45">
        <f>[2]Hydrogen!BA324</f>
        <v>2365.1133983164</v>
      </c>
      <c r="BB29" s="45">
        <f>[2]Hydrogen!BB324</f>
        <v>4118.1665210757965</v>
      </c>
      <c r="BC29" s="45">
        <f>[2]Hydrogen!BC324</f>
        <v>145388.59595328491</v>
      </c>
      <c r="BD29" s="45">
        <f>[2]Hydrogen!BD324</f>
        <v>0</v>
      </c>
      <c r="BE29" s="45">
        <f>[2]Hydrogen!BE324</f>
        <v>133536.03712964978</v>
      </c>
      <c r="BF29" s="45">
        <f>[2]Hydrogen!BF324</f>
        <v>11561.965417872805</v>
      </c>
      <c r="BG29" s="45">
        <f>[2]Hydrogen!BG324</f>
        <v>43580.609082703537</v>
      </c>
      <c r="BH29" s="45">
        <f>[2]Hydrogen!BH324</f>
        <v>74960.746234598832</v>
      </c>
      <c r="BI29" s="45">
        <f>[2]Hydrogen!BI324</f>
        <v>43580.44020271342</v>
      </c>
      <c r="BJ29" s="45">
        <f>[2]Hydrogen!BJ324</f>
        <v>14793.781444262378</v>
      </c>
      <c r="BK29" s="45">
        <f>[2]Hydrogen!BK324</f>
        <v>141589.88716284159</v>
      </c>
      <c r="BL29" s="45">
        <f>[2]Hydrogen!BL324</f>
        <v>0</v>
      </c>
      <c r="BM29" s="45">
        <f>[2]Hydrogen!BM324</f>
        <v>0</v>
      </c>
      <c r="BN29" s="45">
        <f>[2]Hydrogen!BN324</f>
        <v>-24916.136110045703</v>
      </c>
      <c r="BO29" s="45">
        <f>[2]Hydrogen!BO324</f>
        <v>155738.26159812417</v>
      </c>
      <c r="BP29" s="45">
        <f>[2]Hydrogen!BP324</f>
        <v>11928.668105085982</v>
      </c>
      <c r="BQ29" s="45">
        <f>[2]Hydrogen!BQ324</f>
        <v>69681.576770713917</v>
      </c>
      <c r="BR29" s="45">
        <f>[2]Hydrogen!BR324</f>
        <v>25144.318122775963</v>
      </c>
      <c r="BS29" s="45">
        <f>[2]Hydrogen!BS324</f>
        <v>159330.0545360207</v>
      </c>
      <c r="BT29" s="45">
        <f>[2]Hydrogen!BT324</f>
        <v>14625.536981814106</v>
      </c>
      <c r="BU29" s="45">
        <f>[2]Hydrogen!BU324</f>
        <v>60111.50892465542</v>
      </c>
      <c r="BV29" s="45">
        <f>[2]Hydrogen!BV324</f>
        <v>83249.316163677431</v>
      </c>
      <c r="BW29" s="45">
        <f>[2]Hydrogen!BW324</f>
        <v>0</v>
      </c>
      <c r="BX29" s="45">
        <f>[2]Hydrogen!BX324</f>
        <v>83249.316163677431</v>
      </c>
      <c r="BY29" s="45">
        <f>[2]Hydrogen!BY324</f>
        <v>0</v>
      </c>
      <c r="BZ29" s="45">
        <f>[2]Hydrogen!BZ324</f>
        <v>83249.316163677431</v>
      </c>
      <c r="CA29" s="45">
        <f>[2]Hydrogen!CA324</f>
        <v>0</v>
      </c>
      <c r="CB29" s="45">
        <f>[2]Hydrogen!CB324</f>
        <v>83249.316163677431</v>
      </c>
      <c r="CC29" s="45">
        <f>[2]Hydrogen!CC324</f>
        <v>0</v>
      </c>
      <c r="CD29" s="45">
        <f>[2]Hydrogen!CD324</f>
        <v>13706.29185422907</v>
      </c>
      <c r="CE29" s="45">
        <f>[2]Hydrogen!CE324</f>
        <v>70071.593811880128</v>
      </c>
      <c r="CF29" s="45">
        <f>[2]Hydrogen!CF324</f>
        <v>14959.132615680137</v>
      </c>
      <c r="CG29" s="45">
        <f>[2]Hydrogen!CG324</f>
        <v>-58462.731706629325</v>
      </c>
      <c r="CH29" s="45">
        <f>[2]Hydrogen!CH324</f>
        <v>16048.229412587263</v>
      </c>
      <c r="CI29" s="45">
        <f>[2]Hydrogen!CI324</f>
        <v>23127.371510660138</v>
      </c>
      <c r="CJ29" s="45">
        <f>[2]Hydrogen!CJ324</f>
        <v>13706.29185422907</v>
      </c>
      <c r="CK29" s="45">
        <f>[2]Hydrogen!CK324</f>
        <v>30047.572355119653</v>
      </c>
      <c r="CL29" s="45">
        <f>[2]Hydrogen!CL324</f>
        <v>14959.132615680137</v>
      </c>
      <c r="CM29" s="45">
        <f>[2]Hydrogen!CM324</f>
        <v>-53639.498274905993</v>
      </c>
    </row>
    <row r="30" spans="1:91">
      <c r="C30" s="1278"/>
      <c r="E30" s="885" t="s">
        <v>112</v>
      </c>
      <c r="F30" s="885"/>
      <c r="G30" s="885"/>
      <c r="H30" s="885"/>
      <c r="I30" s="1"/>
      <c r="J30" t="s">
        <v>216</v>
      </c>
    </row>
    <row r="31" spans="1:91">
      <c r="C31" s="1278"/>
      <c r="E31" s="16" t="s">
        <v>128</v>
      </c>
      <c r="F31" s="16" t="s">
        <v>129</v>
      </c>
      <c r="G31" s="16" t="s">
        <v>128</v>
      </c>
      <c r="H31" s="16" t="s">
        <v>129</v>
      </c>
      <c r="I31" s="1" t="s">
        <v>112</v>
      </c>
      <c r="J31" t="s">
        <v>141</v>
      </c>
      <c r="K31" s="15">
        <v>0.12948784757606599</v>
      </c>
    </row>
    <row r="32" spans="1:91" ht="15" thickBot="1">
      <c r="C32" s="1279"/>
      <c r="E32" s="996" t="s">
        <v>217</v>
      </c>
      <c r="F32" s="996" t="s">
        <v>217</v>
      </c>
      <c r="G32" s="996" t="s">
        <v>133</v>
      </c>
      <c r="H32" s="996" t="s">
        <v>133</v>
      </c>
      <c r="I32" s="997" t="s">
        <v>133</v>
      </c>
    </row>
    <row r="33" spans="1:9" ht="29">
      <c r="A33">
        <v>1</v>
      </c>
      <c r="B33" s="1280" t="s">
        <v>219</v>
      </c>
      <c r="C33" s="998" t="str">
        <f t="shared" ref="C33:C68" ca="1" si="0">OFFSET($B$8,0, (A33-1)*2)</f>
        <v>Central Plants: NG to Gaseous Hydrogen with CCS</v>
      </c>
      <c r="D33" s="999">
        <f ca="1">I33/1000/$K$31*$J$70/1000000</f>
        <v>4.8162321927701006</v>
      </c>
      <c r="E33" s="1000">
        <f t="shared" ref="E33:E68" ca="1" si="1">OFFSET($B$29, 0, (A33-1)*2)</f>
        <v>13706.29185422907</v>
      </c>
      <c r="F33" s="1000">
        <f t="shared" ref="F33:F68" ca="1" si="2">OFFSET($C$29, 0, (A33-1)*2)</f>
        <v>28638.388279461637</v>
      </c>
      <c r="G33" s="1000">
        <f t="shared" ref="G33:G68" ca="1" si="3">E33*$K$31</f>
        <v>1774.7982304534887</v>
      </c>
      <c r="H33" s="1000">
        <f t="shared" ref="H33:H68" ca="1" si="4">F33*$K$31</f>
        <v>3708.3232563551232</v>
      </c>
      <c r="I33" s="1001">
        <f ca="1">G33+H33</f>
        <v>5483.1214868086117</v>
      </c>
    </row>
    <row r="34" spans="1:9" ht="29">
      <c r="A34">
        <v>2</v>
      </c>
      <c r="B34" s="1281"/>
      <c r="C34" s="17" t="str">
        <f t="shared" ca="1" si="0"/>
        <v>Central Plants: PEM electrolysis to Gaseous Hydrogen via Solar</v>
      </c>
      <c r="D34" s="4">
        <f ca="1">I34/1000/$K$31*$J$70/1000000</f>
        <v>1.5169148994467316</v>
      </c>
      <c r="E34" s="46">
        <f t="shared" ca="1" si="1"/>
        <v>0</v>
      </c>
      <c r="F34" s="46">
        <f t="shared" ca="1" si="2"/>
        <v>13336.831289721746</v>
      </c>
      <c r="G34" s="46">
        <f t="shared" ca="1" si="3"/>
        <v>0</v>
      </c>
      <c r="H34" s="46">
        <f t="shared" ca="1" si="4"/>
        <v>1726.9575771911971</v>
      </c>
      <c r="I34" s="1002">
        <f t="shared" ref="I34:I68" ca="1" si="5">G34+H34</f>
        <v>1726.9575771911971</v>
      </c>
    </row>
    <row r="35" spans="1:9" ht="29">
      <c r="A35">
        <v>3</v>
      </c>
      <c r="B35" s="1281"/>
      <c r="C35" s="17" t="str">
        <f t="shared" ca="1" si="0"/>
        <v>Central Plants: Nuclear Energy to Gaseous Hydrogen (Thermo-Chemical Cracking of Water)</v>
      </c>
      <c r="D35" s="4">
        <f t="shared" ref="D35:D68" ca="1" si="6">I35/1000/$K$31*$J$70/1000000</f>
        <v>1.6961049776375268</v>
      </c>
      <c r="E35" s="46">
        <f t="shared" ca="1" si="1"/>
        <v>1575.4528105000059</v>
      </c>
      <c r="F35" s="46">
        <f t="shared" ca="1" si="2"/>
        <v>13336.831289721746</v>
      </c>
      <c r="G35" s="46">
        <f t="shared" ca="1" si="3"/>
        <v>204.00199338930955</v>
      </c>
      <c r="H35" s="46">
        <f t="shared" ca="1" si="4"/>
        <v>1726.9575771911971</v>
      </c>
      <c r="I35" s="1002">
        <f t="shared" ca="1" si="5"/>
        <v>1930.9595705805066</v>
      </c>
    </row>
    <row r="36" spans="1:9" ht="29">
      <c r="A36">
        <v>4</v>
      </c>
      <c r="B36" s="1281"/>
      <c r="C36" s="17" t="str">
        <f t="shared" ca="1" si="0"/>
        <v>Central Plants: Electrolysis (HTGR) to Gaseous Hydrogen</v>
      </c>
      <c r="D36" s="4">
        <f t="shared" ca="1" si="6"/>
        <v>1.0048067582898645</v>
      </c>
      <c r="E36" s="46">
        <f t="shared" ca="1" si="1"/>
        <v>1887.2149812563805</v>
      </c>
      <c r="F36" s="46">
        <f t="shared" ca="1" si="2"/>
        <v>6947.122540889327</v>
      </c>
      <c r="G36" s="46">
        <f t="shared" ca="1" si="3"/>
        <v>244.37140583619444</v>
      </c>
      <c r="H36" s="46">
        <f t="shared" ca="1" si="4"/>
        <v>899.56794466692941</v>
      </c>
      <c r="I36" s="1002">
        <f t="shared" ca="1" si="5"/>
        <v>1143.9393505031239</v>
      </c>
    </row>
    <row r="37" spans="1:9" ht="29">
      <c r="A37">
        <v>5</v>
      </c>
      <c r="B37" s="1281"/>
      <c r="C37" s="17" t="str">
        <f t="shared" ca="1" si="0"/>
        <v>Central Plants: Coal to Gaseous Hydrogen with CCS</v>
      </c>
      <c r="D37" s="4">
        <f t="shared" ca="1" si="6"/>
        <v>4.3350835589304557</v>
      </c>
      <c r="E37" s="46">
        <f t="shared" ca="1" si="1"/>
        <v>5896.8105398556536</v>
      </c>
      <c r="F37" s="46">
        <f t="shared" ca="1" si="2"/>
        <v>32217.57417176494</v>
      </c>
      <c r="G37" s="46">
        <f t="shared" ca="1" si="3"/>
        <v>763.56530436976823</v>
      </c>
      <c r="H37" s="46">
        <f t="shared" ca="1" si="4"/>
        <v>4171.7843336240994</v>
      </c>
      <c r="I37" s="1002">
        <f t="shared" ca="1" si="5"/>
        <v>4935.3496379938679</v>
      </c>
    </row>
    <row r="38" spans="1:9">
      <c r="A38">
        <v>6</v>
      </c>
      <c r="B38" s="1281"/>
      <c r="C38" s="17" t="str">
        <f t="shared" ca="1" si="0"/>
        <v>Central Plants: Biomass to Gaseous Hydrogen</v>
      </c>
      <c r="D38" s="4">
        <f t="shared" ca="1" si="6"/>
        <v>3.151078022613083</v>
      </c>
      <c r="E38" s="46">
        <f t="shared" ca="1" si="1"/>
        <v>4118.1665210757965</v>
      </c>
      <c r="F38" s="46">
        <f t="shared" ca="1" si="2"/>
        <v>23586.351368272335</v>
      </c>
      <c r="G38" s="46">
        <f t="shared" ca="1" si="3"/>
        <v>533.25251877392066</v>
      </c>
      <c r="H38" s="46">
        <f t="shared" ca="1" si="4"/>
        <v>3054.1458708503837</v>
      </c>
      <c r="I38" s="1002">
        <f t="shared" ca="1" si="5"/>
        <v>3587.3983896243044</v>
      </c>
    </row>
    <row r="39" spans="1:9" ht="29">
      <c r="A39">
        <v>7</v>
      </c>
      <c r="B39" s="1281"/>
      <c r="C39" s="17" t="str">
        <f t="shared" ca="1" si="0"/>
        <v>Central Plants: High Temperature Eletrolysis with SOEC to Gaseous Hydrogen</v>
      </c>
      <c r="D39" s="4">
        <f t="shared" ca="1" si="6"/>
        <v>1.0201604672947402</v>
      </c>
      <c r="E39" s="46">
        <f t="shared" ca="1" si="1"/>
        <v>2015.003826210836</v>
      </c>
      <c r="F39" s="46">
        <f t="shared" ca="1" si="2"/>
        <v>6954.3246744954968</v>
      </c>
      <c r="G39" s="46">
        <f t="shared" ca="1" si="3"/>
        <v>260.91850831357851</v>
      </c>
      <c r="H39" s="46">
        <f t="shared" ca="1" si="4"/>
        <v>900.5005334455476</v>
      </c>
      <c r="I39" s="1002">
        <f t="shared" ca="1" si="5"/>
        <v>1161.4190417591262</v>
      </c>
    </row>
    <row r="40" spans="1:9" ht="29">
      <c r="A40">
        <v>8</v>
      </c>
      <c r="B40" s="1281"/>
      <c r="C40" s="17" t="str">
        <f t="shared" ca="1" si="0"/>
        <v>Central Plants: Integrated Fermentation to Gaseous Hydrogen</v>
      </c>
      <c r="D40" s="4">
        <f t="shared" ca="1" si="6"/>
        <v>12.703699730715449</v>
      </c>
      <c r="E40" s="46">
        <f t="shared" ca="1" si="1"/>
        <v>4118.1665210757965</v>
      </c>
      <c r="F40" s="46">
        <f t="shared" ca="1" si="2"/>
        <v>107573.72873661542</v>
      </c>
      <c r="G40" s="46">
        <f t="shared" ca="1" si="3"/>
        <v>533.25251877392066</v>
      </c>
      <c r="H40" s="46">
        <f t="shared" ca="1" si="4"/>
        <v>13929.490589835927</v>
      </c>
      <c r="I40" s="1002">
        <f t="shared" ca="1" si="5"/>
        <v>14462.743108609848</v>
      </c>
    </row>
    <row r="41" spans="1:9" ht="29">
      <c r="A41">
        <v>9</v>
      </c>
      <c r="B41" s="1281"/>
      <c r="C41" s="17" t="str">
        <f t="shared" ca="1" si="0"/>
        <v>Central Plants: Coke Oven Gas to Gaseous Hydrogen</v>
      </c>
      <c r="D41" s="4">
        <f t="shared" ca="1" si="6"/>
        <v>10.987499381147618</v>
      </c>
      <c r="E41" s="46">
        <f t="shared" ca="1" si="1"/>
        <v>0</v>
      </c>
      <c r="F41" s="46">
        <f t="shared" ca="1" si="2"/>
        <v>96602.931117451095</v>
      </c>
      <c r="G41" s="46">
        <f t="shared" ca="1" si="3"/>
        <v>0</v>
      </c>
      <c r="H41" s="46">
        <f t="shared" ca="1" si="4"/>
        <v>12508.90561993771</v>
      </c>
      <c r="I41" s="1002">
        <f t="shared" ca="1" si="5"/>
        <v>12508.90561993771</v>
      </c>
    </row>
    <row r="42" spans="1:9">
      <c r="A42">
        <v>10</v>
      </c>
      <c r="B42" s="1281"/>
      <c r="C42" s="17" t="str">
        <f t="shared" ca="1" si="0"/>
        <v>Central Plants: Pet Coke  to Gaseous Hydrogen</v>
      </c>
      <c r="D42" s="4">
        <f t="shared" ca="1" si="6"/>
        <v>23.289506341321694</v>
      </c>
      <c r="E42" s="46">
        <f t="shared" ca="1" si="1"/>
        <v>13631.550538843583</v>
      </c>
      <c r="F42" s="46">
        <f t="shared" ca="1" si="2"/>
        <v>191131.56241390095</v>
      </c>
      <c r="G42" s="46">
        <f t="shared" ca="1" si="3"/>
        <v>1765.1201383992181</v>
      </c>
      <c r="H42" s="46">
        <f t="shared" ca="1" si="4"/>
        <v>24749.214620826548</v>
      </c>
      <c r="I42" s="1002">
        <f t="shared" ca="1" si="5"/>
        <v>26514.334759225767</v>
      </c>
    </row>
    <row r="43" spans="1:9" ht="29">
      <c r="A43">
        <v>11</v>
      </c>
      <c r="B43" s="1281"/>
      <c r="C43" s="17" t="str">
        <f t="shared" ca="1" si="0"/>
        <v>Central Plants: Byproduction of Gaseous H2 from Chlorine plants</v>
      </c>
      <c r="D43" s="4">
        <f t="shared" ca="1" si="6"/>
        <v>2.8319587226954712</v>
      </c>
      <c r="E43" s="46">
        <f t="shared" ca="1" si="1"/>
        <v>11561.965417872805</v>
      </c>
      <c r="F43" s="46">
        <f t="shared" ca="1" si="2"/>
        <v>13336.831289721746</v>
      </c>
      <c r="G43" s="46">
        <f t="shared" ca="1" si="3"/>
        <v>1497.13401570926</v>
      </c>
      <c r="H43" s="46">
        <f t="shared" ca="1" si="4"/>
        <v>1726.9575771911971</v>
      </c>
      <c r="I43" s="1002">
        <f t="shared" ca="1" si="5"/>
        <v>3224.0915929004568</v>
      </c>
    </row>
    <row r="44" spans="1:9" ht="29">
      <c r="A44">
        <v>12</v>
      </c>
      <c r="B44" s="1281"/>
      <c r="C44" s="17" t="str">
        <f t="shared" ca="1" si="0"/>
        <v>Central Plants: By-product Gaseous H2 from NGL Steam Cracker Plants</v>
      </c>
      <c r="D44" s="4">
        <f t="shared" ca="1" si="6"/>
        <v>10.042858608769968</v>
      </c>
      <c r="E44" s="46">
        <f t="shared" ca="1" si="1"/>
        <v>74960.746234598832</v>
      </c>
      <c r="F44" s="46">
        <f t="shared" ca="1" si="2"/>
        <v>13336.831289721746</v>
      </c>
      <c r="G44" s="46">
        <f t="shared" ca="1" si="3"/>
        <v>9706.5056826138953</v>
      </c>
      <c r="H44" s="46">
        <f t="shared" ca="1" si="4"/>
        <v>1726.9575771911971</v>
      </c>
      <c r="I44" s="1002">
        <f t="shared" ca="1" si="5"/>
        <v>11433.463259805092</v>
      </c>
    </row>
    <row r="45" spans="1:9" ht="29">
      <c r="A45">
        <v>13</v>
      </c>
      <c r="B45" s="1281"/>
      <c r="C45" s="17" t="str">
        <f t="shared" ca="1" si="0"/>
        <v>Refueling Stations: NG or FG to Gaseous Hydrogen</v>
      </c>
      <c r="D45" s="4">
        <f t="shared" ca="1" si="6"/>
        <v>13.203595268546607</v>
      </c>
      <c r="E45" s="46">
        <f t="shared" ca="1" si="1"/>
        <v>14793.781444262378</v>
      </c>
      <c r="F45" s="46">
        <f t="shared" ca="1" si="2"/>
        <v>101293.23344273075</v>
      </c>
      <c r="G45" s="46">
        <f t="shared" ca="1" si="3"/>
        <v>1915.6149167282801</v>
      </c>
      <c r="H45" s="46">
        <f t="shared" ca="1" si="4"/>
        <v>13116.24277251919</v>
      </c>
      <c r="I45" s="1002">
        <f t="shared" ca="1" si="5"/>
        <v>15031.85768924747</v>
      </c>
    </row>
    <row r="46" spans="1:9" ht="29">
      <c r="A46">
        <v>14</v>
      </c>
      <c r="B46" s="1281"/>
      <c r="C46" s="17" t="str">
        <f t="shared" ca="1" si="0"/>
        <v>Refueling Stations: Electricity to Gaseous Hydrogen</v>
      </c>
      <c r="D46" s="4">
        <f t="shared" ca="1" si="6"/>
        <v>0</v>
      </c>
      <c r="E46" s="46">
        <f t="shared" ca="1" si="1"/>
        <v>0</v>
      </c>
      <c r="F46" s="46">
        <f t="shared" ca="1" si="2"/>
        <v>0</v>
      </c>
      <c r="G46" s="46">
        <f t="shared" ca="1" si="3"/>
        <v>0</v>
      </c>
      <c r="H46" s="46">
        <f t="shared" ca="1" si="4"/>
        <v>0</v>
      </c>
      <c r="I46" s="1002">
        <f t="shared" ca="1" si="5"/>
        <v>0</v>
      </c>
    </row>
    <row r="47" spans="1:9">
      <c r="A47">
        <v>15</v>
      </c>
      <c r="B47" s="1281"/>
      <c r="C47" s="17" t="str">
        <f t="shared" ca="1" si="0"/>
        <v>Refueling Stations: EtOH to Gaseous Hydrogen</v>
      </c>
      <c r="D47" s="4">
        <f t="shared" ca="1" si="6"/>
        <v>10.293338977974621</v>
      </c>
      <c r="E47" s="46">
        <f t="shared" ca="1" si="1"/>
        <v>-24916.136110045703</v>
      </c>
      <c r="F47" s="46">
        <f t="shared" ca="1" si="2"/>
        <v>115415.95611130953</v>
      </c>
      <c r="G47" s="46">
        <f t="shared" ca="1" si="3"/>
        <v>-3226.3368348021118</v>
      </c>
      <c r="H47" s="46">
        <f t="shared" ca="1" si="4"/>
        <v>14944.96373278717</v>
      </c>
      <c r="I47" s="1002">
        <f t="shared" ca="1" si="5"/>
        <v>11718.626897985057</v>
      </c>
    </row>
    <row r="48" spans="1:9" ht="40.15" customHeight="1">
      <c r="A48">
        <v>16</v>
      </c>
      <c r="B48" s="1281"/>
      <c r="C48" s="17" t="str">
        <f t="shared" ca="1" si="0"/>
        <v>Biomass-derived Liquid Reforming to Gaseous Hydrogen</v>
      </c>
      <c r="D48" s="4">
        <f t="shared" ca="1" si="6"/>
        <v>4.7183478956031006</v>
      </c>
      <c r="E48" s="46">
        <f t="shared" ca="1" si="1"/>
        <v>11928.668105085982</v>
      </c>
      <c r="F48" s="46">
        <f t="shared" ca="1" si="2"/>
        <v>29555.405835267564</v>
      </c>
      <c r="G48" s="46">
        <f t="shared" ca="1" si="3"/>
        <v>1544.6175573768537</v>
      </c>
      <c r="H48" s="46">
        <f t="shared" ca="1" si="4"/>
        <v>3827.0658858458978</v>
      </c>
      <c r="I48" s="1002">
        <f t="shared" ca="1" si="5"/>
        <v>5371.6834432227515</v>
      </c>
    </row>
    <row r="49" spans="1:9">
      <c r="A49">
        <v>17</v>
      </c>
      <c r="B49" s="1281"/>
      <c r="C49" s="17" t="str">
        <f t="shared" ca="1" si="0"/>
        <v>Refueling Stations: MeOH to Gaseous Hydrogen</v>
      </c>
      <c r="D49" s="4">
        <f t="shared" ca="1" si="6"/>
        <v>16.394939352963533</v>
      </c>
      <c r="E49" s="46">
        <f t="shared" ca="1" si="1"/>
        <v>25144.318122775963</v>
      </c>
      <c r="F49" s="46">
        <f t="shared" ca="1" si="2"/>
        <v>119001.23693469337</v>
      </c>
      <c r="G49" s="46">
        <f t="shared" ca="1" si="3"/>
        <v>3255.8836324861277</v>
      </c>
      <c r="H49" s="46">
        <f t="shared" ca="1" si="4"/>
        <v>15409.214029562889</v>
      </c>
      <c r="I49" s="1002">
        <f t="shared" ca="1" si="5"/>
        <v>18665.097662049018</v>
      </c>
    </row>
    <row r="50" spans="1:9">
      <c r="A50">
        <v>18</v>
      </c>
      <c r="B50" s="1281"/>
      <c r="C50" s="17" t="str">
        <f t="shared" ca="1" si="0"/>
        <v>Gaseous Hydrogen: Combined</v>
      </c>
      <c r="D50" s="4">
        <f t="shared" ca="1" si="6"/>
        <v>4.7970782612966838</v>
      </c>
      <c r="E50" s="46">
        <f t="shared" ca="1" si="1"/>
        <v>13537.889030386403</v>
      </c>
      <c r="F50" s="46">
        <f t="shared" ca="1" si="2"/>
        <v>28638.388279461637</v>
      </c>
      <c r="G50" s="46">
        <f t="shared" ca="1" si="3"/>
        <v>1752.9921112683703</v>
      </c>
      <c r="H50" s="46">
        <f t="shared" ca="1" si="4"/>
        <v>3708.3232563551232</v>
      </c>
      <c r="I50" s="1002">
        <f t="shared" ca="1" si="5"/>
        <v>5461.3153676234933</v>
      </c>
    </row>
    <row r="51" spans="1:9" ht="15" thickBot="1">
      <c r="A51">
        <v>19</v>
      </c>
      <c r="B51" s="1282"/>
      <c r="C51" s="1003" t="str">
        <f t="shared" ca="1" si="0"/>
        <v>Gaseous Hydrogen: Combined (for MHDVs)</v>
      </c>
      <c r="D51" s="1004">
        <f t="shared" ca="1" si="6"/>
        <v>4.7970782612966838</v>
      </c>
      <c r="E51" s="1005">
        <f t="shared" ca="1" si="1"/>
        <v>13537.889030386403</v>
      </c>
      <c r="F51" s="1005">
        <f t="shared" ca="1" si="2"/>
        <v>28638.388279461637</v>
      </c>
      <c r="G51" s="1005">
        <f t="shared" ca="1" si="3"/>
        <v>1752.9921112683703</v>
      </c>
      <c r="H51" s="1005">
        <f t="shared" ca="1" si="4"/>
        <v>3708.3232563551232</v>
      </c>
      <c r="I51" s="1006">
        <f t="shared" ca="1" si="5"/>
        <v>5461.3153676234933</v>
      </c>
    </row>
    <row r="52" spans="1:9">
      <c r="A52">
        <v>20</v>
      </c>
      <c r="B52" s="1280" t="s">
        <v>220</v>
      </c>
      <c r="C52" s="998" t="str">
        <f t="shared" ca="1" si="0"/>
        <v xml:space="preserve">Central Plants: NG or FG to Liquid Hydrogen </v>
      </c>
      <c r="D52" s="999">
        <f t="shared" ca="1" si="6"/>
        <v>8.3959464893415952</v>
      </c>
      <c r="E52" s="1000">
        <f t="shared" ca="1" si="1"/>
        <v>13706.29185422907</v>
      </c>
      <c r="F52" s="1000">
        <f t="shared" ca="1" si="2"/>
        <v>60111.50892465542</v>
      </c>
      <c r="G52" s="1000">
        <f t="shared" ca="1" si="3"/>
        <v>1774.7982304534887</v>
      </c>
      <c r="H52" s="1000">
        <f t="shared" ca="1" si="4"/>
        <v>7783.7099052031117</v>
      </c>
      <c r="I52" s="1001">
        <f t="shared" ca="1" si="5"/>
        <v>9558.5081356566006</v>
      </c>
    </row>
    <row r="53" spans="1:9" ht="29">
      <c r="A53">
        <v>21</v>
      </c>
      <c r="B53" s="1281"/>
      <c r="C53" s="17" t="str">
        <f t="shared" ca="1" si="0"/>
        <v>Central Plants: PEM Electrolysis to Liquid Hydrogen</v>
      </c>
      <c r="D53" s="4">
        <f t="shared" ca="1" si="6"/>
        <v>4.9568052416966424</v>
      </c>
      <c r="E53" s="46">
        <f t="shared" ca="1" si="1"/>
        <v>0</v>
      </c>
      <c r="F53" s="46">
        <f t="shared" ca="1" si="2"/>
        <v>43580.609082703537</v>
      </c>
      <c r="G53" s="46">
        <f t="shared" ca="1" si="3"/>
        <v>0</v>
      </c>
      <c r="H53" s="46">
        <f t="shared" ca="1" si="4"/>
        <v>5643.1592661732329</v>
      </c>
      <c r="I53" s="1002">
        <f t="shared" ca="1" si="5"/>
        <v>5643.1592661732329</v>
      </c>
    </row>
    <row r="54" spans="1:9" ht="29">
      <c r="A54">
        <v>22</v>
      </c>
      <c r="B54" s="1281"/>
      <c r="C54" s="17" t="str">
        <f t="shared" ca="1" si="0"/>
        <v>Central Plants: Nuclear Energy to Liquid Hydrogen (Thermo-Chemical Cracking of Water)</v>
      </c>
      <c r="D54" s="4">
        <f t="shared" ca="1" si="6"/>
        <v>0.44290539026971554</v>
      </c>
      <c r="E54" s="46">
        <f t="shared" ca="1" si="1"/>
        <v>1575.4528105000059</v>
      </c>
      <c r="F54" s="46">
        <f t="shared" ca="1" si="2"/>
        <v>2318.6051023664468</v>
      </c>
      <c r="G54" s="46">
        <f t="shared" ca="1" si="3"/>
        <v>204.00199338930955</v>
      </c>
      <c r="H54" s="46">
        <f t="shared" ca="1" si="4"/>
        <v>300.23118408431532</v>
      </c>
      <c r="I54" s="1002">
        <f t="shared" ca="1" si="5"/>
        <v>504.23317747362489</v>
      </c>
    </row>
    <row r="55" spans="1:9" ht="29">
      <c r="A55">
        <v>23</v>
      </c>
      <c r="B55" s="1281"/>
      <c r="C55" s="17" t="str">
        <f t="shared" ca="1" si="0"/>
        <v>Central Plants: Electrolysis (HTGR) to Liquid Hydrogen</v>
      </c>
      <c r="D55" s="4">
        <f t="shared" ca="1" si="6"/>
        <v>0.47836483874220714</v>
      </c>
      <c r="E55" s="46">
        <f t="shared" ca="1" si="1"/>
        <v>1887.2149812563805</v>
      </c>
      <c r="F55" s="46">
        <f t="shared" ca="1" si="2"/>
        <v>2318.6051023664468</v>
      </c>
      <c r="G55" s="46">
        <f t="shared" ca="1" si="3"/>
        <v>244.37140583619444</v>
      </c>
      <c r="H55" s="46">
        <f t="shared" ca="1" si="4"/>
        <v>300.23118408431532</v>
      </c>
      <c r="I55" s="1002">
        <f t="shared" ca="1" si="5"/>
        <v>544.60258992050979</v>
      </c>
    </row>
    <row r="56" spans="1:9">
      <c r="A56">
        <v>24</v>
      </c>
      <c r="B56" s="1281"/>
      <c r="C56" s="17" t="str">
        <f t="shared" ca="1" si="0"/>
        <v>Central Plants: Coal to Liquid Hydrogen</v>
      </c>
      <c r="D56" s="4">
        <f t="shared" ca="1" si="6"/>
        <v>7.9475040647491149</v>
      </c>
      <c r="E56" s="46">
        <f t="shared" ca="1" si="1"/>
        <v>5896.8105398556536</v>
      </c>
      <c r="F56" s="46">
        <f t="shared" ca="1" si="2"/>
        <v>63978.250298821884</v>
      </c>
      <c r="G56" s="46">
        <f t="shared" ca="1" si="3"/>
        <v>763.56530436976823</v>
      </c>
      <c r="H56" s="46">
        <f t="shared" ca="1" si="4"/>
        <v>8284.4059228772458</v>
      </c>
      <c r="I56" s="1002">
        <f t="shared" ca="1" si="5"/>
        <v>9047.9712272470133</v>
      </c>
    </row>
    <row r="57" spans="1:9">
      <c r="A57">
        <v>25</v>
      </c>
      <c r="B57" s="1281"/>
      <c r="C57" s="17" t="str">
        <f t="shared" ca="1" si="0"/>
        <v>Central Plants: Biomass to Liquid Hydrogen</v>
      </c>
      <c r="D57" s="4">
        <f t="shared" ca="1" si="6"/>
        <v>6.6846273584047875</v>
      </c>
      <c r="E57" s="46">
        <f t="shared" ca="1" si="1"/>
        <v>4118.1665210757965</v>
      </c>
      <c r="F57" s="46">
        <f t="shared" ca="1" si="2"/>
        <v>54653.586163415304</v>
      </c>
      <c r="G57" s="46">
        <f t="shared" ca="1" si="3"/>
        <v>533.25251877392066</v>
      </c>
      <c r="H57" s="46">
        <f t="shared" ca="1" si="4"/>
        <v>7076.9752346137102</v>
      </c>
      <c r="I57" s="1002">
        <f t="shared" ca="1" si="5"/>
        <v>7610.2277533876313</v>
      </c>
    </row>
    <row r="58" spans="1:9" ht="29">
      <c r="A58">
        <v>26</v>
      </c>
      <c r="B58" s="1281"/>
      <c r="C58" s="17" t="str">
        <f t="shared" ca="1" si="0"/>
        <v>Central Plants: High Temperature Eletrolysis with SOEC to Liquid Hydrogen</v>
      </c>
      <c r="D58" s="4">
        <f t="shared" ca="1" si="6"/>
        <v>0.49818918263809364</v>
      </c>
      <c r="E58" s="46">
        <f t="shared" ca="1" si="1"/>
        <v>2015.003826210836</v>
      </c>
      <c r="F58" s="46">
        <f t="shared" ca="1" si="2"/>
        <v>2365.1133983164</v>
      </c>
      <c r="G58" s="46">
        <f t="shared" ca="1" si="3"/>
        <v>260.91850831357851</v>
      </c>
      <c r="H58" s="46">
        <f t="shared" ca="1" si="4"/>
        <v>306.25344322130547</v>
      </c>
      <c r="I58" s="1002">
        <f t="shared" ca="1" si="5"/>
        <v>567.17195153488399</v>
      </c>
    </row>
    <row r="59" spans="1:9" ht="29">
      <c r="A59">
        <v>27</v>
      </c>
      <c r="B59" s="1281"/>
      <c r="C59" s="17" t="str">
        <f t="shared" ca="1" si="0"/>
        <v>Central Plants: Integrated Fermentation to Liquid Hydrogen</v>
      </c>
      <c r="D59" s="4">
        <f t="shared" ca="1" si="6"/>
        <v>17.004716535642164</v>
      </c>
      <c r="E59" s="46">
        <f t="shared" ca="1" si="1"/>
        <v>4118.1665210757965</v>
      </c>
      <c r="F59" s="46">
        <f t="shared" ca="1" si="2"/>
        <v>145388.59595328491</v>
      </c>
      <c r="G59" s="46">
        <f t="shared" ca="1" si="3"/>
        <v>533.25251877392066</v>
      </c>
      <c r="H59" s="46">
        <f t="shared" ca="1" si="4"/>
        <v>18826.056352097199</v>
      </c>
      <c r="I59" s="1002">
        <f t="shared" ca="1" si="5"/>
        <v>19359.308870871118</v>
      </c>
    </row>
    <row r="60" spans="1:9" ht="29">
      <c r="A60">
        <v>28</v>
      </c>
      <c r="B60" s="1281"/>
      <c r="C60" s="17" t="str">
        <f t="shared" ca="1" si="0"/>
        <v>Central Plants: Coke Oven Gas to Liquid Hydrogen</v>
      </c>
      <c r="D60" s="4">
        <f t="shared" ca="1" si="6"/>
        <v>15.188225743782642</v>
      </c>
      <c r="E60" s="46">
        <f t="shared" ca="1" si="1"/>
        <v>0</v>
      </c>
      <c r="F60" s="46">
        <f t="shared" ca="1" si="2"/>
        <v>133536.03712964978</v>
      </c>
      <c r="G60" s="46">
        <f t="shared" ca="1" si="3"/>
        <v>0</v>
      </c>
      <c r="H60" s="46">
        <f t="shared" ca="1" si="4"/>
        <v>17291.294021755977</v>
      </c>
      <c r="I60" s="1002">
        <f t="shared" ca="1" si="5"/>
        <v>17291.294021755977</v>
      </c>
    </row>
    <row r="61" spans="1:9" ht="40.15" customHeight="1">
      <c r="A61">
        <v>29</v>
      </c>
      <c r="B61" s="1281"/>
      <c r="C61" s="17" t="str">
        <f t="shared" ca="1" si="0"/>
        <v>Central Plants: Byproduction of Liquid H2 from Chlorine plants</v>
      </c>
      <c r="D61" s="4">
        <f t="shared" ca="1" si="6"/>
        <v>6.2718490649453829</v>
      </c>
      <c r="E61" s="46">
        <f t="shared" ca="1" si="1"/>
        <v>11561.965417872805</v>
      </c>
      <c r="F61" s="46">
        <f t="shared" ca="1" si="2"/>
        <v>43580.609082703537</v>
      </c>
      <c r="G61" s="46">
        <f t="shared" ca="1" si="3"/>
        <v>1497.13401570926</v>
      </c>
      <c r="H61" s="46">
        <f t="shared" ca="1" si="4"/>
        <v>5643.1592661732329</v>
      </c>
      <c r="I61" s="1002">
        <f t="shared" ca="1" si="5"/>
        <v>7140.2932818824929</v>
      </c>
    </row>
    <row r="62" spans="1:9" ht="40.15" customHeight="1">
      <c r="A62">
        <v>30</v>
      </c>
      <c r="B62" s="1281"/>
      <c r="C62" s="17" t="str">
        <f t="shared" ca="1" si="0"/>
        <v>Central Plants: By-product Liquid H2 from NGL Steam Cracker Plants</v>
      </c>
      <c r="D62" s="4">
        <f t="shared" ca="1" si="6"/>
        <v>13.482729742816097</v>
      </c>
      <c r="E62" s="46">
        <f t="shared" ca="1" si="1"/>
        <v>74960.746234598832</v>
      </c>
      <c r="F62" s="46">
        <f t="shared" ca="1" si="2"/>
        <v>43580.44020271342</v>
      </c>
      <c r="G62" s="46">
        <f t="shared" ca="1" si="3"/>
        <v>9706.5056826138953</v>
      </c>
      <c r="H62" s="46">
        <f t="shared" ca="1" si="4"/>
        <v>5643.1373982668138</v>
      </c>
      <c r="I62" s="1002">
        <f t="shared" ca="1" si="5"/>
        <v>15349.643080880709</v>
      </c>
    </row>
    <row r="63" spans="1:9">
      <c r="A63">
        <v>31</v>
      </c>
      <c r="B63" s="1281"/>
      <c r="C63" s="17" t="str">
        <f t="shared" ca="1" si="0"/>
        <v>Refueling Stations: NG or FG to Liquid Hydrogen</v>
      </c>
      <c r="D63" s="4">
        <f t="shared" ca="1" si="6"/>
        <v>17.786887438778223</v>
      </c>
      <c r="E63" s="46">
        <f t="shared" ca="1" si="1"/>
        <v>14793.781444262378</v>
      </c>
      <c r="F63" s="46">
        <f t="shared" ca="1" si="2"/>
        <v>141589.88716284159</v>
      </c>
      <c r="G63" s="46">
        <f t="shared" ca="1" si="3"/>
        <v>1915.6149167282801</v>
      </c>
      <c r="H63" s="46">
        <f t="shared" ca="1" si="4"/>
        <v>18334.169727254415</v>
      </c>
      <c r="I63" s="1002">
        <f t="shared" ca="1" si="5"/>
        <v>20249.784643982697</v>
      </c>
    </row>
    <row r="64" spans="1:9">
      <c r="A64">
        <v>32</v>
      </c>
      <c r="B64" s="1281"/>
      <c r="C64" s="17" t="str">
        <f t="shared" ca="1" si="0"/>
        <v>Refueling Stations: Electricity to Liquid Hydrogen</v>
      </c>
      <c r="D64" s="4">
        <f t="shared" ca="1" si="6"/>
        <v>0</v>
      </c>
      <c r="E64" s="46">
        <f t="shared" ca="1" si="1"/>
        <v>0</v>
      </c>
      <c r="F64" s="46">
        <f t="shared" ca="1" si="2"/>
        <v>0</v>
      </c>
      <c r="G64" s="46">
        <f t="shared" ca="1" si="3"/>
        <v>0</v>
      </c>
      <c r="H64" s="46">
        <f t="shared" ca="1" si="4"/>
        <v>0</v>
      </c>
      <c r="I64" s="1002">
        <f t="shared" ca="1" si="5"/>
        <v>0</v>
      </c>
    </row>
    <row r="65" spans="1:10">
      <c r="A65">
        <v>33</v>
      </c>
      <c r="B65" s="1281"/>
      <c r="C65" s="17" t="str">
        <f t="shared" ca="1" si="0"/>
        <v>Refueling Stations: EtOH to Liquid Hydrogen</v>
      </c>
      <c r="D65" s="4">
        <f t="shared" ca="1" si="6"/>
        <v>14.879548748816521</v>
      </c>
      <c r="E65" s="46">
        <f t="shared" ca="1" si="1"/>
        <v>-24916.136110045703</v>
      </c>
      <c r="F65" s="46">
        <f t="shared" ca="1" si="2"/>
        <v>155738.26159812417</v>
      </c>
      <c r="G65" s="46">
        <f t="shared" ca="1" si="3"/>
        <v>-3226.3368348021118</v>
      </c>
      <c r="H65" s="46">
        <f t="shared" ca="1" si="4"/>
        <v>20166.212279579395</v>
      </c>
      <c r="I65" s="1002">
        <f t="shared" ca="1" si="5"/>
        <v>16939.875444777284</v>
      </c>
    </row>
    <row r="66" spans="1:10" ht="29">
      <c r="A66">
        <v>34</v>
      </c>
      <c r="B66" s="1281"/>
      <c r="C66" s="17" t="str">
        <f t="shared" ca="1" si="0"/>
        <v>Biomass-derived Liquid Reforming to Liquid Hydrogen</v>
      </c>
      <c r="D66" s="4">
        <f t="shared" ca="1" si="6"/>
        <v>9.2822495621581762</v>
      </c>
      <c r="E66" s="46">
        <f t="shared" ca="1" si="1"/>
        <v>11928.668105085982</v>
      </c>
      <c r="F66" s="46">
        <f t="shared" ca="1" si="2"/>
        <v>69681.576770713917</v>
      </c>
      <c r="G66" s="46">
        <f t="shared" ca="1" si="3"/>
        <v>1544.6175573768537</v>
      </c>
      <c r="H66" s="46">
        <f t="shared" ca="1" si="4"/>
        <v>9022.9173917461449</v>
      </c>
      <c r="I66" s="1002">
        <f t="shared" ca="1" si="5"/>
        <v>10567.534949122999</v>
      </c>
    </row>
    <row r="67" spans="1:10">
      <c r="A67">
        <v>35</v>
      </c>
      <c r="B67" s="1281"/>
      <c r="C67" s="17" t="str">
        <f t="shared" ca="1" si="0"/>
        <v>Refueling Stations: MeOH to Liquid Hydrogen</v>
      </c>
      <c r="D67" s="4">
        <f t="shared" ca="1" si="6"/>
        <v>20.981889803755301</v>
      </c>
      <c r="E67" s="46">
        <f t="shared" ca="1" si="1"/>
        <v>25144.318122775963</v>
      </c>
      <c r="F67" s="46">
        <f t="shared" ca="1" si="2"/>
        <v>159330.0545360207</v>
      </c>
      <c r="G67" s="46">
        <f t="shared" ca="1" si="3"/>
        <v>3255.8836324861277</v>
      </c>
      <c r="H67" s="46">
        <f t="shared" ca="1" si="4"/>
        <v>20631.30581604653</v>
      </c>
      <c r="I67" s="1002">
        <f t="shared" ca="1" si="5"/>
        <v>23887.189448532656</v>
      </c>
    </row>
    <row r="68" spans="1:10" ht="15" thickBot="1">
      <c r="A68">
        <v>36</v>
      </c>
      <c r="B68" s="1282"/>
      <c r="C68" s="1003" t="str">
        <f t="shared" ca="1" si="0"/>
        <v>Liquid Hydrogen: Combined</v>
      </c>
      <c r="D68" s="1004">
        <f t="shared" ca="1" si="6"/>
        <v>8.5005003072602605</v>
      </c>
      <c r="E68" s="1005">
        <f t="shared" ca="1" si="1"/>
        <v>14625.536981814106</v>
      </c>
      <c r="F68" s="1005">
        <f t="shared" ca="1" si="2"/>
        <v>60111.50892465542</v>
      </c>
      <c r="G68" s="1005">
        <f t="shared" ca="1" si="3"/>
        <v>1893.8293034192611</v>
      </c>
      <c r="H68" s="1005">
        <f t="shared" ca="1" si="4"/>
        <v>7783.7099052031117</v>
      </c>
      <c r="I68" s="1006">
        <f t="shared" ca="1" si="5"/>
        <v>9677.5392086223728</v>
      </c>
    </row>
    <row r="69" spans="1:10">
      <c r="A69" s="757" t="s">
        <v>567</v>
      </c>
      <c r="B69" s="1007" t="s">
        <v>568</v>
      </c>
      <c r="D69" s="4"/>
      <c r="J69" t="s">
        <v>569</v>
      </c>
    </row>
    <row r="70" spans="1:10">
      <c r="A70" s="49">
        <v>1</v>
      </c>
      <c r="B70" s="1277" t="s">
        <v>219</v>
      </c>
      <c r="C70" s="1008" t="s">
        <v>722</v>
      </c>
      <c r="D70" s="995">
        <v>9.14</v>
      </c>
      <c r="J70">
        <v>113738.778462</v>
      </c>
    </row>
    <row r="71" spans="1:10" ht="14.5" customHeight="1">
      <c r="A71" s="49">
        <v>2</v>
      </c>
      <c r="B71" s="1277"/>
      <c r="C71" s="1008" t="s">
        <v>723</v>
      </c>
      <c r="D71" s="995">
        <v>4.0999999999999996</v>
      </c>
    </row>
    <row r="72" spans="1:10">
      <c r="A72" s="49">
        <v>3</v>
      </c>
      <c r="B72" s="1277"/>
      <c r="C72" s="1008" t="s">
        <v>724</v>
      </c>
      <c r="D72" s="995">
        <v>5.57</v>
      </c>
    </row>
    <row r="73" spans="1:10">
      <c r="A73" s="49">
        <v>4</v>
      </c>
      <c r="B73" s="1277"/>
      <c r="C73" s="1008" t="s">
        <v>725</v>
      </c>
      <c r="D73" s="995">
        <v>1</v>
      </c>
    </row>
    <row r="74" spans="1:10">
      <c r="A74" s="49">
        <v>5</v>
      </c>
      <c r="B74" s="1277"/>
      <c r="C74" s="1008" t="s">
        <v>726</v>
      </c>
      <c r="D74" s="995">
        <v>2.2999999999999998</v>
      </c>
    </row>
  </sheetData>
  <mergeCells count="4">
    <mergeCell ref="B70:B74"/>
    <mergeCell ref="C30:C32"/>
    <mergeCell ref="B33:B51"/>
    <mergeCell ref="B52:B68"/>
  </mergeCells>
  <phoneticPr fontId="37" type="noConversion"/>
  <pageMargins left="0.7" right="0.7" top="0.75" bottom="0.75" header="0.3" footer="0.3"/>
  <pageSetup orientation="portrait" r:id="rId1"/>
  <headerFooter>
    <oddFooter>&amp;C&amp;1#&amp;"Calibri"&amp;14&amp;K008000Classification: General Use</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tint="0.39997558519241921"/>
  </sheetPr>
  <dimension ref="A1:AB45"/>
  <sheetViews>
    <sheetView topLeftCell="A24" zoomScale="115" zoomScaleNormal="115" workbookViewId="0">
      <selection activeCell="I36" sqref="I36"/>
    </sheetView>
  </sheetViews>
  <sheetFormatPr defaultRowHeight="14.5"/>
  <cols>
    <col min="1" max="1" width="15" style="3" bestFit="1" customWidth="1"/>
    <col min="2" max="2" width="11.54296875" style="3" bestFit="1" customWidth="1"/>
    <col min="3" max="3" width="15.1796875" style="3" bestFit="1" customWidth="1"/>
    <col min="4" max="4" width="34.453125" style="3" bestFit="1" customWidth="1"/>
    <col min="5" max="5" width="10.453125" style="3" bestFit="1" customWidth="1"/>
    <col min="6" max="6" width="21.453125" style="3" bestFit="1" customWidth="1"/>
    <col min="7" max="7" width="25.453125" style="3" bestFit="1" customWidth="1"/>
    <col min="8" max="8" width="15.81640625" style="3" customWidth="1"/>
    <col min="9" max="9" width="20.1796875" style="3" bestFit="1" customWidth="1"/>
    <col min="10" max="10" width="9.7265625" style="3" bestFit="1" customWidth="1"/>
    <col min="11" max="11" width="17.81640625" style="3" customWidth="1"/>
    <col min="12" max="12" width="15.1796875" style="3" bestFit="1" customWidth="1"/>
    <col min="13" max="13" width="17.54296875" style="3" customWidth="1"/>
    <col min="14" max="14" width="21.26953125" style="3" bestFit="1" customWidth="1"/>
    <col min="15" max="15" width="19.81640625" style="3" bestFit="1" customWidth="1"/>
    <col min="16" max="16" width="20.81640625" style="3" bestFit="1" customWidth="1"/>
    <col min="17" max="17" width="19.453125" style="3" bestFit="1" customWidth="1"/>
    <col min="18" max="18" width="12.453125" style="3" bestFit="1" customWidth="1"/>
    <col min="19" max="19" width="28.54296875" style="3" bestFit="1" customWidth="1"/>
    <col min="20" max="20" width="10.26953125" style="3" bestFit="1" customWidth="1"/>
    <col min="21" max="21" width="19.1796875" style="3" bestFit="1" customWidth="1"/>
    <col min="22" max="22" width="19" style="3" bestFit="1" customWidth="1"/>
    <col min="23" max="23" width="11.453125" style="3" bestFit="1" customWidth="1"/>
    <col min="24" max="26" width="17.54296875" style="3" bestFit="1" customWidth="1"/>
    <col min="27" max="27" width="9.453125" style="3" bestFit="1" customWidth="1"/>
    <col min="28" max="28" width="18" style="3" bestFit="1" customWidth="1"/>
    <col min="29" max="256" width="9.1796875" style="3"/>
    <col min="257" max="257" width="16.453125" style="3" bestFit="1" customWidth="1"/>
    <col min="258" max="258" width="14" style="3" customWidth="1"/>
    <col min="259" max="259" width="15.1796875" style="3" bestFit="1" customWidth="1"/>
    <col min="260" max="260" width="36.26953125" style="3" bestFit="1" customWidth="1"/>
    <col min="261" max="261" width="12" style="3" bestFit="1" customWidth="1"/>
    <col min="262" max="262" width="11.453125" style="3" customWidth="1"/>
    <col min="263" max="263" width="23.26953125" style="3" customWidth="1"/>
    <col min="264" max="264" width="12" style="3" bestFit="1" customWidth="1"/>
    <col min="265" max="269" width="9.1796875" style="3"/>
    <col min="270" max="270" width="12" style="3" bestFit="1" customWidth="1"/>
    <col min="271" max="271" width="9.1796875" style="3"/>
    <col min="272" max="272" width="12" style="3" bestFit="1" customWidth="1"/>
    <col min="273" max="512" width="9.1796875" style="3"/>
    <col min="513" max="513" width="16.453125" style="3" bestFit="1" customWidth="1"/>
    <col min="514" max="514" width="14" style="3" customWidth="1"/>
    <col min="515" max="515" width="15.1796875" style="3" bestFit="1" customWidth="1"/>
    <col min="516" max="516" width="36.26953125" style="3" bestFit="1" customWidth="1"/>
    <col min="517" max="517" width="12" style="3" bestFit="1" customWidth="1"/>
    <col min="518" max="518" width="11.453125" style="3" customWidth="1"/>
    <col min="519" max="519" width="23.26953125" style="3" customWidth="1"/>
    <col min="520" max="520" width="12" style="3" bestFit="1" customWidth="1"/>
    <col min="521" max="525" width="9.1796875" style="3"/>
    <col min="526" max="526" width="12" style="3" bestFit="1" customWidth="1"/>
    <col min="527" max="527" width="9.1796875" style="3"/>
    <col min="528" max="528" width="12" style="3" bestFit="1" customWidth="1"/>
    <col min="529" max="768" width="9.1796875" style="3"/>
    <col min="769" max="769" width="16.453125" style="3" bestFit="1" customWidth="1"/>
    <col min="770" max="770" width="14" style="3" customWidth="1"/>
    <col min="771" max="771" width="15.1796875" style="3" bestFit="1" customWidth="1"/>
    <col min="772" max="772" width="36.26953125" style="3" bestFit="1" customWidth="1"/>
    <col min="773" max="773" width="12" style="3" bestFit="1" customWidth="1"/>
    <col min="774" max="774" width="11.453125" style="3" customWidth="1"/>
    <col min="775" max="775" width="23.26953125" style="3" customWidth="1"/>
    <col min="776" max="776" width="12" style="3" bestFit="1" customWidth="1"/>
    <col min="777" max="781" width="9.1796875" style="3"/>
    <col min="782" max="782" width="12" style="3" bestFit="1" customWidth="1"/>
    <col min="783" max="783" width="9.1796875" style="3"/>
    <col min="784" max="784" width="12" style="3" bestFit="1" customWidth="1"/>
    <col min="785" max="1024" width="9.1796875" style="3"/>
    <col min="1025" max="1025" width="16.453125" style="3" bestFit="1" customWidth="1"/>
    <col min="1026" max="1026" width="14" style="3" customWidth="1"/>
    <col min="1027" max="1027" width="15.1796875" style="3" bestFit="1" customWidth="1"/>
    <col min="1028" max="1028" width="36.26953125" style="3" bestFit="1" customWidth="1"/>
    <col min="1029" max="1029" width="12" style="3" bestFit="1" customWidth="1"/>
    <col min="1030" max="1030" width="11.453125" style="3" customWidth="1"/>
    <col min="1031" max="1031" width="23.26953125" style="3" customWidth="1"/>
    <col min="1032" max="1032" width="12" style="3" bestFit="1" customWidth="1"/>
    <col min="1033" max="1037" width="9.1796875" style="3"/>
    <col min="1038" max="1038" width="12" style="3" bestFit="1" customWidth="1"/>
    <col min="1039" max="1039" width="9.1796875" style="3"/>
    <col min="1040" max="1040" width="12" style="3" bestFit="1" customWidth="1"/>
    <col min="1041" max="1280" width="9.1796875" style="3"/>
    <col min="1281" max="1281" width="16.453125" style="3" bestFit="1" customWidth="1"/>
    <col min="1282" max="1282" width="14" style="3" customWidth="1"/>
    <col min="1283" max="1283" width="15.1796875" style="3" bestFit="1" customWidth="1"/>
    <col min="1284" max="1284" width="36.26953125" style="3" bestFit="1" customWidth="1"/>
    <col min="1285" max="1285" width="12" style="3" bestFit="1" customWidth="1"/>
    <col min="1286" max="1286" width="11.453125" style="3" customWidth="1"/>
    <col min="1287" max="1287" width="23.26953125" style="3" customWidth="1"/>
    <col min="1288" max="1288" width="12" style="3" bestFit="1" customWidth="1"/>
    <col min="1289" max="1293" width="9.1796875" style="3"/>
    <col min="1294" max="1294" width="12" style="3" bestFit="1" customWidth="1"/>
    <col min="1295" max="1295" width="9.1796875" style="3"/>
    <col min="1296" max="1296" width="12" style="3" bestFit="1" customWidth="1"/>
    <col min="1297" max="1536" width="9.1796875" style="3"/>
    <col min="1537" max="1537" width="16.453125" style="3" bestFit="1" customWidth="1"/>
    <col min="1538" max="1538" width="14" style="3" customWidth="1"/>
    <col min="1539" max="1539" width="15.1796875" style="3" bestFit="1" customWidth="1"/>
    <col min="1540" max="1540" width="36.26953125" style="3" bestFit="1" customWidth="1"/>
    <col min="1541" max="1541" width="12" style="3" bestFit="1" customWidth="1"/>
    <col min="1542" max="1542" width="11.453125" style="3" customWidth="1"/>
    <col min="1543" max="1543" width="23.26953125" style="3" customWidth="1"/>
    <col min="1544" max="1544" width="12" style="3" bestFit="1" customWidth="1"/>
    <col min="1545" max="1549" width="9.1796875" style="3"/>
    <col min="1550" max="1550" width="12" style="3" bestFit="1" customWidth="1"/>
    <col min="1551" max="1551" width="9.1796875" style="3"/>
    <col min="1552" max="1552" width="12" style="3" bestFit="1" customWidth="1"/>
    <col min="1553" max="1792" width="9.1796875" style="3"/>
    <col min="1793" max="1793" width="16.453125" style="3" bestFit="1" customWidth="1"/>
    <col min="1794" max="1794" width="14" style="3" customWidth="1"/>
    <col min="1795" max="1795" width="15.1796875" style="3" bestFit="1" customWidth="1"/>
    <col min="1796" max="1796" width="36.26953125" style="3" bestFit="1" customWidth="1"/>
    <col min="1797" max="1797" width="12" style="3" bestFit="1" customWidth="1"/>
    <col min="1798" max="1798" width="11.453125" style="3" customWidth="1"/>
    <col min="1799" max="1799" width="23.26953125" style="3" customWidth="1"/>
    <col min="1800" max="1800" width="12" style="3" bestFit="1" customWidth="1"/>
    <col min="1801" max="1805" width="9.1796875" style="3"/>
    <col min="1806" max="1806" width="12" style="3" bestFit="1" customWidth="1"/>
    <col min="1807" max="1807" width="9.1796875" style="3"/>
    <col min="1808" max="1808" width="12" style="3" bestFit="1" customWidth="1"/>
    <col min="1809" max="2048" width="9.1796875" style="3"/>
    <col min="2049" max="2049" width="16.453125" style="3" bestFit="1" customWidth="1"/>
    <col min="2050" max="2050" width="14" style="3" customWidth="1"/>
    <col min="2051" max="2051" width="15.1796875" style="3" bestFit="1" customWidth="1"/>
    <col min="2052" max="2052" width="36.26953125" style="3" bestFit="1" customWidth="1"/>
    <col min="2053" max="2053" width="12" style="3" bestFit="1" customWidth="1"/>
    <col min="2054" max="2054" width="11.453125" style="3" customWidth="1"/>
    <col min="2055" max="2055" width="23.26953125" style="3" customWidth="1"/>
    <col min="2056" max="2056" width="12" style="3" bestFit="1" customWidth="1"/>
    <col min="2057" max="2061" width="9.1796875" style="3"/>
    <col min="2062" max="2062" width="12" style="3" bestFit="1" customWidth="1"/>
    <col min="2063" max="2063" width="9.1796875" style="3"/>
    <col min="2064" max="2064" width="12" style="3" bestFit="1" customWidth="1"/>
    <col min="2065" max="2304" width="9.1796875" style="3"/>
    <col min="2305" max="2305" width="16.453125" style="3" bestFit="1" customWidth="1"/>
    <col min="2306" max="2306" width="14" style="3" customWidth="1"/>
    <col min="2307" max="2307" width="15.1796875" style="3" bestFit="1" customWidth="1"/>
    <col min="2308" max="2308" width="36.26953125" style="3" bestFit="1" customWidth="1"/>
    <col min="2309" max="2309" width="12" style="3" bestFit="1" customWidth="1"/>
    <col min="2310" max="2310" width="11.453125" style="3" customWidth="1"/>
    <col min="2311" max="2311" width="23.26953125" style="3" customWidth="1"/>
    <col min="2312" max="2312" width="12" style="3" bestFit="1" customWidth="1"/>
    <col min="2313" max="2317" width="9.1796875" style="3"/>
    <col min="2318" max="2318" width="12" style="3" bestFit="1" customWidth="1"/>
    <col min="2319" max="2319" width="9.1796875" style="3"/>
    <col min="2320" max="2320" width="12" style="3" bestFit="1" customWidth="1"/>
    <col min="2321" max="2560" width="9.1796875" style="3"/>
    <col min="2561" max="2561" width="16.453125" style="3" bestFit="1" customWidth="1"/>
    <col min="2562" max="2562" width="14" style="3" customWidth="1"/>
    <col min="2563" max="2563" width="15.1796875" style="3" bestFit="1" customWidth="1"/>
    <col min="2564" max="2564" width="36.26953125" style="3" bestFit="1" customWidth="1"/>
    <col min="2565" max="2565" width="12" style="3" bestFit="1" customWidth="1"/>
    <col min="2566" max="2566" width="11.453125" style="3" customWidth="1"/>
    <col min="2567" max="2567" width="23.26953125" style="3" customWidth="1"/>
    <col min="2568" max="2568" width="12" style="3" bestFit="1" customWidth="1"/>
    <col min="2569" max="2573" width="9.1796875" style="3"/>
    <col min="2574" max="2574" width="12" style="3" bestFit="1" customWidth="1"/>
    <col min="2575" max="2575" width="9.1796875" style="3"/>
    <col min="2576" max="2576" width="12" style="3" bestFit="1" customWidth="1"/>
    <col min="2577" max="2816" width="9.1796875" style="3"/>
    <col min="2817" max="2817" width="16.453125" style="3" bestFit="1" customWidth="1"/>
    <col min="2818" max="2818" width="14" style="3" customWidth="1"/>
    <col min="2819" max="2819" width="15.1796875" style="3" bestFit="1" customWidth="1"/>
    <col min="2820" max="2820" width="36.26953125" style="3" bestFit="1" customWidth="1"/>
    <col min="2821" max="2821" width="12" style="3" bestFit="1" customWidth="1"/>
    <col min="2822" max="2822" width="11.453125" style="3" customWidth="1"/>
    <col min="2823" max="2823" width="23.26953125" style="3" customWidth="1"/>
    <col min="2824" max="2824" width="12" style="3" bestFit="1" customWidth="1"/>
    <col min="2825" max="2829" width="9.1796875" style="3"/>
    <col min="2830" max="2830" width="12" style="3" bestFit="1" customWidth="1"/>
    <col min="2831" max="2831" width="9.1796875" style="3"/>
    <col min="2832" max="2832" width="12" style="3" bestFit="1" customWidth="1"/>
    <col min="2833" max="3072" width="9.1796875" style="3"/>
    <col min="3073" max="3073" width="16.453125" style="3" bestFit="1" customWidth="1"/>
    <col min="3074" max="3074" width="14" style="3" customWidth="1"/>
    <col min="3075" max="3075" width="15.1796875" style="3" bestFit="1" customWidth="1"/>
    <col min="3076" max="3076" width="36.26953125" style="3" bestFit="1" customWidth="1"/>
    <col min="3077" max="3077" width="12" style="3" bestFit="1" customWidth="1"/>
    <col min="3078" max="3078" width="11.453125" style="3" customWidth="1"/>
    <col min="3079" max="3079" width="23.26953125" style="3" customWidth="1"/>
    <col min="3080" max="3080" width="12" style="3" bestFit="1" customWidth="1"/>
    <col min="3081" max="3085" width="9.1796875" style="3"/>
    <col min="3086" max="3086" width="12" style="3" bestFit="1" customWidth="1"/>
    <col min="3087" max="3087" width="9.1796875" style="3"/>
    <col min="3088" max="3088" width="12" style="3" bestFit="1" customWidth="1"/>
    <col min="3089" max="3328" width="9.1796875" style="3"/>
    <col min="3329" max="3329" width="16.453125" style="3" bestFit="1" customWidth="1"/>
    <col min="3330" max="3330" width="14" style="3" customWidth="1"/>
    <col min="3331" max="3331" width="15.1796875" style="3" bestFit="1" customWidth="1"/>
    <col min="3332" max="3332" width="36.26953125" style="3" bestFit="1" customWidth="1"/>
    <col min="3333" max="3333" width="12" style="3" bestFit="1" customWidth="1"/>
    <col min="3334" max="3334" width="11.453125" style="3" customWidth="1"/>
    <col min="3335" max="3335" width="23.26953125" style="3" customWidth="1"/>
    <col min="3336" max="3336" width="12" style="3" bestFit="1" customWidth="1"/>
    <col min="3337" max="3341" width="9.1796875" style="3"/>
    <col min="3342" max="3342" width="12" style="3" bestFit="1" customWidth="1"/>
    <col min="3343" max="3343" width="9.1796875" style="3"/>
    <col min="3344" max="3344" width="12" style="3" bestFit="1" customWidth="1"/>
    <col min="3345" max="3584" width="9.1796875" style="3"/>
    <col min="3585" max="3585" width="16.453125" style="3" bestFit="1" customWidth="1"/>
    <col min="3586" max="3586" width="14" style="3" customWidth="1"/>
    <col min="3587" max="3587" width="15.1796875" style="3" bestFit="1" customWidth="1"/>
    <col min="3588" max="3588" width="36.26953125" style="3" bestFit="1" customWidth="1"/>
    <col min="3589" max="3589" width="12" style="3" bestFit="1" customWidth="1"/>
    <col min="3590" max="3590" width="11.453125" style="3" customWidth="1"/>
    <col min="3591" max="3591" width="23.26953125" style="3" customWidth="1"/>
    <col min="3592" max="3592" width="12" style="3" bestFit="1" customWidth="1"/>
    <col min="3593" max="3597" width="9.1796875" style="3"/>
    <col min="3598" max="3598" width="12" style="3" bestFit="1" customWidth="1"/>
    <col min="3599" max="3599" width="9.1796875" style="3"/>
    <col min="3600" max="3600" width="12" style="3" bestFit="1" customWidth="1"/>
    <col min="3601" max="3840" width="9.1796875" style="3"/>
    <col min="3841" max="3841" width="16.453125" style="3" bestFit="1" customWidth="1"/>
    <col min="3842" max="3842" width="14" style="3" customWidth="1"/>
    <col min="3843" max="3843" width="15.1796875" style="3" bestFit="1" customWidth="1"/>
    <col min="3844" max="3844" width="36.26953125" style="3" bestFit="1" customWidth="1"/>
    <col min="3845" max="3845" width="12" style="3" bestFit="1" customWidth="1"/>
    <col min="3846" max="3846" width="11.453125" style="3" customWidth="1"/>
    <col min="3847" max="3847" width="23.26953125" style="3" customWidth="1"/>
    <col min="3848" max="3848" width="12" style="3" bestFit="1" customWidth="1"/>
    <col min="3849" max="3853" width="9.1796875" style="3"/>
    <col min="3854" max="3854" width="12" style="3" bestFit="1" customWidth="1"/>
    <col min="3855" max="3855" width="9.1796875" style="3"/>
    <col min="3856" max="3856" width="12" style="3" bestFit="1" customWidth="1"/>
    <col min="3857" max="4096" width="9.1796875" style="3"/>
    <col min="4097" max="4097" width="16.453125" style="3" bestFit="1" customWidth="1"/>
    <col min="4098" max="4098" width="14" style="3" customWidth="1"/>
    <col min="4099" max="4099" width="15.1796875" style="3" bestFit="1" customWidth="1"/>
    <col min="4100" max="4100" width="36.26953125" style="3" bestFit="1" customWidth="1"/>
    <col min="4101" max="4101" width="12" style="3" bestFit="1" customWidth="1"/>
    <col min="4102" max="4102" width="11.453125" style="3" customWidth="1"/>
    <col min="4103" max="4103" width="23.26953125" style="3" customWidth="1"/>
    <col min="4104" max="4104" width="12" style="3" bestFit="1" customWidth="1"/>
    <col min="4105" max="4109" width="9.1796875" style="3"/>
    <col min="4110" max="4110" width="12" style="3" bestFit="1" customWidth="1"/>
    <col min="4111" max="4111" width="9.1796875" style="3"/>
    <col min="4112" max="4112" width="12" style="3" bestFit="1" customWidth="1"/>
    <col min="4113" max="4352" width="9.1796875" style="3"/>
    <col min="4353" max="4353" width="16.453125" style="3" bestFit="1" customWidth="1"/>
    <col min="4354" max="4354" width="14" style="3" customWidth="1"/>
    <col min="4355" max="4355" width="15.1796875" style="3" bestFit="1" customWidth="1"/>
    <col min="4356" max="4356" width="36.26953125" style="3" bestFit="1" customWidth="1"/>
    <col min="4357" max="4357" width="12" style="3" bestFit="1" customWidth="1"/>
    <col min="4358" max="4358" width="11.453125" style="3" customWidth="1"/>
    <col min="4359" max="4359" width="23.26953125" style="3" customWidth="1"/>
    <col min="4360" max="4360" width="12" style="3" bestFit="1" customWidth="1"/>
    <col min="4361" max="4365" width="9.1796875" style="3"/>
    <col min="4366" max="4366" width="12" style="3" bestFit="1" customWidth="1"/>
    <col min="4367" max="4367" width="9.1796875" style="3"/>
    <col min="4368" max="4368" width="12" style="3" bestFit="1" customWidth="1"/>
    <col min="4369" max="4608" width="9.1796875" style="3"/>
    <col min="4609" max="4609" width="16.453125" style="3" bestFit="1" customWidth="1"/>
    <col min="4610" max="4610" width="14" style="3" customWidth="1"/>
    <col min="4611" max="4611" width="15.1796875" style="3" bestFit="1" customWidth="1"/>
    <col min="4612" max="4612" width="36.26953125" style="3" bestFit="1" customWidth="1"/>
    <col min="4613" max="4613" width="12" style="3" bestFit="1" customWidth="1"/>
    <col min="4614" max="4614" width="11.453125" style="3" customWidth="1"/>
    <col min="4615" max="4615" width="23.26953125" style="3" customWidth="1"/>
    <col min="4616" max="4616" width="12" style="3" bestFit="1" customWidth="1"/>
    <col min="4617" max="4621" width="9.1796875" style="3"/>
    <col min="4622" max="4622" width="12" style="3" bestFit="1" customWidth="1"/>
    <col min="4623" max="4623" width="9.1796875" style="3"/>
    <col min="4624" max="4624" width="12" style="3" bestFit="1" customWidth="1"/>
    <col min="4625" max="4864" width="9.1796875" style="3"/>
    <col min="4865" max="4865" width="16.453125" style="3" bestFit="1" customWidth="1"/>
    <col min="4866" max="4866" width="14" style="3" customWidth="1"/>
    <col min="4867" max="4867" width="15.1796875" style="3" bestFit="1" customWidth="1"/>
    <col min="4868" max="4868" width="36.26953125" style="3" bestFit="1" customWidth="1"/>
    <col min="4869" max="4869" width="12" style="3" bestFit="1" customWidth="1"/>
    <col min="4870" max="4870" width="11.453125" style="3" customWidth="1"/>
    <col min="4871" max="4871" width="23.26953125" style="3" customWidth="1"/>
    <col min="4872" max="4872" width="12" style="3" bestFit="1" customWidth="1"/>
    <col min="4873" max="4877" width="9.1796875" style="3"/>
    <col min="4878" max="4878" width="12" style="3" bestFit="1" customWidth="1"/>
    <col min="4879" max="4879" width="9.1796875" style="3"/>
    <col min="4880" max="4880" width="12" style="3" bestFit="1" customWidth="1"/>
    <col min="4881" max="5120" width="9.1796875" style="3"/>
    <col min="5121" max="5121" width="16.453125" style="3" bestFit="1" customWidth="1"/>
    <col min="5122" max="5122" width="14" style="3" customWidth="1"/>
    <col min="5123" max="5123" width="15.1796875" style="3" bestFit="1" customWidth="1"/>
    <col min="5124" max="5124" width="36.26953125" style="3" bestFit="1" customWidth="1"/>
    <col min="5125" max="5125" width="12" style="3" bestFit="1" customWidth="1"/>
    <col min="5126" max="5126" width="11.453125" style="3" customWidth="1"/>
    <col min="5127" max="5127" width="23.26953125" style="3" customWidth="1"/>
    <col min="5128" max="5128" width="12" style="3" bestFit="1" customWidth="1"/>
    <col min="5129" max="5133" width="9.1796875" style="3"/>
    <col min="5134" max="5134" width="12" style="3" bestFit="1" customWidth="1"/>
    <col min="5135" max="5135" width="9.1796875" style="3"/>
    <col min="5136" max="5136" width="12" style="3" bestFit="1" customWidth="1"/>
    <col min="5137" max="5376" width="9.1796875" style="3"/>
    <col min="5377" max="5377" width="16.453125" style="3" bestFit="1" customWidth="1"/>
    <col min="5378" max="5378" width="14" style="3" customWidth="1"/>
    <col min="5379" max="5379" width="15.1796875" style="3" bestFit="1" customWidth="1"/>
    <col min="5380" max="5380" width="36.26953125" style="3" bestFit="1" customWidth="1"/>
    <col min="5381" max="5381" width="12" style="3" bestFit="1" customWidth="1"/>
    <col min="5382" max="5382" width="11.453125" style="3" customWidth="1"/>
    <col min="5383" max="5383" width="23.26953125" style="3" customWidth="1"/>
    <col min="5384" max="5384" width="12" style="3" bestFit="1" customWidth="1"/>
    <col min="5385" max="5389" width="9.1796875" style="3"/>
    <col min="5390" max="5390" width="12" style="3" bestFit="1" customWidth="1"/>
    <col min="5391" max="5391" width="9.1796875" style="3"/>
    <col min="5392" max="5392" width="12" style="3" bestFit="1" customWidth="1"/>
    <col min="5393" max="5632" width="9.1796875" style="3"/>
    <col min="5633" max="5633" width="16.453125" style="3" bestFit="1" customWidth="1"/>
    <col min="5634" max="5634" width="14" style="3" customWidth="1"/>
    <col min="5635" max="5635" width="15.1796875" style="3" bestFit="1" customWidth="1"/>
    <col min="5636" max="5636" width="36.26953125" style="3" bestFit="1" customWidth="1"/>
    <col min="5637" max="5637" width="12" style="3" bestFit="1" customWidth="1"/>
    <col min="5638" max="5638" width="11.453125" style="3" customWidth="1"/>
    <col min="5639" max="5639" width="23.26953125" style="3" customWidth="1"/>
    <col min="5640" max="5640" width="12" style="3" bestFit="1" customWidth="1"/>
    <col min="5641" max="5645" width="9.1796875" style="3"/>
    <col min="5646" max="5646" width="12" style="3" bestFit="1" customWidth="1"/>
    <col min="5647" max="5647" width="9.1796875" style="3"/>
    <col min="5648" max="5648" width="12" style="3" bestFit="1" customWidth="1"/>
    <col min="5649" max="5888" width="9.1796875" style="3"/>
    <col min="5889" max="5889" width="16.453125" style="3" bestFit="1" customWidth="1"/>
    <col min="5890" max="5890" width="14" style="3" customWidth="1"/>
    <col min="5891" max="5891" width="15.1796875" style="3" bestFit="1" customWidth="1"/>
    <col min="5892" max="5892" width="36.26953125" style="3" bestFit="1" customWidth="1"/>
    <col min="5893" max="5893" width="12" style="3" bestFit="1" customWidth="1"/>
    <col min="5894" max="5894" width="11.453125" style="3" customWidth="1"/>
    <col min="5895" max="5895" width="23.26953125" style="3" customWidth="1"/>
    <col min="5896" max="5896" width="12" style="3" bestFit="1" customWidth="1"/>
    <col min="5897" max="5901" width="9.1796875" style="3"/>
    <col min="5902" max="5902" width="12" style="3" bestFit="1" customWidth="1"/>
    <col min="5903" max="5903" width="9.1796875" style="3"/>
    <col min="5904" max="5904" width="12" style="3" bestFit="1" customWidth="1"/>
    <col min="5905" max="6144" width="9.1796875" style="3"/>
    <col min="6145" max="6145" width="16.453125" style="3" bestFit="1" customWidth="1"/>
    <col min="6146" max="6146" width="14" style="3" customWidth="1"/>
    <col min="6147" max="6147" width="15.1796875" style="3" bestFit="1" customWidth="1"/>
    <col min="6148" max="6148" width="36.26953125" style="3" bestFit="1" customWidth="1"/>
    <col min="6149" max="6149" width="12" style="3" bestFit="1" customWidth="1"/>
    <col min="6150" max="6150" width="11.453125" style="3" customWidth="1"/>
    <col min="6151" max="6151" width="23.26953125" style="3" customWidth="1"/>
    <col min="6152" max="6152" width="12" style="3" bestFit="1" customWidth="1"/>
    <col min="6153" max="6157" width="9.1796875" style="3"/>
    <col min="6158" max="6158" width="12" style="3" bestFit="1" customWidth="1"/>
    <col min="6159" max="6159" width="9.1796875" style="3"/>
    <col min="6160" max="6160" width="12" style="3" bestFit="1" customWidth="1"/>
    <col min="6161" max="6400" width="9.1796875" style="3"/>
    <col min="6401" max="6401" width="16.453125" style="3" bestFit="1" customWidth="1"/>
    <col min="6402" max="6402" width="14" style="3" customWidth="1"/>
    <col min="6403" max="6403" width="15.1796875" style="3" bestFit="1" customWidth="1"/>
    <col min="6404" max="6404" width="36.26953125" style="3" bestFit="1" customWidth="1"/>
    <col min="6405" max="6405" width="12" style="3" bestFit="1" customWidth="1"/>
    <col min="6406" max="6406" width="11.453125" style="3" customWidth="1"/>
    <col min="6407" max="6407" width="23.26953125" style="3" customWidth="1"/>
    <col min="6408" max="6408" width="12" style="3" bestFit="1" customWidth="1"/>
    <col min="6409" max="6413" width="9.1796875" style="3"/>
    <col min="6414" max="6414" width="12" style="3" bestFit="1" customWidth="1"/>
    <col min="6415" max="6415" width="9.1796875" style="3"/>
    <col min="6416" max="6416" width="12" style="3" bestFit="1" customWidth="1"/>
    <col min="6417" max="6656" width="9.1796875" style="3"/>
    <col min="6657" max="6657" width="16.453125" style="3" bestFit="1" customWidth="1"/>
    <col min="6658" max="6658" width="14" style="3" customWidth="1"/>
    <col min="6659" max="6659" width="15.1796875" style="3" bestFit="1" customWidth="1"/>
    <col min="6660" max="6660" width="36.26953125" style="3" bestFit="1" customWidth="1"/>
    <col min="6661" max="6661" width="12" style="3" bestFit="1" customWidth="1"/>
    <col min="6662" max="6662" width="11.453125" style="3" customWidth="1"/>
    <col min="6663" max="6663" width="23.26953125" style="3" customWidth="1"/>
    <col min="6664" max="6664" width="12" style="3" bestFit="1" customWidth="1"/>
    <col min="6665" max="6669" width="9.1796875" style="3"/>
    <col min="6670" max="6670" width="12" style="3" bestFit="1" customWidth="1"/>
    <col min="6671" max="6671" width="9.1796875" style="3"/>
    <col min="6672" max="6672" width="12" style="3" bestFit="1" customWidth="1"/>
    <col min="6673" max="6912" width="9.1796875" style="3"/>
    <col min="6913" max="6913" width="16.453125" style="3" bestFit="1" customWidth="1"/>
    <col min="6914" max="6914" width="14" style="3" customWidth="1"/>
    <col min="6915" max="6915" width="15.1796875" style="3" bestFit="1" customWidth="1"/>
    <col min="6916" max="6916" width="36.26953125" style="3" bestFit="1" customWidth="1"/>
    <col min="6917" max="6917" width="12" style="3" bestFit="1" customWidth="1"/>
    <col min="6918" max="6918" width="11.453125" style="3" customWidth="1"/>
    <col min="6919" max="6919" width="23.26953125" style="3" customWidth="1"/>
    <col min="6920" max="6920" width="12" style="3" bestFit="1" customWidth="1"/>
    <col min="6921" max="6925" width="9.1796875" style="3"/>
    <col min="6926" max="6926" width="12" style="3" bestFit="1" customWidth="1"/>
    <col min="6927" max="6927" width="9.1796875" style="3"/>
    <col min="6928" max="6928" width="12" style="3" bestFit="1" customWidth="1"/>
    <col min="6929" max="7168" width="9.1796875" style="3"/>
    <col min="7169" max="7169" width="16.453125" style="3" bestFit="1" customWidth="1"/>
    <col min="7170" max="7170" width="14" style="3" customWidth="1"/>
    <col min="7171" max="7171" width="15.1796875" style="3" bestFit="1" customWidth="1"/>
    <col min="7172" max="7172" width="36.26953125" style="3" bestFit="1" customWidth="1"/>
    <col min="7173" max="7173" width="12" style="3" bestFit="1" customWidth="1"/>
    <col min="7174" max="7174" width="11.453125" style="3" customWidth="1"/>
    <col min="7175" max="7175" width="23.26953125" style="3" customWidth="1"/>
    <col min="7176" max="7176" width="12" style="3" bestFit="1" customWidth="1"/>
    <col min="7177" max="7181" width="9.1796875" style="3"/>
    <col min="7182" max="7182" width="12" style="3" bestFit="1" customWidth="1"/>
    <col min="7183" max="7183" width="9.1796875" style="3"/>
    <col min="7184" max="7184" width="12" style="3" bestFit="1" customWidth="1"/>
    <col min="7185" max="7424" width="9.1796875" style="3"/>
    <col min="7425" max="7425" width="16.453125" style="3" bestFit="1" customWidth="1"/>
    <col min="7426" max="7426" width="14" style="3" customWidth="1"/>
    <col min="7427" max="7427" width="15.1796875" style="3" bestFit="1" customWidth="1"/>
    <col min="7428" max="7428" width="36.26953125" style="3" bestFit="1" customWidth="1"/>
    <col min="7429" max="7429" width="12" style="3" bestFit="1" customWidth="1"/>
    <col min="7430" max="7430" width="11.453125" style="3" customWidth="1"/>
    <col min="7431" max="7431" width="23.26953125" style="3" customWidth="1"/>
    <col min="7432" max="7432" width="12" style="3" bestFit="1" customWidth="1"/>
    <col min="7433" max="7437" width="9.1796875" style="3"/>
    <col min="7438" max="7438" width="12" style="3" bestFit="1" customWidth="1"/>
    <col min="7439" max="7439" width="9.1796875" style="3"/>
    <col min="7440" max="7440" width="12" style="3" bestFit="1" customWidth="1"/>
    <col min="7441" max="7680" width="9.1796875" style="3"/>
    <col min="7681" max="7681" width="16.453125" style="3" bestFit="1" customWidth="1"/>
    <col min="7682" max="7682" width="14" style="3" customWidth="1"/>
    <col min="7683" max="7683" width="15.1796875" style="3" bestFit="1" customWidth="1"/>
    <col min="7684" max="7684" width="36.26953125" style="3" bestFit="1" customWidth="1"/>
    <col min="7685" max="7685" width="12" style="3" bestFit="1" customWidth="1"/>
    <col min="7686" max="7686" width="11.453125" style="3" customWidth="1"/>
    <col min="7687" max="7687" width="23.26953125" style="3" customWidth="1"/>
    <col min="7688" max="7688" width="12" style="3" bestFit="1" customWidth="1"/>
    <col min="7689" max="7693" width="9.1796875" style="3"/>
    <col min="7694" max="7694" width="12" style="3" bestFit="1" customWidth="1"/>
    <col min="7695" max="7695" width="9.1796875" style="3"/>
    <col min="7696" max="7696" width="12" style="3" bestFit="1" customWidth="1"/>
    <col min="7697" max="7936" width="9.1796875" style="3"/>
    <col min="7937" max="7937" width="16.453125" style="3" bestFit="1" customWidth="1"/>
    <col min="7938" max="7938" width="14" style="3" customWidth="1"/>
    <col min="7939" max="7939" width="15.1796875" style="3" bestFit="1" customWidth="1"/>
    <col min="7940" max="7940" width="36.26953125" style="3" bestFit="1" customWidth="1"/>
    <col min="7941" max="7941" width="12" style="3" bestFit="1" customWidth="1"/>
    <col min="7942" max="7942" width="11.453125" style="3" customWidth="1"/>
    <col min="7943" max="7943" width="23.26953125" style="3" customWidth="1"/>
    <col min="7944" max="7944" width="12" style="3" bestFit="1" customWidth="1"/>
    <col min="7945" max="7949" width="9.1796875" style="3"/>
    <col min="7950" max="7950" width="12" style="3" bestFit="1" customWidth="1"/>
    <col min="7951" max="7951" width="9.1796875" style="3"/>
    <col min="7952" max="7952" width="12" style="3" bestFit="1" customWidth="1"/>
    <col min="7953" max="8192" width="9.1796875" style="3"/>
    <col min="8193" max="8193" width="16.453125" style="3" bestFit="1" customWidth="1"/>
    <col min="8194" max="8194" width="14" style="3" customWidth="1"/>
    <col min="8195" max="8195" width="15.1796875" style="3" bestFit="1" customWidth="1"/>
    <col min="8196" max="8196" width="36.26953125" style="3" bestFit="1" customWidth="1"/>
    <col min="8197" max="8197" width="12" style="3" bestFit="1" customWidth="1"/>
    <col min="8198" max="8198" width="11.453125" style="3" customWidth="1"/>
    <col min="8199" max="8199" width="23.26953125" style="3" customWidth="1"/>
    <col min="8200" max="8200" width="12" style="3" bestFit="1" customWidth="1"/>
    <col min="8201" max="8205" width="9.1796875" style="3"/>
    <col min="8206" max="8206" width="12" style="3" bestFit="1" customWidth="1"/>
    <col min="8207" max="8207" width="9.1796875" style="3"/>
    <col min="8208" max="8208" width="12" style="3" bestFit="1" customWidth="1"/>
    <col min="8209" max="8448" width="9.1796875" style="3"/>
    <col min="8449" max="8449" width="16.453125" style="3" bestFit="1" customWidth="1"/>
    <col min="8450" max="8450" width="14" style="3" customWidth="1"/>
    <col min="8451" max="8451" width="15.1796875" style="3" bestFit="1" customWidth="1"/>
    <col min="8452" max="8452" width="36.26953125" style="3" bestFit="1" customWidth="1"/>
    <col min="8453" max="8453" width="12" style="3" bestFit="1" customWidth="1"/>
    <col min="8454" max="8454" width="11.453125" style="3" customWidth="1"/>
    <col min="8455" max="8455" width="23.26953125" style="3" customWidth="1"/>
    <col min="8456" max="8456" width="12" style="3" bestFit="1" customWidth="1"/>
    <col min="8457" max="8461" width="9.1796875" style="3"/>
    <col min="8462" max="8462" width="12" style="3" bestFit="1" customWidth="1"/>
    <col min="8463" max="8463" width="9.1796875" style="3"/>
    <col min="8464" max="8464" width="12" style="3" bestFit="1" customWidth="1"/>
    <col min="8465" max="8704" width="9.1796875" style="3"/>
    <col min="8705" max="8705" width="16.453125" style="3" bestFit="1" customWidth="1"/>
    <col min="8706" max="8706" width="14" style="3" customWidth="1"/>
    <col min="8707" max="8707" width="15.1796875" style="3" bestFit="1" customWidth="1"/>
    <col min="8708" max="8708" width="36.26953125" style="3" bestFit="1" customWidth="1"/>
    <col min="8709" max="8709" width="12" style="3" bestFit="1" customWidth="1"/>
    <col min="8710" max="8710" width="11.453125" style="3" customWidth="1"/>
    <col min="8711" max="8711" width="23.26953125" style="3" customWidth="1"/>
    <col min="8712" max="8712" width="12" style="3" bestFit="1" customWidth="1"/>
    <col min="8713" max="8717" width="9.1796875" style="3"/>
    <col min="8718" max="8718" width="12" style="3" bestFit="1" customWidth="1"/>
    <col min="8719" max="8719" width="9.1796875" style="3"/>
    <col min="8720" max="8720" width="12" style="3" bestFit="1" customWidth="1"/>
    <col min="8721" max="8960" width="9.1796875" style="3"/>
    <col min="8961" max="8961" width="16.453125" style="3" bestFit="1" customWidth="1"/>
    <col min="8962" max="8962" width="14" style="3" customWidth="1"/>
    <col min="8963" max="8963" width="15.1796875" style="3" bestFit="1" customWidth="1"/>
    <col min="8964" max="8964" width="36.26953125" style="3" bestFit="1" customWidth="1"/>
    <col min="8965" max="8965" width="12" style="3" bestFit="1" customWidth="1"/>
    <col min="8966" max="8966" width="11.453125" style="3" customWidth="1"/>
    <col min="8967" max="8967" width="23.26953125" style="3" customWidth="1"/>
    <col min="8968" max="8968" width="12" style="3" bestFit="1" customWidth="1"/>
    <col min="8969" max="8973" width="9.1796875" style="3"/>
    <col min="8974" max="8974" width="12" style="3" bestFit="1" customWidth="1"/>
    <col min="8975" max="8975" width="9.1796875" style="3"/>
    <col min="8976" max="8976" width="12" style="3" bestFit="1" customWidth="1"/>
    <col min="8977" max="9216" width="9.1796875" style="3"/>
    <col min="9217" max="9217" width="16.453125" style="3" bestFit="1" customWidth="1"/>
    <col min="9218" max="9218" width="14" style="3" customWidth="1"/>
    <col min="9219" max="9219" width="15.1796875" style="3" bestFit="1" customWidth="1"/>
    <col min="9220" max="9220" width="36.26953125" style="3" bestFit="1" customWidth="1"/>
    <col min="9221" max="9221" width="12" style="3" bestFit="1" customWidth="1"/>
    <col min="9222" max="9222" width="11.453125" style="3" customWidth="1"/>
    <col min="9223" max="9223" width="23.26953125" style="3" customWidth="1"/>
    <col min="9224" max="9224" width="12" style="3" bestFit="1" customWidth="1"/>
    <col min="9225" max="9229" width="9.1796875" style="3"/>
    <col min="9230" max="9230" width="12" style="3" bestFit="1" customWidth="1"/>
    <col min="9231" max="9231" width="9.1796875" style="3"/>
    <col min="9232" max="9232" width="12" style="3" bestFit="1" customWidth="1"/>
    <col min="9233" max="9472" width="9.1796875" style="3"/>
    <col min="9473" max="9473" width="16.453125" style="3" bestFit="1" customWidth="1"/>
    <col min="9474" max="9474" width="14" style="3" customWidth="1"/>
    <col min="9475" max="9475" width="15.1796875" style="3" bestFit="1" customWidth="1"/>
    <col min="9476" max="9476" width="36.26953125" style="3" bestFit="1" customWidth="1"/>
    <col min="9477" max="9477" width="12" style="3" bestFit="1" customWidth="1"/>
    <col min="9478" max="9478" width="11.453125" style="3" customWidth="1"/>
    <col min="9479" max="9479" width="23.26953125" style="3" customWidth="1"/>
    <col min="9480" max="9480" width="12" style="3" bestFit="1" customWidth="1"/>
    <col min="9481" max="9485" width="9.1796875" style="3"/>
    <col min="9486" max="9486" width="12" style="3" bestFit="1" customWidth="1"/>
    <col min="9487" max="9487" width="9.1796875" style="3"/>
    <col min="9488" max="9488" width="12" style="3" bestFit="1" customWidth="1"/>
    <col min="9489" max="9728" width="9.1796875" style="3"/>
    <col min="9729" max="9729" width="16.453125" style="3" bestFit="1" customWidth="1"/>
    <col min="9730" max="9730" width="14" style="3" customWidth="1"/>
    <col min="9731" max="9731" width="15.1796875" style="3" bestFit="1" customWidth="1"/>
    <col min="9732" max="9732" width="36.26953125" style="3" bestFit="1" customWidth="1"/>
    <col min="9733" max="9733" width="12" style="3" bestFit="1" customWidth="1"/>
    <col min="9734" max="9734" width="11.453125" style="3" customWidth="1"/>
    <col min="9735" max="9735" width="23.26953125" style="3" customWidth="1"/>
    <col min="9736" max="9736" width="12" style="3" bestFit="1" customWidth="1"/>
    <col min="9737" max="9741" width="9.1796875" style="3"/>
    <col min="9742" max="9742" width="12" style="3" bestFit="1" customWidth="1"/>
    <col min="9743" max="9743" width="9.1796875" style="3"/>
    <col min="9744" max="9744" width="12" style="3" bestFit="1" customWidth="1"/>
    <col min="9745" max="9984" width="9.1796875" style="3"/>
    <col min="9985" max="9985" width="16.453125" style="3" bestFit="1" customWidth="1"/>
    <col min="9986" max="9986" width="14" style="3" customWidth="1"/>
    <col min="9987" max="9987" width="15.1796875" style="3" bestFit="1" customWidth="1"/>
    <col min="9988" max="9988" width="36.26953125" style="3" bestFit="1" customWidth="1"/>
    <col min="9989" max="9989" width="12" style="3" bestFit="1" customWidth="1"/>
    <col min="9990" max="9990" width="11.453125" style="3" customWidth="1"/>
    <col min="9991" max="9991" width="23.26953125" style="3" customWidth="1"/>
    <col min="9992" max="9992" width="12" style="3" bestFit="1" customWidth="1"/>
    <col min="9993" max="9997" width="9.1796875" style="3"/>
    <col min="9998" max="9998" width="12" style="3" bestFit="1" customWidth="1"/>
    <col min="9999" max="9999" width="9.1796875" style="3"/>
    <col min="10000" max="10000" width="12" style="3" bestFit="1" customWidth="1"/>
    <col min="10001" max="10240" width="9.1796875" style="3"/>
    <col min="10241" max="10241" width="16.453125" style="3" bestFit="1" customWidth="1"/>
    <col min="10242" max="10242" width="14" style="3" customWidth="1"/>
    <col min="10243" max="10243" width="15.1796875" style="3" bestFit="1" customWidth="1"/>
    <col min="10244" max="10244" width="36.26953125" style="3" bestFit="1" customWidth="1"/>
    <col min="10245" max="10245" width="12" style="3" bestFit="1" customWidth="1"/>
    <col min="10246" max="10246" width="11.453125" style="3" customWidth="1"/>
    <col min="10247" max="10247" width="23.26953125" style="3" customWidth="1"/>
    <col min="10248" max="10248" width="12" style="3" bestFit="1" customWidth="1"/>
    <col min="10249" max="10253" width="9.1796875" style="3"/>
    <col min="10254" max="10254" width="12" style="3" bestFit="1" customWidth="1"/>
    <col min="10255" max="10255" width="9.1796875" style="3"/>
    <col min="10256" max="10256" width="12" style="3" bestFit="1" customWidth="1"/>
    <col min="10257" max="10496" width="9.1796875" style="3"/>
    <col min="10497" max="10497" width="16.453125" style="3" bestFit="1" customWidth="1"/>
    <col min="10498" max="10498" width="14" style="3" customWidth="1"/>
    <col min="10499" max="10499" width="15.1796875" style="3" bestFit="1" customWidth="1"/>
    <col min="10500" max="10500" width="36.26953125" style="3" bestFit="1" customWidth="1"/>
    <col min="10501" max="10501" width="12" style="3" bestFit="1" customWidth="1"/>
    <col min="10502" max="10502" width="11.453125" style="3" customWidth="1"/>
    <col min="10503" max="10503" width="23.26953125" style="3" customWidth="1"/>
    <col min="10504" max="10504" width="12" style="3" bestFit="1" customWidth="1"/>
    <col min="10505" max="10509" width="9.1796875" style="3"/>
    <col min="10510" max="10510" width="12" style="3" bestFit="1" customWidth="1"/>
    <col min="10511" max="10511" width="9.1796875" style="3"/>
    <col min="10512" max="10512" width="12" style="3" bestFit="1" customWidth="1"/>
    <col min="10513" max="10752" width="9.1796875" style="3"/>
    <col min="10753" max="10753" width="16.453125" style="3" bestFit="1" customWidth="1"/>
    <col min="10754" max="10754" width="14" style="3" customWidth="1"/>
    <col min="10755" max="10755" width="15.1796875" style="3" bestFit="1" customWidth="1"/>
    <col min="10756" max="10756" width="36.26953125" style="3" bestFit="1" customWidth="1"/>
    <col min="10757" max="10757" width="12" style="3" bestFit="1" customWidth="1"/>
    <col min="10758" max="10758" width="11.453125" style="3" customWidth="1"/>
    <col min="10759" max="10759" width="23.26953125" style="3" customWidth="1"/>
    <col min="10760" max="10760" width="12" style="3" bestFit="1" customWidth="1"/>
    <col min="10761" max="10765" width="9.1796875" style="3"/>
    <col min="10766" max="10766" width="12" style="3" bestFit="1" customWidth="1"/>
    <col min="10767" max="10767" width="9.1796875" style="3"/>
    <col min="10768" max="10768" width="12" style="3" bestFit="1" customWidth="1"/>
    <col min="10769" max="11008" width="9.1796875" style="3"/>
    <col min="11009" max="11009" width="16.453125" style="3" bestFit="1" customWidth="1"/>
    <col min="11010" max="11010" width="14" style="3" customWidth="1"/>
    <col min="11011" max="11011" width="15.1796875" style="3" bestFit="1" customWidth="1"/>
    <col min="11012" max="11012" width="36.26953125" style="3" bestFit="1" customWidth="1"/>
    <col min="11013" max="11013" width="12" style="3" bestFit="1" customWidth="1"/>
    <col min="11014" max="11014" width="11.453125" style="3" customWidth="1"/>
    <col min="11015" max="11015" width="23.26953125" style="3" customWidth="1"/>
    <col min="11016" max="11016" width="12" style="3" bestFit="1" customWidth="1"/>
    <col min="11017" max="11021" width="9.1796875" style="3"/>
    <col min="11022" max="11022" width="12" style="3" bestFit="1" customWidth="1"/>
    <col min="11023" max="11023" width="9.1796875" style="3"/>
    <col min="11024" max="11024" width="12" style="3" bestFit="1" customWidth="1"/>
    <col min="11025" max="11264" width="9.1796875" style="3"/>
    <col min="11265" max="11265" width="16.453125" style="3" bestFit="1" customWidth="1"/>
    <col min="11266" max="11266" width="14" style="3" customWidth="1"/>
    <col min="11267" max="11267" width="15.1796875" style="3" bestFit="1" customWidth="1"/>
    <col min="11268" max="11268" width="36.26953125" style="3" bestFit="1" customWidth="1"/>
    <col min="11269" max="11269" width="12" style="3" bestFit="1" customWidth="1"/>
    <col min="11270" max="11270" width="11.453125" style="3" customWidth="1"/>
    <col min="11271" max="11271" width="23.26953125" style="3" customWidth="1"/>
    <col min="11272" max="11272" width="12" style="3" bestFit="1" customWidth="1"/>
    <col min="11273" max="11277" width="9.1796875" style="3"/>
    <col min="11278" max="11278" width="12" style="3" bestFit="1" customWidth="1"/>
    <col min="11279" max="11279" width="9.1796875" style="3"/>
    <col min="11280" max="11280" width="12" style="3" bestFit="1" customWidth="1"/>
    <col min="11281" max="11520" width="9.1796875" style="3"/>
    <col min="11521" max="11521" width="16.453125" style="3" bestFit="1" customWidth="1"/>
    <col min="11522" max="11522" width="14" style="3" customWidth="1"/>
    <col min="11523" max="11523" width="15.1796875" style="3" bestFit="1" customWidth="1"/>
    <col min="11524" max="11524" width="36.26953125" style="3" bestFit="1" customWidth="1"/>
    <col min="11525" max="11525" width="12" style="3" bestFit="1" customWidth="1"/>
    <col min="11526" max="11526" width="11.453125" style="3" customWidth="1"/>
    <col min="11527" max="11527" width="23.26953125" style="3" customWidth="1"/>
    <col min="11528" max="11528" width="12" style="3" bestFit="1" customWidth="1"/>
    <col min="11529" max="11533" width="9.1796875" style="3"/>
    <col min="11534" max="11534" width="12" style="3" bestFit="1" customWidth="1"/>
    <col min="11535" max="11535" width="9.1796875" style="3"/>
    <col min="11536" max="11536" width="12" style="3" bestFit="1" customWidth="1"/>
    <col min="11537" max="11776" width="9.1796875" style="3"/>
    <col min="11777" max="11777" width="16.453125" style="3" bestFit="1" customWidth="1"/>
    <col min="11778" max="11778" width="14" style="3" customWidth="1"/>
    <col min="11779" max="11779" width="15.1796875" style="3" bestFit="1" customWidth="1"/>
    <col min="11780" max="11780" width="36.26953125" style="3" bestFit="1" customWidth="1"/>
    <col min="11781" max="11781" width="12" style="3" bestFit="1" customWidth="1"/>
    <col min="11782" max="11782" width="11.453125" style="3" customWidth="1"/>
    <col min="11783" max="11783" width="23.26953125" style="3" customWidth="1"/>
    <col min="11784" max="11784" width="12" style="3" bestFit="1" customWidth="1"/>
    <col min="11785" max="11789" width="9.1796875" style="3"/>
    <col min="11790" max="11790" width="12" style="3" bestFit="1" customWidth="1"/>
    <col min="11791" max="11791" width="9.1796875" style="3"/>
    <col min="11792" max="11792" width="12" style="3" bestFit="1" customWidth="1"/>
    <col min="11793" max="12032" width="9.1796875" style="3"/>
    <col min="12033" max="12033" width="16.453125" style="3" bestFit="1" customWidth="1"/>
    <col min="12034" max="12034" width="14" style="3" customWidth="1"/>
    <col min="12035" max="12035" width="15.1796875" style="3" bestFit="1" customWidth="1"/>
    <col min="12036" max="12036" width="36.26953125" style="3" bestFit="1" customWidth="1"/>
    <col min="12037" max="12037" width="12" style="3" bestFit="1" customWidth="1"/>
    <col min="12038" max="12038" width="11.453125" style="3" customWidth="1"/>
    <col min="12039" max="12039" width="23.26953125" style="3" customWidth="1"/>
    <col min="12040" max="12040" width="12" style="3" bestFit="1" customWidth="1"/>
    <col min="12041" max="12045" width="9.1796875" style="3"/>
    <col min="12046" max="12046" width="12" style="3" bestFit="1" customWidth="1"/>
    <col min="12047" max="12047" width="9.1796875" style="3"/>
    <col min="12048" max="12048" width="12" style="3" bestFit="1" customWidth="1"/>
    <col min="12049" max="12288" width="9.1796875" style="3"/>
    <col min="12289" max="12289" width="16.453125" style="3" bestFit="1" customWidth="1"/>
    <col min="12290" max="12290" width="14" style="3" customWidth="1"/>
    <col min="12291" max="12291" width="15.1796875" style="3" bestFit="1" customWidth="1"/>
    <col min="12292" max="12292" width="36.26953125" style="3" bestFit="1" customWidth="1"/>
    <col min="12293" max="12293" width="12" style="3" bestFit="1" customWidth="1"/>
    <col min="12294" max="12294" width="11.453125" style="3" customWidth="1"/>
    <col min="12295" max="12295" width="23.26953125" style="3" customWidth="1"/>
    <col min="12296" max="12296" width="12" style="3" bestFit="1" customWidth="1"/>
    <col min="12297" max="12301" width="9.1796875" style="3"/>
    <col min="12302" max="12302" width="12" style="3" bestFit="1" customWidth="1"/>
    <col min="12303" max="12303" width="9.1796875" style="3"/>
    <col min="12304" max="12304" width="12" style="3" bestFit="1" customWidth="1"/>
    <col min="12305" max="12544" width="9.1796875" style="3"/>
    <col min="12545" max="12545" width="16.453125" style="3" bestFit="1" customWidth="1"/>
    <col min="12546" max="12546" width="14" style="3" customWidth="1"/>
    <col min="12547" max="12547" width="15.1796875" style="3" bestFit="1" customWidth="1"/>
    <col min="12548" max="12548" width="36.26953125" style="3" bestFit="1" customWidth="1"/>
    <col min="12549" max="12549" width="12" style="3" bestFit="1" customWidth="1"/>
    <col min="12550" max="12550" width="11.453125" style="3" customWidth="1"/>
    <col min="12551" max="12551" width="23.26953125" style="3" customWidth="1"/>
    <col min="12552" max="12552" width="12" style="3" bestFit="1" customWidth="1"/>
    <col min="12553" max="12557" width="9.1796875" style="3"/>
    <col min="12558" max="12558" width="12" style="3" bestFit="1" customWidth="1"/>
    <col min="12559" max="12559" width="9.1796875" style="3"/>
    <col min="12560" max="12560" width="12" style="3" bestFit="1" customWidth="1"/>
    <col min="12561" max="12800" width="9.1796875" style="3"/>
    <col min="12801" max="12801" width="16.453125" style="3" bestFit="1" customWidth="1"/>
    <col min="12802" max="12802" width="14" style="3" customWidth="1"/>
    <col min="12803" max="12803" width="15.1796875" style="3" bestFit="1" customWidth="1"/>
    <col min="12804" max="12804" width="36.26953125" style="3" bestFit="1" customWidth="1"/>
    <col min="12805" max="12805" width="12" style="3" bestFit="1" customWidth="1"/>
    <col min="12806" max="12806" width="11.453125" style="3" customWidth="1"/>
    <col min="12807" max="12807" width="23.26953125" style="3" customWidth="1"/>
    <col min="12808" max="12808" width="12" style="3" bestFit="1" customWidth="1"/>
    <col min="12809" max="12813" width="9.1796875" style="3"/>
    <col min="12814" max="12814" width="12" style="3" bestFit="1" customWidth="1"/>
    <col min="12815" max="12815" width="9.1796875" style="3"/>
    <col min="12816" max="12816" width="12" style="3" bestFit="1" customWidth="1"/>
    <col min="12817" max="13056" width="9.1796875" style="3"/>
    <col min="13057" max="13057" width="16.453125" style="3" bestFit="1" customWidth="1"/>
    <col min="13058" max="13058" width="14" style="3" customWidth="1"/>
    <col min="13059" max="13059" width="15.1796875" style="3" bestFit="1" customWidth="1"/>
    <col min="13060" max="13060" width="36.26953125" style="3" bestFit="1" customWidth="1"/>
    <col min="13061" max="13061" width="12" style="3" bestFit="1" customWidth="1"/>
    <col min="13062" max="13062" width="11.453125" style="3" customWidth="1"/>
    <col min="13063" max="13063" width="23.26953125" style="3" customWidth="1"/>
    <col min="13064" max="13064" width="12" style="3" bestFit="1" customWidth="1"/>
    <col min="13065" max="13069" width="9.1796875" style="3"/>
    <col min="13070" max="13070" width="12" style="3" bestFit="1" customWidth="1"/>
    <col min="13071" max="13071" width="9.1796875" style="3"/>
    <col min="13072" max="13072" width="12" style="3" bestFit="1" customWidth="1"/>
    <col min="13073" max="13312" width="9.1796875" style="3"/>
    <col min="13313" max="13313" width="16.453125" style="3" bestFit="1" customWidth="1"/>
    <col min="13314" max="13314" width="14" style="3" customWidth="1"/>
    <col min="13315" max="13315" width="15.1796875" style="3" bestFit="1" customWidth="1"/>
    <col min="13316" max="13316" width="36.26953125" style="3" bestFit="1" customWidth="1"/>
    <col min="13317" max="13317" width="12" style="3" bestFit="1" customWidth="1"/>
    <col min="13318" max="13318" width="11.453125" style="3" customWidth="1"/>
    <col min="13319" max="13319" width="23.26953125" style="3" customWidth="1"/>
    <col min="13320" max="13320" width="12" style="3" bestFit="1" customWidth="1"/>
    <col min="13321" max="13325" width="9.1796875" style="3"/>
    <col min="13326" max="13326" width="12" style="3" bestFit="1" customWidth="1"/>
    <col min="13327" max="13327" width="9.1796875" style="3"/>
    <col min="13328" max="13328" width="12" style="3" bestFit="1" customWidth="1"/>
    <col min="13329" max="13568" width="9.1796875" style="3"/>
    <col min="13569" max="13569" width="16.453125" style="3" bestFit="1" customWidth="1"/>
    <col min="13570" max="13570" width="14" style="3" customWidth="1"/>
    <col min="13571" max="13571" width="15.1796875" style="3" bestFit="1" customWidth="1"/>
    <col min="13572" max="13572" width="36.26953125" style="3" bestFit="1" customWidth="1"/>
    <col min="13573" max="13573" width="12" style="3" bestFit="1" customWidth="1"/>
    <col min="13574" max="13574" width="11.453125" style="3" customWidth="1"/>
    <col min="13575" max="13575" width="23.26953125" style="3" customWidth="1"/>
    <col min="13576" max="13576" width="12" style="3" bestFit="1" customWidth="1"/>
    <col min="13577" max="13581" width="9.1796875" style="3"/>
    <col min="13582" max="13582" width="12" style="3" bestFit="1" customWidth="1"/>
    <col min="13583" max="13583" width="9.1796875" style="3"/>
    <col min="13584" max="13584" width="12" style="3" bestFit="1" customWidth="1"/>
    <col min="13585" max="13824" width="9.1796875" style="3"/>
    <col min="13825" max="13825" width="16.453125" style="3" bestFit="1" customWidth="1"/>
    <col min="13826" max="13826" width="14" style="3" customWidth="1"/>
    <col min="13827" max="13827" width="15.1796875" style="3" bestFit="1" customWidth="1"/>
    <col min="13828" max="13828" width="36.26953125" style="3" bestFit="1" customWidth="1"/>
    <col min="13829" max="13829" width="12" style="3" bestFit="1" customWidth="1"/>
    <col min="13830" max="13830" width="11.453125" style="3" customWidth="1"/>
    <col min="13831" max="13831" width="23.26953125" style="3" customWidth="1"/>
    <col min="13832" max="13832" width="12" style="3" bestFit="1" customWidth="1"/>
    <col min="13833" max="13837" width="9.1796875" style="3"/>
    <col min="13838" max="13838" width="12" style="3" bestFit="1" customWidth="1"/>
    <col min="13839" max="13839" width="9.1796875" style="3"/>
    <col min="13840" max="13840" width="12" style="3" bestFit="1" customWidth="1"/>
    <col min="13841" max="14080" width="9.1796875" style="3"/>
    <col min="14081" max="14081" width="16.453125" style="3" bestFit="1" customWidth="1"/>
    <col min="14082" max="14082" width="14" style="3" customWidth="1"/>
    <col min="14083" max="14083" width="15.1796875" style="3" bestFit="1" customWidth="1"/>
    <col min="14084" max="14084" width="36.26953125" style="3" bestFit="1" customWidth="1"/>
    <col min="14085" max="14085" width="12" style="3" bestFit="1" customWidth="1"/>
    <col min="14086" max="14086" width="11.453125" style="3" customWidth="1"/>
    <col min="14087" max="14087" width="23.26953125" style="3" customWidth="1"/>
    <col min="14088" max="14088" width="12" style="3" bestFit="1" customWidth="1"/>
    <col min="14089" max="14093" width="9.1796875" style="3"/>
    <col min="14094" max="14094" width="12" style="3" bestFit="1" customWidth="1"/>
    <col min="14095" max="14095" width="9.1796875" style="3"/>
    <col min="14096" max="14096" width="12" style="3" bestFit="1" customWidth="1"/>
    <col min="14097" max="14336" width="9.1796875" style="3"/>
    <col min="14337" max="14337" width="16.453125" style="3" bestFit="1" customWidth="1"/>
    <col min="14338" max="14338" width="14" style="3" customWidth="1"/>
    <col min="14339" max="14339" width="15.1796875" style="3" bestFit="1" customWidth="1"/>
    <col min="14340" max="14340" width="36.26953125" style="3" bestFit="1" customWidth="1"/>
    <col min="14341" max="14341" width="12" style="3" bestFit="1" customWidth="1"/>
    <col min="14342" max="14342" width="11.453125" style="3" customWidth="1"/>
    <col min="14343" max="14343" width="23.26953125" style="3" customWidth="1"/>
    <col min="14344" max="14344" width="12" style="3" bestFit="1" customWidth="1"/>
    <col min="14345" max="14349" width="9.1796875" style="3"/>
    <col min="14350" max="14350" width="12" style="3" bestFit="1" customWidth="1"/>
    <col min="14351" max="14351" width="9.1796875" style="3"/>
    <col min="14352" max="14352" width="12" style="3" bestFit="1" customWidth="1"/>
    <col min="14353" max="14592" width="9.1796875" style="3"/>
    <col min="14593" max="14593" width="16.453125" style="3" bestFit="1" customWidth="1"/>
    <col min="14594" max="14594" width="14" style="3" customWidth="1"/>
    <col min="14595" max="14595" width="15.1796875" style="3" bestFit="1" customWidth="1"/>
    <col min="14596" max="14596" width="36.26953125" style="3" bestFit="1" customWidth="1"/>
    <col min="14597" max="14597" width="12" style="3" bestFit="1" customWidth="1"/>
    <col min="14598" max="14598" width="11.453125" style="3" customWidth="1"/>
    <col min="14599" max="14599" width="23.26953125" style="3" customWidth="1"/>
    <col min="14600" max="14600" width="12" style="3" bestFit="1" customWidth="1"/>
    <col min="14601" max="14605" width="9.1796875" style="3"/>
    <col min="14606" max="14606" width="12" style="3" bestFit="1" customWidth="1"/>
    <col min="14607" max="14607" width="9.1796875" style="3"/>
    <col min="14608" max="14608" width="12" style="3" bestFit="1" customWidth="1"/>
    <col min="14609" max="14848" width="9.1796875" style="3"/>
    <col min="14849" max="14849" width="16.453125" style="3" bestFit="1" customWidth="1"/>
    <col min="14850" max="14850" width="14" style="3" customWidth="1"/>
    <col min="14851" max="14851" width="15.1796875" style="3" bestFit="1" customWidth="1"/>
    <col min="14852" max="14852" width="36.26953125" style="3" bestFit="1" customWidth="1"/>
    <col min="14853" max="14853" width="12" style="3" bestFit="1" customWidth="1"/>
    <col min="14854" max="14854" width="11.453125" style="3" customWidth="1"/>
    <col min="14855" max="14855" width="23.26953125" style="3" customWidth="1"/>
    <col min="14856" max="14856" width="12" style="3" bestFit="1" customWidth="1"/>
    <col min="14857" max="14861" width="9.1796875" style="3"/>
    <col min="14862" max="14862" width="12" style="3" bestFit="1" customWidth="1"/>
    <col min="14863" max="14863" width="9.1796875" style="3"/>
    <col min="14864" max="14864" width="12" style="3" bestFit="1" customWidth="1"/>
    <col min="14865" max="15104" width="9.1796875" style="3"/>
    <col min="15105" max="15105" width="16.453125" style="3" bestFit="1" customWidth="1"/>
    <col min="15106" max="15106" width="14" style="3" customWidth="1"/>
    <col min="15107" max="15107" width="15.1796875" style="3" bestFit="1" customWidth="1"/>
    <col min="15108" max="15108" width="36.26953125" style="3" bestFit="1" customWidth="1"/>
    <col min="15109" max="15109" width="12" style="3" bestFit="1" customWidth="1"/>
    <col min="15110" max="15110" width="11.453125" style="3" customWidth="1"/>
    <col min="15111" max="15111" width="23.26953125" style="3" customWidth="1"/>
    <col min="15112" max="15112" width="12" style="3" bestFit="1" customWidth="1"/>
    <col min="15113" max="15117" width="9.1796875" style="3"/>
    <col min="15118" max="15118" width="12" style="3" bestFit="1" customWidth="1"/>
    <col min="15119" max="15119" width="9.1796875" style="3"/>
    <col min="15120" max="15120" width="12" style="3" bestFit="1" customWidth="1"/>
    <col min="15121" max="15360" width="9.1796875" style="3"/>
    <col min="15361" max="15361" width="16.453125" style="3" bestFit="1" customWidth="1"/>
    <col min="15362" max="15362" width="14" style="3" customWidth="1"/>
    <col min="15363" max="15363" width="15.1796875" style="3" bestFit="1" customWidth="1"/>
    <col min="15364" max="15364" width="36.26953125" style="3" bestFit="1" customWidth="1"/>
    <col min="15365" max="15365" width="12" style="3" bestFit="1" customWidth="1"/>
    <col min="15366" max="15366" width="11.453125" style="3" customWidth="1"/>
    <col min="15367" max="15367" width="23.26953125" style="3" customWidth="1"/>
    <col min="15368" max="15368" width="12" style="3" bestFit="1" customWidth="1"/>
    <col min="15369" max="15373" width="9.1796875" style="3"/>
    <col min="15374" max="15374" width="12" style="3" bestFit="1" customWidth="1"/>
    <col min="15375" max="15375" width="9.1796875" style="3"/>
    <col min="15376" max="15376" width="12" style="3" bestFit="1" customWidth="1"/>
    <col min="15377" max="15616" width="9.1796875" style="3"/>
    <col min="15617" max="15617" width="16.453125" style="3" bestFit="1" customWidth="1"/>
    <col min="15618" max="15618" width="14" style="3" customWidth="1"/>
    <col min="15619" max="15619" width="15.1796875" style="3" bestFit="1" customWidth="1"/>
    <col min="15620" max="15620" width="36.26953125" style="3" bestFit="1" customWidth="1"/>
    <col min="15621" max="15621" width="12" style="3" bestFit="1" customWidth="1"/>
    <col min="15622" max="15622" width="11.453125" style="3" customWidth="1"/>
    <col min="15623" max="15623" width="23.26953125" style="3" customWidth="1"/>
    <col min="15624" max="15624" width="12" style="3" bestFit="1" customWidth="1"/>
    <col min="15625" max="15629" width="9.1796875" style="3"/>
    <col min="15630" max="15630" width="12" style="3" bestFit="1" customWidth="1"/>
    <col min="15631" max="15631" width="9.1796875" style="3"/>
    <col min="15632" max="15632" width="12" style="3" bestFit="1" customWidth="1"/>
    <col min="15633" max="15872" width="9.1796875" style="3"/>
    <col min="15873" max="15873" width="16.453125" style="3" bestFit="1" customWidth="1"/>
    <col min="15874" max="15874" width="14" style="3" customWidth="1"/>
    <col min="15875" max="15875" width="15.1796875" style="3" bestFit="1" customWidth="1"/>
    <col min="15876" max="15876" width="36.26953125" style="3" bestFit="1" customWidth="1"/>
    <col min="15877" max="15877" width="12" style="3" bestFit="1" customWidth="1"/>
    <col min="15878" max="15878" width="11.453125" style="3" customWidth="1"/>
    <col min="15879" max="15879" width="23.26953125" style="3" customWidth="1"/>
    <col min="15880" max="15880" width="12" style="3" bestFit="1" customWidth="1"/>
    <col min="15881" max="15885" width="9.1796875" style="3"/>
    <col min="15886" max="15886" width="12" style="3" bestFit="1" customWidth="1"/>
    <col min="15887" max="15887" width="9.1796875" style="3"/>
    <col min="15888" max="15888" width="12" style="3" bestFit="1" customWidth="1"/>
    <col min="15889" max="16128" width="9.1796875" style="3"/>
    <col min="16129" max="16129" width="16.453125" style="3" bestFit="1" customWidth="1"/>
    <col min="16130" max="16130" width="14" style="3" customWidth="1"/>
    <col min="16131" max="16131" width="15.1796875" style="3" bestFit="1" customWidth="1"/>
    <col min="16132" max="16132" width="36.26953125" style="3" bestFit="1" customWidth="1"/>
    <col min="16133" max="16133" width="12" style="3" bestFit="1" customWidth="1"/>
    <col min="16134" max="16134" width="11.453125" style="3" customWidth="1"/>
    <col min="16135" max="16135" width="23.26953125" style="3" customWidth="1"/>
    <col min="16136" max="16136" width="12" style="3" bestFit="1" customWidth="1"/>
    <col min="16137" max="16141" width="9.1796875" style="3"/>
    <col min="16142" max="16142" width="12" style="3" bestFit="1" customWidth="1"/>
    <col min="16143" max="16143" width="9.1796875" style="3"/>
    <col min="16144" max="16144" width="12" style="3" bestFit="1" customWidth="1"/>
    <col min="16145" max="16384" width="9.1796875" style="3"/>
  </cols>
  <sheetData>
    <row r="1" spans="1:25" ht="21">
      <c r="F1" s="1290" t="s">
        <v>265</v>
      </c>
      <c r="G1" s="1290"/>
      <c r="H1" s="1290"/>
      <c r="I1" s="1290"/>
      <c r="M1" s="1287" t="s">
        <v>126</v>
      </c>
      <c r="N1" s="1287"/>
      <c r="O1" s="1287"/>
    </row>
    <row r="2" spans="1:25">
      <c r="C2" s="17"/>
      <c r="D2" s="17"/>
      <c r="E2" s="17" t="s">
        <v>127</v>
      </c>
      <c r="F2" s="47" t="s">
        <v>128</v>
      </c>
      <c r="G2" s="47" t="s">
        <v>129</v>
      </c>
      <c r="H2" s="47" t="s">
        <v>130</v>
      </c>
      <c r="I2" s="47" t="s">
        <v>110</v>
      </c>
      <c r="N2" s="8" t="s">
        <v>112</v>
      </c>
      <c r="O2" s="8" t="s">
        <v>113</v>
      </c>
    </row>
    <row r="3" spans="1:25">
      <c r="B3" s="38" t="s">
        <v>252</v>
      </c>
      <c r="C3" s="17"/>
      <c r="D3" s="17"/>
      <c r="E3" s="17" t="s">
        <v>131</v>
      </c>
      <c r="F3" s="17" t="s">
        <v>132</v>
      </c>
      <c r="G3" s="17" t="s">
        <v>132</v>
      </c>
      <c r="H3" s="17" t="s">
        <v>132</v>
      </c>
      <c r="I3" s="17"/>
      <c r="N3" s="7" t="s">
        <v>133</v>
      </c>
      <c r="O3" s="7" t="s">
        <v>133</v>
      </c>
    </row>
    <row r="4" spans="1:25">
      <c r="A4" s="3" t="s">
        <v>134</v>
      </c>
      <c r="B4" s="3" t="s">
        <v>247</v>
      </c>
      <c r="C4" s="17" t="s">
        <v>135</v>
      </c>
      <c r="D4" s="17" t="s">
        <v>136</v>
      </c>
      <c r="E4" s="44">
        <f>[2]HDV_TS!$C$4</f>
        <v>8.0312110026375407</v>
      </c>
      <c r="F4" s="41">
        <f>[2]HDV_WTW!B25</f>
        <v>131.55803583108349</v>
      </c>
      <c r="G4" s="41">
        <f>[2]HDV_WTW!C25</f>
        <v>131.94875166708186</v>
      </c>
      <c r="H4" s="41">
        <f>[2]HDV_WTW!D25</f>
        <v>1275.7720452539154</v>
      </c>
      <c r="I4" s="41">
        <f t="shared" ref="I4:I9" si="0">SUM(F4:H4)</f>
        <v>1539.2788327520807</v>
      </c>
      <c r="M4" s="3" t="str">
        <f t="shared" ref="M4:M9" si="1">C4</f>
        <v>HD diesel</v>
      </c>
      <c r="N4" s="45">
        <f>F4*$E4+G4*$E4</f>
        <v>2116.2786110249381</v>
      </c>
      <c r="O4" s="45">
        <f>H4*$E4</f>
        <v>10245.994486700643</v>
      </c>
    </row>
    <row r="5" spans="1:25">
      <c r="B5" s="3" t="s">
        <v>246</v>
      </c>
      <c r="C5" s="17" t="s">
        <v>222</v>
      </c>
      <c r="D5" s="48">
        <f>[2]HDV_TS!$C$53</f>
        <v>1</v>
      </c>
      <c r="E5" s="44">
        <f>$E$4*D5</f>
        <v>8.0312110026375407</v>
      </c>
      <c r="F5" s="41">
        <f>[2]HDV_WTW!B115</f>
        <v>-92.33208090682507</v>
      </c>
      <c r="G5" s="41">
        <f>[2]HDV_WTW!C115</f>
        <v>162.30537688815446</v>
      </c>
      <c r="H5" s="41">
        <f>[2]HDV_WTW!D115</f>
        <v>1276.5560044749868</v>
      </c>
      <c r="I5" s="41">
        <f t="shared" si="0"/>
        <v>1346.5293004563162</v>
      </c>
      <c r="M5" s="3" t="str">
        <f t="shared" si="1"/>
        <v>B20 (soybean)</v>
      </c>
      <c r="N5" s="45">
        <f>F5*$E5+G5*$E5</f>
        <v>561.97030457606593</v>
      </c>
      <c r="O5" s="45">
        <f>H5*$E5</f>
        <v>10252.290628622532</v>
      </c>
    </row>
    <row r="6" spans="1:25" ht="19.5" customHeight="1">
      <c r="B6" s="3" t="s">
        <v>248</v>
      </c>
      <c r="C6" s="17" t="s">
        <v>223</v>
      </c>
      <c r="D6" s="48">
        <f>[2]HDV_TS!$C$69</f>
        <v>1</v>
      </c>
      <c r="E6" s="44">
        <f>$E$4*D6</f>
        <v>8.0312110026375407</v>
      </c>
      <c r="F6" s="41">
        <f>[2]HDV_WTW!B145</f>
        <v>-1169.7875837628135</v>
      </c>
      <c r="G6" s="41">
        <f>[2]HDV_WTW!C145</f>
        <v>354.77497968328356</v>
      </c>
      <c r="H6" s="41">
        <f>[2]HDV_WTW!D145</f>
        <v>1236.1459929022644</v>
      </c>
      <c r="I6" s="41">
        <f t="shared" si="0"/>
        <v>421.13338882273456</v>
      </c>
      <c r="M6" s="3" t="str">
        <f t="shared" si="1"/>
        <v>Renewable Diesel</v>
      </c>
      <c r="N6" s="45">
        <f>F6*$E6+G6*$E6</f>
        <v>-6545.5381931717948</v>
      </c>
      <c r="O6" s="45">
        <f>H6*$E6</f>
        <v>9927.7492990629726</v>
      </c>
      <c r="Y6" s="40"/>
    </row>
    <row r="7" spans="1:25">
      <c r="B7" s="3" t="s">
        <v>249</v>
      </c>
      <c r="C7" s="17" t="s">
        <v>224</v>
      </c>
      <c r="D7" s="48">
        <v>1</v>
      </c>
      <c r="E7" s="44">
        <f>$E$4*D7</f>
        <v>8.0312110026375407</v>
      </c>
      <c r="F7" s="41">
        <f>[2]HDV_WTW!B175</f>
        <v>154.82579125893312</v>
      </c>
      <c r="G7" s="41">
        <f>[2]HDV_WTW!C175</f>
        <v>383.79243282587868</v>
      </c>
      <c r="H7" s="41">
        <f>[2]HDV_WTW!D175</f>
        <v>1128.1783631137048</v>
      </c>
      <c r="I7" s="41">
        <f t="shared" si="0"/>
        <v>1666.7965871985166</v>
      </c>
      <c r="M7" s="3" t="str">
        <f t="shared" si="1"/>
        <v>DME (NG based)</v>
      </c>
      <c r="N7" s="45">
        <f>F7*$E7+G7*$E7</f>
        <v>4325.7566074910328</v>
      </c>
      <c r="O7" s="45">
        <f>H7*$E7</f>
        <v>9060.6384827763959</v>
      </c>
    </row>
    <row r="8" spans="1:25" ht="14.5" customHeight="1">
      <c r="A8" s="3" t="s">
        <v>134</v>
      </c>
      <c r="B8" s="3" t="s">
        <v>250</v>
      </c>
      <c r="C8" s="17" t="s">
        <v>137</v>
      </c>
      <c r="D8" s="48">
        <f>[2]HDV_TS!$C$21</f>
        <v>0.9</v>
      </c>
      <c r="E8" s="44">
        <f>$E$4*D8</f>
        <v>7.228089902373787</v>
      </c>
      <c r="F8" s="41">
        <f>[2]HDV_WTW!B55</f>
        <v>265.16037054016783</v>
      </c>
      <c r="G8" s="41">
        <f>[2]HDV_WTW!C55</f>
        <v>50.362578386977248</v>
      </c>
      <c r="H8" s="41">
        <f>[2]HDV_WTW!D55</f>
        <v>1089.4022631784057</v>
      </c>
      <c r="I8" s="41">
        <f t="shared" si="0"/>
        <v>1404.9252121055508</v>
      </c>
      <c r="M8" s="3" t="str">
        <f t="shared" si="1"/>
        <v>CNG</v>
      </c>
      <c r="N8" s="45"/>
      <c r="O8" s="45"/>
      <c r="R8" s="33" t="s">
        <v>141</v>
      </c>
      <c r="S8" s="34">
        <f>[2]Fuel_Specs!$B$23/1000000</f>
        <v>0.12948784757606638</v>
      </c>
      <c r="T8" s="3" t="s">
        <v>216</v>
      </c>
    </row>
    <row r="9" spans="1:25">
      <c r="A9" s="3" t="s">
        <v>134</v>
      </c>
      <c r="B9" s="3" t="s">
        <v>251</v>
      </c>
      <c r="C9" s="17" t="s">
        <v>138</v>
      </c>
      <c r="D9" s="48">
        <f>[2]HDV_TS!$C$37</f>
        <v>0.9</v>
      </c>
      <c r="E9" s="44">
        <f>$E$4*D9</f>
        <v>7.228089902373787</v>
      </c>
      <c r="F9" s="41">
        <f>[2]HDV_WTW!B85</f>
        <v>168.06230541000167</v>
      </c>
      <c r="G9" s="41">
        <f>[2]HDV_WTW!C85</f>
        <v>195.32929619535372</v>
      </c>
      <c r="H9" s="41">
        <f>[2]HDV_WTW!D85</f>
        <v>1093.8220076943544</v>
      </c>
      <c r="I9" s="41">
        <f t="shared" si="0"/>
        <v>1457.2136092997098</v>
      </c>
      <c r="M9" s="3" t="str">
        <f t="shared" si="1"/>
        <v>LNG</v>
      </c>
      <c r="N9" s="45">
        <f>F8*$E8+G8*$E8</f>
        <v>2280.6282411074972</v>
      </c>
      <c r="O9" s="45">
        <f>H8*$E8</f>
        <v>7874.2974981029856</v>
      </c>
      <c r="R9" s="3" t="s">
        <v>142</v>
      </c>
      <c r="S9" s="3">
        <f>[2]!Gasoline_LHV/1000000</f>
        <v>0.11219352</v>
      </c>
      <c r="T9" s="3" t="s">
        <v>216</v>
      </c>
    </row>
    <row r="10" spans="1:25">
      <c r="C10" s="17"/>
      <c r="D10" s="17"/>
      <c r="E10" s="44"/>
      <c r="F10" s="17"/>
      <c r="G10" s="17"/>
      <c r="H10" s="17"/>
      <c r="I10" s="41"/>
      <c r="N10" s="45">
        <f>F9*$E9+G9*$E9</f>
        <v>2626.6271661711075</v>
      </c>
      <c r="O10" s="45">
        <f>H9*$E9</f>
        <v>7906.2438088097861</v>
      </c>
    </row>
    <row r="11" spans="1:25" ht="20">
      <c r="C11" s="17"/>
      <c r="D11" s="17"/>
      <c r="E11" s="44"/>
      <c r="F11" s="17"/>
      <c r="G11" s="17"/>
      <c r="H11" s="17"/>
      <c r="I11" s="41"/>
      <c r="N11" s="45"/>
      <c r="O11" s="45"/>
      <c r="R11" s="17" t="s">
        <v>260</v>
      </c>
      <c r="S11" s="41">
        <f>[2]!GH2_Heating_Value</f>
        <v>290</v>
      </c>
      <c r="T11" s="42" t="s">
        <v>261</v>
      </c>
      <c r="U11" s="17">
        <v>392.1</v>
      </c>
      <c r="V11" s="17" t="s">
        <v>262</v>
      </c>
      <c r="W11" s="40"/>
    </row>
    <row r="12" spans="1:25">
      <c r="B12" s="3" t="s">
        <v>257</v>
      </c>
      <c r="C12" s="17" t="s">
        <v>4</v>
      </c>
      <c r="D12" s="48">
        <f>[2]HDV_TS!$O$2062</f>
        <v>1.1583832120540409</v>
      </c>
      <c r="E12" s="44">
        <f>D12*E4</f>
        <v>9.3032199979190295</v>
      </c>
      <c r="F12" s="41">
        <f>[2]HDV_WTW!B357</f>
        <v>188.4285345999009</v>
      </c>
      <c r="G12" s="41">
        <f>[2]HDV_WTW!C357</f>
        <v>398.60642413966593</v>
      </c>
      <c r="H12" s="41">
        <f>[2]HDV_WTW!D357</f>
        <v>0</v>
      </c>
      <c r="I12" s="41">
        <f>SUM(F12:H12)</f>
        <v>587.03495873956683</v>
      </c>
      <c r="M12" s="3" t="s">
        <v>139</v>
      </c>
      <c r="N12" s="45">
        <f>E12*(F12+G12)</f>
        <v>5461.3153676235106</v>
      </c>
      <c r="O12" s="45">
        <v>0</v>
      </c>
      <c r="R12" s="17"/>
      <c r="S12" s="43">
        <f>S11*U11/1000000/S8</f>
        <v>0.87814418208784228</v>
      </c>
      <c r="T12" s="17" t="s">
        <v>264</v>
      </c>
      <c r="U12" s="44">
        <f>U11*S11/1000000*1055</f>
        <v>119.96299500000001</v>
      </c>
      <c r="V12" s="17" t="s">
        <v>263</v>
      </c>
    </row>
    <row r="13" spans="1:25">
      <c r="C13" s="17"/>
      <c r="D13" s="17"/>
      <c r="E13" s="44"/>
      <c r="F13" s="17"/>
      <c r="G13" s="17"/>
      <c r="H13" s="17"/>
      <c r="I13" s="41"/>
      <c r="N13" s="45"/>
      <c r="O13" s="45"/>
    </row>
    <row r="14" spans="1:25">
      <c r="B14" s="3" t="s">
        <v>259</v>
      </c>
      <c r="C14" s="17" t="s">
        <v>281</v>
      </c>
      <c r="D14" s="48">
        <f>[2]HDV_TS!$H$2062</f>
        <v>2.197247213331555</v>
      </c>
      <c r="E14" s="44">
        <f>E4*D14</f>
        <v>17.646555995223061</v>
      </c>
      <c r="F14" s="41">
        <f>[2]HDV_WTW!B235</f>
        <v>108.52029269022633</v>
      </c>
      <c r="G14" s="41">
        <f>[2]HDV_WTW!C235</f>
        <v>871.79866986771651</v>
      </c>
      <c r="H14" s="41">
        <f>[2]HDV_WTW!D235</f>
        <v>0</v>
      </c>
      <c r="I14" s="41">
        <f>SUM(F14:H14)</f>
        <v>980.31896255794288</v>
      </c>
      <c r="M14" s="3" t="str">
        <f>C14</f>
        <v>BEV 500mile</v>
      </c>
    </row>
    <row r="15" spans="1:25">
      <c r="C15" s="17" t="s">
        <v>282</v>
      </c>
      <c r="D15" s="39">
        <f>D14*1.015</f>
        <v>2.2302059215315282</v>
      </c>
      <c r="E15" s="37"/>
    </row>
    <row r="16" spans="1:25">
      <c r="E16" s="37"/>
    </row>
    <row r="17" spans="1:28">
      <c r="A17" s="33" t="s">
        <v>141</v>
      </c>
      <c r="B17" s="3">
        <f>B18*1055</f>
        <v>136.60967919274961</v>
      </c>
      <c r="C17" s="3" t="s">
        <v>573</v>
      </c>
    </row>
    <row r="18" spans="1:28">
      <c r="A18" s="33" t="s">
        <v>141</v>
      </c>
      <c r="B18" s="34">
        <v>0.12948784757606599</v>
      </c>
      <c r="C18" s="3" t="s">
        <v>140</v>
      </c>
      <c r="D18" s="3" t="s">
        <v>143</v>
      </c>
      <c r="I18" s="1287" t="s">
        <v>144</v>
      </c>
      <c r="J18" s="1287"/>
      <c r="K18" s="1287"/>
      <c r="L18" s="1287"/>
      <c r="M18" s="1287"/>
      <c r="N18" s="1287" t="s">
        <v>145</v>
      </c>
      <c r="O18" s="1287"/>
      <c r="P18" s="1287"/>
      <c r="Q18" s="1287"/>
      <c r="R18" s="1287"/>
      <c r="S18" s="1287" t="s">
        <v>146</v>
      </c>
      <c r="T18" s="1287"/>
      <c r="U18" s="1287"/>
      <c r="V18" s="1287"/>
      <c r="W18" s="1287"/>
      <c r="X18" s="1287" t="s">
        <v>147</v>
      </c>
      <c r="Y18" s="1287"/>
      <c r="Z18" s="1287"/>
      <c r="AA18" s="1287"/>
      <c r="AB18" s="1287"/>
    </row>
    <row r="19" spans="1:28" s="763" customFormat="1" ht="43.5">
      <c r="D19" s="762" t="s">
        <v>148</v>
      </c>
      <c r="E19" s="762" t="s">
        <v>149</v>
      </c>
      <c r="F19" s="762" t="s">
        <v>150</v>
      </c>
      <c r="G19" s="762" t="s">
        <v>151</v>
      </c>
      <c r="H19" s="762" t="s">
        <v>152</v>
      </c>
      <c r="I19" s="762" t="s">
        <v>153</v>
      </c>
      <c r="J19" s="762" t="s">
        <v>154</v>
      </c>
      <c r="K19" s="762" t="s">
        <v>155</v>
      </c>
      <c r="L19" s="762" t="s">
        <v>156</v>
      </c>
      <c r="M19" s="762" t="s">
        <v>157</v>
      </c>
      <c r="N19" s="762" t="s">
        <v>158</v>
      </c>
      <c r="O19" s="762" t="s">
        <v>159</v>
      </c>
      <c r="P19" s="762" t="s">
        <v>160</v>
      </c>
      <c r="Q19" s="762" t="s">
        <v>161</v>
      </c>
      <c r="R19" s="762" t="s">
        <v>162</v>
      </c>
      <c r="S19" s="762" t="s">
        <v>163</v>
      </c>
      <c r="T19" s="762" t="s">
        <v>164</v>
      </c>
      <c r="U19" s="762" t="s">
        <v>165</v>
      </c>
      <c r="V19" s="762" t="s">
        <v>166</v>
      </c>
      <c r="W19" s="762" t="s">
        <v>167</v>
      </c>
      <c r="X19" s="762" t="s">
        <v>168</v>
      </c>
      <c r="Y19" s="762" t="s">
        <v>169</v>
      </c>
      <c r="Z19" s="762" t="s">
        <v>170</v>
      </c>
      <c r="AA19" s="762" t="s">
        <v>171</v>
      </c>
      <c r="AB19" s="762" t="s">
        <v>172</v>
      </c>
    </row>
    <row r="20" spans="1:28">
      <c r="A20" s="3" t="s">
        <v>173</v>
      </c>
      <c r="B20" s="3">
        <v>587</v>
      </c>
      <c r="C20" s="3" t="s">
        <v>174</v>
      </c>
      <c r="D20" s="35">
        <f>[2]RNG!E289</f>
        <v>10143.580534413728</v>
      </c>
      <c r="E20" s="35">
        <f>[2]RNG!F289</f>
        <v>24313.30491380391</v>
      </c>
      <c r="F20" s="35">
        <f>[2]RNG!G289</f>
        <v>12961.613098027266</v>
      </c>
      <c r="G20" s="35">
        <f>[2]RNG!H289</f>
        <v>10101.769066314922</v>
      </c>
      <c r="H20" s="35">
        <f>[2]RNG!I289</f>
        <v>11428.690628457372</v>
      </c>
      <c r="I20" s="35">
        <f>[2]RNG!J289</f>
        <v>-94922.642191505438</v>
      </c>
      <c r="J20" s="35">
        <f>[2]RNG!K289</f>
        <v>-92488.194288613042</v>
      </c>
      <c r="K20" s="35">
        <f>[2]RNG!L289</f>
        <v>-92127.942599756774</v>
      </c>
      <c r="L20" s="35">
        <f>[2]RNG!M289</f>
        <v>-95304.523408863737</v>
      </c>
      <c r="M20" s="35">
        <f>[2]RNG!N289</f>
        <v>-98520.740802355955</v>
      </c>
      <c r="N20" s="35">
        <f>[2]RNG!O289</f>
        <v>-99698.476606850934</v>
      </c>
      <c r="O20" s="35">
        <f>[2]RNG!P289</f>
        <v>-87167.461950499332</v>
      </c>
      <c r="P20" s="35">
        <f>[2]RNG!Q289</f>
        <v>-96904.837626278284</v>
      </c>
      <c r="Q20" s="35">
        <f>[2]RNG!R289</f>
        <v>-104261.20720190293</v>
      </c>
      <c r="R20" s="35">
        <f>[2]RNG!S289</f>
        <v>-111623.00074580502</v>
      </c>
      <c r="S20" s="35">
        <f>[2]RNG!T289</f>
        <v>-109085.94748898386</v>
      </c>
      <c r="T20" s="35">
        <f>[2]RNG!U289</f>
        <v>-111058.93460696336</v>
      </c>
      <c r="U20" s="35">
        <f>[2]RNG!V289</f>
        <v>-106294.3932658936</v>
      </c>
      <c r="V20" s="35">
        <f>[2]RNG!W289</f>
        <v>-114179.13698035711</v>
      </c>
      <c r="W20" s="35">
        <f>[2]RNG!X289</f>
        <v>-122540.17883029809</v>
      </c>
      <c r="X20" s="35">
        <f>[2]RNG!Y289</f>
        <v>10143.580534413728</v>
      </c>
      <c r="Y20" s="35">
        <f>[2]RNG!Z289</f>
        <v>24313.30491380391</v>
      </c>
      <c r="Z20" s="35">
        <f>[2]RNG!AA289</f>
        <v>10101.769066314922</v>
      </c>
      <c r="AA20" s="35">
        <f>[2]RNG!AB289</f>
        <v>11428.690628457372</v>
      </c>
      <c r="AB20" s="35">
        <f>[2]RNG!AC289</f>
        <v>-16901.584771787158</v>
      </c>
    </row>
    <row r="21" spans="1:28">
      <c r="C21" s="3" t="s">
        <v>175</v>
      </c>
      <c r="D21" s="35">
        <f t="shared" ref="D21:AB21" si="2">D20*$B$18</f>
        <v>1313.4704101157149</v>
      </c>
      <c r="E21" s="35">
        <f t="shared" si="2"/>
        <v>3148.2775207490567</v>
      </c>
      <c r="F21" s="35">
        <f t="shared" si="2"/>
        <v>1678.3713811772952</v>
      </c>
      <c r="G21" s="35">
        <f t="shared" si="2"/>
        <v>1308.056333107605</v>
      </c>
      <c r="H21" s="35">
        <f t="shared" si="2"/>
        <v>1479.876550091702</v>
      </c>
      <c r="I21" s="35">
        <f t="shared" si="2"/>
        <v>-12291.328623611107</v>
      </c>
      <c r="J21" s="35">
        <f t="shared" si="2"/>
        <v>-11976.097204629503</v>
      </c>
      <c r="K21" s="35">
        <f t="shared" si="2"/>
        <v>-11929.448988853861</v>
      </c>
      <c r="L21" s="35">
        <f t="shared" si="2"/>
        <v>-12340.77760047656</v>
      </c>
      <c r="M21" s="35">
        <f t="shared" si="2"/>
        <v>-12757.238668096574</v>
      </c>
      <c r="N21" s="35">
        <f t="shared" si="2"/>
        <v>-12909.741142433895</v>
      </c>
      <c r="O21" s="35">
        <f t="shared" si="2"/>
        <v>-11287.127026638789</v>
      </c>
      <c r="P21" s="35">
        <f t="shared" si="2"/>
        <v>-12547.998843934947</v>
      </c>
      <c r="Q21" s="35">
        <f t="shared" si="2"/>
        <v>-13500.55930625664</v>
      </c>
      <c r="R21" s="35">
        <f t="shared" si="2"/>
        <v>-14453.822106555901</v>
      </c>
      <c r="S21" s="35">
        <f t="shared" si="2"/>
        <v>-14125.30454114428</v>
      </c>
      <c r="T21" s="35">
        <f t="shared" si="2"/>
        <v>-14380.782396346753</v>
      </c>
      <c r="U21" s="35">
        <f t="shared" si="2"/>
        <v>-13763.832193404445</v>
      </c>
      <c r="V21" s="35">
        <f t="shared" si="2"/>
        <v>-14784.810685679242</v>
      </c>
      <c r="W21" s="35">
        <f t="shared" si="2"/>
        <v>-15867.463998321507</v>
      </c>
      <c r="X21" s="35">
        <f t="shared" si="2"/>
        <v>1313.4704101157149</v>
      </c>
      <c r="Y21" s="35">
        <f t="shared" si="2"/>
        <v>3148.2775207490567</v>
      </c>
      <c r="Z21" s="35">
        <f t="shared" si="2"/>
        <v>1308.056333107605</v>
      </c>
      <c r="AA21" s="35">
        <f t="shared" si="2"/>
        <v>1479.876550091702</v>
      </c>
      <c r="AB21" s="35">
        <f t="shared" si="2"/>
        <v>-2188.5498327231335</v>
      </c>
    </row>
    <row r="24" spans="1:28" ht="18.5">
      <c r="D24" s="1288" t="s">
        <v>126</v>
      </c>
      <c r="E24" s="1288"/>
      <c r="F24" s="1288"/>
      <c r="J24" s="1285" t="s">
        <v>572</v>
      </c>
      <c r="K24" s="1286"/>
      <c r="L24" s="1289" t="s">
        <v>126</v>
      </c>
      <c r="M24" s="1289"/>
      <c r="N24" s="1289"/>
    </row>
    <row r="25" spans="1:28">
      <c r="D25" s="764"/>
      <c r="E25" s="10" t="s">
        <v>112</v>
      </c>
      <c r="F25" s="10" t="s">
        <v>113</v>
      </c>
      <c r="G25" s="3" t="s">
        <v>176</v>
      </c>
      <c r="H25" s="3" t="s">
        <v>186</v>
      </c>
      <c r="L25" s="31"/>
      <c r="M25" s="10" t="s">
        <v>112</v>
      </c>
      <c r="N25" s="10" t="s">
        <v>113</v>
      </c>
      <c r="O25"/>
    </row>
    <row r="26" spans="1:28">
      <c r="D26" s="764"/>
      <c r="E26" s="10" t="s">
        <v>133</v>
      </c>
      <c r="F26" s="10" t="s">
        <v>133</v>
      </c>
      <c r="L26" s="31"/>
      <c r="M26" s="10" t="s">
        <v>133</v>
      </c>
      <c r="N26" s="10" t="s">
        <v>133</v>
      </c>
    </row>
    <row r="27" spans="1:28">
      <c r="D27" s="764" t="s">
        <v>135</v>
      </c>
      <c r="E27" s="36">
        <f>F4*$E4+G4*$E4</f>
        <v>2116.2786110249381</v>
      </c>
      <c r="F27" s="36">
        <f>H4*$E4</f>
        <v>10245.994486700643</v>
      </c>
      <c r="G27" s="32">
        <v>1</v>
      </c>
      <c r="H27" s="37">
        <f>B18*1055</f>
        <v>136.60967919274961</v>
      </c>
      <c r="L27" s="31" t="s">
        <v>689</v>
      </c>
      <c r="M27" s="36">
        <f t="shared" ref="M27:N30" si="3">N4</f>
        <v>2116.2786110249381</v>
      </c>
      <c r="N27" s="36">
        <f t="shared" si="3"/>
        <v>10245.994486700643</v>
      </c>
    </row>
    <row r="28" spans="1:28" ht="29">
      <c r="D28" s="764" t="s">
        <v>218</v>
      </c>
      <c r="E28" s="36">
        <f ca="1">'H2 FCV'!I33</f>
        <v>5483.1214868086117</v>
      </c>
      <c r="F28" s="36">
        <f>0</f>
        <v>0</v>
      </c>
      <c r="G28" s="32">
        <f>D12</f>
        <v>1.1583832120540409</v>
      </c>
      <c r="H28" s="37">
        <f>U12</f>
        <v>119.96299500000001</v>
      </c>
      <c r="L28" s="31" t="s">
        <v>688</v>
      </c>
      <c r="M28" s="36">
        <f t="shared" si="3"/>
        <v>561.97030457606593</v>
      </c>
      <c r="N28" s="36">
        <f t="shared" si="3"/>
        <v>10252.290628622532</v>
      </c>
      <c r="O28" s="32"/>
    </row>
    <row r="29" spans="1:28" ht="29">
      <c r="D29" s="764" t="s">
        <v>221</v>
      </c>
      <c r="E29" s="36">
        <f ca="1">'H2 FCV'!I52</f>
        <v>9558.5081356566006</v>
      </c>
      <c r="F29" s="36">
        <v>0</v>
      </c>
      <c r="G29" s="32"/>
      <c r="L29" s="31" t="s">
        <v>690</v>
      </c>
      <c r="M29" s="36">
        <f t="shared" si="3"/>
        <v>-6545.5381931717948</v>
      </c>
      <c r="N29" s="36">
        <f t="shared" si="3"/>
        <v>9927.7492990629726</v>
      </c>
      <c r="O29" s="32"/>
    </row>
    <row r="30" spans="1:28" ht="29">
      <c r="D30" s="764" t="s">
        <v>137</v>
      </c>
      <c r="E30" s="36">
        <f>F8*$E8+G8*$E8</f>
        <v>2280.6282411074972</v>
      </c>
      <c r="F30" s="36">
        <f>H8*$E8</f>
        <v>7874.2974981029856</v>
      </c>
      <c r="G30" s="32">
        <f>$D$8</f>
        <v>0.9</v>
      </c>
      <c r="L30" s="31" t="s">
        <v>691</v>
      </c>
      <c r="M30" s="36">
        <f t="shared" si="3"/>
        <v>4325.7566074910328</v>
      </c>
      <c r="N30" s="36">
        <f t="shared" si="3"/>
        <v>9060.6384827763959</v>
      </c>
      <c r="O30" s="32"/>
    </row>
    <row r="31" spans="1:28">
      <c r="D31" s="764" t="s">
        <v>138</v>
      </c>
      <c r="E31" s="36">
        <f>F9*$E9+G9*$E9</f>
        <v>2626.6271661711075</v>
      </c>
      <c r="F31" s="36">
        <f>H9*$E9</f>
        <v>7906.2438088097861</v>
      </c>
      <c r="G31" s="32">
        <f>$D$8</f>
        <v>0.9</v>
      </c>
      <c r="J31" s="1283" t="s">
        <v>697</v>
      </c>
      <c r="K31" s="1284"/>
    </row>
    <row r="32" spans="1:28">
      <c r="D32" s="764" t="str">
        <f>F19</f>
        <v>Landfill Gas to CNG (Off-site Refueling)</v>
      </c>
      <c r="E32" s="36">
        <f>F21</f>
        <v>1678.3713811772952</v>
      </c>
      <c r="F32" s="36">
        <f>F30</f>
        <v>7874.2974981029856</v>
      </c>
      <c r="G32" s="32">
        <f>$D$8</f>
        <v>0.9</v>
      </c>
      <c r="J32" s="765" t="s">
        <v>575</v>
      </c>
      <c r="K32">
        <v>8.99</v>
      </c>
      <c r="L32" s="31" t="s">
        <v>692</v>
      </c>
      <c r="M32" s="36">
        <f>K32*H27</f>
        <v>1228.121015942819</v>
      </c>
      <c r="N32" s="36">
        <f>$N$27</f>
        <v>10245.994486700643</v>
      </c>
    </row>
    <row r="33" spans="4:15">
      <c r="D33" s="764" t="str">
        <f>G19</f>
        <v>Landfill Gas to CNG (On-site Refueling)</v>
      </c>
      <c r="E33" s="36">
        <f>G21</f>
        <v>1308.056333107605</v>
      </c>
      <c r="F33" s="36">
        <f>F30</f>
        <v>7874.2974981029856</v>
      </c>
      <c r="G33" s="32">
        <f>$D$8</f>
        <v>0.9</v>
      </c>
      <c r="J33" s="765" t="s">
        <v>574</v>
      </c>
      <c r="K33">
        <v>9.86</v>
      </c>
      <c r="L33" s="766" t="s">
        <v>693</v>
      </c>
      <c r="M33" s="31"/>
      <c r="N33" s="36"/>
      <c r="O33"/>
    </row>
    <row r="34" spans="4:15" ht="29">
      <c r="D34" s="764" t="str">
        <f>H19</f>
        <v>Landfill Gas to LNG</v>
      </c>
      <c r="E34" s="36">
        <f>H21</f>
        <v>1479.876550091702</v>
      </c>
      <c r="F34" s="36">
        <f>F31</f>
        <v>7906.2438088097861</v>
      </c>
      <c r="G34" s="32">
        <f>$D$9</f>
        <v>0.9</v>
      </c>
      <c r="J34"/>
      <c r="K34"/>
      <c r="L34" s="31" t="s">
        <v>694</v>
      </c>
      <c r="M34" s="36"/>
      <c r="N34" s="36"/>
    </row>
    <row r="35" spans="4:15" ht="27.65" customHeight="1">
      <c r="D35" s="764" t="str">
        <f>K19</f>
        <v>Animal Waste to CNG (Off-site Refueling)</v>
      </c>
      <c r="E35" s="36">
        <f>K21</f>
        <v>-11929.448988853861</v>
      </c>
      <c r="F35" s="36">
        <f>F30</f>
        <v>7874.2974981029856</v>
      </c>
      <c r="G35" s="32">
        <f>$D$8</f>
        <v>0.9</v>
      </c>
      <c r="L35" s="883" t="s">
        <v>695</v>
      </c>
      <c r="M35" s="36"/>
      <c r="N35" s="36"/>
    </row>
    <row r="36" spans="4:15" ht="29.5" customHeight="1">
      <c r="D36" s="764" t="str">
        <f>L19</f>
        <v>Animal Waste to CNG (On-site Refueling)</v>
      </c>
      <c r="E36" s="36">
        <f>L21</f>
        <v>-12340.77760047656</v>
      </c>
      <c r="F36" s="36">
        <f>F30</f>
        <v>7874.2974981029856</v>
      </c>
      <c r="G36" s="32">
        <f>$D$8</f>
        <v>0.9</v>
      </c>
      <c r="L36" s="883" t="s">
        <v>696</v>
      </c>
      <c r="M36" s="31"/>
      <c r="N36" s="31"/>
      <c r="O36" s="32"/>
    </row>
    <row r="37" spans="4:15">
      <c r="D37" s="764" t="str">
        <f>M19</f>
        <v>Animal Waste to LNG</v>
      </c>
      <c r="E37" s="36">
        <f>M21</f>
        <v>-12757.238668096574</v>
      </c>
      <c r="F37" s="36">
        <f>F31</f>
        <v>7906.2438088097861</v>
      </c>
      <c r="G37" s="32">
        <f>D9</f>
        <v>0.9</v>
      </c>
      <c r="O37" s="32"/>
    </row>
    <row r="38" spans="4:15" ht="29">
      <c r="D38" s="764" t="str">
        <f>P19</f>
        <v>Wastewater Sludge to CNG (Off-site Refueling)</v>
      </c>
      <c r="E38" s="36">
        <f>P21</f>
        <v>-12547.998843934947</v>
      </c>
      <c r="F38" s="36">
        <f>F30</f>
        <v>7874.2974981029856</v>
      </c>
      <c r="G38" s="32">
        <f>$D$8</f>
        <v>0.9</v>
      </c>
      <c r="O38" s="32"/>
    </row>
    <row r="39" spans="4:15" ht="29">
      <c r="D39" s="764" t="str">
        <f>Q19</f>
        <v>Wastewater Sludge to CNG (On-site Refueling)</v>
      </c>
      <c r="E39" s="36">
        <f>Q21</f>
        <v>-13500.55930625664</v>
      </c>
      <c r="F39" s="36">
        <f>F30</f>
        <v>7874.2974981029856</v>
      </c>
      <c r="G39" s="32">
        <f>$D$8</f>
        <v>0.9</v>
      </c>
    </row>
    <row r="40" spans="4:15">
      <c r="D40" s="764" t="str">
        <f>R19</f>
        <v>Wastewater Sludge to LNG</v>
      </c>
      <c r="E40" s="36">
        <f>R21</f>
        <v>-14453.822106555901</v>
      </c>
      <c r="F40" s="36">
        <f>F31</f>
        <v>7906.2438088097861</v>
      </c>
      <c r="G40" s="32">
        <f>$D$9</f>
        <v>0.9</v>
      </c>
    </row>
    <row r="41" spans="4:15">
      <c r="D41" s="764" t="str">
        <f>U19</f>
        <v>MSW to CNG (Off-site Refueling)</v>
      </c>
      <c r="E41" s="36">
        <f>U21</f>
        <v>-13763.832193404445</v>
      </c>
      <c r="F41" s="36">
        <f>F30</f>
        <v>7874.2974981029856</v>
      </c>
      <c r="G41" s="32">
        <f>D8</f>
        <v>0.9</v>
      </c>
    </row>
    <row r="42" spans="4:15">
      <c r="D42" s="764" t="str">
        <f>V19</f>
        <v>MSW to CNG (On-site Refueling)</v>
      </c>
      <c r="E42" s="36">
        <f>V21</f>
        <v>-14784.810685679242</v>
      </c>
      <c r="F42" s="36">
        <f>F30</f>
        <v>7874.2974981029856</v>
      </c>
      <c r="G42" s="32">
        <f>D8</f>
        <v>0.9</v>
      </c>
    </row>
    <row r="43" spans="4:15">
      <c r="D43" s="764" t="str">
        <f>W19</f>
        <v>MSW to LNG</v>
      </c>
      <c r="E43" s="36">
        <f>W21</f>
        <v>-15867.463998321507</v>
      </c>
      <c r="F43" s="36">
        <f>F31</f>
        <v>7906.2438088097861</v>
      </c>
      <c r="G43" s="32">
        <f>D9</f>
        <v>0.9</v>
      </c>
    </row>
    <row r="44" spans="4:15">
      <c r="D44" s="764" t="str">
        <f>Z19</f>
        <v>Combined Waste to CNG</v>
      </c>
      <c r="E44" s="36">
        <f>Z21</f>
        <v>1308.056333107605</v>
      </c>
      <c r="F44" s="36">
        <f>F30</f>
        <v>7874.2974981029856</v>
      </c>
      <c r="G44" s="32">
        <f>D8</f>
        <v>0.9</v>
      </c>
    </row>
    <row r="45" spans="4:15">
      <c r="D45" s="764" t="str">
        <f>AA19</f>
        <v>Combined Waste to LNG</v>
      </c>
      <c r="E45" s="36">
        <f>AA21</f>
        <v>1479.876550091702</v>
      </c>
      <c r="F45" s="36">
        <f>F31</f>
        <v>7906.2438088097861</v>
      </c>
      <c r="G45" s="32">
        <f>D9</f>
        <v>0.9</v>
      </c>
    </row>
  </sheetData>
  <mergeCells count="10">
    <mergeCell ref="J31:K31"/>
    <mergeCell ref="J24:K24"/>
    <mergeCell ref="X18:AB18"/>
    <mergeCell ref="D24:F24"/>
    <mergeCell ref="M1:O1"/>
    <mergeCell ref="I18:M18"/>
    <mergeCell ref="N18:R18"/>
    <mergeCell ref="S18:W18"/>
    <mergeCell ref="L24:N24"/>
    <mergeCell ref="F1:I1"/>
  </mergeCells>
  <phoneticPr fontId="37" type="noConversion"/>
  <pageMargins left="0.7" right="0.7" top="0.75" bottom="0.75" header="0.3" footer="0.3"/>
  <pageSetup orientation="portrait" r:id="rId1"/>
  <headerFooter>
    <oddFooter>&amp;C&amp;1#&amp;"Calibri"&amp;14&amp;K008000Classification: General Use</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theme="9" tint="0.39997558519241921"/>
  </sheetPr>
  <dimension ref="A1:AX47"/>
  <sheetViews>
    <sheetView zoomScale="70" zoomScaleNormal="70" workbookViewId="0">
      <selection activeCell="O31" sqref="O31"/>
    </sheetView>
  </sheetViews>
  <sheetFormatPr defaultRowHeight="14.5"/>
  <cols>
    <col min="1" max="1" width="5.1796875" bestFit="1" customWidth="1"/>
    <col min="2" max="2" width="31.7265625" bestFit="1" customWidth="1"/>
    <col min="3" max="6" width="6.81640625" bestFit="1" customWidth="1"/>
    <col min="7" max="7" width="8" bestFit="1" customWidth="1"/>
    <col min="8" max="10" width="6.81640625" bestFit="1" customWidth="1"/>
    <col min="11" max="11" width="7.81640625" bestFit="1" customWidth="1"/>
    <col min="12" max="15" width="7.453125" bestFit="1" customWidth="1"/>
    <col min="16" max="16" width="8.26953125" bestFit="1" customWidth="1"/>
    <col min="17" max="20" width="7.453125" bestFit="1" customWidth="1"/>
    <col min="21" max="21" width="8.26953125" bestFit="1" customWidth="1"/>
    <col min="22" max="25" width="7.1796875" bestFit="1" customWidth="1"/>
    <col min="26" max="26" width="8.26953125" bestFit="1" customWidth="1"/>
    <col min="27" max="30" width="7.1796875" bestFit="1" customWidth="1"/>
    <col min="31" max="31" width="8.26953125" bestFit="1" customWidth="1"/>
    <col min="32" max="35" width="7.1796875" bestFit="1" customWidth="1"/>
    <col min="36" max="36" width="7.81640625" bestFit="1" customWidth="1"/>
    <col min="37" max="46" width="7.1796875" bestFit="1" customWidth="1"/>
    <col min="47" max="47" width="9.54296875" customWidth="1"/>
    <col min="50" max="50" width="11.453125" customWidth="1"/>
  </cols>
  <sheetData>
    <row r="1" spans="1:50" ht="15" thickBot="1">
      <c r="C1" t="s">
        <v>35</v>
      </c>
      <c r="F1" s="4"/>
      <c r="G1" s="4"/>
      <c r="H1" s="4"/>
      <c r="I1" s="4"/>
      <c r="J1" s="4"/>
      <c r="K1" s="4">
        <f t="shared" ref="K1:AD1" si="0">K3-F3</f>
        <v>-23.602044211390535</v>
      </c>
      <c r="L1" s="4">
        <f t="shared" si="0"/>
        <v>-24.229800793950062</v>
      </c>
      <c r="M1" s="4">
        <f t="shared" si="0"/>
        <v>-24.85755737650959</v>
      </c>
      <c r="N1" s="4">
        <f t="shared" si="0"/>
        <v>-25.485313959069117</v>
      </c>
      <c r="O1" s="4">
        <f t="shared" si="0"/>
        <v>-26.113070541628645</v>
      </c>
      <c r="P1" s="4">
        <f t="shared" si="0"/>
        <v>-26.740827124188172</v>
      </c>
      <c r="Q1" s="4">
        <f t="shared" si="0"/>
        <v>-24.484880242348538</v>
      </c>
      <c r="R1" s="4">
        <f t="shared" si="0"/>
        <v>-22.228933360508904</v>
      </c>
      <c r="S1" s="4">
        <f t="shared" si="0"/>
        <v>-19.97298647866927</v>
      </c>
      <c r="T1" s="4">
        <f t="shared" si="0"/>
        <v>-17.717039596829636</v>
      </c>
      <c r="U1" s="4">
        <f t="shared" si="0"/>
        <v>-15.461092714990002</v>
      </c>
      <c r="V1" s="4">
        <f t="shared" si="0"/>
        <v>-14.028663063324359</v>
      </c>
      <c r="W1" s="4">
        <f t="shared" si="0"/>
        <v>-12.596233411658716</v>
      </c>
      <c r="X1" s="4">
        <f t="shared" si="0"/>
        <v>-11.163803759993129</v>
      </c>
      <c r="Y1" s="4">
        <f t="shared" si="0"/>
        <v>-9.7313741083274863</v>
      </c>
      <c r="Z1" s="4">
        <f t="shared" si="0"/>
        <v>-8.2989444566618431</v>
      </c>
      <c r="AA1" s="4">
        <f t="shared" si="0"/>
        <v>-7.7944306876609062</v>
      </c>
      <c r="AB1" s="4">
        <f t="shared" si="0"/>
        <v>-7.2899169186600261</v>
      </c>
      <c r="AC1" s="4">
        <f t="shared" si="0"/>
        <v>-6.7854031496590892</v>
      </c>
      <c r="AD1" s="4">
        <f t="shared" si="0"/>
        <v>-6.2808893806582091</v>
      </c>
      <c r="AE1" s="4">
        <f>AE3-Z3</f>
        <v>-5.7763756116572722</v>
      </c>
      <c r="AF1" s="4">
        <f t="shared" ref="AF1:AJ1" si="1">AF3-AA3</f>
        <v>-6.1812337617099047</v>
      </c>
      <c r="AG1" s="4">
        <f t="shared" si="1"/>
        <v>-6.5860919117625372</v>
      </c>
      <c r="AH1" s="4">
        <f t="shared" si="1"/>
        <v>-6.9909500618151696</v>
      </c>
      <c r="AI1" s="4">
        <f t="shared" si="1"/>
        <v>-7.3958082118678021</v>
      </c>
      <c r="AJ1" s="4">
        <f t="shared" si="1"/>
        <v>-7.8006663619204346</v>
      </c>
      <c r="AK1" s="4">
        <f>AVERAGE(Z1:AJ1)</f>
        <v>-7.016428228548472</v>
      </c>
      <c r="AL1" s="4">
        <f>AK1</f>
        <v>-7.016428228548472</v>
      </c>
      <c r="AM1" s="4">
        <f t="shared" ref="AM1:AT1" si="2">AL1</f>
        <v>-7.016428228548472</v>
      </c>
      <c r="AN1" s="4">
        <f t="shared" si="2"/>
        <v>-7.016428228548472</v>
      </c>
      <c r="AO1" s="4">
        <f t="shared" si="2"/>
        <v>-7.016428228548472</v>
      </c>
      <c r="AP1" s="4">
        <f t="shared" si="2"/>
        <v>-7.016428228548472</v>
      </c>
      <c r="AQ1" s="4">
        <f t="shared" si="2"/>
        <v>-7.016428228548472</v>
      </c>
      <c r="AR1" s="4">
        <f t="shared" si="2"/>
        <v>-7.016428228548472</v>
      </c>
      <c r="AS1" s="4">
        <f t="shared" si="2"/>
        <v>-7.016428228548472</v>
      </c>
      <c r="AT1" s="4">
        <f t="shared" si="2"/>
        <v>-7.016428228548472</v>
      </c>
      <c r="AW1" t="str">
        <f>'TCO Calculation'!H12</f>
        <v>K.S.A. Transportation Use: K.S.A. Mix</v>
      </c>
    </row>
    <row r="2" spans="1:50" ht="16" thickBot="1">
      <c r="A2">
        <f>'TCO Calculation'!B2</f>
        <v>2050</v>
      </c>
      <c r="B2" s="992" t="s">
        <v>721</v>
      </c>
      <c r="C2" s="985" t="s">
        <v>253</v>
      </c>
      <c r="D2" s="1043">
        <v>2015</v>
      </c>
      <c r="E2" s="1044">
        <v>2020</v>
      </c>
      <c r="F2" s="1044">
        <v>2025</v>
      </c>
      <c r="G2" s="1044">
        <v>2026</v>
      </c>
      <c r="H2" s="1044">
        <v>2027</v>
      </c>
      <c r="I2" s="1044">
        <v>2028</v>
      </c>
      <c r="J2" s="1044">
        <v>2029</v>
      </c>
      <c r="K2" s="1044">
        <v>2030</v>
      </c>
      <c r="L2" s="1044">
        <v>2031</v>
      </c>
      <c r="M2" s="1044">
        <v>2032</v>
      </c>
      <c r="N2" s="1044">
        <v>2033</v>
      </c>
      <c r="O2" s="1044">
        <v>2034</v>
      </c>
      <c r="P2" s="1044">
        <v>2035</v>
      </c>
      <c r="Q2" s="1044">
        <v>2036</v>
      </c>
      <c r="R2" s="1044">
        <v>2037</v>
      </c>
      <c r="S2" s="1044">
        <v>2038</v>
      </c>
      <c r="T2" s="1044">
        <v>2039</v>
      </c>
      <c r="U2" s="1044">
        <v>2040</v>
      </c>
      <c r="V2" s="1044">
        <v>2041</v>
      </c>
      <c r="W2" s="1044">
        <v>2042</v>
      </c>
      <c r="X2" s="1044">
        <v>2043</v>
      </c>
      <c r="Y2" s="1044">
        <v>2044</v>
      </c>
      <c r="Z2" s="1044">
        <v>2045</v>
      </c>
      <c r="AA2" s="1044">
        <v>2046</v>
      </c>
      <c r="AB2" s="1044">
        <v>2047</v>
      </c>
      <c r="AC2" s="1044">
        <v>2048</v>
      </c>
      <c r="AD2" s="1044">
        <v>2049</v>
      </c>
      <c r="AE2" s="1044">
        <v>2050</v>
      </c>
      <c r="AF2" s="1044">
        <v>2051</v>
      </c>
      <c r="AG2" s="1044">
        <v>2052</v>
      </c>
      <c r="AH2" s="1044">
        <v>2053</v>
      </c>
      <c r="AI2" s="1044">
        <v>2054</v>
      </c>
      <c r="AJ2" s="1044">
        <v>2055</v>
      </c>
      <c r="AK2" s="1044">
        <v>2056</v>
      </c>
      <c r="AL2" s="1044">
        <v>2057</v>
      </c>
      <c r="AM2" s="1044">
        <v>2058</v>
      </c>
      <c r="AN2" s="1044">
        <v>2059</v>
      </c>
      <c r="AO2" s="1044">
        <v>2060</v>
      </c>
      <c r="AP2" s="1044">
        <v>2061</v>
      </c>
      <c r="AQ2" s="1044">
        <v>2062</v>
      </c>
      <c r="AR2" s="1044">
        <v>2063</v>
      </c>
      <c r="AS2" s="1044">
        <v>2064</v>
      </c>
      <c r="AT2" s="1045">
        <v>2065</v>
      </c>
      <c r="AW2" t="s">
        <v>253</v>
      </c>
      <c r="AX2" t="s">
        <v>676</v>
      </c>
    </row>
    <row r="3" spans="1:50">
      <c r="A3" s="989">
        <v>1</v>
      </c>
      <c r="B3" s="990" t="s">
        <v>718</v>
      </c>
      <c r="C3" s="987">
        <f>(HLOOKUP($A$2, $D$2:$AV$16, A3+1, FALSE)+HLOOKUP($A$2+5, $D$2:$AV$16, A3+1, FALSE))/2</f>
        <v>308.90033318096022</v>
      </c>
      <c r="D3" s="1042">
        <v>392.67995048080797</v>
      </c>
      <c r="E3" s="1011">
        <v>392.67995048080826</v>
      </c>
      <c r="F3" s="1011">
        <v>392.67995048080826</v>
      </c>
      <c r="G3" s="1010">
        <f>$F3 + (G$2 - $F$2) / ($K$2 - $F$2) * ($K3 - $F3)</f>
        <v>387.95954163853014</v>
      </c>
      <c r="H3" s="1010">
        <f t="shared" ref="H3:J3" si="3">$F3 + (H$2 - $F$2) / ($K$2 - $F$2) * ($K3 - $F3)</f>
        <v>383.23913279625202</v>
      </c>
      <c r="I3" s="1010">
        <f t="shared" si="3"/>
        <v>378.51872395397396</v>
      </c>
      <c r="J3" s="1010">
        <f t="shared" si="3"/>
        <v>373.79831511169584</v>
      </c>
      <c r="K3" s="1011">
        <v>369.07790626941772</v>
      </c>
      <c r="L3" s="1010">
        <f>$K3 + (L$2 - $K$2) / ($P$2 - $K$2) * ($P3 - $K3)</f>
        <v>363.72974084458008</v>
      </c>
      <c r="M3" s="1010">
        <f t="shared" ref="M3:O3" si="4">$K3 + (M$2 - $K$2) / ($P$2 - $K$2) * ($P3 - $K3)</f>
        <v>358.38157541974243</v>
      </c>
      <c r="N3" s="1010">
        <f t="shared" si="4"/>
        <v>353.03340999490484</v>
      </c>
      <c r="O3" s="1010">
        <f t="shared" si="4"/>
        <v>347.6852445700672</v>
      </c>
      <c r="P3" s="1011">
        <v>342.33707914522955</v>
      </c>
      <c r="Q3" s="1010">
        <f>$P3 + (Q$2 - $P$2) / ($U$2 - $P$2) * ($U3 - $P3)</f>
        <v>339.24486060223154</v>
      </c>
      <c r="R3" s="1010">
        <f t="shared" ref="R3:S3" si="5">$P3 + (R$2 - $P$2) / ($U$2 - $P$2) * ($U3 - $P3)</f>
        <v>336.15264205923353</v>
      </c>
      <c r="S3" s="1010">
        <f t="shared" si="5"/>
        <v>333.06042351623557</v>
      </c>
      <c r="T3" s="1010">
        <f>$P3 + (T$2 - $P$2) / ($U$2 - $P$2) * ($U3 - $P3)</f>
        <v>329.96820497323756</v>
      </c>
      <c r="U3" s="1011">
        <v>326.87598643023955</v>
      </c>
      <c r="V3" s="1010">
        <f>$U3 + (V$2 - $U$2) / ($Z$2 - $U$2) * ($Z3 - $U3)</f>
        <v>325.21619753890718</v>
      </c>
      <c r="W3" s="1010">
        <f t="shared" ref="W3:Y3" si="6">$U3 + (W$2 - $U$2) / ($Z$2 - $U$2) * ($Z3 - $U3)</f>
        <v>323.55640864757481</v>
      </c>
      <c r="X3" s="1010">
        <f t="shared" si="6"/>
        <v>321.89661975624244</v>
      </c>
      <c r="Y3" s="1010">
        <f t="shared" si="6"/>
        <v>320.23683086491008</v>
      </c>
      <c r="Z3" s="1011">
        <v>318.57704197357771</v>
      </c>
      <c r="AA3" s="1010">
        <f>$Z3 + (AA$2 - $Z$2) / ($AE$2 - $Z$2) * ($AE3 - $Z3)</f>
        <v>317.42176685124628</v>
      </c>
      <c r="AB3" s="1010">
        <f t="shared" ref="AB3:AD3" si="7">$Z3 + (AB$2 - $Z$2) / ($AE$2 - $Z$2) * ($AE3 - $Z3)</f>
        <v>316.26649172891479</v>
      </c>
      <c r="AC3" s="1010">
        <f t="shared" si="7"/>
        <v>315.11121660658335</v>
      </c>
      <c r="AD3" s="1010">
        <f t="shared" si="7"/>
        <v>313.95594148425187</v>
      </c>
      <c r="AE3" s="1011">
        <v>312.80066636192043</v>
      </c>
      <c r="AF3" s="1010">
        <f>$AE3 + (AF$2 - $AE$2) / ($AJ$2 - $AE$2) * ($AJ3 - $AE3)</f>
        <v>311.24053308953637</v>
      </c>
      <c r="AG3" s="1010">
        <f t="shared" ref="AG3:AI3" si="8">$AE3 + (AG$2 - $AE$2) / ($AJ$2 - $AE$2) * ($AJ3 - $AE3)</f>
        <v>309.68039981715225</v>
      </c>
      <c r="AH3" s="1010">
        <f t="shared" si="8"/>
        <v>308.12026654476819</v>
      </c>
      <c r="AI3" s="1010">
        <f t="shared" si="8"/>
        <v>306.56013327238406</v>
      </c>
      <c r="AJ3" s="1011">
        <v>305</v>
      </c>
      <c r="AK3" s="1010">
        <f>AK1+AF3</f>
        <v>304.22410486098789</v>
      </c>
      <c r="AL3" s="1010">
        <f t="shared" ref="AL3:AT3" si="9">AL1+AG3</f>
        <v>302.66397158860377</v>
      </c>
      <c r="AM3" s="1010">
        <f t="shared" si="9"/>
        <v>301.10383831621971</v>
      </c>
      <c r="AN3" s="1010">
        <f t="shared" si="9"/>
        <v>299.54370504383559</v>
      </c>
      <c r="AO3" s="1011">
        <f t="shared" si="9"/>
        <v>297.98357177145152</v>
      </c>
      <c r="AP3" s="1010">
        <f t="shared" si="9"/>
        <v>297.20767663243942</v>
      </c>
      <c r="AQ3" s="1010">
        <f t="shared" si="9"/>
        <v>295.64754336005529</v>
      </c>
      <c r="AR3" s="1010">
        <f t="shared" si="9"/>
        <v>294.08741008767123</v>
      </c>
      <c r="AS3" s="1010">
        <f t="shared" si="9"/>
        <v>292.52727681528711</v>
      </c>
      <c r="AT3" s="1011">
        <f t="shared" si="9"/>
        <v>290.96714354290305</v>
      </c>
      <c r="AW3">
        <f>A2</f>
        <v>2050</v>
      </c>
      <c r="AX3" s="4">
        <f t="shared" ref="AX3:AX33" si="10">INDEX($C$3:$AT$15, MATCH($AW$1, $B$3:$B$15, 0), MATCH(AW3, $C$2:$AT$2, 0))</f>
        <v>559.24563882063887</v>
      </c>
    </row>
    <row r="4" spans="1:50">
      <c r="A4" s="989">
        <v>2</v>
      </c>
      <c r="B4" s="991" t="s">
        <v>716</v>
      </c>
      <c r="C4" s="988">
        <v>1112.7112096614587</v>
      </c>
      <c r="D4" s="993">
        <v>1112.7112096614587</v>
      </c>
      <c r="E4" s="986">
        <v>1112.7112096614587</v>
      </c>
      <c r="F4" s="986">
        <v>1112.7112096614587</v>
      </c>
      <c r="G4" s="994">
        <v>1112.7112096614587</v>
      </c>
      <c r="H4" s="994">
        <v>1112.7112096614587</v>
      </c>
      <c r="I4" s="994">
        <v>1112.7112096614587</v>
      </c>
      <c r="J4" s="994">
        <v>1112.7112096614587</v>
      </c>
      <c r="K4" s="986">
        <v>1112.7112096614587</v>
      </c>
      <c r="L4" s="994">
        <v>1112.7112096614587</v>
      </c>
      <c r="M4" s="994">
        <v>1112.7112096614587</v>
      </c>
      <c r="N4" s="994">
        <v>1112.7112096614587</v>
      </c>
      <c r="O4" s="994">
        <v>1112.7112096614587</v>
      </c>
      <c r="P4" s="986">
        <v>1112.7112096614587</v>
      </c>
      <c r="Q4" s="994">
        <v>1112.7112096614587</v>
      </c>
      <c r="R4" s="994">
        <v>1112.7112096614587</v>
      </c>
      <c r="S4" s="994">
        <v>1112.7112096614587</v>
      </c>
      <c r="T4" s="994">
        <v>1112.7112096614587</v>
      </c>
      <c r="U4" s="986">
        <v>1112.7112096614587</v>
      </c>
      <c r="V4" s="994">
        <v>1112.7112096614587</v>
      </c>
      <c r="W4" s="994">
        <v>1112.7112096614587</v>
      </c>
      <c r="X4" s="994">
        <v>1112.7112096614587</v>
      </c>
      <c r="Y4" s="994">
        <v>1112.7112096614587</v>
      </c>
      <c r="Z4" s="986">
        <v>1112.7112096614587</v>
      </c>
      <c r="AA4" s="994">
        <v>1112.7112096614587</v>
      </c>
      <c r="AB4" s="994">
        <v>1112.7112096614587</v>
      </c>
      <c r="AC4" s="994">
        <v>1112.7112096614587</v>
      </c>
      <c r="AD4" s="994">
        <v>1112.7112096614587</v>
      </c>
      <c r="AE4" s="986">
        <v>1112.7112096614587</v>
      </c>
      <c r="AF4" s="994">
        <v>1112.7112096614587</v>
      </c>
      <c r="AG4" s="994">
        <v>1112.7112096614587</v>
      </c>
      <c r="AH4" s="994">
        <v>1112.7112096614587</v>
      </c>
      <c r="AI4" s="994">
        <v>1112.7112096614587</v>
      </c>
      <c r="AJ4" s="986">
        <v>1112.7112096614587</v>
      </c>
      <c r="AK4" s="994">
        <v>1112.7112096614587</v>
      </c>
      <c r="AL4" s="994">
        <v>1112.7112096614587</v>
      </c>
      <c r="AM4" s="994">
        <v>1112.7112096614587</v>
      </c>
      <c r="AN4" s="994">
        <v>1112.7112096614587</v>
      </c>
      <c r="AO4" s="986">
        <v>1112.7112096614587</v>
      </c>
      <c r="AP4" s="994">
        <v>1112.7112096614587</v>
      </c>
      <c r="AQ4" s="994">
        <v>1112.7112096614587</v>
      </c>
      <c r="AR4" s="994">
        <v>1112.7112096614587</v>
      </c>
      <c r="AS4" s="994">
        <v>1112.7112096614587</v>
      </c>
      <c r="AT4" s="986">
        <v>1112.7112096614587</v>
      </c>
      <c r="AW4">
        <f>AW3+1</f>
        <v>2051</v>
      </c>
      <c r="AX4" s="4">
        <f t="shared" si="10"/>
        <v>554.50385336852003</v>
      </c>
    </row>
    <row r="5" spans="1:50">
      <c r="A5" s="989">
        <v>3</v>
      </c>
      <c r="B5" s="991" t="s">
        <v>715</v>
      </c>
      <c r="C5" s="988">
        <v>538.72500041618139</v>
      </c>
      <c r="D5" s="993">
        <v>538.72500041618139</v>
      </c>
      <c r="E5" s="986">
        <v>538.72500041618139</v>
      </c>
      <c r="F5" s="986">
        <v>538.72500041618139</v>
      </c>
      <c r="G5" s="994">
        <v>538.72500041618139</v>
      </c>
      <c r="H5" s="994">
        <v>538.72500041618139</v>
      </c>
      <c r="I5" s="994">
        <v>538.72500041618139</v>
      </c>
      <c r="J5" s="994">
        <v>538.72500041618139</v>
      </c>
      <c r="K5" s="986">
        <v>538.72500041618139</v>
      </c>
      <c r="L5" s="994">
        <v>538.72500041618139</v>
      </c>
      <c r="M5" s="994">
        <v>538.72500041618139</v>
      </c>
      <c r="N5" s="994">
        <v>538.72500041618139</v>
      </c>
      <c r="O5" s="994">
        <v>538.72500041618139</v>
      </c>
      <c r="P5" s="986">
        <v>538.72500041618139</v>
      </c>
      <c r="Q5" s="994">
        <v>538.72500041618139</v>
      </c>
      <c r="R5" s="994">
        <v>538.72500041618139</v>
      </c>
      <c r="S5" s="994">
        <v>538.72500041618139</v>
      </c>
      <c r="T5" s="994">
        <v>538.72500041618139</v>
      </c>
      <c r="U5" s="986">
        <v>538.72500041618139</v>
      </c>
      <c r="V5" s="994">
        <v>538.72500041618139</v>
      </c>
      <c r="W5" s="994">
        <v>538.72500041618139</v>
      </c>
      <c r="X5" s="994">
        <v>538.72500041618139</v>
      </c>
      <c r="Y5" s="994">
        <v>538.72500041618139</v>
      </c>
      <c r="Z5" s="986">
        <v>538.72500041618139</v>
      </c>
      <c r="AA5" s="994">
        <v>538.72500041618139</v>
      </c>
      <c r="AB5" s="994">
        <v>538.72500041618139</v>
      </c>
      <c r="AC5" s="994">
        <v>538.72500041618139</v>
      </c>
      <c r="AD5" s="994">
        <v>538.72500041618139</v>
      </c>
      <c r="AE5" s="986">
        <v>538.72500041618139</v>
      </c>
      <c r="AF5" s="994">
        <v>538.72500041618139</v>
      </c>
      <c r="AG5" s="994">
        <v>538.72500041618139</v>
      </c>
      <c r="AH5" s="994">
        <v>538.72500041618139</v>
      </c>
      <c r="AI5" s="994">
        <v>538.72500041618139</v>
      </c>
      <c r="AJ5" s="986">
        <v>538.72500041618139</v>
      </c>
      <c r="AK5" s="994">
        <v>538.72500041618139</v>
      </c>
      <c r="AL5" s="994">
        <v>538.72500041618139</v>
      </c>
      <c r="AM5" s="994">
        <v>538.72500041618139</v>
      </c>
      <c r="AN5" s="994">
        <v>538.72500041618139</v>
      </c>
      <c r="AO5" s="986">
        <v>538.72500041618139</v>
      </c>
      <c r="AP5" s="994">
        <v>538.72500041618139</v>
      </c>
      <c r="AQ5" s="994">
        <v>538.72500041618139</v>
      </c>
      <c r="AR5" s="994">
        <v>538.72500041618139</v>
      </c>
      <c r="AS5" s="994">
        <v>538.72500041618139</v>
      </c>
      <c r="AT5" s="986">
        <v>538.72500041618139</v>
      </c>
      <c r="AW5">
        <f t="shared" ref="AW5:AW17" si="11">AW4+1</f>
        <v>2052</v>
      </c>
      <c r="AX5" s="4">
        <f t="shared" si="10"/>
        <v>549.76206791640129</v>
      </c>
    </row>
    <row r="6" spans="1:50">
      <c r="A6" s="989">
        <v>4</v>
      </c>
      <c r="B6" s="991" t="s">
        <v>714</v>
      </c>
      <c r="C6" s="988">
        <v>5.7761222506359484</v>
      </c>
      <c r="D6" s="993">
        <v>5.7761222506359484</v>
      </c>
      <c r="E6" s="986">
        <v>5.7761222506359484</v>
      </c>
      <c r="F6" s="986">
        <v>5.7761222506359484</v>
      </c>
      <c r="G6" s="994">
        <v>5.7761222506359484</v>
      </c>
      <c r="H6" s="994">
        <v>5.7761222506359484</v>
      </c>
      <c r="I6" s="994">
        <v>5.7761222506359484</v>
      </c>
      <c r="J6" s="994">
        <v>5.7761222506359484</v>
      </c>
      <c r="K6" s="986">
        <v>5.7761222506359484</v>
      </c>
      <c r="L6" s="994">
        <v>5.7761222506359484</v>
      </c>
      <c r="M6" s="994">
        <v>5.7761222506359484</v>
      </c>
      <c r="N6" s="994">
        <v>5.7761222506359484</v>
      </c>
      <c r="O6" s="994">
        <v>5.7761222506359484</v>
      </c>
      <c r="P6" s="986">
        <v>5.7761222506359484</v>
      </c>
      <c r="Q6" s="994">
        <v>5.7761222506359484</v>
      </c>
      <c r="R6" s="994">
        <v>5.7761222506359484</v>
      </c>
      <c r="S6" s="994">
        <v>5.7761222506359484</v>
      </c>
      <c r="T6" s="994">
        <v>5.7761222506359484</v>
      </c>
      <c r="U6" s="986">
        <v>5.7761222506359484</v>
      </c>
      <c r="V6" s="994">
        <v>5.7761222506359484</v>
      </c>
      <c r="W6" s="994">
        <v>5.7761222506359484</v>
      </c>
      <c r="X6" s="994">
        <v>5.7761222506359484</v>
      </c>
      <c r="Y6" s="994">
        <v>5.7761222506359484</v>
      </c>
      <c r="Z6" s="986">
        <v>5.7761222506359484</v>
      </c>
      <c r="AA6" s="994">
        <v>5.7761222506359484</v>
      </c>
      <c r="AB6" s="994">
        <v>5.7761222506359484</v>
      </c>
      <c r="AC6" s="994">
        <v>5.7761222506359484</v>
      </c>
      <c r="AD6" s="994">
        <v>5.7761222506359484</v>
      </c>
      <c r="AE6" s="986">
        <v>5.7761222506359484</v>
      </c>
      <c r="AF6" s="994">
        <v>5.7761222506359484</v>
      </c>
      <c r="AG6" s="994">
        <v>5.7761222506359484</v>
      </c>
      <c r="AH6" s="994">
        <v>5.7761222506359484</v>
      </c>
      <c r="AI6" s="994">
        <v>5.7761222506359484</v>
      </c>
      <c r="AJ6" s="986">
        <v>5.7761222506359484</v>
      </c>
      <c r="AK6" s="994">
        <v>5.7761222506359484</v>
      </c>
      <c r="AL6" s="994">
        <v>5.7761222506359484</v>
      </c>
      <c r="AM6" s="994">
        <v>5.7761222506359484</v>
      </c>
      <c r="AN6" s="994">
        <v>5.7761222506359484</v>
      </c>
      <c r="AO6" s="986">
        <v>5.7761222506359484</v>
      </c>
      <c r="AP6" s="994">
        <v>5.7761222506359484</v>
      </c>
      <c r="AQ6" s="994">
        <v>5.7761222506359484</v>
      </c>
      <c r="AR6" s="994">
        <v>5.7761222506359484</v>
      </c>
      <c r="AS6" s="994">
        <v>5.7761222506359484</v>
      </c>
      <c r="AT6" s="986">
        <v>5.7761222506359484</v>
      </c>
      <c r="AW6">
        <f t="shared" si="11"/>
        <v>2053</v>
      </c>
      <c r="AX6" s="4">
        <f t="shared" si="10"/>
        <v>545.02028246428245</v>
      </c>
    </row>
    <row r="7" spans="1:50">
      <c r="A7" s="989">
        <v>5</v>
      </c>
      <c r="B7" s="991" t="s">
        <v>713</v>
      </c>
      <c r="C7" s="988">
        <v>7.5870183600873009</v>
      </c>
      <c r="D7" s="993">
        <v>7.5870183600873009</v>
      </c>
      <c r="E7" s="986">
        <v>7.5870183600873009</v>
      </c>
      <c r="F7" s="986">
        <v>7.5870183600873009</v>
      </c>
      <c r="G7" s="994">
        <v>7.5870183600873009</v>
      </c>
      <c r="H7" s="994">
        <v>7.5870183600873009</v>
      </c>
      <c r="I7" s="994">
        <v>7.5870183600873009</v>
      </c>
      <c r="J7" s="994">
        <v>7.5870183600873009</v>
      </c>
      <c r="K7" s="986">
        <v>7.5870183600873009</v>
      </c>
      <c r="L7" s="994">
        <v>7.5870183600873009</v>
      </c>
      <c r="M7" s="994">
        <v>7.5870183600873009</v>
      </c>
      <c r="N7" s="994">
        <v>7.5870183600873009</v>
      </c>
      <c r="O7" s="994">
        <v>7.5870183600873009</v>
      </c>
      <c r="P7" s="986">
        <v>7.5870183600873009</v>
      </c>
      <c r="Q7" s="994">
        <v>7.5870183600873009</v>
      </c>
      <c r="R7" s="994">
        <v>7.5870183600873009</v>
      </c>
      <c r="S7" s="994">
        <v>7.5870183600873009</v>
      </c>
      <c r="T7" s="994">
        <v>7.5870183600873009</v>
      </c>
      <c r="U7" s="986">
        <v>7.5870183600873009</v>
      </c>
      <c r="V7" s="994">
        <v>7.5870183600873009</v>
      </c>
      <c r="W7" s="994">
        <v>7.5870183600873009</v>
      </c>
      <c r="X7" s="994">
        <v>7.5870183600873009</v>
      </c>
      <c r="Y7" s="994">
        <v>7.5870183600873009</v>
      </c>
      <c r="Z7" s="986">
        <v>7.5870183600873009</v>
      </c>
      <c r="AA7" s="994">
        <v>7.5870183600873009</v>
      </c>
      <c r="AB7" s="994">
        <v>7.5870183600873009</v>
      </c>
      <c r="AC7" s="994">
        <v>7.5870183600873009</v>
      </c>
      <c r="AD7" s="994">
        <v>7.5870183600873009</v>
      </c>
      <c r="AE7" s="986">
        <v>7.5870183600873009</v>
      </c>
      <c r="AF7" s="994">
        <v>7.5870183600873009</v>
      </c>
      <c r="AG7" s="994">
        <v>7.5870183600873009</v>
      </c>
      <c r="AH7" s="994">
        <v>7.5870183600873009</v>
      </c>
      <c r="AI7" s="994">
        <v>7.5870183600873009</v>
      </c>
      <c r="AJ7" s="986">
        <v>7.5870183600873009</v>
      </c>
      <c r="AK7" s="994">
        <v>7.5870183600873009</v>
      </c>
      <c r="AL7" s="994">
        <v>7.5870183600873009</v>
      </c>
      <c r="AM7" s="994">
        <v>7.5870183600873009</v>
      </c>
      <c r="AN7" s="994">
        <v>7.5870183600873009</v>
      </c>
      <c r="AO7" s="986">
        <v>7.5870183600873009</v>
      </c>
      <c r="AP7" s="994">
        <v>7.5870183600873009</v>
      </c>
      <c r="AQ7" s="994">
        <v>7.5870183600873009</v>
      </c>
      <c r="AR7" s="994">
        <v>7.5870183600873009</v>
      </c>
      <c r="AS7" s="994">
        <v>7.5870183600873009</v>
      </c>
      <c r="AT7" s="986">
        <v>7.5870183600873009</v>
      </c>
      <c r="AW7">
        <f t="shared" si="11"/>
        <v>2054</v>
      </c>
      <c r="AX7" s="4">
        <f t="shared" si="10"/>
        <v>540.27849701216371</v>
      </c>
    </row>
    <row r="8" spans="1:50">
      <c r="A8" s="989">
        <v>6</v>
      </c>
      <c r="B8" s="991" t="s">
        <v>712</v>
      </c>
      <c r="C8" s="988">
        <v>10.411621369380013</v>
      </c>
      <c r="D8" s="993">
        <v>10.411621369380013</v>
      </c>
      <c r="E8" s="986">
        <v>10.411621369380013</v>
      </c>
      <c r="F8" s="986">
        <v>10.411621369380013</v>
      </c>
      <c r="G8" s="994">
        <v>10.411621369380013</v>
      </c>
      <c r="H8" s="994">
        <v>10.411621369380013</v>
      </c>
      <c r="I8" s="994">
        <v>10.411621369380013</v>
      </c>
      <c r="J8" s="994">
        <v>10.411621369380013</v>
      </c>
      <c r="K8" s="986">
        <v>10.411621369380013</v>
      </c>
      <c r="L8" s="994">
        <v>10.411621369380013</v>
      </c>
      <c r="M8" s="994">
        <v>10.411621369380013</v>
      </c>
      <c r="N8" s="994">
        <v>10.411621369380013</v>
      </c>
      <c r="O8" s="994">
        <v>10.411621369380013</v>
      </c>
      <c r="P8" s="986">
        <v>10.411621369380013</v>
      </c>
      <c r="Q8" s="994">
        <v>10.411621369380013</v>
      </c>
      <c r="R8" s="994">
        <v>10.411621369380013</v>
      </c>
      <c r="S8" s="994">
        <v>10.411621369380013</v>
      </c>
      <c r="T8" s="994">
        <v>10.411621369380013</v>
      </c>
      <c r="U8" s="986">
        <v>10.411621369380013</v>
      </c>
      <c r="V8" s="994">
        <v>10.411621369380013</v>
      </c>
      <c r="W8" s="994">
        <v>10.411621369380013</v>
      </c>
      <c r="X8" s="994">
        <v>10.411621369380013</v>
      </c>
      <c r="Y8" s="994">
        <v>10.411621369380013</v>
      </c>
      <c r="Z8" s="986">
        <v>10.411621369380013</v>
      </c>
      <c r="AA8" s="994">
        <v>10.411621369380013</v>
      </c>
      <c r="AB8" s="994">
        <v>10.411621369380013</v>
      </c>
      <c r="AC8" s="994">
        <v>10.411621369380013</v>
      </c>
      <c r="AD8" s="994">
        <v>10.411621369380013</v>
      </c>
      <c r="AE8" s="986">
        <v>10.411621369380013</v>
      </c>
      <c r="AF8" s="994">
        <v>10.411621369380013</v>
      </c>
      <c r="AG8" s="994">
        <v>10.411621369380013</v>
      </c>
      <c r="AH8" s="994">
        <v>10.411621369380013</v>
      </c>
      <c r="AI8" s="994">
        <v>10.411621369380013</v>
      </c>
      <c r="AJ8" s="986">
        <v>10.411621369380013</v>
      </c>
      <c r="AK8" s="994">
        <v>10.411621369380013</v>
      </c>
      <c r="AL8" s="994">
        <v>10.411621369380013</v>
      </c>
      <c r="AM8" s="994">
        <v>10.411621369380013</v>
      </c>
      <c r="AN8" s="994">
        <v>10.411621369380013</v>
      </c>
      <c r="AO8" s="986">
        <v>10.411621369380013</v>
      </c>
      <c r="AP8" s="994">
        <v>10.411621369380013</v>
      </c>
      <c r="AQ8" s="994">
        <v>10.411621369380013</v>
      </c>
      <c r="AR8" s="994">
        <v>10.411621369380013</v>
      </c>
      <c r="AS8" s="994">
        <v>10.411621369380013</v>
      </c>
      <c r="AT8" s="986">
        <v>10.411621369380013</v>
      </c>
      <c r="AW8">
        <f t="shared" si="11"/>
        <v>2055</v>
      </c>
      <c r="AX8" s="4">
        <f t="shared" si="10"/>
        <v>535.53671156004486</v>
      </c>
    </row>
    <row r="9" spans="1:50">
      <c r="A9" s="989">
        <v>7</v>
      </c>
      <c r="B9" s="991" t="s">
        <v>711</v>
      </c>
      <c r="C9" s="988">
        <v>39.211050440425382</v>
      </c>
      <c r="D9" s="993">
        <v>39.211050440425382</v>
      </c>
      <c r="E9" s="986">
        <v>39.211050440425382</v>
      </c>
      <c r="F9" s="986">
        <v>39.211050440425382</v>
      </c>
      <c r="G9" s="994">
        <v>39.211050440425382</v>
      </c>
      <c r="H9" s="994">
        <v>39.211050440425382</v>
      </c>
      <c r="I9" s="994">
        <v>39.211050440425382</v>
      </c>
      <c r="J9" s="994">
        <v>39.211050440425382</v>
      </c>
      <c r="K9" s="986">
        <v>39.211050440425382</v>
      </c>
      <c r="L9" s="994">
        <v>39.211050440425382</v>
      </c>
      <c r="M9" s="994">
        <v>39.211050440425382</v>
      </c>
      <c r="N9" s="994">
        <v>39.211050440425382</v>
      </c>
      <c r="O9" s="994">
        <v>39.211050440425382</v>
      </c>
      <c r="P9" s="986">
        <v>39.211050440425382</v>
      </c>
      <c r="Q9" s="994">
        <v>39.211050440425382</v>
      </c>
      <c r="R9" s="994">
        <v>39.211050440425382</v>
      </c>
      <c r="S9" s="994">
        <v>39.211050440425382</v>
      </c>
      <c r="T9" s="994">
        <v>39.211050440425382</v>
      </c>
      <c r="U9" s="986">
        <v>39.211050440425382</v>
      </c>
      <c r="V9" s="994">
        <v>39.211050440425382</v>
      </c>
      <c r="W9" s="994">
        <v>39.211050440425382</v>
      </c>
      <c r="X9" s="994">
        <v>39.211050440425382</v>
      </c>
      <c r="Y9" s="994">
        <v>39.211050440425382</v>
      </c>
      <c r="Z9" s="986">
        <v>39.211050440425382</v>
      </c>
      <c r="AA9" s="994">
        <v>39.211050440425382</v>
      </c>
      <c r="AB9" s="994">
        <v>39.211050440425382</v>
      </c>
      <c r="AC9" s="994">
        <v>39.211050440425382</v>
      </c>
      <c r="AD9" s="994">
        <v>39.211050440425382</v>
      </c>
      <c r="AE9" s="986">
        <v>39.211050440425382</v>
      </c>
      <c r="AF9" s="994">
        <v>39.211050440425382</v>
      </c>
      <c r="AG9" s="994">
        <v>39.211050440425382</v>
      </c>
      <c r="AH9" s="994">
        <v>39.211050440425382</v>
      </c>
      <c r="AI9" s="994">
        <v>39.211050440425382</v>
      </c>
      <c r="AJ9" s="986">
        <v>39.211050440425382</v>
      </c>
      <c r="AK9" s="994">
        <v>39.211050440425382</v>
      </c>
      <c r="AL9" s="994">
        <v>39.211050440425382</v>
      </c>
      <c r="AM9" s="994">
        <v>39.211050440425382</v>
      </c>
      <c r="AN9" s="994">
        <v>39.211050440425382</v>
      </c>
      <c r="AO9" s="986">
        <v>39.211050440425382</v>
      </c>
      <c r="AP9" s="994">
        <v>39.211050440425382</v>
      </c>
      <c r="AQ9" s="994">
        <v>39.211050440425382</v>
      </c>
      <c r="AR9" s="994">
        <v>39.211050440425382</v>
      </c>
      <c r="AS9" s="994">
        <v>39.211050440425382</v>
      </c>
      <c r="AT9" s="986">
        <v>39.211050440425382</v>
      </c>
      <c r="AW9">
        <f t="shared" si="11"/>
        <v>2056</v>
      </c>
      <c r="AX9" s="4">
        <f t="shared" si="10"/>
        <v>529.06744999337752</v>
      </c>
    </row>
    <row r="10" spans="1:50" ht="15" thickBot="1">
      <c r="K10" s="4">
        <f>K11-F11</f>
        <v>-52.264511848341272</v>
      </c>
      <c r="L10" s="4">
        <f t="shared" ref="L10:AJ10" si="12">L11-G11</f>
        <v>-53.836631081460496</v>
      </c>
      <c r="M10" s="4">
        <f t="shared" si="12"/>
        <v>-55.408750314579606</v>
      </c>
      <c r="N10" s="4">
        <f t="shared" si="12"/>
        <v>-56.980869547698944</v>
      </c>
      <c r="O10" s="4">
        <f t="shared" si="12"/>
        <v>-58.552988780818055</v>
      </c>
      <c r="P10" s="4">
        <f t="shared" si="12"/>
        <v>-60.125108013937279</v>
      </c>
      <c r="Q10" s="4">
        <f t="shared" si="12"/>
        <v>-61.576173954703904</v>
      </c>
      <c r="R10" s="4">
        <f t="shared" si="12"/>
        <v>-63.027239895470416</v>
      </c>
      <c r="S10" s="4">
        <f t="shared" si="12"/>
        <v>-64.478305836236927</v>
      </c>
      <c r="T10" s="4">
        <f t="shared" si="12"/>
        <v>-65.929371777003439</v>
      </c>
      <c r="U10" s="4">
        <f t="shared" si="12"/>
        <v>-67.380437717770064</v>
      </c>
      <c r="V10" s="4">
        <f t="shared" si="12"/>
        <v>-58.265736550262545</v>
      </c>
      <c r="W10" s="4">
        <f t="shared" si="12"/>
        <v>-49.151035382755254</v>
      </c>
      <c r="X10" s="4">
        <f t="shared" si="12"/>
        <v>-40.036334215247734</v>
      </c>
      <c r="Y10" s="4">
        <f t="shared" si="12"/>
        <v>-30.921633047740443</v>
      </c>
      <c r="Z10" s="4">
        <f t="shared" si="12"/>
        <v>-21.806931880232924</v>
      </c>
      <c r="AA10" s="4">
        <f t="shared" si="12"/>
        <v>-21.823522217670529</v>
      </c>
      <c r="AB10" s="4">
        <f t="shared" si="12"/>
        <v>-21.840112555108021</v>
      </c>
      <c r="AC10" s="4">
        <f t="shared" si="12"/>
        <v>-21.856702892545741</v>
      </c>
      <c r="AD10" s="4">
        <f t="shared" si="12"/>
        <v>-21.873293229983233</v>
      </c>
      <c r="AE10" s="4">
        <f t="shared" si="12"/>
        <v>-21.889883567420839</v>
      </c>
      <c r="AF10" s="4">
        <f t="shared" si="12"/>
        <v>-22.253692306055541</v>
      </c>
      <c r="AG10" s="4">
        <f t="shared" si="12"/>
        <v>-22.61750104469013</v>
      </c>
      <c r="AH10" s="4">
        <f t="shared" si="12"/>
        <v>-22.981309783324718</v>
      </c>
      <c r="AI10" s="4">
        <f t="shared" si="12"/>
        <v>-23.345118521959307</v>
      </c>
      <c r="AJ10" s="4">
        <f t="shared" si="12"/>
        <v>-23.70892726059401</v>
      </c>
      <c r="AK10" s="4">
        <f t="shared" ref="AK10" si="13">AK11-AF11</f>
        <v>-25.436403375142504</v>
      </c>
      <c r="AL10" s="4">
        <f t="shared" ref="AL10" si="14">AL11-AG11</f>
        <v>-27.163879489691112</v>
      </c>
      <c r="AM10" s="4">
        <f t="shared" ref="AM10" si="15">AM11-AH11</f>
        <v>-28.891355604239607</v>
      </c>
      <c r="AN10" s="4">
        <f t="shared" ref="AN10" si="16">AN11-AI11</f>
        <v>-30.618831718788215</v>
      </c>
      <c r="AO10" s="4">
        <f t="shared" ref="AO10" si="17">AO11-AJ11</f>
        <v>-32.346307833336709</v>
      </c>
      <c r="AP10" s="4">
        <f>AVERAGE(AJ10:AO10)</f>
        <v>-28.027617546965359</v>
      </c>
      <c r="AQ10" s="4">
        <f>AP10</f>
        <v>-28.027617546965359</v>
      </c>
      <c r="AR10" s="4">
        <f t="shared" ref="AR10:AT10" si="18">AQ10</f>
        <v>-28.027617546965359</v>
      </c>
      <c r="AS10" s="4">
        <f t="shared" si="18"/>
        <v>-28.027617546965359</v>
      </c>
      <c r="AT10" s="4">
        <f t="shared" si="18"/>
        <v>-28.027617546965359</v>
      </c>
      <c r="AW10">
        <f t="shared" si="11"/>
        <v>2057</v>
      </c>
      <c r="AX10" s="4">
        <f t="shared" si="10"/>
        <v>522.59818842671018</v>
      </c>
    </row>
    <row r="11" spans="1:50">
      <c r="A11" s="983">
        <v>8</v>
      </c>
      <c r="B11" s="1049" t="s">
        <v>717</v>
      </c>
      <c r="C11" s="1050">
        <f>(HLOOKUP($A$2, $D$2:$AV$16, A11+2, FALSE)+HLOOKUP($A$2+5, $D$2:$AV$16, A11+2, FALSE))/2</f>
        <v>547.39117519034187</v>
      </c>
      <c r="D11" s="1051">
        <f>(D22*D12+D23*D13+D24*D14+D25*D15+D16*D26)/SUM(D22:D26)</f>
        <v>792.64705882352939</v>
      </c>
      <c r="E11" s="1051">
        <f t="shared" ref="E11:F11" si="19">(E22*E12+E23*E13+E24*E14+E25*E15+E16*E26)/SUM(E22:E26)</f>
        <v>790.13407713498634</v>
      </c>
      <c r="F11" s="1051">
        <f t="shared" si="19"/>
        <v>782.71251184834125</v>
      </c>
      <c r="G11" s="1052">
        <f t="shared" ref="G11:J15" si="20">$F11 + (G$2 - $F$2) / ($K$2 - $F$2) * ($K11 - $F11)</f>
        <v>772.25960947867304</v>
      </c>
      <c r="H11" s="1052">
        <f t="shared" si="20"/>
        <v>761.80670710900472</v>
      </c>
      <c r="I11" s="1052">
        <f t="shared" si="20"/>
        <v>751.35380473933651</v>
      </c>
      <c r="J11" s="1052">
        <f t="shared" si="20"/>
        <v>740.90090236966819</v>
      </c>
      <c r="K11" s="1051">
        <f>(K22*K12+K23*K13+K24*K14+K25*K15+K16*K26)/SUM(K22:K26)</f>
        <v>730.44799999999998</v>
      </c>
      <c r="L11" s="1052">
        <f t="shared" ref="L11:O15" si="21">$K11 + (L$2 - $K$2) / ($P$2 - $K$2) * ($P11 - $K11)</f>
        <v>718.42297839721255</v>
      </c>
      <c r="M11" s="1052">
        <f t="shared" si="21"/>
        <v>706.39795679442511</v>
      </c>
      <c r="N11" s="1052">
        <f t="shared" si="21"/>
        <v>694.37293519163757</v>
      </c>
      <c r="O11" s="1052">
        <f t="shared" si="21"/>
        <v>682.34791358885013</v>
      </c>
      <c r="P11" s="1051">
        <f>(P22*P12+P23*P13+P24*P14+P25*P15+P16*P26)/SUM(P22:P26)</f>
        <v>670.3228919860627</v>
      </c>
      <c r="Q11" s="1052">
        <f t="shared" ref="Q11:T15" si="22">$P11 + (Q$2 - $P$2) / ($U$2 - $P$2) * ($U11 - $P11)</f>
        <v>656.84680444250864</v>
      </c>
      <c r="R11" s="1052">
        <f t="shared" si="22"/>
        <v>643.3707168989547</v>
      </c>
      <c r="S11" s="1052">
        <f t="shared" si="22"/>
        <v>629.89462935540064</v>
      </c>
      <c r="T11" s="1052">
        <f t="shared" si="22"/>
        <v>616.41854181184669</v>
      </c>
      <c r="U11" s="1051">
        <f>(U22*U12+U23*U13+U24*U14+U25*U15+U16*U26)/SUM(U22:U26)</f>
        <v>602.94245426829264</v>
      </c>
      <c r="V11" s="1052">
        <f t="shared" ref="V11:Y15" si="23">$U11 + (V$2 - $U$2) / ($Z$2 - $U$2) * ($Z11 - $U11)</f>
        <v>598.5810678922461</v>
      </c>
      <c r="W11" s="1052">
        <f t="shared" si="23"/>
        <v>594.21968151619944</v>
      </c>
      <c r="X11" s="1052">
        <f t="shared" si="23"/>
        <v>589.8582951401529</v>
      </c>
      <c r="Y11" s="1052">
        <f t="shared" si="23"/>
        <v>585.49690876410625</v>
      </c>
      <c r="Z11" s="1051">
        <f>(Z22*Z12+Z23*Z13+Z24*Z14+Z25*Z15+Z16*Z26)/SUM(Z22:Z26)</f>
        <v>581.13552238805971</v>
      </c>
      <c r="AA11" s="1052">
        <f t="shared" ref="AA11:AD15" si="24">$Z11 + (AA$2 - $Z$2) / ($AE$2 - $Z$2) * ($AE11 - $Z11)</f>
        <v>576.75754567457557</v>
      </c>
      <c r="AB11" s="1052">
        <f t="shared" si="24"/>
        <v>572.37956896109142</v>
      </c>
      <c r="AC11" s="1052">
        <f t="shared" si="24"/>
        <v>568.00159224760716</v>
      </c>
      <c r="AD11" s="1052">
        <f t="shared" si="24"/>
        <v>563.62361553412302</v>
      </c>
      <c r="AE11" s="1051">
        <f>(AE22*AE12+AE23*AE13+AE24*AE14+AE25*AE15+AE16*AE26)/SUM(AE22:AE26)</f>
        <v>559.24563882063887</v>
      </c>
      <c r="AF11" s="1052">
        <f t="shared" ref="AF11:AI15" si="25">$AE11 + (AF$2 - $AE$2) / ($AJ$2 - $AE$2) * ($AJ11 - $AE11)</f>
        <v>554.50385336852003</v>
      </c>
      <c r="AG11" s="1052">
        <f t="shared" si="25"/>
        <v>549.76206791640129</v>
      </c>
      <c r="AH11" s="1052">
        <f t="shared" si="25"/>
        <v>545.02028246428245</v>
      </c>
      <c r="AI11" s="1052">
        <f t="shared" si="25"/>
        <v>540.27849701216371</v>
      </c>
      <c r="AJ11" s="1051">
        <f>(AJ22*AJ12+AJ23*AJ13+AJ24*AJ14+AJ25*AJ15+AJ16*AJ26)/SUM(AJ22:AJ26)</f>
        <v>535.53671156004486</v>
      </c>
      <c r="AK11" s="1052">
        <f>$AJ11 + (AK$2 - $AJ$2) / ($AO$2 - $AJ$2) * ($AO11 - $AJ11)</f>
        <v>529.06744999337752</v>
      </c>
      <c r="AL11" s="1052">
        <f t="shared" ref="AL11:AN11" si="26">$AJ11 + (AL$2 - $AJ$2) / ($AO$2 - $AJ$2) * ($AO11 - $AJ11)</f>
        <v>522.59818842671018</v>
      </c>
      <c r="AM11" s="1052">
        <f t="shared" si="26"/>
        <v>516.12892686004284</v>
      </c>
      <c r="AN11" s="1052">
        <f t="shared" si="26"/>
        <v>509.6596652933755</v>
      </c>
      <c r="AO11" s="1051">
        <f>(AO22*AO12+AO23*AO13+AO24*AO14+AO25*AO15+AO16*AO26)/SUM(AO22:AO26)</f>
        <v>503.19040372670815</v>
      </c>
      <c r="AP11" s="1052">
        <f>AP10+AK11</f>
        <v>501.03983244641216</v>
      </c>
      <c r="AQ11" s="1052">
        <f t="shared" ref="AQ11:AT11" si="27">AQ10+AL11</f>
        <v>494.57057087974482</v>
      </c>
      <c r="AR11" s="1052">
        <f t="shared" si="27"/>
        <v>488.10130931307748</v>
      </c>
      <c r="AS11" s="1052">
        <f t="shared" si="27"/>
        <v>481.63204774641014</v>
      </c>
      <c r="AT11" s="1053">
        <f t="shared" si="27"/>
        <v>475.1627861797428</v>
      </c>
      <c r="AW11">
        <f t="shared" si="11"/>
        <v>2058</v>
      </c>
      <c r="AX11" s="4">
        <f t="shared" si="10"/>
        <v>516.12892686004284</v>
      </c>
    </row>
    <row r="12" spans="1:50">
      <c r="A12" s="984">
        <v>9</v>
      </c>
      <c r="B12" s="1054" t="s">
        <v>614</v>
      </c>
      <c r="C12" s="1046">
        <v>9.9600000000000009</v>
      </c>
      <c r="D12" s="1048">
        <v>9.9600000000000009</v>
      </c>
      <c r="E12" s="1048">
        <v>9.9600000000000009</v>
      </c>
      <c r="F12" s="1048">
        <v>9.9600000000000009</v>
      </c>
      <c r="G12" s="1048">
        <f t="shared" si="20"/>
        <v>9.9600000000000009</v>
      </c>
      <c r="H12" s="1048">
        <f t="shared" si="20"/>
        <v>9.9600000000000009</v>
      </c>
      <c r="I12" s="1048">
        <f t="shared" si="20"/>
        <v>9.9600000000000009</v>
      </c>
      <c r="J12" s="1048">
        <f t="shared" si="20"/>
        <v>9.9600000000000009</v>
      </c>
      <c r="K12" s="1048">
        <v>9.9600000000000009</v>
      </c>
      <c r="L12" s="1048">
        <f t="shared" si="21"/>
        <v>9.9600000000000009</v>
      </c>
      <c r="M12" s="1048">
        <f t="shared" si="21"/>
        <v>9.9600000000000009</v>
      </c>
      <c r="N12" s="1048">
        <f t="shared" si="21"/>
        <v>9.9600000000000009</v>
      </c>
      <c r="O12" s="1048">
        <f t="shared" si="21"/>
        <v>9.9600000000000009</v>
      </c>
      <c r="P12" s="1048">
        <v>9.9600000000000009</v>
      </c>
      <c r="Q12" s="1048">
        <f t="shared" si="22"/>
        <v>9.9600000000000009</v>
      </c>
      <c r="R12" s="1048">
        <f t="shared" si="22"/>
        <v>9.9600000000000009</v>
      </c>
      <c r="S12" s="1048">
        <f t="shared" si="22"/>
        <v>9.9600000000000009</v>
      </c>
      <c r="T12" s="1048">
        <f t="shared" si="22"/>
        <v>9.9600000000000009</v>
      </c>
      <c r="U12" s="1048">
        <v>9.9600000000000009</v>
      </c>
      <c r="V12" s="1048">
        <f t="shared" si="23"/>
        <v>9.9600000000000009</v>
      </c>
      <c r="W12" s="1048">
        <f t="shared" si="23"/>
        <v>9.9600000000000009</v>
      </c>
      <c r="X12" s="1048">
        <f t="shared" si="23"/>
        <v>9.9600000000000009</v>
      </c>
      <c r="Y12" s="1048">
        <f t="shared" si="23"/>
        <v>9.9600000000000009</v>
      </c>
      <c r="Z12" s="1048">
        <v>9.9600000000000009</v>
      </c>
      <c r="AA12" s="1048">
        <f t="shared" si="24"/>
        <v>9.9600000000000009</v>
      </c>
      <c r="AB12" s="1048">
        <f t="shared" si="24"/>
        <v>9.9600000000000009</v>
      </c>
      <c r="AC12" s="1048">
        <f t="shared" si="24"/>
        <v>9.9600000000000009</v>
      </c>
      <c r="AD12" s="1048">
        <f t="shared" si="24"/>
        <v>9.9600000000000009</v>
      </c>
      <c r="AE12" s="1048">
        <v>9.9600000000000009</v>
      </c>
      <c r="AF12" s="1048">
        <f t="shared" si="25"/>
        <v>9.9600000000000009</v>
      </c>
      <c r="AG12" s="1048">
        <f t="shared" si="25"/>
        <v>9.9600000000000009</v>
      </c>
      <c r="AH12" s="1048">
        <f t="shared" si="25"/>
        <v>9.9600000000000009</v>
      </c>
      <c r="AI12" s="1048">
        <f t="shared" si="25"/>
        <v>9.9600000000000009</v>
      </c>
      <c r="AJ12" s="1048">
        <v>9.9600000000000009</v>
      </c>
      <c r="AK12" s="1048">
        <f t="shared" ref="AK12:AT12" si="28">AJ12</f>
        <v>9.9600000000000009</v>
      </c>
      <c r="AL12" s="1048">
        <f t="shared" si="28"/>
        <v>9.9600000000000009</v>
      </c>
      <c r="AM12" s="1048">
        <f t="shared" si="28"/>
        <v>9.9600000000000009</v>
      </c>
      <c r="AN12" s="1048">
        <f t="shared" si="28"/>
        <v>9.9600000000000009</v>
      </c>
      <c r="AO12" s="1048">
        <f t="shared" si="28"/>
        <v>9.9600000000000009</v>
      </c>
      <c r="AP12" s="1048">
        <f t="shared" si="28"/>
        <v>9.9600000000000009</v>
      </c>
      <c r="AQ12" s="1048">
        <f t="shared" si="28"/>
        <v>9.9600000000000009</v>
      </c>
      <c r="AR12" s="1048">
        <f t="shared" si="28"/>
        <v>9.9600000000000009</v>
      </c>
      <c r="AS12" s="1048">
        <f t="shared" si="28"/>
        <v>9.9600000000000009</v>
      </c>
      <c r="AT12" s="1055">
        <f t="shared" si="28"/>
        <v>9.9600000000000009</v>
      </c>
      <c r="AW12">
        <f t="shared" si="11"/>
        <v>2059</v>
      </c>
      <c r="AX12" s="4">
        <f t="shared" si="10"/>
        <v>509.6596652933755</v>
      </c>
    </row>
    <row r="13" spans="1:50">
      <c r="A13" s="984">
        <v>10</v>
      </c>
      <c r="B13" s="1054" t="s">
        <v>615</v>
      </c>
      <c r="C13" s="1046">
        <v>28.67</v>
      </c>
      <c r="D13" s="1048">
        <v>28.67</v>
      </c>
      <c r="E13" s="1048">
        <v>28.67</v>
      </c>
      <c r="F13" s="1048">
        <v>28.67</v>
      </c>
      <c r="G13" s="1048">
        <f t="shared" si="20"/>
        <v>28.67</v>
      </c>
      <c r="H13" s="1048">
        <f t="shared" si="20"/>
        <v>28.67</v>
      </c>
      <c r="I13" s="1048">
        <f t="shared" si="20"/>
        <v>28.67</v>
      </c>
      <c r="J13" s="1048">
        <f t="shared" si="20"/>
        <v>28.67</v>
      </c>
      <c r="K13" s="1048">
        <v>28.67</v>
      </c>
      <c r="L13" s="1048">
        <f t="shared" si="21"/>
        <v>28.67</v>
      </c>
      <c r="M13" s="1048">
        <f t="shared" si="21"/>
        <v>28.67</v>
      </c>
      <c r="N13" s="1048">
        <f t="shared" si="21"/>
        <v>28.67</v>
      </c>
      <c r="O13" s="1048">
        <f t="shared" si="21"/>
        <v>28.67</v>
      </c>
      <c r="P13" s="1048">
        <v>28.67</v>
      </c>
      <c r="Q13" s="1048">
        <f t="shared" si="22"/>
        <v>28.67</v>
      </c>
      <c r="R13" s="1048">
        <f t="shared" si="22"/>
        <v>28.67</v>
      </c>
      <c r="S13" s="1048">
        <f t="shared" si="22"/>
        <v>28.67</v>
      </c>
      <c r="T13" s="1048">
        <f t="shared" si="22"/>
        <v>28.67</v>
      </c>
      <c r="U13" s="1048">
        <v>28.67</v>
      </c>
      <c r="V13" s="1048">
        <f t="shared" si="23"/>
        <v>28.67</v>
      </c>
      <c r="W13" s="1048">
        <f t="shared" si="23"/>
        <v>28.67</v>
      </c>
      <c r="X13" s="1048">
        <f t="shared" si="23"/>
        <v>28.67</v>
      </c>
      <c r="Y13" s="1048">
        <f t="shared" si="23"/>
        <v>28.67</v>
      </c>
      <c r="Z13" s="1048">
        <v>28.67</v>
      </c>
      <c r="AA13" s="1048">
        <f t="shared" si="24"/>
        <v>28.67</v>
      </c>
      <c r="AB13" s="1048">
        <f t="shared" si="24"/>
        <v>28.67</v>
      </c>
      <c r="AC13" s="1048">
        <f t="shared" si="24"/>
        <v>28.67</v>
      </c>
      <c r="AD13" s="1048">
        <f t="shared" si="24"/>
        <v>28.67</v>
      </c>
      <c r="AE13" s="1048">
        <v>28.67</v>
      </c>
      <c r="AF13" s="1048">
        <f t="shared" si="25"/>
        <v>28.67</v>
      </c>
      <c r="AG13" s="1048">
        <f t="shared" si="25"/>
        <v>28.67</v>
      </c>
      <c r="AH13" s="1048">
        <f t="shared" si="25"/>
        <v>28.67</v>
      </c>
      <c r="AI13" s="1048">
        <f t="shared" si="25"/>
        <v>28.67</v>
      </c>
      <c r="AJ13" s="1048">
        <v>28.67</v>
      </c>
      <c r="AK13" s="1048">
        <f t="shared" ref="AK13:AT13" si="29">AJ13</f>
        <v>28.67</v>
      </c>
      <c r="AL13" s="1048">
        <f t="shared" si="29"/>
        <v>28.67</v>
      </c>
      <c r="AM13" s="1048">
        <f t="shared" si="29"/>
        <v>28.67</v>
      </c>
      <c r="AN13" s="1048">
        <f t="shared" si="29"/>
        <v>28.67</v>
      </c>
      <c r="AO13" s="1048">
        <f t="shared" si="29"/>
        <v>28.67</v>
      </c>
      <c r="AP13" s="1048">
        <f t="shared" si="29"/>
        <v>28.67</v>
      </c>
      <c r="AQ13" s="1048">
        <f t="shared" si="29"/>
        <v>28.67</v>
      </c>
      <c r="AR13" s="1048">
        <f t="shared" si="29"/>
        <v>28.67</v>
      </c>
      <c r="AS13" s="1048">
        <f t="shared" si="29"/>
        <v>28.67</v>
      </c>
      <c r="AT13" s="1055">
        <f t="shared" si="29"/>
        <v>28.67</v>
      </c>
      <c r="AW13">
        <f t="shared" si="11"/>
        <v>2060</v>
      </c>
      <c r="AX13" s="4">
        <f t="shared" si="10"/>
        <v>503.19040372670815</v>
      </c>
    </row>
    <row r="14" spans="1:50">
      <c r="A14" s="984">
        <v>11</v>
      </c>
      <c r="B14" s="1054" t="s">
        <v>709</v>
      </c>
      <c r="C14" s="1047">
        <v>910</v>
      </c>
      <c r="D14" s="1048">
        <v>910</v>
      </c>
      <c r="E14" s="1048">
        <v>910</v>
      </c>
      <c r="F14" s="1048">
        <v>910</v>
      </c>
      <c r="G14" s="1048">
        <f t="shared" si="20"/>
        <v>910</v>
      </c>
      <c r="H14" s="1048">
        <f t="shared" si="20"/>
        <v>910</v>
      </c>
      <c r="I14" s="1048">
        <f t="shared" si="20"/>
        <v>910</v>
      </c>
      <c r="J14" s="1048">
        <f t="shared" si="20"/>
        <v>910</v>
      </c>
      <c r="K14" s="1048">
        <v>910</v>
      </c>
      <c r="L14" s="1048">
        <f t="shared" si="21"/>
        <v>910</v>
      </c>
      <c r="M14" s="1048">
        <f t="shared" si="21"/>
        <v>910</v>
      </c>
      <c r="N14" s="1048">
        <f t="shared" si="21"/>
        <v>910</v>
      </c>
      <c r="O14" s="1048">
        <f t="shared" si="21"/>
        <v>910</v>
      </c>
      <c r="P14" s="1048">
        <v>910</v>
      </c>
      <c r="Q14" s="1048">
        <f t="shared" si="22"/>
        <v>910</v>
      </c>
      <c r="R14" s="1048">
        <f t="shared" si="22"/>
        <v>910</v>
      </c>
      <c r="S14" s="1048">
        <f t="shared" si="22"/>
        <v>910</v>
      </c>
      <c r="T14" s="1048">
        <f t="shared" si="22"/>
        <v>910</v>
      </c>
      <c r="U14" s="1048">
        <v>910</v>
      </c>
      <c r="V14" s="1048">
        <f t="shared" si="23"/>
        <v>910</v>
      </c>
      <c r="W14" s="1048">
        <f t="shared" si="23"/>
        <v>910</v>
      </c>
      <c r="X14" s="1048">
        <f t="shared" si="23"/>
        <v>910</v>
      </c>
      <c r="Y14" s="1048">
        <f t="shared" si="23"/>
        <v>910</v>
      </c>
      <c r="Z14" s="1048">
        <v>910</v>
      </c>
      <c r="AA14" s="1048">
        <f t="shared" si="24"/>
        <v>910</v>
      </c>
      <c r="AB14" s="1048">
        <f t="shared" si="24"/>
        <v>910</v>
      </c>
      <c r="AC14" s="1048">
        <f t="shared" si="24"/>
        <v>910</v>
      </c>
      <c r="AD14" s="1048">
        <f t="shared" si="24"/>
        <v>910</v>
      </c>
      <c r="AE14" s="1048">
        <v>910</v>
      </c>
      <c r="AF14" s="1048">
        <f t="shared" si="25"/>
        <v>910</v>
      </c>
      <c r="AG14" s="1048">
        <f t="shared" si="25"/>
        <v>910</v>
      </c>
      <c r="AH14" s="1048">
        <f t="shared" si="25"/>
        <v>910</v>
      </c>
      <c r="AI14" s="1048">
        <f t="shared" si="25"/>
        <v>910</v>
      </c>
      <c r="AJ14" s="1048">
        <v>910</v>
      </c>
      <c r="AK14" s="1048">
        <f t="shared" ref="AK14:AT14" si="30">AJ14</f>
        <v>910</v>
      </c>
      <c r="AL14" s="1048">
        <f t="shared" si="30"/>
        <v>910</v>
      </c>
      <c r="AM14" s="1048">
        <f t="shared" si="30"/>
        <v>910</v>
      </c>
      <c r="AN14" s="1048">
        <f t="shared" si="30"/>
        <v>910</v>
      </c>
      <c r="AO14" s="1048">
        <f t="shared" si="30"/>
        <v>910</v>
      </c>
      <c r="AP14" s="1048">
        <f t="shared" si="30"/>
        <v>910</v>
      </c>
      <c r="AQ14" s="1048">
        <f t="shared" si="30"/>
        <v>910</v>
      </c>
      <c r="AR14" s="1048">
        <f t="shared" si="30"/>
        <v>910</v>
      </c>
      <c r="AS14" s="1048">
        <f t="shared" si="30"/>
        <v>910</v>
      </c>
      <c r="AT14" s="1055">
        <f t="shared" si="30"/>
        <v>910</v>
      </c>
      <c r="AW14">
        <f t="shared" si="11"/>
        <v>2061</v>
      </c>
      <c r="AX14" s="4">
        <f t="shared" si="10"/>
        <v>501.03983244641216</v>
      </c>
    </row>
    <row r="15" spans="1:50">
      <c r="A15" s="984">
        <v>12</v>
      </c>
      <c r="B15" s="1054" t="s">
        <v>710</v>
      </c>
      <c r="C15" s="1012">
        <v>700</v>
      </c>
      <c r="D15" s="1048">
        <v>700</v>
      </c>
      <c r="E15" s="1048">
        <v>700</v>
      </c>
      <c r="F15" s="1048">
        <v>700</v>
      </c>
      <c r="G15" s="1048">
        <f t="shared" si="20"/>
        <v>688</v>
      </c>
      <c r="H15" s="1048">
        <f t="shared" si="20"/>
        <v>676</v>
      </c>
      <c r="I15" s="1048">
        <f t="shared" si="20"/>
        <v>664</v>
      </c>
      <c r="J15" s="1048">
        <f t="shared" si="20"/>
        <v>652</v>
      </c>
      <c r="K15" s="1048">
        <f>(F15+P15)/2</f>
        <v>640</v>
      </c>
      <c r="L15" s="1048">
        <f t="shared" si="21"/>
        <v>628</v>
      </c>
      <c r="M15" s="1048">
        <f t="shared" si="21"/>
        <v>616</v>
      </c>
      <c r="N15" s="1048">
        <f t="shared" si="21"/>
        <v>604</v>
      </c>
      <c r="O15" s="1048">
        <f t="shared" si="21"/>
        <v>592</v>
      </c>
      <c r="P15" s="1048">
        <v>580</v>
      </c>
      <c r="Q15" s="1048">
        <f t="shared" si="22"/>
        <v>571.74</v>
      </c>
      <c r="R15" s="1048">
        <f t="shared" si="22"/>
        <v>563.48</v>
      </c>
      <c r="S15" s="1048">
        <f t="shared" si="22"/>
        <v>555.22</v>
      </c>
      <c r="T15" s="1048">
        <f t="shared" si="22"/>
        <v>546.96</v>
      </c>
      <c r="U15" s="1048">
        <v>538.70000000000005</v>
      </c>
      <c r="V15" s="1048">
        <f t="shared" si="23"/>
        <v>538.70000000000005</v>
      </c>
      <c r="W15" s="1048">
        <f t="shared" si="23"/>
        <v>538.70000000000005</v>
      </c>
      <c r="X15" s="1048">
        <f t="shared" si="23"/>
        <v>538.70000000000005</v>
      </c>
      <c r="Y15" s="1048">
        <f t="shared" si="23"/>
        <v>538.70000000000005</v>
      </c>
      <c r="Z15" s="1048">
        <v>538.70000000000005</v>
      </c>
      <c r="AA15" s="1048">
        <f t="shared" si="24"/>
        <v>538.70000000000005</v>
      </c>
      <c r="AB15" s="1048">
        <f t="shared" si="24"/>
        <v>538.70000000000005</v>
      </c>
      <c r="AC15" s="1048">
        <f t="shared" si="24"/>
        <v>538.70000000000005</v>
      </c>
      <c r="AD15" s="1048">
        <f t="shared" si="24"/>
        <v>538.70000000000005</v>
      </c>
      <c r="AE15" s="1048">
        <v>538.70000000000005</v>
      </c>
      <c r="AF15" s="1048">
        <f t="shared" si="25"/>
        <v>538.70000000000005</v>
      </c>
      <c r="AG15" s="1048">
        <f t="shared" si="25"/>
        <v>538.70000000000005</v>
      </c>
      <c r="AH15" s="1048">
        <f t="shared" si="25"/>
        <v>538.70000000000005</v>
      </c>
      <c r="AI15" s="1048">
        <f t="shared" si="25"/>
        <v>538.70000000000005</v>
      </c>
      <c r="AJ15" s="1048">
        <v>538.70000000000005</v>
      </c>
      <c r="AK15" s="1048">
        <f t="shared" ref="AK15:AT15" si="31">AJ15</f>
        <v>538.70000000000005</v>
      </c>
      <c r="AL15" s="1048">
        <f t="shared" si="31"/>
        <v>538.70000000000005</v>
      </c>
      <c r="AM15" s="1048">
        <f t="shared" si="31"/>
        <v>538.70000000000005</v>
      </c>
      <c r="AN15" s="1048">
        <f t="shared" si="31"/>
        <v>538.70000000000005</v>
      </c>
      <c r="AO15" s="1048">
        <f t="shared" si="31"/>
        <v>538.70000000000005</v>
      </c>
      <c r="AP15" s="1048">
        <f t="shared" si="31"/>
        <v>538.70000000000005</v>
      </c>
      <c r="AQ15" s="1048">
        <f t="shared" si="31"/>
        <v>538.70000000000005</v>
      </c>
      <c r="AR15" s="1048">
        <f t="shared" si="31"/>
        <v>538.70000000000005</v>
      </c>
      <c r="AS15" s="1048">
        <f t="shared" si="31"/>
        <v>538.70000000000005</v>
      </c>
      <c r="AT15" s="1055">
        <f t="shared" si="31"/>
        <v>538.70000000000005</v>
      </c>
      <c r="AW15">
        <f t="shared" si="11"/>
        <v>2062</v>
      </c>
      <c r="AX15" s="4">
        <f t="shared" si="10"/>
        <v>494.57057087974482</v>
      </c>
    </row>
    <row r="16" spans="1:50" ht="15" thickBot="1">
      <c r="A16" s="1016">
        <v>13</v>
      </c>
      <c r="B16" s="1056" t="s">
        <v>729</v>
      </c>
      <c r="C16" s="1057">
        <v>700</v>
      </c>
      <c r="D16" s="1058">
        <f>D15*0.05+AVERAGE(D12:D13)</f>
        <v>54.314999999999998</v>
      </c>
      <c r="E16" s="1058">
        <f t="shared" ref="E16:AT16" si="32">E15*0.05+AVERAGE(E12:E13)</f>
        <v>54.314999999999998</v>
      </c>
      <c r="F16" s="1058">
        <f t="shared" si="32"/>
        <v>54.314999999999998</v>
      </c>
      <c r="G16" s="1058">
        <f t="shared" si="32"/>
        <v>53.715000000000003</v>
      </c>
      <c r="H16" s="1058">
        <f t="shared" si="32"/>
        <v>53.115000000000009</v>
      </c>
      <c r="I16" s="1058">
        <f t="shared" si="32"/>
        <v>52.515000000000001</v>
      </c>
      <c r="J16" s="1058">
        <f t="shared" si="32"/>
        <v>51.915000000000006</v>
      </c>
      <c r="K16" s="1058">
        <f t="shared" si="32"/>
        <v>51.314999999999998</v>
      </c>
      <c r="L16" s="1058">
        <f t="shared" si="32"/>
        <v>50.715000000000003</v>
      </c>
      <c r="M16" s="1058">
        <f t="shared" si="32"/>
        <v>50.115000000000002</v>
      </c>
      <c r="N16" s="1058">
        <f t="shared" si="32"/>
        <v>49.515000000000001</v>
      </c>
      <c r="O16" s="1058">
        <f t="shared" si="32"/>
        <v>48.915000000000006</v>
      </c>
      <c r="P16" s="1058">
        <f t="shared" si="32"/>
        <v>48.314999999999998</v>
      </c>
      <c r="Q16" s="1058">
        <f t="shared" si="32"/>
        <v>47.902000000000001</v>
      </c>
      <c r="R16" s="1058">
        <f t="shared" si="32"/>
        <v>47.489000000000004</v>
      </c>
      <c r="S16" s="1058">
        <f t="shared" si="32"/>
        <v>47.076000000000008</v>
      </c>
      <c r="T16" s="1058">
        <f t="shared" si="32"/>
        <v>46.663000000000004</v>
      </c>
      <c r="U16" s="1058">
        <f t="shared" si="32"/>
        <v>46.25</v>
      </c>
      <c r="V16" s="1058">
        <f t="shared" si="32"/>
        <v>46.25</v>
      </c>
      <c r="W16" s="1058">
        <f t="shared" si="32"/>
        <v>46.25</v>
      </c>
      <c r="X16" s="1058">
        <f t="shared" si="32"/>
        <v>46.25</v>
      </c>
      <c r="Y16" s="1058">
        <f t="shared" si="32"/>
        <v>46.25</v>
      </c>
      <c r="Z16" s="1058">
        <f t="shared" si="32"/>
        <v>46.25</v>
      </c>
      <c r="AA16" s="1058">
        <f t="shared" si="32"/>
        <v>46.25</v>
      </c>
      <c r="AB16" s="1058">
        <f t="shared" si="32"/>
        <v>46.25</v>
      </c>
      <c r="AC16" s="1058">
        <f t="shared" si="32"/>
        <v>46.25</v>
      </c>
      <c r="AD16" s="1058">
        <f t="shared" si="32"/>
        <v>46.25</v>
      </c>
      <c r="AE16" s="1058">
        <f t="shared" si="32"/>
        <v>46.25</v>
      </c>
      <c r="AF16" s="1058">
        <f t="shared" si="32"/>
        <v>46.25</v>
      </c>
      <c r="AG16" s="1058">
        <f t="shared" si="32"/>
        <v>46.25</v>
      </c>
      <c r="AH16" s="1058">
        <f t="shared" si="32"/>
        <v>46.25</v>
      </c>
      <c r="AI16" s="1058">
        <f t="shared" si="32"/>
        <v>46.25</v>
      </c>
      <c r="AJ16" s="1058">
        <f t="shared" si="32"/>
        <v>46.25</v>
      </c>
      <c r="AK16" s="1059">
        <f t="shared" si="32"/>
        <v>46.25</v>
      </c>
      <c r="AL16" s="1059">
        <f t="shared" si="32"/>
        <v>46.25</v>
      </c>
      <c r="AM16" s="1058">
        <f t="shared" si="32"/>
        <v>46.25</v>
      </c>
      <c r="AN16" s="1058">
        <f t="shared" si="32"/>
        <v>46.25</v>
      </c>
      <c r="AO16" s="1058">
        <f t="shared" si="32"/>
        <v>46.25</v>
      </c>
      <c r="AP16" s="1058">
        <f t="shared" si="32"/>
        <v>46.25</v>
      </c>
      <c r="AQ16" s="1058">
        <f t="shared" si="32"/>
        <v>46.25</v>
      </c>
      <c r="AR16" s="1058">
        <f t="shared" si="32"/>
        <v>46.25</v>
      </c>
      <c r="AS16" s="1058">
        <f t="shared" si="32"/>
        <v>46.25</v>
      </c>
      <c r="AT16" s="1060">
        <f t="shared" si="32"/>
        <v>46.25</v>
      </c>
      <c r="AW16">
        <f t="shared" si="11"/>
        <v>2063</v>
      </c>
      <c r="AX16" s="4">
        <f t="shared" si="10"/>
        <v>488.10130931307748</v>
      </c>
    </row>
    <row r="17" spans="1:50">
      <c r="A17">
        <v>14</v>
      </c>
      <c r="B17" t="s">
        <v>516</v>
      </c>
      <c r="AW17">
        <f t="shared" si="11"/>
        <v>2064</v>
      </c>
      <c r="AX17" s="4">
        <f t="shared" si="10"/>
        <v>481.63204774641014</v>
      </c>
    </row>
    <row r="18" spans="1:50">
      <c r="AW18">
        <f t="shared" ref="AW18:AW33" si="33">AW17+1</f>
        <v>2065</v>
      </c>
      <c r="AX18" s="4">
        <f t="shared" si="10"/>
        <v>475.1627861797428</v>
      </c>
    </row>
    <row r="19" spans="1:50">
      <c r="AW19">
        <f t="shared" si="33"/>
        <v>2066</v>
      </c>
      <c r="AX19" s="4" t="e">
        <f t="shared" si="10"/>
        <v>#N/A</v>
      </c>
    </row>
    <row r="20" spans="1:50" ht="15" thickBot="1">
      <c r="AW20">
        <f t="shared" si="33"/>
        <v>2067</v>
      </c>
      <c r="AX20" s="4" t="e">
        <f t="shared" si="10"/>
        <v>#N/A</v>
      </c>
    </row>
    <row r="21" spans="1:50">
      <c r="B21" s="1017"/>
      <c r="D21" s="49">
        <v>2015</v>
      </c>
      <c r="E21" s="49">
        <v>2020</v>
      </c>
      <c r="F21" s="49">
        <v>2025</v>
      </c>
      <c r="G21" s="49">
        <v>2026</v>
      </c>
      <c r="H21" s="49">
        <v>2027</v>
      </c>
      <c r="I21" s="49">
        <v>2028</v>
      </c>
      <c r="J21" s="982">
        <v>2029</v>
      </c>
      <c r="K21" s="1033">
        <v>2030</v>
      </c>
      <c r="L21" s="1034">
        <v>2031</v>
      </c>
      <c r="M21" s="1034">
        <v>2032</v>
      </c>
      <c r="N21" s="1034">
        <v>2033</v>
      </c>
      <c r="O21" s="1034">
        <v>2034</v>
      </c>
      <c r="P21" s="1034">
        <v>2035</v>
      </c>
      <c r="Q21" s="1034">
        <v>2036</v>
      </c>
      <c r="R21" s="1034">
        <v>2037</v>
      </c>
      <c r="S21" s="1034">
        <v>2038</v>
      </c>
      <c r="T21" s="1034">
        <v>2039</v>
      </c>
      <c r="U21" s="1034">
        <v>2040</v>
      </c>
      <c r="V21" s="1034">
        <v>2041</v>
      </c>
      <c r="W21" s="1034">
        <v>2042</v>
      </c>
      <c r="X21" s="1034">
        <v>2043</v>
      </c>
      <c r="Y21" s="1034">
        <v>2044</v>
      </c>
      <c r="Z21" s="1034">
        <v>2045</v>
      </c>
      <c r="AA21" s="1034">
        <v>2046</v>
      </c>
      <c r="AB21" s="1034">
        <v>2047</v>
      </c>
      <c r="AC21" s="1034">
        <v>2048</v>
      </c>
      <c r="AD21" s="1034">
        <v>2049</v>
      </c>
      <c r="AE21" s="1034">
        <v>2050</v>
      </c>
      <c r="AF21" s="1034">
        <v>2051</v>
      </c>
      <c r="AG21" s="1034">
        <v>2052</v>
      </c>
      <c r="AH21" s="1034">
        <v>2053</v>
      </c>
      <c r="AI21" s="1034">
        <v>2054</v>
      </c>
      <c r="AJ21" s="1034">
        <v>2055</v>
      </c>
      <c r="AK21" s="1034">
        <v>2056</v>
      </c>
      <c r="AL21" s="1034">
        <v>2057</v>
      </c>
      <c r="AM21" s="1034">
        <v>2058</v>
      </c>
      <c r="AN21" s="1034">
        <v>2059</v>
      </c>
      <c r="AO21" s="1035">
        <v>2060</v>
      </c>
      <c r="AW21">
        <f t="shared" si="33"/>
        <v>2068</v>
      </c>
      <c r="AX21" s="4" t="e">
        <f t="shared" si="10"/>
        <v>#N/A</v>
      </c>
    </row>
    <row r="22" spans="1:50">
      <c r="B22" s="1018" t="s">
        <v>614</v>
      </c>
      <c r="D22" s="49">
        <v>0</v>
      </c>
      <c r="E22" s="49">
        <v>0</v>
      </c>
      <c r="F22" s="50">
        <v>0</v>
      </c>
      <c r="G22" s="50"/>
      <c r="H22" s="50"/>
      <c r="I22" s="50"/>
      <c r="J22" s="1032"/>
      <c r="K22" s="1036">
        <v>1</v>
      </c>
      <c r="L22" s="1020"/>
      <c r="M22" s="1020"/>
      <c r="N22" s="1020"/>
      <c r="O22" s="1020"/>
      <c r="P22" s="1019">
        <v>2</v>
      </c>
      <c r="Q22" s="1020"/>
      <c r="R22" s="1020"/>
      <c r="S22" s="1020"/>
      <c r="T22" s="1020"/>
      <c r="U22" s="1019">
        <v>4</v>
      </c>
      <c r="V22" s="1020"/>
      <c r="W22" s="1020"/>
      <c r="X22" s="1020"/>
      <c r="Y22" s="1020"/>
      <c r="Z22" s="1019">
        <v>5</v>
      </c>
      <c r="AA22" s="1020"/>
      <c r="AB22" s="1020"/>
      <c r="AC22" s="1020"/>
      <c r="AD22" s="1020"/>
      <c r="AE22" s="1019">
        <v>7</v>
      </c>
      <c r="AF22" s="1020"/>
      <c r="AG22" s="1020"/>
      <c r="AH22" s="1020"/>
      <c r="AI22" s="1020"/>
      <c r="AJ22" s="1019">
        <v>8</v>
      </c>
      <c r="AK22" s="1020"/>
      <c r="AL22" s="1020"/>
      <c r="AM22" s="1020"/>
      <c r="AN22" s="1020"/>
      <c r="AO22" s="1037">
        <v>10</v>
      </c>
      <c r="AW22">
        <f t="shared" si="33"/>
        <v>2069</v>
      </c>
      <c r="AX22" s="4" t="e">
        <f t="shared" si="10"/>
        <v>#N/A</v>
      </c>
    </row>
    <row r="23" spans="1:50">
      <c r="B23" s="1018" t="s">
        <v>615</v>
      </c>
      <c r="D23" s="49">
        <v>0</v>
      </c>
      <c r="E23" s="49">
        <v>1</v>
      </c>
      <c r="F23" s="50">
        <v>4</v>
      </c>
      <c r="G23" s="50"/>
      <c r="H23" s="50"/>
      <c r="I23" s="50"/>
      <c r="J23" s="1032"/>
      <c r="K23" s="1036">
        <v>12</v>
      </c>
      <c r="L23" s="1020"/>
      <c r="M23" s="1020"/>
      <c r="N23" s="1020"/>
      <c r="O23" s="1020"/>
      <c r="P23" s="1019">
        <v>26</v>
      </c>
      <c r="Q23" s="1020"/>
      <c r="R23" s="1020"/>
      <c r="S23" s="1020"/>
      <c r="T23" s="1020"/>
      <c r="U23" s="1019">
        <v>53</v>
      </c>
      <c r="V23" s="1020"/>
      <c r="W23" s="1020"/>
      <c r="X23" s="1020"/>
      <c r="Y23" s="1020"/>
      <c r="Z23" s="1019">
        <v>74</v>
      </c>
      <c r="AA23" s="1020"/>
      <c r="AB23" s="1020"/>
      <c r="AC23" s="1020"/>
      <c r="AD23" s="1020"/>
      <c r="AE23" s="1019">
        <v>99</v>
      </c>
      <c r="AF23" s="1020"/>
      <c r="AG23" s="1020"/>
      <c r="AH23" s="1020"/>
      <c r="AI23" s="1020"/>
      <c r="AJ23" s="1019">
        <v>129</v>
      </c>
      <c r="AK23" s="1020"/>
      <c r="AL23" s="1020"/>
      <c r="AM23" s="1020"/>
      <c r="AN23" s="1020"/>
      <c r="AO23" s="1037">
        <v>169</v>
      </c>
      <c r="AW23">
        <f t="shared" si="33"/>
        <v>2070</v>
      </c>
      <c r="AX23" s="4" t="e">
        <f t="shared" si="10"/>
        <v>#N/A</v>
      </c>
    </row>
    <row r="24" spans="1:50">
      <c r="B24" s="1018" t="s">
        <v>709</v>
      </c>
      <c r="D24" s="49">
        <v>150</v>
      </c>
      <c r="E24" s="49">
        <v>159</v>
      </c>
      <c r="F24" s="49">
        <v>179</v>
      </c>
      <c r="G24" s="50"/>
      <c r="H24" s="50"/>
      <c r="I24" s="50"/>
      <c r="J24" s="1032"/>
      <c r="K24" s="1038">
        <v>197</v>
      </c>
      <c r="L24" s="1020"/>
      <c r="M24" s="1020"/>
      <c r="N24" s="1020"/>
      <c r="O24" s="1020"/>
      <c r="P24" s="1020">
        <v>204</v>
      </c>
      <c r="Q24" s="1020"/>
      <c r="R24" s="1020"/>
      <c r="S24" s="1020"/>
      <c r="T24" s="1020"/>
      <c r="U24" s="1020">
        <v>192</v>
      </c>
      <c r="V24" s="1020"/>
      <c r="W24" s="1020"/>
      <c r="X24" s="1020"/>
      <c r="Y24" s="1020"/>
      <c r="Z24" s="1020">
        <v>193</v>
      </c>
      <c r="AA24" s="1020"/>
      <c r="AB24" s="1020"/>
      <c r="AC24" s="1020"/>
      <c r="AD24" s="1020"/>
      <c r="AE24" s="1020">
        <v>191</v>
      </c>
      <c r="AF24" s="1020"/>
      <c r="AG24" s="1020"/>
      <c r="AH24" s="1020"/>
      <c r="AI24" s="1020"/>
      <c r="AJ24" s="1020">
        <v>181</v>
      </c>
      <c r="AK24" s="1020"/>
      <c r="AL24" s="1020"/>
      <c r="AM24" s="1020"/>
      <c r="AN24" s="1020"/>
      <c r="AO24" s="1037">
        <v>154</v>
      </c>
      <c r="AW24">
        <f t="shared" si="33"/>
        <v>2071</v>
      </c>
      <c r="AX24" s="4" t="e">
        <f t="shared" si="10"/>
        <v>#N/A</v>
      </c>
    </row>
    <row r="25" spans="1:50">
      <c r="B25" s="1018" t="s">
        <v>710</v>
      </c>
      <c r="D25" s="49">
        <v>190</v>
      </c>
      <c r="E25" s="49">
        <v>203</v>
      </c>
      <c r="F25" s="49">
        <v>239</v>
      </c>
      <c r="G25" s="50"/>
      <c r="H25" s="50"/>
      <c r="I25" s="50"/>
      <c r="J25" s="1032"/>
      <c r="K25" s="1038">
        <v>290</v>
      </c>
      <c r="L25" s="1020"/>
      <c r="M25" s="1020"/>
      <c r="N25" s="1020"/>
      <c r="O25" s="1020"/>
      <c r="P25" s="1020">
        <v>342</v>
      </c>
      <c r="Q25" s="1020"/>
      <c r="R25" s="1020"/>
      <c r="S25" s="1020"/>
      <c r="T25" s="1020"/>
      <c r="U25" s="1020">
        <v>407</v>
      </c>
      <c r="V25" s="1020"/>
      <c r="W25" s="1020"/>
      <c r="X25" s="1020"/>
      <c r="Y25" s="1020"/>
      <c r="Z25" s="1020">
        <v>465</v>
      </c>
      <c r="AA25" s="1020"/>
      <c r="AB25" s="1020"/>
      <c r="AC25" s="1020"/>
      <c r="AD25" s="1020"/>
      <c r="AE25" s="1020">
        <v>517</v>
      </c>
      <c r="AF25" s="1020"/>
      <c r="AG25" s="1020"/>
      <c r="AH25" s="1020"/>
      <c r="AI25" s="1020"/>
      <c r="AJ25" s="1020">
        <v>573</v>
      </c>
      <c r="AK25" s="1020"/>
      <c r="AL25" s="1020"/>
      <c r="AM25" s="1020"/>
      <c r="AN25" s="1020"/>
      <c r="AO25" s="1037">
        <v>633</v>
      </c>
      <c r="AW25">
        <f t="shared" si="33"/>
        <v>2072</v>
      </c>
      <c r="AX25" s="4" t="e">
        <f t="shared" si="10"/>
        <v>#N/A</v>
      </c>
    </row>
    <row r="26" spans="1:50" ht="15" thickBot="1">
      <c r="B26" s="1018" t="s">
        <v>729</v>
      </c>
      <c r="D26" s="49">
        <v>0</v>
      </c>
      <c r="E26" s="49">
        <v>0</v>
      </c>
      <c r="F26" s="49">
        <v>0</v>
      </c>
      <c r="G26" s="49"/>
      <c r="H26" s="49"/>
      <c r="I26" s="49"/>
      <c r="J26" s="982"/>
      <c r="K26" s="1039">
        <v>0</v>
      </c>
      <c r="L26" s="1040"/>
      <c r="M26" s="1040"/>
      <c r="N26" s="1040"/>
      <c r="O26" s="1040"/>
      <c r="P26" s="1040">
        <v>0</v>
      </c>
      <c r="Q26" s="1040"/>
      <c r="R26" s="1040"/>
      <c r="S26" s="1040"/>
      <c r="T26" s="1040"/>
      <c r="U26" s="1040">
        <v>0</v>
      </c>
      <c r="V26" s="1040"/>
      <c r="W26" s="1040"/>
      <c r="X26" s="1040"/>
      <c r="Y26" s="1040"/>
      <c r="Z26" s="1040">
        <v>0</v>
      </c>
      <c r="AA26" s="1040"/>
      <c r="AB26" s="1040"/>
      <c r="AC26" s="1040"/>
      <c r="AD26" s="1040"/>
      <c r="AE26" s="1040">
        <v>0</v>
      </c>
      <c r="AF26" s="1040"/>
      <c r="AG26" s="1040"/>
      <c r="AH26" s="1040"/>
      <c r="AI26" s="1040"/>
      <c r="AJ26" s="1040">
        <v>0</v>
      </c>
      <c r="AK26" s="1040"/>
      <c r="AL26" s="1040"/>
      <c r="AM26" s="1040"/>
      <c r="AN26" s="1040"/>
      <c r="AO26" s="1041">
        <v>0</v>
      </c>
      <c r="AW26">
        <f t="shared" si="33"/>
        <v>2073</v>
      </c>
      <c r="AX26" s="4" t="e">
        <f t="shared" si="10"/>
        <v>#N/A</v>
      </c>
    </row>
    <row r="27" spans="1:50">
      <c r="AW27">
        <f t="shared" si="33"/>
        <v>2074</v>
      </c>
      <c r="AX27" s="4" t="e">
        <f t="shared" si="10"/>
        <v>#N/A</v>
      </c>
    </row>
    <row r="28" spans="1:50" ht="15" thickBot="1">
      <c r="B28" s="1015" t="s">
        <v>719</v>
      </c>
      <c r="AW28">
        <f t="shared" si="33"/>
        <v>2075</v>
      </c>
      <c r="AX28" s="4" t="e">
        <f t="shared" si="10"/>
        <v>#N/A</v>
      </c>
    </row>
    <row r="29" spans="1:50">
      <c r="B29" s="49" t="s">
        <v>614</v>
      </c>
      <c r="C29" s="49"/>
      <c r="D29" s="49">
        <v>0</v>
      </c>
      <c r="E29" s="49">
        <v>0</v>
      </c>
      <c r="F29" s="50">
        <v>0</v>
      </c>
      <c r="G29" s="49"/>
      <c r="H29" s="49"/>
      <c r="I29" s="49"/>
      <c r="J29" s="982"/>
      <c r="K29" s="1022">
        <v>1</v>
      </c>
      <c r="L29" s="1023"/>
      <c r="M29" s="1023"/>
      <c r="N29" s="1023"/>
      <c r="O29" s="1023"/>
      <c r="P29" s="1024">
        <v>2</v>
      </c>
      <c r="Q29" s="1023"/>
      <c r="R29" s="1023"/>
      <c r="S29" s="1023"/>
      <c r="T29" s="1023"/>
      <c r="U29" s="1024">
        <v>4</v>
      </c>
      <c r="V29" s="1023"/>
      <c r="W29" s="1023"/>
      <c r="X29" s="1023"/>
      <c r="Y29" s="1023"/>
      <c r="Z29" s="1024">
        <v>5</v>
      </c>
      <c r="AA29" s="1023"/>
      <c r="AB29" s="1023"/>
      <c r="AC29" s="1023"/>
      <c r="AD29" s="1023"/>
      <c r="AE29" s="1024">
        <v>7</v>
      </c>
      <c r="AF29" s="1023"/>
      <c r="AG29" s="1023"/>
      <c r="AH29" s="1023"/>
      <c r="AI29" s="1023"/>
      <c r="AJ29" s="1024">
        <v>8</v>
      </c>
      <c r="AK29" s="1023"/>
      <c r="AL29" s="1023"/>
      <c r="AM29" s="1023"/>
      <c r="AN29" s="1023"/>
      <c r="AO29" s="1025">
        <v>10</v>
      </c>
      <c r="AW29">
        <f t="shared" si="33"/>
        <v>2076</v>
      </c>
      <c r="AX29" s="4" t="e">
        <f t="shared" si="10"/>
        <v>#N/A</v>
      </c>
    </row>
    <row r="30" spans="1:50">
      <c r="B30" s="49" t="s">
        <v>615</v>
      </c>
      <c r="C30" s="49"/>
      <c r="D30" s="49">
        <v>0</v>
      </c>
      <c r="E30" s="49">
        <v>1</v>
      </c>
      <c r="F30" s="50">
        <v>4</v>
      </c>
      <c r="G30" s="49"/>
      <c r="H30" s="49"/>
      <c r="I30" s="49"/>
      <c r="J30" s="982"/>
      <c r="K30" s="1026">
        <v>12</v>
      </c>
      <c r="L30" s="1020"/>
      <c r="M30" s="1020"/>
      <c r="N30" s="1020"/>
      <c r="O30" s="1020"/>
      <c r="P30" s="1019">
        <v>26</v>
      </c>
      <c r="Q30" s="1020"/>
      <c r="R30" s="1020"/>
      <c r="S30" s="1020"/>
      <c r="T30" s="1020"/>
      <c r="U30" s="1019">
        <v>53</v>
      </c>
      <c r="V30" s="1020"/>
      <c r="W30" s="1020"/>
      <c r="X30" s="1020"/>
      <c r="Y30" s="1020"/>
      <c r="Z30" s="1019">
        <v>74</v>
      </c>
      <c r="AA30" s="1020"/>
      <c r="AB30" s="1020"/>
      <c r="AC30" s="1020"/>
      <c r="AD30" s="1020"/>
      <c r="AE30" s="1019">
        <v>99</v>
      </c>
      <c r="AF30" s="1020"/>
      <c r="AG30" s="1020"/>
      <c r="AH30" s="1020"/>
      <c r="AI30" s="1020"/>
      <c r="AJ30" s="1019">
        <v>129</v>
      </c>
      <c r="AK30" s="1020"/>
      <c r="AL30" s="1020"/>
      <c r="AM30" s="1020"/>
      <c r="AN30" s="1020"/>
      <c r="AO30" s="1027">
        <v>169</v>
      </c>
      <c r="AW30">
        <f t="shared" si="33"/>
        <v>2077</v>
      </c>
      <c r="AX30" s="4" t="e">
        <f t="shared" si="10"/>
        <v>#N/A</v>
      </c>
    </row>
    <row r="31" spans="1:50">
      <c r="B31" s="49" t="s">
        <v>709</v>
      </c>
      <c r="C31" s="49"/>
      <c r="D31" s="49">
        <v>150</v>
      </c>
      <c r="E31" s="49">
        <v>159</v>
      </c>
      <c r="F31" s="49">
        <v>179</v>
      </c>
      <c r="G31" s="49"/>
      <c r="H31" s="49"/>
      <c r="I31" s="49"/>
      <c r="J31" s="982"/>
      <c r="K31" s="1028">
        <v>197</v>
      </c>
      <c r="L31" s="1020"/>
      <c r="M31" s="1020"/>
      <c r="N31" s="1020"/>
      <c r="O31" s="1020"/>
      <c r="P31" s="1020">
        <v>204</v>
      </c>
      <c r="Q31" s="1020"/>
      <c r="R31" s="1020"/>
      <c r="S31" s="1020"/>
      <c r="T31" s="1020"/>
      <c r="U31" s="1020">
        <v>192</v>
      </c>
      <c r="V31" s="1020"/>
      <c r="W31" s="1020"/>
      <c r="X31" s="1020"/>
      <c r="Y31" s="1020"/>
      <c r="Z31" s="1020">
        <v>193</v>
      </c>
      <c r="AA31" s="1020"/>
      <c r="AB31" s="1020"/>
      <c r="AC31" s="1020"/>
      <c r="AD31" s="1020"/>
      <c r="AE31" s="1020">
        <v>191</v>
      </c>
      <c r="AF31" s="1020"/>
      <c r="AG31" s="1020"/>
      <c r="AH31" s="1020"/>
      <c r="AI31" s="1020"/>
      <c r="AJ31" s="1020">
        <v>181</v>
      </c>
      <c r="AK31" s="1020"/>
      <c r="AL31" s="1020"/>
      <c r="AM31" s="1020"/>
      <c r="AN31" s="1020"/>
      <c r="AO31" s="1027">
        <v>154</v>
      </c>
      <c r="AW31">
        <f t="shared" si="33"/>
        <v>2078</v>
      </c>
      <c r="AX31" s="4" t="e">
        <f t="shared" si="10"/>
        <v>#N/A</v>
      </c>
    </row>
    <row r="32" spans="1:50">
      <c r="B32" s="49" t="s">
        <v>710</v>
      </c>
      <c r="C32" s="49"/>
      <c r="D32" s="49">
        <v>190</v>
      </c>
      <c r="E32" s="49">
        <v>203</v>
      </c>
      <c r="F32" s="49">
        <v>239</v>
      </c>
      <c r="G32" s="49"/>
      <c r="H32" s="49"/>
      <c r="I32" s="49"/>
      <c r="J32" s="982"/>
      <c r="K32" s="1028">
        <v>290</v>
      </c>
      <c r="L32" s="1020"/>
      <c r="M32" s="1020"/>
      <c r="N32" s="1020"/>
      <c r="O32" s="1020"/>
      <c r="P32" s="1020">
        <v>342</v>
      </c>
      <c r="Q32" s="1020"/>
      <c r="R32" s="1020"/>
      <c r="S32" s="1020"/>
      <c r="T32" s="1020"/>
      <c r="U32" s="1020">
        <v>407</v>
      </c>
      <c r="V32" s="1020"/>
      <c r="W32" s="1020"/>
      <c r="X32" s="1020"/>
      <c r="Y32" s="1020"/>
      <c r="Z32" s="1020">
        <v>465</v>
      </c>
      <c r="AA32" s="1020"/>
      <c r="AB32" s="1020"/>
      <c r="AC32" s="1020"/>
      <c r="AD32" s="1020"/>
      <c r="AE32" s="1020">
        <v>517</v>
      </c>
      <c r="AF32" s="1020"/>
      <c r="AG32" s="1020"/>
      <c r="AH32" s="1020"/>
      <c r="AI32" s="1020"/>
      <c r="AJ32" s="1020">
        <v>573</v>
      </c>
      <c r="AK32" s="1020"/>
      <c r="AL32" s="1020"/>
      <c r="AM32" s="1020"/>
      <c r="AN32" s="1020"/>
      <c r="AO32" s="1027">
        <v>633</v>
      </c>
      <c r="AW32">
        <f t="shared" si="33"/>
        <v>2079</v>
      </c>
      <c r="AX32" s="4" t="e">
        <f t="shared" si="10"/>
        <v>#N/A</v>
      </c>
    </row>
    <row r="33" spans="2:50" ht="15" thickBot="1">
      <c r="B33" s="49" t="s">
        <v>729</v>
      </c>
      <c r="C33" s="49"/>
      <c r="D33" s="49">
        <v>0</v>
      </c>
      <c r="E33" s="49">
        <v>0</v>
      </c>
      <c r="F33" s="49">
        <v>0</v>
      </c>
      <c r="G33" s="49"/>
      <c r="H33" s="49"/>
      <c r="I33" s="49"/>
      <c r="J33" s="982"/>
      <c r="K33" s="1029">
        <v>0</v>
      </c>
      <c r="L33" s="1030"/>
      <c r="M33" s="1030"/>
      <c r="N33" s="1030"/>
      <c r="O33" s="1030"/>
      <c r="P33" s="1030">
        <v>0</v>
      </c>
      <c r="Q33" s="1030"/>
      <c r="R33" s="1030"/>
      <c r="S33" s="1030"/>
      <c r="T33" s="1030"/>
      <c r="U33" s="1030">
        <v>0</v>
      </c>
      <c r="V33" s="1030"/>
      <c r="W33" s="1030"/>
      <c r="X33" s="1030"/>
      <c r="Y33" s="1030"/>
      <c r="Z33" s="1030">
        <v>0</v>
      </c>
      <c r="AA33" s="1030"/>
      <c r="AB33" s="1030"/>
      <c r="AC33" s="1030"/>
      <c r="AD33" s="1030"/>
      <c r="AE33" s="1030">
        <v>0</v>
      </c>
      <c r="AF33" s="1030"/>
      <c r="AG33" s="1030"/>
      <c r="AH33" s="1030"/>
      <c r="AI33" s="1030"/>
      <c r="AJ33" s="1030">
        <v>0</v>
      </c>
      <c r="AK33" s="1030"/>
      <c r="AL33" s="1030"/>
      <c r="AM33" s="1030"/>
      <c r="AN33" s="1030"/>
      <c r="AO33" s="1031">
        <v>0</v>
      </c>
      <c r="AW33">
        <f t="shared" si="33"/>
        <v>2080</v>
      </c>
      <c r="AX33" s="4" t="e">
        <f t="shared" si="10"/>
        <v>#N/A</v>
      </c>
    </row>
    <row r="34" spans="2:50">
      <c r="K34" s="1021"/>
      <c r="L34" s="1021"/>
      <c r="M34" s="1021"/>
      <c r="N34" s="1021"/>
      <c r="O34" s="1021"/>
      <c r="P34" s="1021"/>
      <c r="Q34" s="1021"/>
      <c r="R34" s="1021"/>
      <c r="S34" s="1021"/>
      <c r="T34" s="1021"/>
      <c r="U34" s="1021"/>
      <c r="V34" s="1021"/>
      <c r="W34" s="1021"/>
      <c r="X34" s="1021"/>
      <c r="Y34" s="1021"/>
      <c r="Z34" s="1021"/>
      <c r="AA34" s="1021"/>
      <c r="AB34" s="1021"/>
      <c r="AC34" s="1021"/>
      <c r="AD34" s="1021"/>
      <c r="AE34" s="1021"/>
      <c r="AF34" s="1021"/>
      <c r="AG34" s="1021"/>
      <c r="AH34" s="1021"/>
      <c r="AI34" s="1021"/>
      <c r="AJ34" s="1021"/>
      <c r="AK34" s="1021"/>
      <c r="AL34" s="1021"/>
      <c r="AM34" s="1021"/>
      <c r="AN34" s="1021"/>
      <c r="AO34" s="1021"/>
    </row>
    <row r="35" spans="2:50" ht="15" thickBot="1">
      <c r="B35" s="1013" t="s">
        <v>720</v>
      </c>
      <c r="K35" s="1021"/>
      <c r="L35" s="1021"/>
      <c r="M35" s="1021"/>
      <c r="N35" s="1021"/>
      <c r="O35" s="1021"/>
      <c r="P35" s="1021"/>
      <c r="Q35" s="1021"/>
      <c r="R35" s="1021"/>
      <c r="S35" s="1021"/>
      <c r="T35" s="1021"/>
      <c r="U35" s="1021"/>
      <c r="V35" s="1021"/>
      <c r="W35" s="1021"/>
      <c r="X35" s="1021"/>
      <c r="Y35" s="1021"/>
      <c r="Z35" s="1021"/>
      <c r="AA35" s="1021"/>
      <c r="AB35" s="1021"/>
      <c r="AC35" s="1021"/>
      <c r="AD35" s="1021"/>
      <c r="AE35" s="1021"/>
      <c r="AF35" s="1021"/>
      <c r="AG35" s="1021"/>
      <c r="AH35" s="1021"/>
      <c r="AI35" s="1021"/>
      <c r="AJ35" s="1021"/>
      <c r="AK35" s="1021"/>
      <c r="AL35" s="1021"/>
      <c r="AM35" s="1021"/>
      <c r="AN35" s="1021"/>
      <c r="AO35" s="1021"/>
    </row>
    <row r="36" spans="2:50">
      <c r="B36" s="49" t="s">
        <v>614</v>
      </c>
      <c r="C36" s="49"/>
      <c r="D36" s="49">
        <v>0</v>
      </c>
      <c r="E36" s="49">
        <v>0</v>
      </c>
      <c r="F36" s="50">
        <v>4</v>
      </c>
      <c r="G36" s="49"/>
      <c r="H36" s="49"/>
      <c r="I36" s="49"/>
      <c r="J36" s="982"/>
      <c r="K36" s="1022">
        <v>9</v>
      </c>
      <c r="L36" s="1023"/>
      <c r="M36" s="1023"/>
      <c r="N36" s="1023"/>
      <c r="O36" s="1023"/>
      <c r="P36" s="1024">
        <v>10</v>
      </c>
      <c r="Q36" s="1023"/>
      <c r="R36" s="1023"/>
      <c r="S36" s="1023"/>
      <c r="T36" s="1023"/>
      <c r="U36" s="1024">
        <v>13</v>
      </c>
      <c r="V36" s="1023"/>
      <c r="W36" s="1023"/>
      <c r="X36" s="1023"/>
      <c r="Y36" s="1023"/>
      <c r="Z36" s="1024">
        <v>14</v>
      </c>
      <c r="AA36" s="1023"/>
      <c r="AB36" s="1023"/>
      <c r="AC36" s="1023"/>
      <c r="AD36" s="1023"/>
      <c r="AE36" s="1024">
        <v>12</v>
      </c>
      <c r="AF36" s="1023"/>
      <c r="AG36" s="1023"/>
      <c r="AH36" s="1023"/>
      <c r="AI36" s="1023"/>
      <c r="AJ36" s="1024">
        <v>8</v>
      </c>
      <c r="AK36" s="1023"/>
      <c r="AL36" s="1023"/>
      <c r="AM36" s="1023"/>
      <c r="AN36" s="1023"/>
      <c r="AO36" s="1025">
        <v>8</v>
      </c>
    </row>
    <row r="37" spans="2:50">
      <c r="B37" s="49" t="s">
        <v>615</v>
      </c>
      <c r="C37" s="49"/>
      <c r="D37" s="49">
        <v>0</v>
      </c>
      <c r="E37" s="49">
        <v>1</v>
      </c>
      <c r="F37" s="50">
        <v>33</v>
      </c>
      <c r="G37" s="49"/>
      <c r="H37" s="49"/>
      <c r="I37" s="49"/>
      <c r="J37" s="982"/>
      <c r="K37" s="1026">
        <v>102</v>
      </c>
      <c r="L37" s="1020"/>
      <c r="M37" s="1020"/>
      <c r="N37" s="1020"/>
      <c r="O37" s="1020"/>
      <c r="P37" s="1019">
        <v>123</v>
      </c>
      <c r="Q37" s="1020"/>
      <c r="R37" s="1020"/>
      <c r="S37" s="1020"/>
      <c r="T37" s="1020"/>
      <c r="U37" s="1019">
        <v>175</v>
      </c>
      <c r="V37" s="1020"/>
      <c r="W37" s="1020"/>
      <c r="X37" s="1020"/>
      <c r="Y37" s="1020"/>
      <c r="Z37" s="1019">
        <v>188</v>
      </c>
      <c r="AA37" s="1020"/>
      <c r="AB37" s="1020"/>
      <c r="AC37" s="1020"/>
      <c r="AD37" s="1020"/>
      <c r="AE37" s="1019">
        <v>182</v>
      </c>
      <c r="AF37" s="1020"/>
      <c r="AG37" s="1020"/>
      <c r="AH37" s="1020"/>
      <c r="AI37" s="1020"/>
      <c r="AJ37" s="1019">
        <v>151</v>
      </c>
      <c r="AK37" s="1020"/>
      <c r="AL37" s="1020"/>
      <c r="AM37" s="1020"/>
      <c r="AN37" s="1020"/>
      <c r="AO37" s="1027">
        <v>152</v>
      </c>
    </row>
    <row r="38" spans="2:50">
      <c r="B38" s="49" t="s">
        <v>709</v>
      </c>
      <c r="C38" s="49"/>
      <c r="D38" s="49">
        <v>149</v>
      </c>
      <c r="E38" s="49">
        <v>105</v>
      </c>
      <c r="F38" s="49">
        <v>86</v>
      </c>
      <c r="G38" s="49"/>
      <c r="H38" s="49"/>
      <c r="I38" s="49"/>
      <c r="J38" s="982"/>
      <c r="K38" s="1028">
        <v>0</v>
      </c>
      <c r="L38" s="1020"/>
      <c r="M38" s="1020"/>
      <c r="N38" s="1020"/>
      <c r="O38" s="1020"/>
      <c r="P38" s="1020">
        <v>0</v>
      </c>
      <c r="Q38" s="1020"/>
      <c r="R38" s="1020"/>
      <c r="S38" s="1020"/>
      <c r="T38" s="1020"/>
      <c r="U38" s="1020">
        <v>0</v>
      </c>
      <c r="V38" s="1020"/>
      <c r="W38" s="1020"/>
      <c r="X38" s="1020"/>
      <c r="Y38" s="1020"/>
      <c r="Z38" s="1020">
        <v>0</v>
      </c>
      <c r="AA38" s="1020"/>
      <c r="AB38" s="1020"/>
      <c r="AC38" s="1020"/>
      <c r="AD38" s="1020"/>
      <c r="AE38" s="1020">
        <v>0</v>
      </c>
      <c r="AF38" s="1020"/>
      <c r="AG38" s="1020"/>
      <c r="AH38" s="1020"/>
      <c r="AI38" s="1020"/>
      <c r="AJ38" s="1020">
        <v>0</v>
      </c>
      <c r="AK38" s="1020"/>
      <c r="AL38" s="1020"/>
      <c r="AM38" s="1020"/>
      <c r="AN38" s="1020"/>
      <c r="AO38" s="1027">
        <v>0</v>
      </c>
    </row>
    <row r="39" spans="2:50">
      <c r="B39" s="49" t="s">
        <v>710</v>
      </c>
      <c r="C39" s="49"/>
      <c r="D39" s="49">
        <v>189</v>
      </c>
      <c r="E39" s="49">
        <v>224</v>
      </c>
      <c r="F39" s="49">
        <v>258</v>
      </c>
      <c r="G39" s="49"/>
      <c r="H39" s="49"/>
      <c r="I39" s="49"/>
      <c r="J39" s="982"/>
      <c r="K39" s="1028">
        <v>328</v>
      </c>
      <c r="L39" s="1020"/>
      <c r="M39" s="1020"/>
      <c r="N39" s="1020"/>
      <c r="O39" s="1020"/>
      <c r="P39" s="1020">
        <v>365</v>
      </c>
      <c r="Q39" s="1020"/>
      <c r="R39" s="1020"/>
      <c r="S39" s="1020"/>
      <c r="T39" s="1020"/>
      <c r="U39" s="1020">
        <v>373</v>
      </c>
      <c r="V39" s="1020"/>
      <c r="W39" s="1020"/>
      <c r="X39" s="1020"/>
      <c r="Y39" s="1020"/>
      <c r="Z39" s="1020">
        <v>414</v>
      </c>
      <c r="AA39" s="1020"/>
      <c r="AB39" s="1020"/>
      <c r="AC39" s="1020"/>
      <c r="AD39" s="1020"/>
      <c r="AE39" s="1020">
        <v>472</v>
      </c>
      <c r="AF39" s="1020"/>
      <c r="AG39" s="1020"/>
      <c r="AH39" s="1020"/>
      <c r="AI39" s="1020"/>
      <c r="AJ39" s="1020">
        <v>554</v>
      </c>
      <c r="AK39" s="1020"/>
      <c r="AL39" s="1020"/>
      <c r="AM39" s="1020"/>
      <c r="AN39" s="1020"/>
      <c r="AO39" s="1027">
        <v>597</v>
      </c>
    </row>
    <row r="40" spans="2:50" ht="15" thickBot="1">
      <c r="B40" s="49" t="s">
        <v>729</v>
      </c>
      <c r="C40" s="49"/>
      <c r="D40" s="49">
        <v>0</v>
      </c>
      <c r="E40" s="49">
        <v>0</v>
      </c>
      <c r="F40" s="49">
        <v>0</v>
      </c>
      <c r="G40" s="49"/>
      <c r="H40" s="49"/>
      <c r="I40" s="49"/>
      <c r="J40" s="982"/>
      <c r="K40" s="1029">
        <v>0</v>
      </c>
      <c r="L40" s="1030"/>
      <c r="M40" s="1030"/>
      <c r="N40" s="1030"/>
      <c r="O40" s="1030"/>
      <c r="P40" s="1030">
        <v>0</v>
      </c>
      <c r="Q40" s="1030"/>
      <c r="R40" s="1030"/>
      <c r="S40" s="1030"/>
      <c r="T40" s="1030"/>
      <c r="U40" s="1030">
        <v>0</v>
      </c>
      <c r="V40" s="1030"/>
      <c r="W40" s="1030"/>
      <c r="X40" s="1030"/>
      <c r="Y40" s="1030"/>
      <c r="Z40" s="1030">
        <v>0</v>
      </c>
      <c r="AA40" s="1030"/>
      <c r="AB40" s="1030"/>
      <c r="AC40" s="1030"/>
      <c r="AD40" s="1030"/>
      <c r="AE40" s="1030">
        <v>0</v>
      </c>
      <c r="AF40" s="1030"/>
      <c r="AG40" s="1030"/>
      <c r="AH40" s="1030"/>
      <c r="AI40" s="1030"/>
      <c r="AJ40" s="1030">
        <v>0</v>
      </c>
      <c r="AK40" s="1030"/>
      <c r="AL40" s="1030"/>
      <c r="AM40" s="1030"/>
      <c r="AN40" s="1030"/>
      <c r="AO40" s="1031">
        <v>0</v>
      </c>
    </row>
    <row r="41" spans="2:50">
      <c r="K41" s="1021"/>
      <c r="L41" s="1021"/>
      <c r="M41" s="1021"/>
      <c r="N41" s="1021"/>
      <c r="O41" s="1021"/>
      <c r="P41" s="1021"/>
      <c r="Q41" s="1021"/>
      <c r="R41" s="1021"/>
      <c r="S41" s="1021"/>
      <c r="T41" s="1021"/>
      <c r="U41" s="1021"/>
      <c r="V41" s="1021"/>
      <c r="W41" s="1021"/>
      <c r="X41" s="1021"/>
      <c r="Y41" s="1021"/>
      <c r="Z41" s="1021"/>
      <c r="AA41" s="1021"/>
      <c r="AB41" s="1021"/>
      <c r="AC41" s="1021"/>
      <c r="AD41" s="1021"/>
      <c r="AE41" s="1021"/>
      <c r="AF41" s="1021"/>
      <c r="AG41" s="1021"/>
      <c r="AH41" s="1021"/>
      <c r="AI41" s="1021"/>
      <c r="AJ41" s="1021"/>
      <c r="AK41" s="1021"/>
      <c r="AL41" s="1021"/>
      <c r="AM41" s="1021"/>
      <c r="AN41" s="1021"/>
      <c r="AO41" s="1021"/>
    </row>
    <row r="42" spans="2:50" ht="15" thickBot="1">
      <c r="B42" s="1014" t="s">
        <v>728</v>
      </c>
      <c r="K42" s="1021"/>
      <c r="L42" s="1021"/>
      <c r="M42" s="1021"/>
      <c r="N42" s="1021"/>
      <c r="O42" s="1021"/>
      <c r="P42" s="1021"/>
      <c r="Q42" s="1021"/>
      <c r="R42" s="1021"/>
      <c r="S42" s="1021"/>
      <c r="T42" s="1021"/>
      <c r="U42" s="1021"/>
      <c r="V42" s="1021"/>
      <c r="W42" s="1021"/>
      <c r="X42" s="1021"/>
      <c r="Y42" s="1021"/>
      <c r="Z42" s="1021"/>
      <c r="AA42" s="1021"/>
      <c r="AB42" s="1021"/>
      <c r="AC42" s="1021"/>
      <c r="AD42" s="1021"/>
      <c r="AE42" s="1021"/>
      <c r="AF42" s="1021"/>
      <c r="AG42" s="1021"/>
      <c r="AH42" s="1021"/>
      <c r="AI42" s="1021"/>
      <c r="AJ42" s="1021"/>
      <c r="AK42" s="1021"/>
      <c r="AL42" s="1021"/>
      <c r="AM42" s="1021"/>
      <c r="AN42" s="1021"/>
      <c r="AO42" s="1021"/>
    </row>
    <row r="43" spans="2:50">
      <c r="B43" s="49" t="s">
        <v>614</v>
      </c>
      <c r="C43" s="49"/>
      <c r="D43" s="49"/>
      <c r="E43" s="49">
        <v>0</v>
      </c>
      <c r="F43" s="50">
        <v>5</v>
      </c>
      <c r="G43" s="49"/>
      <c r="H43" s="49"/>
      <c r="I43" s="49"/>
      <c r="J43" s="982"/>
      <c r="K43" s="1022">
        <v>12</v>
      </c>
      <c r="L43" s="1023"/>
      <c r="M43" s="1023"/>
      <c r="N43" s="1023"/>
      <c r="O43" s="1023"/>
      <c r="P43" s="1024">
        <v>18</v>
      </c>
      <c r="Q43" s="1023"/>
      <c r="R43" s="1023"/>
      <c r="S43" s="1023"/>
      <c r="T43" s="1023"/>
      <c r="U43" s="1024">
        <v>25</v>
      </c>
      <c r="V43" s="1023"/>
      <c r="W43" s="1023"/>
      <c r="X43" s="1023"/>
      <c r="Y43" s="1023"/>
      <c r="Z43" s="1024">
        <v>31</v>
      </c>
      <c r="AA43" s="1023"/>
      <c r="AB43" s="1023"/>
      <c r="AC43" s="1023"/>
      <c r="AD43" s="1023"/>
      <c r="AE43" s="1024">
        <v>34</v>
      </c>
      <c r="AF43" s="1023"/>
      <c r="AG43" s="1023"/>
      <c r="AH43" s="1023"/>
      <c r="AI43" s="1023"/>
      <c r="AJ43" s="1024">
        <v>35</v>
      </c>
      <c r="AK43" s="1023"/>
      <c r="AL43" s="1023"/>
      <c r="AM43" s="1023"/>
      <c r="AN43" s="1023"/>
      <c r="AO43" s="1025">
        <v>35</v>
      </c>
    </row>
    <row r="44" spans="2:50">
      <c r="B44" s="49" t="s">
        <v>615</v>
      </c>
      <c r="C44" s="49"/>
      <c r="D44" s="49">
        <v>0</v>
      </c>
      <c r="E44" s="49">
        <v>1</v>
      </c>
      <c r="F44" s="50">
        <v>40</v>
      </c>
      <c r="G44" s="49"/>
      <c r="H44" s="49"/>
      <c r="I44" s="49"/>
      <c r="J44" s="982"/>
      <c r="K44" s="1026">
        <v>140</v>
      </c>
      <c r="L44" s="1020"/>
      <c r="M44" s="1020"/>
      <c r="N44" s="1020"/>
      <c r="O44" s="1020"/>
      <c r="P44" s="1019">
        <v>240</v>
      </c>
      <c r="Q44" s="1020"/>
      <c r="R44" s="1020"/>
      <c r="S44" s="1020"/>
      <c r="T44" s="1020"/>
      <c r="U44" s="1019">
        <v>365</v>
      </c>
      <c r="V44" s="1020"/>
      <c r="W44" s="1020"/>
      <c r="X44" s="1020"/>
      <c r="Y44" s="1020"/>
      <c r="Z44" s="1019">
        <v>489</v>
      </c>
      <c r="AA44" s="1020"/>
      <c r="AB44" s="1020"/>
      <c r="AC44" s="1020"/>
      <c r="AD44" s="1020"/>
      <c r="AE44" s="1019">
        <v>604</v>
      </c>
      <c r="AF44" s="1020"/>
      <c r="AG44" s="1020"/>
      <c r="AH44" s="1020"/>
      <c r="AI44" s="1020"/>
      <c r="AJ44" s="1019">
        <v>691</v>
      </c>
      <c r="AK44" s="1020"/>
      <c r="AL44" s="1020"/>
      <c r="AM44" s="1020"/>
      <c r="AN44" s="1020"/>
      <c r="AO44" s="1027">
        <v>779</v>
      </c>
    </row>
    <row r="45" spans="2:50">
      <c r="B45" s="49" t="s">
        <v>709</v>
      </c>
      <c r="C45" s="49"/>
      <c r="D45" s="49">
        <v>149</v>
      </c>
      <c r="E45" s="49">
        <v>108</v>
      </c>
      <c r="F45" s="49">
        <v>88</v>
      </c>
      <c r="G45" s="49"/>
      <c r="H45" s="49"/>
      <c r="I45" s="49"/>
      <c r="J45" s="982"/>
      <c r="K45" s="1028">
        <v>0</v>
      </c>
      <c r="L45" s="1020"/>
      <c r="M45" s="1020"/>
      <c r="N45" s="1020"/>
      <c r="O45" s="1020"/>
      <c r="P45" s="1020">
        <v>0</v>
      </c>
      <c r="Q45" s="1020"/>
      <c r="R45" s="1020"/>
      <c r="S45" s="1020"/>
      <c r="T45" s="1020"/>
      <c r="U45" s="1020">
        <v>0</v>
      </c>
      <c r="V45" s="1020"/>
      <c r="W45" s="1020"/>
      <c r="X45" s="1020"/>
      <c r="Y45" s="1020"/>
      <c r="Z45" s="1020">
        <v>0</v>
      </c>
      <c r="AA45" s="1020"/>
      <c r="AB45" s="1020"/>
      <c r="AC45" s="1020"/>
      <c r="AD45" s="1020"/>
      <c r="AE45" s="1020">
        <v>0</v>
      </c>
      <c r="AF45" s="1020"/>
      <c r="AG45" s="1020"/>
      <c r="AH45" s="1020"/>
      <c r="AI45" s="1020"/>
      <c r="AJ45" s="1020">
        <v>0</v>
      </c>
      <c r="AK45" s="1020"/>
      <c r="AL45" s="1020"/>
      <c r="AM45" s="1020"/>
      <c r="AN45" s="1020"/>
      <c r="AO45" s="1027">
        <v>0</v>
      </c>
    </row>
    <row r="46" spans="2:50">
      <c r="B46" s="49" t="s">
        <v>710</v>
      </c>
      <c r="C46" s="49"/>
      <c r="D46" s="49">
        <v>189</v>
      </c>
      <c r="E46" s="49">
        <v>223</v>
      </c>
      <c r="F46" s="49">
        <v>245</v>
      </c>
      <c r="G46" s="49"/>
      <c r="H46" s="49"/>
      <c r="I46" s="49"/>
      <c r="J46" s="982"/>
      <c r="K46" s="1028">
        <v>289</v>
      </c>
      <c r="L46" s="1020"/>
      <c r="M46" s="1020"/>
      <c r="N46" s="1020"/>
      <c r="O46" s="1020"/>
      <c r="P46" s="1020">
        <v>233</v>
      </c>
      <c r="Q46" s="1020"/>
      <c r="R46" s="1020"/>
      <c r="S46" s="1020"/>
      <c r="T46" s="1020"/>
      <c r="U46" s="1020">
        <v>165</v>
      </c>
      <c r="V46" s="1020"/>
      <c r="W46" s="1020"/>
      <c r="X46" s="1020"/>
      <c r="Y46" s="1020"/>
      <c r="Z46" s="1020">
        <v>103</v>
      </c>
      <c r="AA46" s="1020"/>
      <c r="AB46" s="1020"/>
      <c r="AC46" s="1020"/>
      <c r="AD46" s="1020"/>
      <c r="AE46" s="1020">
        <v>52</v>
      </c>
      <c r="AF46" s="1020"/>
      <c r="AG46" s="1020"/>
      <c r="AH46" s="1020"/>
      <c r="AI46" s="1020"/>
      <c r="AJ46" s="1020">
        <v>29</v>
      </c>
      <c r="AK46" s="1020"/>
      <c r="AL46" s="1020"/>
      <c r="AM46" s="1020"/>
      <c r="AN46" s="1020"/>
      <c r="AO46" s="1027">
        <v>15</v>
      </c>
    </row>
    <row r="47" spans="2:50" ht="15" thickBot="1">
      <c r="B47" s="49" t="s">
        <v>729</v>
      </c>
      <c r="C47" s="49"/>
      <c r="D47" s="49" t="s">
        <v>680</v>
      </c>
      <c r="E47" s="49" t="s">
        <v>680</v>
      </c>
      <c r="F47" s="49">
        <v>0</v>
      </c>
      <c r="G47" s="49"/>
      <c r="H47" s="49"/>
      <c r="I47" s="49"/>
      <c r="J47" s="982"/>
      <c r="K47" s="1029">
        <v>0</v>
      </c>
      <c r="L47" s="1030"/>
      <c r="M47" s="1030"/>
      <c r="N47" s="1030"/>
      <c r="O47" s="1030"/>
      <c r="P47" s="1030">
        <v>12</v>
      </c>
      <c r="Q47" s="1030"/>
      <c r="R47" s="1030"/>
      <c r="S47" s="1030"/>
      <c r="T47" s="1030"/>
      <c r="U47" s="1030">
        <v>40</v>
      </c>
      <c r="V47" s="1030"/>
      <c r="W47" s="1030"/>
      <c r="X47" s="1030"/>
      <c r="Y47" s="1030"/>
      <c r="Z47" s="1030">
        <v>78</v>
      </c>
      <c r="AA47" s="1030"/>
      <c r="AB47" s="1030"/>
      <c r="AC47" s="1030"/>
      <c r="AD47" s="1030"/>
      <c r="AE47" s="1030">
        <v>127</v>
      </c>
      <c r="AF47" s="1030"/>
      <c r="AG47" s="1030"/>
      <c r="AH47" s="1030"/>
      <c r="AI47" s="1030"/>
      <c r="AJ47" s="1030">
        <v>183</v>
      </c>
      <c r="AK47" s="1030"/>
      <c r="AL47" s="1030"/>
      <c r="AM47" s="1030"/>
      <c r="AN47" s="1030"/>
      <c r="AO47" s="1031">
        <v>237</v>
      </c>
    </row>
  </sheetData>
  <phoneticPr fontId="37" type="noConversion"/>
  <pageMargins left="0.7" right="0.7" top="0.75" bottom="0.75" header="0.3" footer="0.3"/>
  <pageSetup orientation="portrait" r:id="rId1"/>
  <headerFooter>
    <oddFooter>&amp;C&amp;1#&amp;"Calibri"&amp;14&amp;K008000Classification: General Use</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9" tint="0.39997558519241921"/>
  </sheetPr>
  <dimension ref="A1:AG38"/>
  <sheetViews>
    <sheetView zoomScale="85" zoomScaleNormal="85" workbookViewId="0">
      <selection activeCell="H17" sqref="H17"/>
    </sheetView>
  </sheetViews>
  <sheetFormatPr defaultColWidth="9.1796875" defaultRowHeight="14.5"/>
  <cols>
    <col min="1" max="1" width="9.1796875" style="109"/>
    <col min="2" max="2" width="12.54296875" style="109" customWidth="1"/>
    <col min="3" max="3" width="27.26953125" style="109" bestFit="1" customWidth="1"/>
    <col min="4" max="4" width="14.1796875" style="109" bestFit="1" customWidth="1"/>
    <col min="5" max="5" width="12" style="109" customWidth="1"/>
    <col min="6" max="6" width="12.453125" style="109" bestFit="1" customWidth="1"/>
    <col min="7" max="7" width="11.7265625" style="109" bestFit="1" customWidth="1"/>
    <col min="8" max="8" width="12.1796875" style="109" bestFit="1" customWidth="1"/>
    <col min="9" max="9" width="11.81640625" style="109" customWidth="1"/>
    <col min="10" max="10" width="13.81640625" style="109" customWidth="1"/>
    <col min="11" max="11" width="12.1796875" style="109" bestFit="1" customWidth="1"/>
    <col min="12" max="12" width="11.1796875" style="109" customWidth="1"/>
    <col min="13" max="13" width="9.81640625" style="109" customWidth="1"/>
    <col min="14" max="14" width="13.26953125" style="109" bestFit="1" customWidth="1"/>
    <col min="15" max="15" width="12.1796875" style="109" bestFit="1" customWidth="1"/>
    <col min="16" max="16" width="4.81640625" style="109" bestFit="1" customWidth="1"/>
    <col min="17" max="17" width="9.1796875" style="109"/>
    <col min="18" max="18" width="13.26953125" style="109" bestFit="1" customWidth="1"/>
    <col min="19" max="19" width="9.1796875" style="109"/>
    <col min="20" max="20" width="19.7265625" style="109" customWidth="1"/>
    <col min="21" max="33" width="9.26953125" style="109" bestFit="1" customWidth="1"/>
    <col min="34" max="16384" width="9.1796875" style="109"/>
  </cols>
  <sheetData>
    <row r="1" spans="1:33">
      <c r="A1" s="397" t="s">
        <v>334</v>
      </c>
    </row>
    <row r="2" spans="1:33">
      <c r="B2" s="1292" t="s">
        <v>335</v>
      </c>
      <c r="C2" s="1293"/>
      <c r="D2" s="1293"/>
      <c r="E2" s="1293"/>
      <c r="F2" s="1294"/>
    </row>
    <row r="3" spans="1:33" s="298" customFormat="1">
      <c r="B3" s="377" t="s">
        <v>336</v>
      </c>
      <c r="C3" s="378" t="s">
        <v>24</v>
      </c>
      <c r="D3" s="379" t="s">
        <v>23</v>
      </c>
      <c r="E3" s="379" t="s">
        <v>337</v>
      </c>
      <c r="F3" s="379" t="s">
        <v>21</v>
      </c>
      <c r="G3" s="379" t="s">
        <v>331</v>
      </c>
      <c r="H3" s="380" t="s">
        <v>22</v>
      </c>
    </row>
    <row r="4" spans="1:33" s="298" customFormat="1">
      <c r="B4" s="381" t="s">
        <v>338</v>
      </c>
      <c r="C4" s="408">
        <v>2210.9452323470255</v>
      </c>
      <c r="D4" s="409">
        <v>2144.9403264464181</v>
      </c>
      <c r="E4" s="409">
        <v>2134.1134851493239</v>
      </c>
      <c r="F4" s="409">
        <v>2092.1274547953376</v>
      </c>
      <c r="G4" s="409">
        <v>2256.7533827470443</v>
      </c>
      <c r="H4" s="410">
        <v>1610.0175957278645</v>
      </c>
    </row>
    <row r="5" spans="1:33" s="298" customFormat="1">
      <c r="B5" s="382" t="s">
        <v>339</v>
      </c>
      <c r="C5" s="383">
        <v>2306.2242251527473</v>
      </c>
      <c r="D5" s="384">
        <v>2235.0127325108774</v>
      </c>
      <c r="E5" s="384">
        <v>2224.4757550357235</v>
      </c>
      <c r="F5" s="384">
        <v>2178.2796273158779</v>
      </c>
      <c r="G5" s="384">
        <v>2354.8332794597059</v>
      </c>
      <c r="H5" s="385">
        <v>1805.3946248678476</v>
      </c>
    </row>
    <row r="7" spans="1:33">
      <c r="A7" s="397" t="s">
        <v>340</v>
      </c>
    </row>
    <row r="8" spans="1:33">
      <c r="B8" s="1295" t="s">
        <v>19</v>
      </c>
      <c r="C8" s="1296"/>
      <c r="D8" s="1296"/>
      <c r="E8" s="1296"/>
      <c r="F8" s="1296"/>
      <c r="G8" s="1296"/>
      <c r="H8" s="1296"/>
    </row>
    <row r="9" spans="1:33" s="298" customFormat="1">
      <c r="B9" s="386" t="s">
        <v>336</v>
      </c>
      <c r="C9" s="378" t="s">
        <v>24</v>
      </c>
      <c r="D9" s="379" t="s">
        <v>23</v>
      </c>
      <c r="E9" s="379" t="s">
        <v>337</v>
      </c>
      <c r="F9" s="379" t="s">
        <v>21</v>
      </c>
      <c r="G9" s="379" t="s">
        <v>331</v>
      </c>
      <c r="H9" s="379" t="s">
        <v>22</v>
      </c>
      <c r="I9" s="109"/>
      <c r="J9" s="109"/>
      <c r="K9" s="109"/>
      <c r="L9" s="109"/>
      <c r="M9" s="109"/>
      <c r="N9" s="109"/>
    </row>
    <row r="10" spans="1:33" s="298" customFormat="1">
      <c r="B10" s="386" t="s">
        <v>338</v>
      </c>
      <c r="C10" s="405">
        <v>116.99335226866604</v>
      </c>
      <c r="D10" s="406">
        <v>113.50066728746123</v>
      </c>
      <c r="E10" s="406">
        <v>112.92775917589947</v>
      </c>
      <c r="F10" s="406">
        <v>110.70604587079252</v>
      </c>
      <c r="G10" s="406">
        <v>119.4173151050998</v>
      </c>
      <c r="H10" s="407">
        <v>85.194944216572665</v>
      </c>
    </row>
    <row r="11" spans="1:33" s="298" customFormat="1">
      <c r="B11" s="381" t="s">
        <v>20</v>
      </c>
      <c r="C11" s="387">
        <v>179.73225044420704</v>
      </c>
      <c r="D11" s="388">
        <v>174.19718912990427</v>
      </c>
      <c r="E11" s="388">
        <v>173.37159130110956</v>
      </c>
      <c r="F11" s="388">
        <v>168.36563870386371</v>
      </c>
      <c r="G11" s="388">
        <v>182.5357750012719</v>
      </c>
      <c r="H11" s="389">
        <v>142.98898635562713</v>
      </c>
    </row>
    <row r="12" spans="1:33" s="298" customFormat="1">
      <c r="B12" s="382" t="s">
        <v>339</v>
      </c>
      <c r="C12" s="383">
        <v>122.03509125245181</v>
      </c>
      <c r="D12" s="384">
        <v>118.26689694245054</v>
      </c>
      <c r="E12" s="384">
        <v>117.70932713042576</v>
      </c>
      <c r="F12" s="384">
        <v>115.26483426606126</v>
      </c>
      <c r="G12" s="384">
        <v>124.60726542068188</v>
      </c>
      <c r="H12" s="385">
        <v>95.533424456079018</v>
      </c>
      <c r="I12" s="390"/>
      <c r="J12" s="390"/>
      <c r="K12" s="390"/>
      <c r="L12" s="390"/>
      <c r="M12" s="390"/>
      <c r="N12" s="390"/>
    </row>
    <row r="13" spans="1:33" s="298" customFormat="1"/>
    <row r="14" spans="1:33" ht="15" thickBot="1">
      <c r="C14" s="1297" t="s">
        <v>258</v>
      </c>
      <c r="D14" s="1297"/>
      <c r="E14" s="1297"/>
      <c r="F14" s="1297"/>
      <c r="G14" s="1297"/>
      <c r="H14" s="1297"/>
      <c r="I14" s="1297"/>
      <c r="J14" s="1297"/>
      <c r="K14" s="1297"/>
    </row>
    <row r="15" spans="1:33" ht="59.65" customHeight="1" thickTop="1" thickBot="1">
      <c r="C15" s="391" t="s">
        <v>25</v>
      </c>
      <c r="E15" s="392" t="s">
        <v>26</v>
      </c>
      <c r="F15" s="392" t="s">
        <v>28</v>
      </c>
      <c r="G15" s="392" t="s">
        <v>30</v>
      </c>
      <c r="H15" s="392" t="s">
        <v>32</v>
      </c>
      <c r="I15" s="392" t="s">
        <v>34</v>
      </c>
      <c r="J15" s="393" t="s">
        <v>39</v>
      </c>
      <c r="K15" s="392" t="s">
        <v>34</v>
      </c>
      <c r="L15" s="109" t="s">
        <v>333</v>
      </c>
      <c r="T15" s="1291" t="s">
        <v>266</v>
      </c>
      <c r="U15" s="1291"/>
      <c r="V15" s="1291"/>
      <c r="W15" s="1291"/>
      <c r="X15" s="1291"/>
      <c r="Y15" s="1291"/>
      <c r="Z15" s="1291"/>
      <c r="AA15" s="1291"/>
      <c r="AB15" s="1291"/>
      <c r="AC15" s="1291"/>
      <c r="AD15" s="1291"/>
      <c r="AE15" s="1291"/>
      <c r="AF15" s="1291"/>
      <c r="AG15" s="1291"/>
    </row>
    <row r="16" spans="1:33" ht="15.5" thickTop="1" thickBot="1">
      <c r="C16" s="391"/>
      <c r="E16" s="392" t="s">
        <v>27</v>
      </c>
      <c r="F16" s="392" t="s">
        <v>29</v>
      </c>
      <c r="G16" s="392" t="s">
        <v>31</v>
      </c>
      <c r="H16" s="392" t="s">
        <v>33</v>
      </c>
      <c r="I16" s="392" t="s">
        <v>35</v>
      </c>
      <c r="J16" s="393" t="s">
        <v>40</v>
      </c>
      <c r="K16" s="392" t="s">
        <v>47</v>
      </c>
      <c r="T16" s="117" t="s">
        <v>253</v>
      </c>
      <c r="U16" s="117">
        <v>2018</v>
      </c>
      <c r="V16" s="117">
        <v>2019</v>
      </c>
      <c r="W16" s="117">
        <v>2020</v>
      </c>
      <c r="X16" s="117">
        <v>2021</v>
      </c>
      <c r="Y16" s="117">
        <v>2022</v>
      </c>
      <c r="Z16" s="117">
        <v>2023</v>
      </c>
      <c r="AA16" s="117">
        <v>2024</v>
      </c>
      <c r="AB16" s="117">
        <v>2025</v>
      </c>
      <c r="AC16" s="117">
        <v>2026</v>
      </c>
      <c r="AD16" s="117">
        <v>2027</v>
      </c>
      <c r="AE16" s="117">
        <v>2028</v>
      </c>
      <c r="AF16" s="117">
        <v>2029</v>
      </c>
      <c r="AG16" s="117">
        <v>2030</v>
      </c>
    </row>
    <row r="17" spans="3:33" ht="15" thickTop="1">
      <c r="C17" s="391">
        <v>2</v>
      </c>
      <c r="D17" s="109" t="str">
        <f>'[1]Class 8 Day-cab Trucks'!$C$86</f>
        <v>NMC811</v>
      </c>
      <c r="E17" s="398">
        <f>[1]MHDV_Inputs!$I$112</f>
        <v>179.73225044420704</v>
      </c>
      <c r="F17" s="398"/>
      <c r="G17" s="398">
        <f>[1]MHDV_Inputs!$C$88</f>
        <v>1229.0905077944051</v>
      </c>
      <c r="H17" s="398">
        <f>N17</f>
        <v>102786573.71517392</v>
      </c>
      <c r="I17" s="398">
        <f>H17/G17</f>
        <v>83628.156806469648</v>
      </c>
      <c r="J17" s="399" t="e">
        <f>HLOOKUP('TCO Calculation'!$B$8, 'GHG Battery '!$U$16:$AG$19, 'GHG Battery '!$C17, FALSE)</f>
        <v>#N/A</v>
      </c>
      <c r="K17" s="109">
        <f>I17*E17/1000</f>
        <v>15030.67682332782</v>
      </c>
      <c r="L17" s="109">
        <v>1</v>
      </c>
      <c r="N17" s="394">
        <v>102786573.71517392</v>
      </c>
      <c r="T17" s="395" t="s">
        <v>254</v>
      </c>
      <c r="U17" s="117">
        <v>242</v>
      </c>
      <c r="V17" s="117">
        <v>198</v>
      </c>
      <c r="W17" s="117">
        <v>173</v>
      </c>
      <c r="X17" s="117">
        <v>170</v>
      </c>
      <c r="Y17" s="117">
        <v>214</v>
      </c>
      <c r="Z17" s="117">
        <v>172</v>
      </c>
      <c r="AA17" s="117">
        <v>158</v>
      </c>
      <c r="AB17" s="117">
        <v>142</v>
      </c>
      <c r="AC17" s="117">
        <v>135</v>
      </c>
      <c r="AD17" s="117">
        <v>129</v>
      </c>
      <c r="AE17" s="117">
        <v>126</v>
      </c>
      <c r="AF17" s="117">
        <v>126</v>
      </c>
      <c r="AG17" s="117">
        <v>123</v>
      </c>
    </row>
    <row r="18" spans="3:33">
      <c r="C18" s="391"/>
      <c r="D18" s="109" t="str">
        <f>'[1]Class 8 Day-cab Trucks'!$D$86</f>
        <v>NMC622</v>
      </c>
      <c r="E18" s="398">
        <f>[1]MHDV_Inputs!$J$112</f>
        <v>174.19718912990427</v>
      </c>
      <c r="F18" s="398"/>
      <c r="G18" s="398">
        <f>G17</f>
        <v>1229.0905077944051</v>
      </c>
      <c r="H18" s="398">
        <f>N19</f>
        <v>104037510.72851774</v>
      </c>
      <c r="I18" s="398">
        <f>H18/G18</f>
        <v>84645.931336018839</v>
      </c>
      <c r="J18" s="399" t="e">
        <f>HLOOKUP('TCO Calculation'!$B$8, 'GHG Battery '!$U$16:$AG$19, 'GHG Battery '!$C18, FALSE)</f>
        <v>#N/A</v>
      </c>
      <c r="L18" s="109">
        <v>2</v>
      </c>
      <c r="T18" s="395" t="s">
        <v>255</v>
      </c>
      <c r="U18" s="117">
        <v>186</v>
      </c>
      <c r="V18" s="117">
        <v>152</v>
      </c>
      <c r="W18" s="117">
        <v>134</v>
      </c>
      <c r="X18" s="117">
        <v>132</v>
      </c>
      <c r="Y18" s="117">
        <v>182</v>
      </c>
      <c r="Z18" s="117">
        <v>141</v>
      </c>
      <c r="AA18" s="117">
        <v>129</v>
      </c>
      <c r="AB18" s="117">
        <v>123</v>
      </c>
      <c r="AC18" s="117">
        <v>118</v>
      </c>
      <c r="AD18" s="117">
        <v>113</v>
      </c>
      <c r="AE18" s="117">
        <v>111</v>
      </c>
      <c r="AF18" s="117">
        <v>112</v>
      </c>
      <c r="AG18" s="117">
        <v>109</v>
      </c>
    </row>
    <row r="19" spans="3:33">
      <c r="C19" s="391"/>
      <c r="D19" s="109" t="str">
        <f>'[1]Class 8 Day-cab Trucks'!$E$86</f>
        <v>NMC532</v>
      </c>
      <c r="E19" s="398">
        <f>[1]MHDV_Inputs!$K$112</f>
        <v>173.37159130110956</v>
      </c>
      <c r="F19" s="398"/>
      <c r="G19" s="398">
        <f>G18</f>
        <v>1229.0905077944051</v>
      </c>
      <c r="H19" s="398">
        <f>N20</f>
        <v>103212388.54595302</v>
      </c>
      <c r="I19" s="398">
        <f>H19/G19</f>
        <v>83974.603897289038</v>
      </c>
      <c r="J19" s="399" t="e">
        <f>HLOOKUP('TCO Calculation'!$B$8, 'GHG Battery '!$U$16:$AG$19, 'GHG Battery '!$C19, FALSE)</f>
        <v>#N/A</v>
      </c>
      <c r="K19" s="109">
        <f>I19*E19/1000</f>
        <v>14558.810706553357</v>
      </c>
      <c r="L19" s="109">
        <v>3</v>
      </c>
      <c r="N19" s="109">
        <v>104037510.72851774</v>
      </c>
      <c r="T19" s="395" t="s">
        <v>256</v>
      </c>
      <c r="U19" s="117">
        <v>162</v>
      </c>
      <c r="V19" s="117">
        <v>138</v>
      </c>
      <c r="W19" s="117">
        <v>125</v>
      </c>
      <c r="X19" s="117">
        <v>120</v>
      </c>
      <c r="Y19" s="117">
        <v>145</v>
      </c>
      <c r="Z19" s="117">
        <v>116</v>
      </c>
      <c r="AA19" s="117">
        <v>111</v>
      </c>
      <c r="AB19" s="117">
        <v>105</v>
      </c>
      <c r="AC19" s="117">
        <v>101</v>
      </c>
      <c r="AD19" s="117">
        <v>97</v>
      </c>
      <c r="AE19" s="117">
        <v>96</v>
      </c>
      <c r="AF19" s="117">
        <v>95</v>
      </c>
      <c r="AG19" s="117">
        <v>94</v>
      </c>
    </row>
    <row r="20" spans="3:33">
      <c r="C20" s="391"/>
      <c r="D20" s="109" t="str">
        <f>'[1]Class 8 Day-cab Trucks'!$F$86</f>
        <v>NMC111</v>
      </c>
      <c r="E20" s="398">
        <f>[1]MHDV_Inputs!$L$112</f>
        <v>168.36563870386371</v>
      </c>
      <c r="F20" s="398"/>
      <c r="G20" s="398">
        <f>G19</f>
        <v>1229.0905077944051</v>
      </c>
      <c r="H20" s="398">
        <f>N21</f>
        <v>106721118.61500351</v>
      </c>
      <c r="I20" s="398">
        <f>H20/G20</f>
        <v>86829.340832282454</v>
      </c>
      <c r="J20" s="399" t="e">
        <f>HLOOKUP('TCO Calculation'!$B$8, 'GHG Battery '!$U$16:$AG$19, 'GHG Battery '!$C20, FALSE)</f>
        <v>#N/A</v>
      </c>
      <c r="K20" s="109">
        <f>I20*E20/1000</f>
        <v>14619.077427462707</v>
      </c>
      <c r="L20" s="109">
        <v>4</v>
      </c>
      <c r="N20" s="109">
        <v>103212388.54595302</v>
      </c>
      <c r="T20" s="117"/>
      <c r="U20" s="117"/>
      <c r="V20" s="117"/>
      <c r="W20" s="117"/>
      <c r="X20" s="117"/>
      <c r="Y20" s="117"/>
      <c r="Z20" s="117"/>
      <c r="AA20" s="117"/>
      <c r="AB20" s="117"/>
      <c r="AC20" s="117"/>
      <c r="AD20" s="117"/>
      <c r="AE20" s="117"/>
      <c r="AF20" s="117"/>
      <c r="AG20" s="117"/>
    </row>
    <row r="21" spans="3:33">
      <c r="C21" s="391"/>
      <c r="D21" s="109" t="s">
        <v>331</v>
      </c>
      <c r="E21" s="398">
        <f>[1]MHDV_Inputs!$M$112</f>
        <v>0</v>
      </c>
      <c r="F21" s="398"/>
      <c r="G21" s="398">
        <f>G20</f>
        <v>1229.0905077944051</v>
      </c>
      <c r="H21" s="398">
        <f>H17</f>
        <v>102786573.71517392</v>
      </c>
      <c r="I21" s="398">
        <f>I17</f>
        <v>83628.156806469648</v>
      </c>
      <c r="J21" s="399" t="e">
        <f>HLOOKUP('TCO Calculation'!$B$8, 'GHG Battery '!$U$16:$AG$19, 'GHG Battery '!$C21, FALSE)</f>
        <v>#N/A</v>
      </c>
      <c r="L21" s="109">
        <v>5</v>
      </c>
      <c r="N21" s="109">
        <v>106721118.61500351</v>
      </c>
    </row>
    <row r="22" spans="3:33">
      <c r="C22" s="391">
        <v>4</v>
      </c>
      <c r="D22" s="109" t="s">
        <v>22</v>
      </c>
      <c r="E22" s="398">
        <f>'[1]Class 8 Sleeper-cab Trucks'!$H$94</f>
        <v>142.98898635562713</v>
      </c>
      <c r="F22" s="398"/>
      <c r="G22" s="398">
        <f>G20</f>
        <v>1229.0905077944051</v>
      </c>
      <c r="H22" s="398"/>
      <c r="I22" s="398">
        <v>50000</v>
      </c>
      <c r="J22" s="399" t="e">
        <f>HLOOKUP('TCO Calculation'!$B$8, 'GHG Battery '!$U$16:$AG$19, 'GHG Battery '!$C22, FALSE)</f>
        <v>#N/A</v>
      </c>
      <c r="K22" s="109">
        <f>I22*E22/1000</f>
        <v>7149.4493177813574</v>
      </c>
      <c r="L22" s="109">
        <v>6</v>
      </c>
    </row>
    <row r="23" spans="3:33">
      <c r="C23" s="391">
        <v>9</v>
      </c>
    </row>
    <row r="24" spans="3:33">
      <c r="C24" s="396">
        <v>10</v>
      </c>
      <c r="D24" s="109" t="s">
        <v>46</v>
      </c>
      <c r="K24" s="109">
        <v>2532</v>
      </c>
    </row>
    <row r="28" spans="3:33" ht="15" thickBot="1">
      <c r="C28" s="1297" t="s">
        <v>287</v>
      </c>
      <c r="D28" s="1297"/>
      <c r="E28" s="1297"/>
      <c r="F28" s="1297"/>
      <c r="G28" s="1297"/>
      <c r="H28" s="1297"/>
      <c r="I28" s="1297"/>
      <c r="J28" s="1297"/>
      <c r="K28" s="1297"/>
    </row>
    <row r="29" spans="3:33" ht="59" thickTop="1" thickBot="1">
      <c r="C29" s="391" t="s">
        <v>25</v>
      </c>
      <c r="E29" s="392" t="s">
        <v>26</v>
      </c>
      <c r="F29" s="392" t="s">
        <v>28</v>
      </c>
      <c r="G29" s="392" t="s">
        <v>30</v>
      </c>
      <c r="H29" s="392" t="s">
        <v>32</v>
      </c>
      <c r="I29" s="392" t="s">
        <v>34</v>
      </c>
      <c r="J29" s="393" t="s">
        <v>39</v>
      </c>
      <c r="K29" s="392" t="s">
        <v>34</v>
      </c>
      <c r="L29" s="109" t="s">
        <v>333</v>
      </c>
    </row>
    <row r="30" spans="3:33" ht="15.5" thickTop="1" thickBot="1">
      <c r="C30" s="391"/>
      <c r="E30" s="392" t="s">
        <v>27</v>
      </c>
      <c r="F30" s="392" t="s">
        <v>29</v>
      </c>
      <c r="G30" s="392" t="s">
        <v>31</v>
      </c>
      <c r="H30" s="392" t="s">
        <v>33</v>
      </c>
      <c r="I30" s="392" t="s">
        <v>35</v>
      </c>
      <c r="J30" s="393" t="s">
        <v>40</v>
      </c>
      <c r="K30" s="392" t="s">
        <v>47</v>
      </c>
    </row>
    <row r="31" spans="3:33" ht="15" thickTop="1">
      <c r="C31" s="391">
        <v>1</v>
      </c>
      <c r="D31" s="109" t="str">
        <f>'[1]Class 8 Day-cab Trucks'!$C$86</f>
        <v>NMC811</v>
      </c>
      <c r="E31" s="398">
        <f>'[1]Class 8 Sleeper-cab Trucks'!$C$95</f>
        <v>122.03509125245181</v>
      </c>
      <c r="F31" s="398">
        <f>'[1]Class 8 Day-cab Trucks'!$C$88</f>
        <v>1912.5918063979989</v>
      </c>
      <c r="G31" s="398">
        <f>[1]MHDV_Inputs!$C$88</f>
        <v>1229.0905077944051</v>
      </c>
      <c r="H31" s="398">
        <f>R31</f>
        <v>0</v>
      </c>
      <c r="I31" s="398">
        <f>H31/G31</f>
        <v>0</v>
      </c>
      <c r="J31" s="399">
        <v>0</v>
      </c>
      <c r="K31" s="109">
        <f>I31*E31/1000</f>
        <v>0</v>
      </c>
      <c r="L31" s="109">
        <v>1</v>
      </c>
    </row>
    <row r="32" spans="3:33">
      <c r="C32" s="391">
        <v>2</v>
      </c>
      <c r="D32" s="109" t="str">
        <f>'[1]Class 8 Day-cab Trucks'!$D$86</f>
        <v>NMC622</v>
      </c>
      <c r="E32" s="398">
        <f>'[1]Class 8 Sleeper-cab Trucks'!$D$95</f>
        <v>118.26689694245054</v>
      </c>
      <c r="F32" s="398">
        <f>'[1]Class 8 Day-cab Trucks'!$D$88</f>
        <v>1872.7324428478357</v>
      </c>
      <c r="G32" s="398">
        <f>G31</f>
        <v>1229.0905077944051</v>
      </c>
      <c r="H32" s="398">
        <f>R32</f>
        <v>0</v>
      </c>
      <c r="I32" s="398">
        <f>H32/G32</f>
        <v>0</v>
      </c>
      <c r="J32" s="399" t="e">
        <f>HLOOKUP('TCO Calculation'!$B$8, 'GHG Battery '!$U$16:$AG$19, 'GHG Battery '!$C18, FALSE)</f>
        <v>#N/A</v>
      </c>
      <c r="L32" s="109">
        <v>2</v>
      </c>
    </row>
    <row r="33" spans="3:12">
      <c r="C33" s="391">
        <v>3</v>
      </c>
      <c r="D33" s="109" t="str">
        <f>'[1]Class 8 Day-cab Trucks'!$E$86</f>
        <v>NMC532</v>
      </c>
      <c r="E33" s="398">
        <f>'[1]Class 8 Sleeper-cab Trucks'!$E$95</f>
        <v>117.70932713042576</v>
      </c>
      <c r="F33" s="398">
        <f>'[1]Class 8 Day-cab Trucks'!$E$88</f>
        <v>1876.3821142466877</v>
      </c>
      <c r="G33" s="398">
        <f>G32</f>
        <v>1229.0905077944051</v>
      </c>
      <c r="H33" s="398">
        <f>R33</f>
        <v>0</v>
      </c>
      <c r="I33" s="398">
        <f>H33/G33</f>
        <v>0</v>
      </c>
      <c r="J33" s="399" t="e">
        <f>HLOOKUP('TCO Calculation'!$B$8, 'GHG Battery '!$U$16:$AG$19, 'GHG Battery '!$C19, FALSE)</f>
        <v>#N/A</v>
      </c>
      <c r="K33" s="109">
        <f>I33*E33/1000</f>
        <v>0</v>
      </c>
      <c r="L33" s="109">
        <v>3</v>
      </c>
    </row>
    <row r="34" spans="3:12">
      <c r="C34" s="391">
        <v>4</v>
      </c>
      <c r="D34" s="109" t="str">
        <f>'[1]Class 8 Day-cab Trucks'!$F$86</f>
        <v>NMC111</v>
      </c>
      <c r="E34" s="398">
        <f>'[1]Class 8 Sleeper-cab Trucks'!$F$95</f>
        <v>115.26483426606126</v>
      </c>
      <c r="F34" s="398">
        <f>'[1]Class 8 Day-cab Trucks'!$F$88</f>
        <v>1851.7548865327026</v>
      </c>
      <c r="G34" s="398">
        <f>G33</f>
        <v>1229.0905077944051</v>
      </c>
      <c r="H34" s="398">
        <f>R34</f>
        <v>0</v>
      </c>
      <c r="I34" s="398">
        <f>H34/G34</f>
        <v>0</v>
      </c>
      <c r="J34" s="399" t="e">
        <f>HLOOKUP('TCO Calculation'!$B$8, 'GHG Battery '!$U$16:$AG$19, 'GHG Battery '!$C20, FALSE)</f>
        <v>#N/A</v>
      </c>
      <c r="K34" s="109">
        <f>I34*E34/1000</f>
        <v>0</v>
      </c>
      <c r="L34" s="109">
        <v>4</v>
      </c>
    </row>
    <row r="35" spans="3:12">
      <c r="C35" s="391">
        <v>5</v>
      </c>
      <c r="D35" s="109" t="s">
        <v>331</v>
      </c>
      <c r="E35" s="398">
        <f>'[1]Class 8 Sleeper-cab Trucks'!$G$95</f>
        <v>124.60726542068188</v>
      </c>
      <c r="F35" s="398"/>
      <c r="G35" s="398"/>
      <c r="H35" s="398"/>
      <c r="I35" s="398"/>
      <c r="J35" s="399"/>
      <c r="L35" s="109">
        <v>5</v>
      </c>
    </row>
    <row r="36" spans="3:12">
      <c r="C36" s="391">
        <v>6</v>
      </c>
      <c r="D36" s="109" t="s">
        <v>22</v>
      </c>
      <c r="E36" s="398">
        <f>'[1]Class 8 Sleeper-cab Trucks'!$H$95</f>
        <v>95.533424456079018</v>
      </c>
      <c r="F36" s="398"/>
      <c r="G36" s="398">
        <f>G34</f>
        <v>1229.0905077944051</v>
      </c>
      <c r="H36" s="398"/>
      <c r="I36" s="398">
        <v>50000</v>
      </c>
      <c r="J36" s="399" t="e">
        <f>HLOOKUP('TCO Calculation'!$B$8, 'GHG Battery '!#REF!, 'GHG Battery '!$C35, FALSE)</f>
        <v>#REF!</v>
      </c>
      <c r="K36" s="109">
        <f>I36*E36/1000</f>
        <v>4776.6712228039514</v>
      </c>
      <c r="L36" s="109">
        <v>6</v>
      </c>
    </row>
    <row r="37" spans="3:12">
      <c r="C37" s="391">
        <v>9</v>
      </c>
    </row>
    <row r="38" spans="3:12">
      <c r="C38" s="396">
        <v>10</v>
      </c>
      <c r="D38" s="109" t="s">
        <v>46</v>
      </c>
      <c r="K38" s="109">
        <v>2532</v>
      </c>
    </row>
  </sheetData>
  <mergeCells count="5">
    <mergeCell ref="T15:AG15"/>
    <mergeCell ref="B2:F2"/>
    <mergeCell ref="B8:H8"/>
    <mergeCell ref="C28:K28"/>
    <mergeCell ref="C14:K14"/>
  </mergeCells>
  <phoneticPr fontId="37" type="noConversion"/>
  <pageMargins left="0.7" right="0.7" top="0.75" bottom="0.75" header="0.3" footer="0.3"/>
  <pageSetup orientation="portrait" r:id="rId1"/>
  <headerFooter>
    <oddFooter>&amp;C&amp;1#&amp;"Calibri"&amp;14&amp;K008000Classification: General Use</oddFooter>
  </headerFooter>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theme="9" tint="0.39997558519241921"/>
  </sheetPr>
  <dimension ref="A1:E58"/>
  <sheetViews>
    <sheetView zoomScale="85" zoomScaleNormal="85" workbookViewId="0">
      <selection activeCell="T42" sqref="T42"/>
    </sheetView>
  </sheetViews>
  <sheetFormatPr defaultColWidth="9.1796875" defaultRowHeight="14.5"/>
  <cols>
    <col min="1" max="1" width="36.453125" style="109" bestFit="1" customWidth="1"/>
    <col min="2" max="2" width="9.1796875" style="109"/>
    <col min="3" max="3" width="17.453125" style="109" customWidth="1"/>
    <col min="4" max="4" width="9.1796875" style="109" customWidth="1"/>
    <col min="5" max="16384" width="9.1796875" style="109"/>
  </cols>
  <sheetData>
    <row r="1" spans="1:3">
      <c r="A1" s="794" t="s">
        <v>675</v>
      </c>
      <c r="B1" s="794" t="s">
        <v>676</v>
      </c>
      <c r="C1" s="794" t="s">
        <v>677</v>
      </c>
    </row>
    <row r="2" spans="1:3">
      <c r="A2" s="794" t="s">
        <v>616</v>
      </c>
      <c r="B2" s="794">
        <v>1096</v>
      </c>
      <c r="C2" s="794" t="s">
        <v>617</v>
      </c>
    </row>
    <row r="3" spans="1:3">
      <c r="A3" s="794" t="s">
        <v>618</v>
      </c>
      <c r="B3" s="794">
        <v>392</v>
      </c>
      <c r="C3" s="794" t="s">
        <v>617</v>
      </c>
    </row>
    <row r="4" spans="1:3">
      <c r="A4" s="794" t="s">
        <v>619</v>
      </c>
      <c r="B4" s="794">
        <v>418</v>
      </c>
      <c r="C4" s="794" t="s">
        <v>617</v>
      </c>
    </row>
    <row r="5" spans="1:3">
      <c r="A5" s="794" t="s">
        <v>620</v>
      </c>
      <c r="B5" s="794">
        <v>1444</v>
      </c>
      <c r="C5" s="794" t="s">
        <v>617</v>
      </c>
    </row>
    <row r="6" spans="1:3">
      <c r="A6" s="794" t="s">
        <v>621</v>
      </c>
      <c r="B6" s="794">
        <v>5415</v>
      </c>
      <c r="C6" s="794" t="s">
        <v>617</v>
      </c>
    </row>
    <row r="7" spans="1:3">
      <c r="A7" s="794" t="s">
        <v>622</v>
      </c>
      <c r="B7" s="794">
        <v>2164</v>
      </c>
      <c r="C7" s="794" t="s">
        <v>617</v>
      </c>
    </row>
    <row r="8" spans="1:3">
      <c r="A8" s="794" t="s">
        <v>623</v>
      </c>
      <c r="B8" s="794">
        <v>1829</v>
      </c>
      <c r="C8" s="794" t="s">
        <v>617</v>
      </c>
    </row>
    <row r="9" spans="1:3">
      <c r="A9" s="794" t="s">
        <v>624</v>
      </c>
      <c r="B9" s="794">
        <v>12870</v>
      </c>
      <c r="C9" s="794" t="s">
        <v>617</v>
      </c>
    </row>
    <row r="10" spans="1:3">
      <c r="A10" s="794" t="s">
        <v>625</v>
      </c>
      <c r="B10" s="794">
        <v>1609</v>
      </c>
      <c r="C10" s="794" t="s">
        <v>617</v>
      </c>
    </row>
    <row r="11" spans="1:3">
      <c r="A11" s="794" t="s">
        <v>626</v>
      </c>
      <c r="B11" s="794">
        <v>1367</v>
      </c>
      <c r="C11" s="794" t="s">
        <v>617</v>
      </c>
    </row>
    <row r="12" spans="1:3">
      <c r="A12" s="794" t="s">
        <v>627</v>
      </c>
      <c r="B12" s="794">
        <v>4747</v>
      </c>
      <c r="C12" s="794" t="s">
        <v>617</v>
      </c>
    </row>
    <row r="13" spans="1:3">
      <c r="A13" s="794" t="s">
        <v>628</v>
      </c>
      <c r="B13" s="794">
        <v>5933</v>
      </c>
      <c r="C13" s="794" t="s">
        <v>617</v>
      </c>
    </row>
    <row r="14" spans="1:3">
      <c r="A14" s="794" t="s">
        <v>629</v>
      </c>
      <c r="B14" s="794">
        <v>0</v>
      </c>
      <c r="C14" s="794" t="s">
        <v>617</v>
      </c>
    </row>
    <row r="15" spans="1:3">
      <c r="A15" s="794" t="s">
        <v>630</v>
      </c>
      <c r="B15" s="794">
        <v>11257</v>
      </c>
      <c r="C15" s="794" t="s">
        <v>617</v>
      </c>
    </row>
    <row r="16" spans="1:3">
      <c r="A16" s="794" t="s">
        <v>631</v>
      </c>
      <c r="B16" s="794">
        <v>0</v>
      </c>
      <c r="C16" s="794" t="s">
        <v>617</v>
      </c>
    </row>
    <row r="17" spans="1:3">
      <c r="A17" s="794" t="s">
        <v>632</v>
      </c>
      <c r="B17" s="794">
        <v>24604</v>
      </c>
      <c r="C17" s="794" t="s">
        <v>617</v>
      </c>
    </row>
    <row r="18" spans="1:3">
      <c r="A18" s="794" t="s">
        <v>633</v>
      </c>
      <c r="B18" s="794">
        <v>57349</v>
      </c>
      <c r="C18" s="794" t="s">
        <v>617</v>
      </c>
    </row>
    <row r="19" spans="1:3">
      <c r="A19" s="794" t="s">
        <v>634</v>
      </c>
      <c r="B19" s="794">
        <v>1752</v>
      </c>
      <c r="C19" s="794" t="s">
        <v>617</v>
      </c>
    </row>
    <row r="20" spans="1:3">
      <c r="A20" s="794" t="s">
        <v>635</v>
      </c>
      <c r="B20" s="794">
        <v>1607</v>
      </c>
      <c r="C20" s="794" t="s">
        <v>617</v>
      </c>
    </row>
    <row r="21" spans="1:3">
      <c r="A21" s="794" t="s">
        <v>636</v>
      </c>
      <c r="B21" s="794">
        <v>4369</v>
      </c>
      <c r="C21" s="794" t="s">
        <v>617</v>
      </c>
    </row>
    <row r="22" spans="1:3">
      <c r="A22" s="794" t="s">
        <v>637</v>
      </c>
      <c r="B22" s="794">
        <v>758</v>
      </c>
      <c r="C22" s="794" t="s">
        <v>617</v>
      </c>
    </row>
    <row r="23" spans="1:3">
      <c r="A23" s="794" t="s">
        <v>638</v>
      </c>
      <c r="B23" s="794">
        <v>929</v>
      </c>
      <c r="C23" s="794" t="s">
        <v>617</v>
      </c>
    </row>
    <row r="24" spans="1:3">
      <c r="A24" s="794" t="s">
        <v>639</v>
      </c>
      <c r="B24" s="794">
        <v>1071</v>
      </c>
      <c r="C24" s="794" t="s">
        <v>617</v>
      </c>
    </row>
    <row r="25" spans="1:3">
      <c r="A25" s="794" t="s">
        <v>640</v>
      </c>
      <c r="B25" s="794">
        <v>3613</v>
      </c>
      <c r="C25" s="794" t="s">
        <v>617</v>
      </c>
    </row>
    <row r="26" spans="1:3">
      <c r="A26" s="794" t="s">
        <v>641</v>
      </c>
      <c r="B26" s="794">
        <v>591</v>
      </c>
      <c r="C26" s="794" t="s">
        <v>617</v>
      </c>
    </row>
    <row r="27" spans="1:3">
      <c r="A27" s="794" t="s">
        <v>642</v>
      </c>
      <c r="B27" s="794">
        <v>1607</v>
      </c>
      <c r="C27" s="794" t="s">
        <v>617</v>
      </c>
    </row>
    <row r="28" spans="1:3">
      <c r="A28" s="794" t="s">
        <v>643</v>
      </c>
      <c r="B28" s="794">
        <v>578</v>
      </c>
      <c r="C28" s="794" t="s">
        <v>617</v>
      </c>
    </row>
    <row r="29" spans="1:3" ht="16" customHeight="1">
      <c r="A29" s="794" t="s">
        <v>644</v>
      </c>
      <c r="B29" s="794">
        <v>8001</v>
      </c>
      <c r="C29" s="794" t="s">
        <v>617</v>
      </c>
    </row>
    <row r="30" spans="1:3">
      <c r="A30" s="794" t="s">
        <v>645</v>
      </c>
      <c r="B30" s="794">
        <v>2103</v>
      </c>
      <c r="C30" s="794" t="s">
        <v>617</v>
      </c>
    </row>
    <row r="31" spans="1:3">
      <c r="A31" s="794" t="s">
        <v>646</v>
      </c>
      <c r="B31" s="794">
        <v>823</v>
      </c>
      <c r="C31" s="794" t="s">
        <v>617</v>
      </c>
    </row>
    <row r="32" spans="1:3">
      <c r="A32" s="794" t="s">
        <v>647</v>
      </c>
      <c r="B32" s="794">
        <v>779</v>
      </c>
      <c r="C32" s="794" t="s">
        <v>617</v>
      </c>
    </row>
    <row r="33" spans="1:3">
      <c r="A33" s="794" t="s">
        <v>648</v>
      </c>
      <c r="B33" s="794">
        <v>4085</v>
      </c>
      <c r="C33" s="794" t="s">
        <v>617</v>
      </c>
    </row>
    <row r="34" spans="1:3">
      <c r="A34" s="794" t="s">
        <v>649</v>
      </c>
      <c r="B34" s="794">
        <v>0</v>
      </c>
      <c r="C34" s="794" t="s">
        <v>617</v>
      </c>
    </row>
    <row r="35" spans="1:3">
      <c r="A35" s="794" t="s">
        <v>650</v>
      </c>
      <c r="B35" s="794">
        <v>4085</v>
      </c>
      <c r="C35" s="794" t="s">
        <v>617</v>
      </c>
    </row>
    <row r="36" spans="1:3">
      <c r="A36" s="794" t="s">
        <v>651</v>
      </c>
      <c r="B36" s="794">
        <v>0</v>
      </c>
      <c r="C36" s="794" t="s">
        <v>617</v>
      </c>
    </row>
    <row r="37" spans="1:3">
      <c r="A37" s="794" t="s">
        <v>652</v>
      </c>
      <c r="B37" s="794">
        <v>0</v>
      </c>
      <c r="C37" s="794" t="s">
        <v>617</v>
      </c>
    </row>
    <row r="38" spans="1:3">
      <c r="A38" s="794" t="s">
        <v>653</v>
      </c>
      <c r="B38" s="794">
        <v>0</v>
      </c>
      <c r="C38" s="794" t="s">
        <v>617</v>
      </c>
    </row>
    <row r="39" spans="1:3">
      <c r="A39" s="794" t="s">
        <v>654</v>
      </c>
      <c r="B39" s="794">
        <v>0</v>
      </c>
      <c r="C39" s="794" t="s">
        <v>617</v>
      </c>
    </row>
    <row r="40" spans="1:3">
      <c r="A40" s="794" t="s">
        <v>655</v>
      </c>
      <c r="B40" s="794">
        <v>0</v>
      </c>
      <c r="C40" s="794" t="s">
        <v>617</v>
      </c>
    </row>
    <row r="41" spans="1:3">
      <c r="A41" s="794" t="s">
        <v>656</v>
      </c>
      <c r="B41" s="794">
        <v>10</v>
      </c>
      <c r="C41" s="794" t="s">
        <v>617</v>
      </c>
    </row>
    <row r="42" spans="1:3">
      <c r="A42" s="794" t="s">
        <v>657</v>
      </c>
      <c r="B42" s="794">
        <v>29831</v>
      </c>
      <c r="C42" s="794" t="s">
        <v>617</v>
      </c>
    </row>
    <row r="43" spans="1:3">
      <c r="A43" s="794" t="s">
        <v>658</v>
      </c>
      <c r="B43" s="794">
        <v>0</v>
      </c>
      <c r="C43" s="794" t="s">
        <v>617</v>
      </c>
    </row>
    <row r="44" spans="1:3">
      <c r="A44" s="794" t="s">
        <v>659</v>
      </c>
      <c r="B44" s="794">
        <v>0</v>
      </c>
      <c r="C44" s="794" t="s">
        <v>617</v>
      </c>
    </row>
    <row r="45" spans="1:3">
      <c r="A45" s="794" t="s">
        <v>660</v>
      </c>
      <c r="B45" s="794">
        <v>0</v>
      </c>
      <c r="C45" s="794" t="s">
        <v>617</v>
      </c>
    </row>
    <row r="46" spans="1:3">
      <c r="A46" s="794" t="s">
        <v>661</v>
      </c>
      <c r="B46" s="794">
        <v>1071</v>
      </c>
      <c r="C46" s="794" t="s">
        <v>617</v>
      </c>
    </row>
    <row r="47" spans="1:3">
      <c r="A47" s="794" t="s">
        <v>662</v>
      </c>
      <c r="B47" s="794">
        <v>0</v>
      </c>
      <c r="C47" s="794" t="s">
        <v>617</v>
      </c>
    </row>
    <row r="48" spans="1:3">
      <c r="A48" s="794" t="s">
        <v>663</v>
      </c>
      <c r="B48" s="794">
        <v>0</v>
      </c>
      <c r="C48" s="794" t="s">
        <v>617</v>
      </c>
    </row>
    <row r="49" spans="1:5">
      <c r="A49" s="794" t="s">
        <v>664</v>
      </c>
      <c r="B49" s="794">
        <v>2807</v>
      </c>
      <c r="C49" s="794" t="s">
        <v>617</v>
      </c>
    </row>
    <row r="50" spans="1:5">
      <c r="A50" s="794" t="s">
        <v>665</v>
      </c>
      <c r="B50" s="794">
        <v>0</v>
      </c>
      <c r="C50" s="794" t="s">
        <v>617</v>
      </c>
    </row>
    <row r="51" spans="1:5">
      <c r="A51" s="794" t="s">
        <v>666</v>
      </c>
      <c r="B51" s="794">
        <v>147</v>
      </c>
      <c r="C51" s="794" t="s">
        <v>617</v>
      </c>
    </row>
    <row r="52" spans="1:5">
      <c r="A52" s="794" t="s">
        <v>667</v>
      </c>
      <c r="B52" s="794">
        <v>1170</v>
      </c>
      <c r="C52" s="794" t="s">
        <v>617</v>
      </c>
    </row>
    <row r="53" spans="1:5">
      <c r="A53" s="794" t="s">
        <v>668</v>
      </c>
      <c r="B53" s="794">
        <v>443</v>
      </c>
      <c r="C53" s="794" t="s">
        <v>617</v>
      </c>
      <c r="E53" s="793"/>
    </row>
    <row r="54" spans="1:5">
      <c r="A54" s="794" t="s">
        <v>669</v>
      </c>
      <c r="B54" s="794">
        <v>57349</v>
      </c>
      <c r="C54" s="794" t="s">
        <v>617</v>
      </c>
    </row>
    <row r="55" spans="1:5">
      <c r="A55" s="794" t="s">
        <v>670</v>
      </c>
      <c r="B55" s="794">
        <v>1529</v>
      </c>
      <c r="C55" s="794" t="s">
        <v>617</v>
      </c>
    </row>
    <row r="56" spans="1:5">
      <c r="A56" s="794" t="s">
        <v>671</v>
      </c>
      <c r="B56" s="794">
        <v>2824</v>
      </c>
      <c r="C56" s="794" t="s">
        <v>617</v>
      </c>
    </row>
    <row r="57" spans="1:5">
      <c r="A57" s="794" t="s">
        <v>672</v>
      </c>
      <c r="B57" s="794">
        <v>0</v>
      </c>
      <c r="C57" s="794" t="s">
        <v>673</v>
      </c>
    </row>
    <row r="58" spans="1:5">
      <c r="A58" s="794" t="s">
        <v>674</v>
      </c>
      <c r="B58" s="794">
        <v>136.07787283069192</v>
      </c>
      <c r="C58" s="794" t="s">
        <v>673</v>
      </c>
    </row>
  </sheetData>
  <phoneticPr fontId="37" type="noConversion"/>
  <pageMargins left="0.7" right="0.7" top="0.75" bottom="0.75" header="0.3" footer="0.3"/>
  <pageSetup orientation="portrait" r:id="rId1"/>
  <headerFooter>
    <oddFooter>&amp;C&amp;1#&amp;"Calibri"&amp;14&amp;K008000Classification: General Use</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39997558519241921"/>
  </sheetPr>
  <dimension ref="A1:N37"/>
  <sheetViews>
    <sheetView zoomScale="115" zoomScaleNormal="115" workbookViewId="0">
      <selection activeCell="K19" sqref="K19"/>
    </sheetView>
  </sheetViews>
  <sheetFormatPr defaultRowHeight="14.5"/>
  <cols>
    <col min="1" max="1" width="15.453125" customWidth="1"/>
    <col min="2" max="5" width="18.1796875" customWidth="1"/>
    <col min="6" max="6" width="18.81640625" customWidth="1"/>
    <col min="7" max="7" width="17.54296875" customWidth="1"/>
    <col min="8" max="8" width="28.453125" customWidth="1"/>
    <col min="9" max="9" width="31.81640625" customWidth="1"/>
    <col min="11" max="11" width="33.54296875" customWidth="1"/>
    <col min="12" max="12" width="25.81640625" customWidth="1"/>
    <col min="13" max="13" width="28.54296875" customWidth="1"/>
  </cols>
  <sheetData>
    <row r="1" spans="1:14">
      <c r="A1" s="1298" t="s">
        <v>178</v>
      </c>
      <c r="B1" s="1298"/>
      <c r="C1" s="1298"/>
      <c r="D1" s="1298"/>
      <c r="E1" s="1298"/>
      <c r="F1" s="1298"/>
      <c r="G1" s="1298"/>
      <c r="H1" s="1298"/>
      <c r="I1" s="1298"/>
      <c r="J1" s="1298"/>
      <c r="K1" s="1298"/>
      <c r="L1" s="1298"/>
      <c r="M1" s="1298"/>
      <c r="N1" s="1298"/>
    </row>
    <row r="3" spans="1:14">
      <c r="C3" t="s">
        <v>121</v>
      </c>
      <c r="D3" t="s">
        <v>122</v>
      </c>
    </row>
    <row r="4" spans="1:14">
      <c r="B4" t="s">
        <v>120</v>
      </c>
      <c r="C4">
        <v>140</v>
      </c>
      <c r="D4">
        <v>0.54</v>
      </c>
    </row>
    <row r="5" spans="1:14">
      <c r="B5" t="s">
        <v>119</v>
      </c>
      <c r="C5">
        <v>856</v>
      </c>
      <c r="D5">
        <v>1.49</v>
      </c>
      <c r="F5" t="s">
        <v>539</v>
      </c>
    </row>
    <row r="6" spans="1:14">
      <c r="B6" t="s">
        <v>118</v>
      </c>
      <c r="C6">
        <v>74</v>
      </c>
      <c r="D6">
        <v>0.84</v>
      </c>
      <c r="F6">
        <v>135</v>
      </c>
    </row>
    <row r="7" spans="1:14">
      <c r="F7" t="s">
        <v>540</v>
      </c>
    </row>
    <row r="8" spans="1:14">
      <c r="B8" s="1299" t="s">
        <v>521</v>
      </c>
      <c r="C8" s="1299"/>
      <c r="F8">
        <v>0.85</v>
      </c>
    </row>
    <row r="9" spans="1:14" ht="30.65" customHeight="1">
      <c r="A9" s="49"/>
      <c r="B9" s="727" t="s">
        <v>358</v>
      </c>
      <c r="C9" s="727" t="s">
        <v>364</v>
      </c>
      <c r="D9" s="727" t="s">
        <v>536</v>
      </c>
      <c r="E9" s="727" t="s">
        <v>537</v>
      </c>
      <c r="F9" s="727" t="s">
        <v>538</v>
      </c>
      <c r="G9" s="727" t="s">
        <v>542</v>
      </c>
    </row>
    <row r="10" spans="1:14">
      <c r="A10" s="49" t="s">
        <v>366</v>
      </c>
      <c r="B10" s="105">
        <v>0.5</v>
      </c>
      <c r="C10" s="106">
        <f>H18+I18</f>
        <v>3.44E-2</v>
      </c>
      <c r="D10" s="726">
        <v>15000</v>
      </c>
      <c r="E10" s="729">
        <v>900</v>
      </c>
      <c r="F10" s="728">
        <f>3.78541*$F$6*$F$8*(12+16*2)/(12+2)*B10</f>
        <v>682.59053892857139</v>
      </c>
      <c r="G10" s="728">
        <f>F10+E10</f>
        <v>1582.5905389285713</v>
      </c>
    </row>
    <row r="11" spans="1:14">
      <c r="A11" s="49" t="s">
        <v>367</v>
      </c>
      <c r="B11" s="105">
        <v>0.75</v>
      </c>
      <c r="C11" s="106">
        <f t="shared" ref="C11:C12" si="0">H19+I19</f>
        <v>0.12479999999999999</v>
      </c>
      <c r="D11" s="726">
        <v>17500</v>
      </c>
      <c r="E11" s="729">
        <v>900</v>
      </c>
      <c r="F11" s="728">
        <f t="shared" ref="F11:F13" si="1">3.78541*$F$6*$F$8*(12+16*2)/(12+2)*B11</f>
        <v>1023.8858083928571</v>
      </c>
      <c r="G11" s="728">
        <f t="shared" ref="G11:G13" si="2">F11+E11</f>
        <v>1923.8858083928571</v>
      </c>
    </row>
    <row r="12" spans="1:14">
      <c r="A12" s="49" t="s">
        <v>520</v>
      </c>
      <c r="B12" s="105">
        <v>0.9</v>
      </c>
      <c r="C12" s="106">
        <f t="shared" si="0"/>
        <v>0.19729999999999998</v>
      </c>
      <c r="D12" s="726">
        <v>20000</v>
      </c>
      <c r="E12" s="729">
        <v>900</v>
      </c>
      <c r="F12" s="728">
        <f t="shared" si="1"/>
        <v>1228.6629700714286</v>
      </c>
      <c r="G12" s="728">
        <f t="shared" si="2"/>
        <v>2128.6629700714284</v>
      </c>
    </row>
    <row r="13" spans="1:14">
      <c r="A13" s="49" t="s">
        <v>519</v>
      </c>
      <c r="B13" s="105">
        <v>1</v>
      </c>
      <c r="C13" s="106">
        <f>H21+I21</f>
        <v>0.24559999999999998</v>
      </c>
      <c r="D13" s="726">
        <v>30000</v>
      </c>
      <c r="E13" s="729">
        <v>900</v>
      </c>
      <c r="F13" s="728">
        <f t="shared" si="1"/>
        <v>1365.1810778571428</v>
      </c>
      <c r="G13" s="728">
        <f t="shared" si="2"/>
        <v>2265.1810778571426</v>
      </c>
    </row>
    <row r="14" spans="1:14" ht="15" thickBot="1"/>
    <row r="15" spans="1:14" ht="15" thickBot="1">
      <c r="I15" s="694" t="s">
        <v>521</v>
      </c>
    </row>
    <row r="16" spans="1:14" ht="16" thickBot="1">
      <c r="G16" s="98" t="s">
        <v>357</v>
      </c>
      <c r="H16" s="99"/>
      <c r="I16" s="693"/>
    </row>
    <row r="17" spans="1:9" ht="47" thickBot="1">
      <c r="G17" s="100" t="s">
        <v>358</v>
      </c>
      <c r="H17" s="101" t="s">
        <v>359</v>
      </c>
      <c r="I17" s="101" t="s">
        <v>360</v>
      </c>
    </row>
    <row r="18" spans="1:9" ht="16" thickBot="1">
      <c r="G18" s="102">
        <v>0.5</v>
      </c>
      <c r="H18" s="103">
        <v>0</v>
      </c>
      <c r="I18" s="104">
        <v>3.44E-2</v>
      </c>
    </row>
    <row r="19" spans="1:9" ht="16" thickBot="1">
      <c r="G19" s="102">
        <v>0.75</v>
      </c>
      <c r="H19" s="104">
        <v>6.8599999999999994E-2</v>
      </c>
      <c r="I19" s="104">
        <v>5.62E-2</v>
      </c>
    </row>
    <row r="20" spans="1:9" ht="16" thickBot="1">
      <c r="G20" s="102">
        <v>0.9</v>
      </c>
      <c r="H20" s="104">
        <v>0.1268</v>
      </c>
      <c r="I20" s="104">
        <v>7.0499999999999993E-2</v>
      </c>
    </row>
    <row r="21" spans="1:9" ht="16" thickBot="1">
      <c r="G21" s="102">
        <v>1</v>
      </c>
      <c r="H21" s="104">
        <v>0.1656</v>
      </c>
      <c r="I21" s="104">
        <v>0.08</v>
      </c>
    </row>
    <row r="22" spans="1:9" ht="118.5" customHeight="1" thickBot="1">
      <c r="G22" s="100" t="s">
        <v>361</v>
      </c>
      <c r="H22" s="101" t="s">
        <v>362</v>
      </c>
      <c r="I22" s="101" t="s">
        <v>363</v>
      </c>
    </row>
    <row r="32" spans="1:9">
      <c r="A32" s="1298" t="s">
        <v>179</v>
      </c>
      <c r="B32" s="1298"/>
      <c r="C32" s="1298"/>
      <c r="D32" s="1298"/>
      <c r="E32" s="703"/>
    </row>
    <row r="34" spans="2:4">
      <c r="B34" t="s">
        <v>181</v>
      </c>
      <c r="C34" t="s">
        <v>180</v>
      </c>
      <c r="D34" t="s">
        <v>182</v>
      </c>
    </row>
    <row r="35" spans="2:4">
      <c r="B35">
        <v>630</v>
      </c>
      <c r="C35">
        <v>756</v>
      </c>
      <c r="D35">
        <v>1.76</v>
      </c>
    </row>
    <row r="36" spans="2:4">
      <c r="B36">
        <v>2520</v>
      </c>
      <c r="C36">
        <v>3024</v>
      </c>
      <c r="D36">
        <v>0.83</v>
      </c>
    </row>
    <row r="37" spans="2:4">
      <c r="B37">
        <v>6300</v>
      </c>
      <c r="C37">
        <v>7560</v>
      </c>
      <c r="D37">
        <v>0.8</v>
      </c>
    </row>
  </sheetData>
  <mergeCells count="3">
    <mergeCell ref="A1:N1"/>
    <mergeCell ref="A32:D32"/>
    <mergeCell ref="B8:C8"/>
  </mergeCells>
  <phoneticPr fontId="37" type="noConversion"/>
  <pageMargins left="0.7" right="0.7" top="0.75" bottom="0.75" header="0.3" footer="0.3"/>
  <pageSetup orientation="portrait" r:id="rId1"/>
  <headerFooter>
    <oddHeader>&amp;L
&amp;R
&amp;G</oddHeader>
    <oddFooter>&amp;C&amp;1#&amp;"Calibri"&amp;14&amp;K008000Classification: General Use</oddFooter>
  </headerFooter>
  <drawing r:id="rId2"/>
  <legacyDrawingHF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tabColor theme="8" tint="0.79998168889431442"/>
  </sheetPr>
  <dimension ref="A1:M17"/>
  <sheetViews>
    <sheetView zoomScale="115" zoomScaleNormal="115" workbookViewId="0">
      <selection activeCell="N43" sqref="N43"/>
    </sheetView>
  </sheetViews>
  <sheetFormatPr defaultRowHeight="14.5"/>
  <cols>
    <col min="3" max="3" width="30.81640625" customWidth="1"/>
    <col min="4" max="4" width="12.54296875" customWidth="1"/>
    <col min="5" max="5" width="15.26953125" customWidth="1"/>
    <col min="6" max="6" width="15" customWidth="1"/>
    <col min="7" max="13" width="12.54296875" customWidth="1"/>
    <col min="259" max="259" width="30.81640625" customWidth="1"/>
    <col min="260" max="260" width="12.54296875" customWidth="1"/>
    <col min="261" max="261" width="15.26953125" customWidth="1"/>
    <col min="262" max="262" width="15" customWidth="1"/>
    <col min="263" max="269" width="12.54296875" customWidth="1"/>
    <col min="515" max="515" width="30.81640625" customWidth="1"/>
    <col min="516" max="516" width="12.54296875" customWidth="1"/>
    <col min="517" max="517" width="15.26953125" customWidth="1"/>
    <col min="518" max="518" width="15" customWidth="1"/>
    <col min="519" max="525" width="12.54296875" customWidth="1"/>
    <col min="771" max="771" width="30.81640625" customWidth="1"/>
    <col min="772" max="772" width="12.54296875" customWidth="1"/>
    <col min="773" max="773" width="15.26953125" customWidth="1"/>
    <col min="774" max="774" width="15" customWidth="1"/>
    <col min="775" max="781" width="12.54296875" customWidth="1"/>
    <col min="1027" max="1027" width="30.81640625" customWidth="1"/>
    <col min="1028" max="1028" width="12.54296875" customWidth="1"/>
    <col min="1029" max="1029" width="15.26953125" customWidth="1"/>
    <col min="1030" max="1030" width="15" customWidth="1"/>
    <col min="1031" max="1037" width="12.54296875" customWidth="1"/>
    <col min="1283" max="1283" width="30.81640625" customWidth="1"/>
    <col min="1284" max="1284" width="12.54296875" customWidth="1"/>
    <col min="1285" max="1285" width="15.26953125" customWidth="1"/>
    <col min="1286" max="1286" width="15" customWidth="1"/>
    <col min="1287" max="1293" width="12.54296875" customWidth="1"/>
    <col min="1539" max="1539" width="30.81640625" customWidth="1"/>
    <col min="1540" max="1540" width="12.54296875" customWidth="1"/>
    <col min="1541" max="1541" width="15.26953125" customWidth="1"/>
    <col min="1542" max="1542" width="15" customWidth="1"/>
    <col min="1543" max="1549" width="12.54296875" customWidth="1"/>
    <col min="1795" max="1795" width="30.81640625" customWidth="1"/>
    <col min="1796" max="1796" width="12.54296875" customWidth="1"/>
    <col min="1797" max="1797" width="15.26953125" customWidth="1"/>
    <col min="1798" max="1798" width="15" customWidth="1"/>
    <col min="1799" max="1805" width="12.54296875" customWidth="1"/>
    <col min="2051" max="2051" width="30.81640625" customWidth="1"/>
    <col min="2052" max="2052" width="12.54296875" customWidth="1"/>
    <col min="2053" max="2053" width="15.26953125" customWidth="1"/>
    <col min="2054" max="2054" width="15" customWidth="1"/>
    <col min="2055" max="2061" width="12.54296875" customWidth="1"/>
    <col min="2307" max="2307" width="30.81640625" customWidth="1"/>
    <col min="2308" max="2308" width="12.54296875" customWidth="1"/>
    <col min="2309" max="2309" width="15.26953125" customWidth="1"/>
    <col min="2310" max="2310" width="15" customWidth="1"/>
    <col min="2311" max="2317" width="12.54296875" customWidth="1"/>
    <col min="2563" max="2563" width="30.81640625" customWidth="1"/>
    <col min="2564" max="2564" width="12.54296875" customWidth="1"/>
    <col min="2565" max="2565" width="15.26953125" customWidth="1"/>
    <col min="2566" max="2566" width="15" customWidth="1"/>
    <col min="2567" max="2573" width="12.54296875" customWidth="1"/>
    <col min="2819" max="2819" width="30.81640625" customWidth="1"/>
    <col min="2820" max="2820" width="12.54296875" customWidth="1"/>
    <col min="2821" max="2821" width="15.26953125" customWidth="1"/>
    <col min="2822" max="2822" width="15" customWidth="1"/>
    <col min="2823" max="2829" width="12.54296875" customWidth="1"/>
    <col min="3075" max="3075" width="30.81640625" customWidth="1"/>
    <col min="3076" max="3076" width="12.54296875" customWidth="1"/>
    <col min="3077" max="3077" width="15.26953125" customWidth="1"/>
    <col min="3078" max="3078" width="15" customWidth="1"/>
    <col min="3079" max="3085" width="12.54296875" customWidth="1"/>
    <col min="3331" max="3331" width="30.81640625" customWidth="1"/>
    <col min="3332" max="3332" width="12.54296875" customWidth="1"/>
    <col min="3333" max="3333" width="15.26953125" customWidth="1"/>
    <col min="3334" max="3334" width="15" customWidth="1"/>
    <col min="3335" max="3341" width="12.54296875" customWidth="1"/>
    <col min="3587" max="3587" width="30.81640625" customWidth="1"/>
    <col min="3588" max="3588" width="12.54296875" customWidth="1"/>
    <col min="3589" max="3589" width="15.26953125" customWidth="1"/>
    <col min="3590" max="3590" width="15" customWidth="1"/>
    <col min="3591" max="3597" width="12.54296875" customWidth="1"/>
    <col min="3843" max="3843" width="30.81640625" customWidth="1"/>
    <col min="3844" max="3844" width="12.54296875" customWidth="1"/>
    <col min="3845" max="3845" width="15.26953125" customWidth="1"/>
    <col min="3846" max="3846" width="15" customWidth="1"/>
    <col min="3847" max="3853" width="12.54296875" customWidth="1"/>
    <col min="4099" max="4099" width="30.81640625" customWidth="1"/>
    <col min="4100" max="4100" width="12.54296875" customWidth="1"/>
    <col min="4101" max="4101" width="15.26953125" customWidth="1"/>
    <col min="4102" max="4102" width="15" customWidth="1"/>
    <col min="4103" max="4109" width="12.54296875" customWidth="1"/>
    <col min="4355" max="4355" width="30.81640625" customWidth="1"/>
    <col min="4356" max="4356" width="12.54296875" customWidth="1"/>
    <col min="4357" max="4357" width="15.26953125" customWidth="1"/>
    <col min="4358" max="4358" width="15" customWidth="1"/>
    <col min="4359" max="4365" width="12.54296875" customWidth="1"/>
    <col min="4611" max="4611" width="30.81640625" customWidth="1"/>
    <col min="4612" max="4612" width="12.54296875" customWidth="1"/>
    <col min="4613" max="4613" width="15.26953125" customWidth="1"/>
    <col min="4614" max="4614" width="15" customWidth="1"/>
    <col min="4615" max="4621" width="12.54296875" customWidth="1"/>
    <col min="4867" max="4867" width="30.81640625" customWidth="1"/>
    <col min="4868" max="4868" width="12.54296875" customWidth="1"/>
    <col min="4869" max="4869" width="15.26953125" customWidth="1"/>
    <col min="4870" max="4870" width="15" customWidth="1"/>
    <col min="4871" max="4877" width="12.54296875" customWidth="1"/>
    <col min="5123" max="5123" width="30.81640625" customWidth="1"/>
    <col min="5124" max="5124" width="12.54296875" customWidth="1"/>
    <col min="5125" max="5125" width="15.26953125" customWidth="1"/>
    <col min="5126" max="5126" width="15" customWidth="1"/>
    <col min="5127" max="5133" width="12.54296875" customWidth="1"/>
    <col min="5379" max="5379" width="30.81640625" customWidth="1"/>
    <col min="5380" max="5380" width="12.54296875" customWidth="1"/>
    <col min="5381" max="5381" width="15.26953125" customWidth="1"/>
    <col min="5382" max="5382" width="15" customWidth="1"/>
    <col min="5383" max="5389" width="12.54296875" customWidth="1"/>
    <col min="5635" max="5635" width="30.81640625" customWidth="1"/>
    <col min="5636" max="5636" width="12.54296875" customWidth="1"/>
    <col min="5637" max="5637" width="15.26953125" customWidth="1"/>
    <col min="5638" max="5638" width="15" customWidth="1"/>
    <col min="5639" max="5645" width="12.54296875" customWidth="1"/>
    <col min="5891" max="5891" width="30.81640625" customWidth="1"/>
    <col min="5892" max="5892" width="12.54296875" customWidth="1"/>
    <col min="5893" max="5893" width="15.26953125" customWidth="1"/>
    <col min="5894" max="5894" width="15" customWidth="1"/>
    <col min="5895" max="5901" width="12.54296875" customWidth="1"/>
    <col min="6147" max="6147" width="30.81640625" customWidth="1"/>
    <col min="6148" max="6148" width="12.54296875" customWidth="1"/>
    <col min="6149" max="6149" width="15.26953125" customWidth="1"/>
    <col min="6150" max="6150" width="15" customWidth="1"/>
    <col min="6151" max="6157" width="12.54296875" customWidth="1"/>
    <col min="6403" max="6403" width="30.81640625" customWidth="1"/>
    <col min="6404" max="6404" width="12.54296875" customWidth="1"/>
    <col min="6405" max="6405" width="15.26953125" customWidth="1"/>
    <col min="6406" max="6406" width="15" customWidth="1"/>
    <col min="6407" max="6413" width="12.54296875" customWidth="1"/>
    <col min="6659" max="6659" width="30.81640625" customWidth="1"/>
    <col min="6660" max="6660" width="12.54296875" customWidth="1"/>
    <col min="6661" max="6661" width="15.26953125" customWidth="1"/>
    <col min="6662" max="6662" width="15" customWidth="1"/>
    <col min="6663" max="6669" width="12.54296875" customWidth="1"/>
    <col min="6915" max="6915" width="30.81640625" customWidth="1"/>
    <col min="6916" max="6916" width="12.54296875" customWidth="1"/>
    <col min="6917" max="6917" width="15.26953125" customWidth="1"/>
    <col min="6918" max="6918" width="15" customWidth="1"/>
    <col min="6919" max="6925" width="12.54296875" customWidth="1"/>
    <col min="7171" max="7171" width="30.81640625" customWidth="1"/>
    <col min="7172" max="7172" width="12.54296875" customWidth="1"/>
    <col min="7173" max="7173" width="15.26953125" customWidth="1"/>
    <col min="7174" max="7174" width="15" customWidth="1"/>
    <col min="7175" max="7181" width="12.54296875" customWidth="1"/>
    <col min="7427" max="7427" width="30.81640625" customWidth="1"/>
    <col min="7428" max="7428" width="12.54296875" customWidth="1"/>
    <col min="7429" max="7429" width="15.26953125" customWidth="1"/>
    <col min="7430" max="7430" width="15" customWidth="1"/>
    <col min="7431" max="7437" width="12.54296875" customWidth="1"/>
    <col min="7683" max="7683" width="30.81640625" customWidth="1"/>
    <col min="7684" max="7684" width="12.54296875" customWidth="1"/>
    <col min="7685" max="7685" width="15.26953125" customWidth="1"/>
    <col min="7686" max="7686" width="15" customWidth="1"/>
    <col min="7687" max="7693" width="12.54296875" customWidth="1"/>
    <col min="7939" max="7939" width="30.81640625" customWidth="1"/>
    <col min="7940" max="7940" width="12.54296875" customWidth="1"/>
    <col min="7941" max="7941" width="15.26953125" customWidth="1"/>
    <col min="7942" max="7942" width="15" customWidth="1"/>
    <col min="7943" max="7949" width="12.54296875" customWidth="1"/>
    <col min="8195" max="8195" width="30.81640625" customWidth="1"/>
    <col min="8196" max="8196" width="12.54296875" customWidth="1"/>
    <col min="8197" max="8197" width="15.26953125" customWidth="1"/>
    <col min="8198" max="8198" width="15" customWidth="1"/>
    <col min="8199" max="8205" width="12.54296875" customWidth="1"/>
    <col min="8451" max="8451" width="30.81640625" customWidth="1"/>
    <col min="8452" max="8452" width="12.54296875" customWidth="1"/>
    <col min="8453" max="8453" width="15.26953125" customWidth="1"/>
    <col min="8454" max="8454" width="15" customWidth="1"/>
    <col min="8455" max="8461" width="12.54296875" customWidth="1"/>
    <col min="8707" max="8707" width="30.81640625" customWidth="1"/>
    <col min="8708" max="8708" width="12.54296875" customWidth="1"/>
    <col min="8709" max="8709" width="15.26953125" customWidth="1"/>
    <col min="8710" max="8710" width="15" customWidth="1"/>
    <col min="8711" max="8717" width="12.54296875" customWidth="1"/>
    <col min="8963" max="8963" width="30.81640625" customWidth="1"/>
    <col min="8964" max="8964" width="12.54296875" customWidth="1"/>
    <col min="8965" max="8965" width="15.26953125" customWidth="1"/>
    <col min="8966" max="8966" width="15" customWidth="1"/>
    <col min="8967" max="8973" width="12.54296875" customWidth="1"/>
    <col min="9219" max="9219" width="30.81640625" customWidth="1"/>
    <col min="9220" max="9220" width="12.54296875" customWidth="1"/>
    <col min="9221" max="9221" width="15.26953125" customWidth="1"/>
    <col min="9222" max="9222" width="15" customWidth="1"/>
    <col min="9223" max="9229" width="12.54296875" customWidth="1"/>
    <col min="9475" max="9475" width="30.81640625" customWidth="1"/>
    <col min="9476" max="9476" width="12.54296875" customWidth="1"/>
    <col min="9477" max="9477" width="15.26953125" customWidth="1"/>
    <col min="9478" max="9478" width="15" customWidth="1"/>
    <col min="9479" max="9485" width="12.54296875" customWidth="1"/>
    <col min="9731" max="9731" width="30.81640625" customWidth="1"/>
    <col min="9732" max="9732" width="12.54296875" customWidth="1"/>
    <col min="9733" max="9733" width="15.26953125" customWidth="1"/>
    <col min="9734" max="9734" width="15" customWidth="1"/>
    <col min="9735" max="9741" width="12.54296875" customWidth="1"/>
    <col min="9987" max="9987" width="30.81640625" customWidth="1"/>
    <col min="9988" max="9988" width="12.54296875" customWidth="1"/>
    <col min="9989" max="9989" width="15.26953125" customWidth="1"/>
    <col min="9990" max="9990" width="15" customWidth="1"/>
    <col min="9991" max="9997" width="12.54296875" customWidth="1"/>
    <col min="10243" max="10243" width="30.81640625" customWidth="1"/>
    <col min="10244" max="10244" width="12.54296875" customWidth="1"/>
    <col min="10245" max="10245" width="15.26953125" customWidth="1"/>
    <col min="10246" max="10246" width="15" customWidth="1"/>
    <col min="10247" max="10253" width="12.54296875" customWidth="1"/>
    <col min="10499" max="10499" width="30.81640625" customWidth="1"/>
    <col min="10500" max="10500" width="12.54296875" customWidth="1"/>
    <col min="10501" max="10501" width="15.26953125" customWidth="1"/>
    <col min="10502" max="10502" width="15" customWidth="1"/>
    <col min="10503" max="10509" width="12.54296875" customWidth="1"/>
    <col min="10755" max="10755" width="30.81640625" customWidth="1"/>
    <col min="10756" max="10756" width="12.54296875" customWidth="1"/>
    <col min="10757" max="10757" width="15.26953125" customWidth="1"/>
    <col min="10758" max="10758" width="15" customWidth="1"/>
    <col min="10759" max="10765" width="12.54296875" customWidth="1"/>
    <col min="11011" max="11011" width="30.81640625" customWidth="1"/>
    <col min="11012" max="11012" width="12.54296875" customWidth="1"/>
    <col min="11013" max="11013" width="15.26953125" customWidth="1"/>
    <col min="11014" max="11014" width="15" customWidth="1"/>
    <col min="11015" max="11021" width="12.54296875" customWidth="1"/>
    <col min="11267" max="11267" width="30.81640625" customWidth="1"/>
    <col min="11268" max="11268" width="12.54296875" customWidth="1"/>
    <col min="11269" max="11269" width="15.26953125" customWidth="1"/>
    <col min="11270" max="11270" width="15" customWidth="1"/>
    <col min="11271" max="11277" width="12.54296875" customWidth="1"/>
    <col min="11523" max="11523" width="30.81640625" customWidth="1"/>
    <col min="11524" max="11524" width="12.54296875" customWidth="1"/>
    <col min="11525" max="11525" width="15.26953125" customWidth="1"/>
    <col min="11526" max="11526" width="15" customWidth="1"/>
    <col min="11527" max="11533" width="12.54296875" customWidth="1"/>
    <col min="11779" max="11779" width="30.81640625" customWidth="1"/>
    <col min="11780" max="11780" width="12.54296875" customWidth="1"/>
    <col min="11781" max="11781" width="15.26953125" customWidth="1"/>
    <col min="11782" max="11782" width="15" customWidth="1"/>
    <col min="11783" max="11789" width="12.54296875" customWidth="1"/>
    <col min="12035" max="12035" width="30.81640625" customWidth="1"/>
    <col min="12036" max="12036" width="12.54296875" customWidth="1"/>
    <col min="12037" max="12037" width="15.26953125" customWidth="1"/>
    <col min="12038" max="12038" width="15" customWidth="1"/>
    <col min="12039" max="12045" width="12.54296875" customWidth="1"/>
    <col min="12291" max="12291" width="30.81640625" customWidth="1"/>
    <col min="12292" max="12292" width="12.54296875" customWidth="1"/>
    <col min="12293" max="12293" width="15.26953125" customWidth="1"/>
    <col min="12294" max="12294" width="15" customWidth="1"/>
    <col min="12295" max="12301" width="12.54296875" customWidth="1"/>
    <col min="12547" max="12547" width="30.81640625" customWidth="1"/>
    <col min="12548" max="12548" width="12.54296875" customWidth="1"/>
    <col min="12549" max="12549" width="15.26953125" customWidth="1"/>
    <col min="12550" max="12550" width="15" customWidth="1"/>
    <col min="12551" max="12557" width="12.54296875" customWidth="1"/>
    <col min="12803" max="12803" width="30.81640625" customWidth="1"/>
    <col min="12804" max="12804" width="12.54296875" customWidth="1"/>
    <col min="12805" max="12805" width="15.26953125" customWidth="1"/>
    <col min="12806" max="12806" width="15" customWidth="1"/>
    <col min="12807" max="12813" width="12.54296875" customWidth="1"/>
    <col min="13059" max="13059" width="30.81640625" customWidth="1"/>
    <col min="13060" max="13060" width="12.54296875" customWidth="1"/>
    <col min="13061" max="13061" width="15.26953125" customWidth="1"/>
    <col min="13062" max="13062" width="15" customWidth="1"/>
    <col min="13063" max="13069" width="12.54296875" customWidth="1"/>
    <col min="13315" max="13315" width="30.81640625" customWidth="1"/>
    <col min="13316" max="13316" width="12.54296875" customWidth="1"/>
    <col min="13317" max="13317" width="15.26953125" customWidth="1"/>
    <col min="13318" max="13318" width="15" customWidth="1"/>
    <col min="13319" max="13325" width="12.54296875" customWidth="1"/>
    <col min="13571" max="13571" width="30.81640625" customWidth="1"/>
    <col min="13572" max="13572" width="12.54296875" customWidth="1"/>
    <col min="13573" max="13573" width="15.26953125" customWidth="1"/>
    <col min="13574" max="13574" width="15" customWidth="1"/>
    <col min="13575" max="13581" width="12.54296875" customWidth="1"/>
    <col min="13827" max="13827" width="30.81640625" customWidth="1"/>
    <col min="13828" max="13828" width="12.54296875" customWidth="1"/>
    <col min="13829" max="13829" width="15.26953125" customWidth="1"/>
    <col min="13830" max="13830" width="15" customWidth="1"/>
    <col min="13831" max="13837" width="12.54296875" customWidth="1"/>
    <col min="14083" max="14083" width="30.81640625" customWidth="1"/>
    <col min="14084" max="14084" width="12.54296875" customWidth="1"/>
    <col min="14085" max="14085" width="15.26953125" customWidth="1"/>
    <col min="14086" max="14086" width="15" customWidth="1"/>
    <col min="14087" max="14093" width="12.54296875" customWidth="1"/>
    <col min="14339" max="14339" width="30.81640625" customWidth="1"/>
    <col min="14340" max="14340" width="12.54296875" customWidth="1"/>
    <col min="14341" max="14341" width="15.26953125" customWidth="1"/>
    <col min="14342" max="14342" width="15" customWidth="1"/>
    <col min="14343" max="14349" width="12.54296875" customWidth="1"/>
    <col min="14595" max="14595" width="30.81640625" customWidth="1"/>
    <col min="14596" max="14596" width="12.54296875" customWidth="1"/>
    <col min="14597" max="14597" width="15.26953125" customWidth="1"/>
    <col min="14598" max="14598" width="15" customWidth="1"/>
    <col min="14599" max="14605" width="12.54296875" customWidth="1"/>
    <col min="14851" max="14851" width="30.81640625" customWidth="1"/>
    <col min="14852" max="14852" width="12.54296875" customWidth="1"/>
    <col min="14853" max="14853" width="15.26953125" customWidth="1"/>
    <col min="14854" max="14854" width="15" customWidth="1"/>
    <col min="14855" max="14861" width="12.54296875" customWidth="1"/>
    <col min="15107" max="15107" width="30.81640625" customWidth="1"/>
    <col min="15108" max="15108" width="12.54296875" customWidth="1"/>
    <col min="15109" max="15109" width="15.26953125" customWidth="1"/>
    <col min="15110" max="15110" width="15" customWidth="1"/>
    <col min="15111" max="15117" width="12.54296875" customWidth="1"/>
    <col min="15363" max="15363" width="30.81640625" customWidth="1"/>
    <col min="15364" max="15364" width="12.54296875" customWidth="1"/>
    <col min="15365" max="15365" width="15.26953125" customWidth="1"/>
    <col min="15366" max="15366" width="15" customWidth="1"/>
    <col min="15367" max="15373" width="12.54296875" customWidth="1"/>
    <col min="15619" max="15619" width="30.81640625" customWidth="1"/>
    <col min="15620" max="15620" width="12.54296875" customWidth="1"/>
    <col min="15621" max="15621" width="15.26953125" customWidth="1"/>
    <col min="15622" max="15622" width="15" customWidth="1"/>
    <col min="15623" max="15629" width="12.54296875" customWidth="1"/>
    <col min="15875" max="15875" width="30.81640625" customWidth="1"/>
    <col min="15876" max="15876" width="12.54296875" customWidth="1"/>
    <col min="15877" max="15877" width="15.26953125" customWidth="1"/>
    <col min="15878" max="15878" width="15" customWidth="1"/>
    <col min="15879" max="15885" width="12.54296875" customWidth="1"/>
    <col min="16131" max="16131" width="30.81640625" customWidth="1"/>
    <col min="16132" max="16132" width="12.54296875" customWidth="1"/>
    <col min="16133" max="16133" width="15.26953125" customWidth="1"/>
    <col min="16134" max="16134" width="15" customWidth="1"/>
    <col min="16135" max="16141" width="12.54296875" customWidth="1"/>
  </cols>
  <sheetData>
    <row r="1" spans="1:13" s="3" customFormat="1" ht="43.5">
      <c r="D1" s="28" t="s">
        <v>48</v>
      </c>
      <c r="E1" s="28" t="s">
        <v>49</v>
      </c>
      <c r="F1" s="28" t="s">
        <v>50</v>
      </c>
      <c r="G1" s="28" t="s">
        <v>51</v>
      </c>
      <c r="H1" s="28" t="s">
        <v>52</v>
      </c>
      <c r="I1" s="28" t="s">
        <v>53</v>
      </c>
      <c r="J1" s="28" t="s">
        <v>54</v>
      </c>
      <c r="K1" s="28" t="s">
        <v>55</v>
      </c>
      <c r="L1" s="28" t="s">
        <v>56</v>
      </c>
      <c r="M1" s="28" t="s">
        <v>57</v>
      </c>
    </row>
    <row r="2" spans="1:13" ht="24.75" customHeight="1">
      <c r="C2" t="s">
        <v>58</v>
      </c>
      <c r="D2" s="4">
        <v>4313.3109400000003</v>
      </c>
      <c r="E2" s="4">
        <v>3691.6080999999999</v>
      </c>
      <c r="F2" s="4">
        <v>4567.1452200000003</v>
      </c>
      <c r="G2" s="4">
        <v>3817.5744199999999</v>
      </c>
      <c r="H2" s="4">
        <v>4842.7227199999998</v>
      </c>
      <c r="I2" s="4">
        <v>3943.23776</v>
      </c>
      <c r="J2" s="4">
        <v>4016.1486399999994</v>
      </c>
      <c r="K2" s="4">
        <v>3317.2840999999994</v>
      </c>
      <c r="L2" s="4">
        <v>4990.5906800000002</v>
      </c>
      <c r="M2" s="4">
        <v>4040.3994600000001</v>
      </c>
    </row>
    <row r="3" spans="1:13">
      <c r="C3" t="s">
        <v>59</v>
      </c>
    </row>
    <row r="4" spans="1:13" s="3" customFormat="1" ht="43.5">
      <c r="D4" s="3" t="s">
        <v>48</v>
      </c>
      <c r="E4" s="3" t="s">
        <v>49</v>
      </c>
      <c r="F4" s="3" t="s">
        <v>50</v>
      </c>
      <c r="G4" s="3" t="s">
        <v>51</v>
      </c>
      <c r="H4" s="3" t="s">
        <v>52</v>
      </c>
      <c r="I4" s="3" t="s">
        <v>53</v>
      </c>
      <c r="J4" s="3" t="s">
        <v>54</v>
      </c>
      <c r="K4" s="3" t="s">
        <v>55</v>
      </c>
      <c r="L4" s="3" t="s">
        <v>56</v>
      </c>
      <c r="M4" s="3" t="s">
        <v>57</v>
      </c>
    </row>
    <row r="5" spans="1:13">
      <c r="C5" t="s">
        <v>60</v>
      </c>
      <c r="D5" s="5">
        <v>0.2174818156872278</v>
      </c>
      <c r="E5" s="5">
        <v>0.24590781746607504</v>
      </c>
      <c r="F5" s="5">
        <v>0.19038736952448509</v>
      </c>
      <c r="G5" s="5">
        <v>0.21048189144820828</v>
      </c>
      <c r="H5" s="5">
        <v>0.20465356475028529</v>
      </c>
      <c r="I5" s="5">
        <v>0.22181091704312594</v>
      </c>
      <c r="J5" s="5">
        <v>1.8422496741568928E-2</v>
      </c>
      <c r="K5" s="5">
        <v>3.0324346832661719E-2</v>
      </c>
      <c r="L5" s="5">
        <v>7.9312012420942379E-2</v>
      </c>
      <c r="M5" s="5">
        <v>7.3874110559560224E-2</v>
      </c>
    </row>
    <row r="6" spans="1:13">
      <c r="C6" t="s">
        <v>61</v>
      </c>
      <c r="D6" s="5">
        <v>3.7262770681560579E-2</v>
      </c>
      <c r="E6" s="5">
        <v>4.3125153409211393E-2</v>
      </c>
      <c r="F6" s="5">
        <v>3.5466515702308014E-2</v>
      </c>
      <c r="G6" s="5">
        <v>4.2129991511499702E-2</v>
      </c>
      <c r="H6" s="5">
        <v>3.3487066423738429E-2</v>
      </c>
      <c r="I6" s="5">
        <v>4.0822891767920116E-2</v>
      </c>
      <c r="J6" s="5">
        <v>4.0416654640410242E-2</v>
      </c>
      <c r="K6" s="5">
        <v>4.8568697051545984E-2</v>
      </c>
      <c r="L6" s="5">
        <v>2.8690619724765699E-2</v>
      </c>
      <c r="M6" s="5">
        <v>3.1990016843720603E-2</v>
      </c>
    </row>
    <row r="7" spans="1:13">
      <c r="C7" t="s">
        <v>62</v>
      </c>
      <c r="D7" s="5">
        <v>0.28499999999999998</v>
      </c>
      <c r="E7" s="5">
        <v>0.33900000000000002</v>
      </c>
      <c r="F7" s="5">
        <v>0.29499999999999998</v>
      </c>
      <c r="G7" s="5">
        <v>0.35199999999999998</v>
      </c>
      <c r="H7" s="5">
        <v>0.30299999999999999</v>
      </c>
      <c r="I7" s="5">
        <v>0.36699999999999999</v>
      </c>
      <c r="J7" s="5">
        <v>0.36299999999999999</v>
      </c>
      <c r="K7" s="5">
        <v>0.45</v>
      </c>
      <c r="L7" s="5">
        <v>0.30603327706416783</v>
      </c>
      <c r="M7" s="5">
        <v>0.3662305376591462</v>
      </c>
    </row>
    <row r="8" spans="1:13">
      <c r="C8" t="s">
        <v>63</v>
      </c>
      <c r="D8" s="5">
        <v>0</v>
      </c>
      <c r="E8" s="5">
        <v>0</v>
      </c>
      <c r="F8" s="5">
        <v>2.340790036352329E-2</v>
      </c>
      <c r="G8" s="5">
        <v>1.7413729824753209E-2</v>
      </c>
      <c r="H8" s="5">
        <v>3.7059020175603856E-2</v>
      </c>
      <c r="I8" s="5">
        <v>2.3677277225393666E-2</v>
      </c>
      <c r="J8" s="5">
        <v>7.3827755809816042E-2</v>
      </c>
      <c r="K8" s="5">
        <v>5.4396940697731502E-2</v>
      </c>
      <c r="L8" s="5">
        <v>4.3567237359829446E-2</v>
      </c>
      <c r="M8" s="5">
        <v>5.4052097425596878E-2</v>
      </c>
    </row>
    <row r="9" spans="1:13">
      <c r="C9" t="s">
        <v>64</v>
      </c>
      <c r="D9" s="5">
        <v>0</v>
      </c>
      <c r="E9" s="5">
        <v>0</v>
      </c>
      <c r="F9" s="5">
        <v>2.340790036352329E-2</v>
      </c>
      <c r="G9" s="5">
        <v>1.7413729824753209E-2</v>
      </c>
      <c r="H9" s="5">
        <v>3.7059020175603856E-2</v>
      </c>
      <c r="I9" s="5">
        <v>2.3677277225393666E-2</v>
      </c>
      <c r="J9" s="5">
        <v>0</v>
      </c>
      <c r="K9" s="5">
        <v>0</v>
      </c>
      <c r="L9" s="5">
        <v>0</v>
      </c>
      <c r="M9" s="5">
        <v>0</v>
      </c>
    </row>
    <row r="10" spans="1:13">
      <c r="C10" t="s">
        <v>65</v>
      </c>
      <c r="D10" s="5">
        <v>0</v>
      </c>
      <c r="E10" s="5">
        <v>0</v>
      </c>
      <c r="F10" s="5">
        <v>1.7999999999999999E-2</v>
      </c>
      <c r="G10" s="5">
        <v>1.7999999999999999E-2</v>
      </c>
      <c r="H10" s="5">
        <v>1.7999999999999999E-2</v>
      </c>
      <c r="I10" s="5">
        <v>1.7000000000000001E-2</v>
      </c>
      <c r="J10" s="5">
        <v>5.8999999999999997E-2</v>
      </c>
      <c r="K10" s="5">
        <v>6.6000000000000003E-2</v>
      </c>
      <c r="L10" s="5">
        <v>3.8254159633020979E-2</v>
      </c>
      <c r="M10" s="5">
        <v>4.7433473251033989E-2</v>
      </c>
    </row>
    <row r="11" spans="1:13">
      <c r="C11" t="s">
        <v>66</v>
      </c>
      <c r="D11" s="5">
        <v>0</v>
      </c>
      <c r="E11" s="5">
        <v>0</v>
      </c>
      <c r="F11" s="5">
        <v>0</v>
      </c>
      <c r="G11" s="5">
        <v>0</v>
      </c>
      <c r="H11" s="5">
        <v>0</v>
      </c>
      <c r="I11" s="5">
        <v>0</v>
      </c>
      <c r="J11" s="5">
        <v>0</v>
      </c>
      <c r="K11" s="5">
        <v>0</v>
      </c>
      <c r="L11" s="5">
        <v>8.8812362865825181E-2</v>
      </c>
      <c r="M11" s="5">
        <v>8.0841265085229E-2</v>
      </c>
    </row>
    <row r="12" spans="1:13">
      <c r="C12" t="s">
        <v>67</v>
      </c>
      <c r="D12" s="5">
        <v>0.46025541363121159</v>
      </c>
      <c r="E12" s="5">
        <v>0.37196702912471347</v>
      </c>
      <c r="F12" s="5">
        <v>0.41433031404616039</v>
      </c>
      <c r="G12" s="5">
        <v>0.34256065739078556</v>
      </c>
      <c r="H12" s="5">
        <v>0.3667413284747687</v>
      </c>
      <c r="I12" s="5">
        <v>0.30601163673816656</v>
      </c>
      <c r="J12" s="5">
        <v>0.44533309280820488</v>
      </c>
      <c r="K12" s="5">
        <v>0.35071001541806091</v>
      </c>
      <c r="L12" s="5">
        <v>0.41533033093144855</v>
      </c>
      <c r="M12" s="5">
        <v>0.34557849917571304</v>
      </c>
    </row>
    <row r="14" spans="1:13" s="3" customFormat="1" ht="43.5">
      <c r="D14" s="29" t="s">
        <v>68</v>
      </c>
      <c r="E14" s="29" t="s">
        <v>69</v>
      </c>
      <c r="F14" s="29" t="s">
        <v>61</v>
      </c>
      <c r="G14" s="29" t="s">
        <v>62</v>
      </c>
    </row>
    <row r="15" spans="1:13">
      <c r="A15" t="s">
        <v>70</v>
      </c>
      <c r="B15" s="6">
        <v>0.453592</v>
      </c>
      <c r="C15" t="s">
        <v>58</v>
      </c>
      <c r="D15" s="4">
        <f>D2*D12</f>
        <v>1985.2247108097301</v>
      </c>
      <c r="E15" s="4">
        <f>D2*D5</f>
        <v>938.06669485478335</v>
      </c>
      <c r="F15" s="4">
        <f>D2*D6</f>
        <v>160.72591643548651</v>
      </c>
      <c r="G15" s="4">
        <f>D2*D7</f>
        <v>1229.2936179000001</v>
      </c>
    </row>
    <row r="16" spans="1:13">
      <c r="C16" t="s">
        <v>71</v>
      </c>
      <c r="D16" s="4">
        <v>2445715.0657576099</v>
      </c>
      <c r="E16" s="4">
        <v>1025990.4649890203</v>
      </c>
      <c r="F16" s="4">
        <v>269665.76899665658</v>
      </c>
      <c r="G16" s="4">
        <v>2184579.2764180242</v>
      </c>
    </row>
    <row r="17" spans="3:7">
      <c r="C17" s="2" t="s">
        <v>72</v>
      </c>
      <c r="D17" s="13">
        <f>D16/D15/$B$15</f>
        <v>2716.0064699080676</v>
      </c>
      <c r="E17" s="13">
        <f>E16/E15/$B$15</f>
        <v>2411.2609971092284</v>
      </c>
      <c r="F17" s="13">
        <f>F16/F15/$B$15</f>
        <v>3698.9164709867837</v>
      </c>
      <c r="G17" s="13">
        <f>G16/G15/$B$15</f>
        <v>3917.8409051256999</v>
      </c>
    </row>
  </sheetData>
  <phoneticPr fontId="37" type="noConversion"/>
  <pageMargins left="0.7" right="0.7" top="0.75" bottom="0.75" header="0.3" footer="0.3"/>
  <pageSetup orientation="portrait" r:id="rId1"/>
  <headerFooter>
    <oddFooter>&amp;C&amp;1#&amp;"Calibri"&amp;14&amp;K008000Classification: General Use</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tabColor theme="8" tint="0.79998168889431442"/>
  </sheetPr>
  <dimension ref="C2:Q37"/>
  <sheetViews>
    <sheetView zoomScaleNormal="100" workbookViewId="0">
      <selection activeCell="P50" sqref="P50"/>
    </sheetView>
  </sheetViews>
  <sheetFormatPr defaultRowHeight="14.5"/>
  <cols>
    <col min="1" max="2" width="9.1796875" style="3"/>
    <col min="3" max="3" width="28.54296875" style="3" bestFit="1" customWidth="1"/>
    <col min="4" max="4" width="22.54296875" style="3" bestFit="1" customWidth="1"/>
    <col min="5" max="5" width="12.1796875" style="3" bestFit="1" customWidth="1"/>
    <col min="6" max="6" width="16.81640625" style="3" customWidth="1"/>
    <col min="7" max="7" width="11.54296875" style="3" bestFit="1" customWidth="1"/>
    <col min="8" max="12" width="11.453125" style="3" bestFit="1" customWidth="1"/>
    <col min="13" max="13" width="7.54296875" style="3" bestFit="1" customWidth="1"/>
    <col min="14" max="16" width="11.453125" style="3" bestFit="1" customWidth="1"/>
    <col min="17" max="17" width="7.54296875" style="3" bestFit="1" customWidth="1"/>
    <col min="18" max="258" width="9.1796875" style="3"/>
    <col min="259" max="259" width="32.26953125" style="3" customWidth="1"/>
    <col min="260" max="261" width="9.1796875" style="3"/>
    <col min="262" max="262" width="12.26953125" style="3" customWidth="1"/>
    <col min="263" max="263" width="11" style="3" customWidth="1"/>
    <col min="264" max="514" width="9.1796875" style="3"/>
    <col min="515" max="515" width="32.26953125" style="3" customWidth="1"/>
    <col min="516" max="517" width="9.1796875" style="3"/>
    <col min="518" max="518" width="12.26953125" style="3" customWidth="1"/>
    <col min="519" max="519" width="11" style="3" customWidth="1"/>
    <col min="520" max="770" width="9.1796875" style="3"/>
    <col min="771" max="771" width="32.26953125" style="3" customWidth="1"/>
    <col min="772" max="773" width="9.1796875" style="3"/>
    <col min="774" max="774" width="12.26953125" style="3" customWidth="1"/>
    <col min="775" max="775" width="11" style="3" customWidth="1"/>
    <col min="776" max="1026" width="9.1796875" style="3"/>
    <col min="1027" max="1027" width="32.26953125" style="3" customWidth="1"/>
    <col min="1028" max="1029" width="9.1796875" style="3"/>
    <col min="1030" max="1030" width="12.26953125" style="3" customWidth="1"/>
    <col min="1031" max="1031" width="11" style="3" customWidth="1"/>
    <col min="1032" max="1282" width="9.1796875" style="3"/>
    <col min="1283" max="1283" width="32.26953125" style="3" customWidth="1"/>
    <col min="1284" max="1285" width="9.1796875" style="3"/>
    <col min="1286" max="1286" width="12.26953125" style="3" customWidth="1"/>
    <col min="1287" max="1287" width="11" style="3" customWidth="1"/>
    <col min="1288" max="1538" width="9.1796875" style="3"/>
    <col min="1539" max="1539" width="32.26953125" style="3" customWidth="1"/>
    <col min="1540" max="1541" width="9.1796875" style="3"/>
    <col min="1542" max="1542" width="12.26953125" style="3" customWidth="1"/>
    <col min="1543" max="1543" width="11" style="3" customWidth="1"/>
    <col min="1544" max="1794" width="9.1796875" style="3"/>
    <col min="1795" max="1795" width="32.26953125" style="3" customWidth="1"/>
    <col min="1796" max="1797" width="9.1796875" style="3"/>
    <col min="1798" max="1798" width="12.26953125" style="3" customWidth="1"/>
    <col min="1799" max="1799" width="11" style="3" customWidth="1"/>
    <col min="1800" max="2050" width="9.1796875" style="3"/>
    <col min="2051" max="2051" width="32.26953125" style="3" customWidth="1"/>
    <col min="2052" max="2053" width="9.1796875" style="3"/>
    <col min="2054" max="2054" width="12.26953125" style="3" customWidth="1"/>
    <col min="2055" max="2055" width="11" style="3" customWidth="1"/>
    <col min="2056" max="2306" width="9.1796875" style="3"/>
    <col min="2307" max="2307" width="32.26953125" style="3" customWidth="1"/>
    <col min="2308" max="2309" width="9.1796875" style="3"/>
    <col min="2310" max="2310" width="12.26953125" style="3" customWidth="1"/>
    <col min="2311" max="2311" width="11" style="3" customWidth="1"/>
    <col min="2312" max="2562" width="9.1796875" style="3"/>
    <col min="2563" max="2563" width="32.26953125" style="3" customWidth="1"/>
    <col min="2564" max="2565" width="9.1796875" style="3"/>
    <col min="2566" max="2566" width="12.26953125" style="3" customWidth="1"/>
    <col min="2567" max="2567" width="11" style="3" customWidth="1"/>
    <col min="2568" max="2818" width="9.1796875" style="3"/>
    <col min="2819" max="2819" width="32.26953125" style="3" customWidth="1"/>
    <col min="2820" max="2821" width="9.1796875" style="3"/>
    <col min="2822" max="2822" width="12.26953125" style="3" customWidth="1"/>
    <col min="2823" max="2823" width="11" style="3" customWidth="1"/>
    <col min="2824" max="3074" width="9.1796875" style="3"/>
    <col min="3075" max="3075" width="32.26953125" style="3" customWidth="1"/>
    <col min="3076" max="3077" width="9.1796875" style="3"/>
    <col min="3078" max="3078" width="12.26953125" style="3" customWidth="1"/>
    <col min="3079" max="3079" width="11" style="3" customWidth="1"/>
    <col min="3080" max="3330" width="9.1796875" style="3"/>
    <col min="3331" max="3331" width="32.26953125" style="3" customWidth="1"/>
    <col min="3332" max="3333" width="9.1796875" style="3"/>
    <col min="3334" max="3334" width="12.26953125" style="3" customWidth="1"/>
    <col min="3335" max="3335" width="11" style="3" customWidth="1"/>
    <col min="3336" max="3586" width="9.1796875" style="3"/>
    <col min="3587" max="3587" width="32.26953125" style="3" customWidth="1"/>
    <col min="3588" max="3589" width="9.1796875" style="3"/>
    <col min="3590" max="3590" width="12.26953125" style="3" customWidth="1"/>
    <col min="3591" max="3591" width="11" style="3" customWidth="1"/>
    <col min="3592" max="3842" width="9.1796875" style="3"/>
    <col min="3843" max="3843" width="32.26953125" style="3" customWidth="1"/>
    <col min="3844" max="3845" width="9.1796875" style="3"/>
    <col min="3846" max="3846" width="12.26953125" style="3" customWidth="1"/>
    <col min="3847" max="3847" width="11" style="3" customWidth="1"/>
    <col min="3848" max="4098" width="9.1796875" style="3"/>
    <col min="4099" max="4099" width="32.26953125" style="3" customWidth="1"/>
    <col min="4100" max="4101" width="9.1796875" style="3"/>
    <col min="4102" max="4102" width="12.26953125" style="3" customWidth="1"/>
    <col min="4103" max="4103" width="11" style="3" customWidth="1"/>
    <col min="4104" max="4354" width="9.1796875" style="3"/>
    <col min="4355" max="4355" width="32.26953125" style="3" customWidth="1"/>
    <col min="4356" max="4357" width="9.1796875" style="3"/>
    <col min="4358" max="4358" width="12.26953125" style="3" customWidth="1"/>
    <col min="4359" max="4359" width="11" style="3" customWidth="1"/>
    <col min="4360" max="4610" width="9.1796875" style="3"/>
    <col min="4611" max="4611" width="32.26953125" style="3" customWidth="1"/>
    <col min="4612" max="4613" width="9.1796875" style="3"/>
    <col min="4614" max="4614" width="12.26953125" style="3" customWidth="1"/>
    <col min="4615" max="4615" width="11" style="3" customWidth="1"/>
    <col min="4616" max="4866" width="9.1796875" style="3"/>
    <col min="4867" max="4867" width="32.26953125" style="3" customWidth="1"/>
    <col min="4868" max="4869" width="9.1796875" style="3"/>
    <col min="4870" max="4870" width="12.26953125" style="3" customWidth="1"/>
    <col min="4871" max="4871" width="11" style="3" customWidth="1"/>
    <col min="4872" max="5122" width="9.1796875" style="3"/>
    <col min="5123" max="5123" width="32.26953125" style="3" customWidth="1"/>
    <col min="5124" max="5125" width="9.1796875" style="3"/>
    <col min="5126" max="5126" width="12.26953125" style="3" customWidth="1"/>
    <col min="5127" max="5127" width="11" style="3" customWidth="1"/>
    <col min="5128" max="5378" width="9.1796875" style="3"/>
    <col min="5379" max="5379" width="32.26953125" style="3" customWidth="1"/>
    <col min="5380" max="5381" width="9.1796875" style="3"/>
    <col min="5382" max="5382" width="12.26953125" style="3" customWidth="1"/>
    <col min="5383" max="5383" width="11" style="3" customWidth="1"/>
    <col min="5384" max="5634" width="9.1796875" style="3"/>
    <col min="5635" max="5635" width="32.26953125" style="3" customWidth="1"/>
    <col min="5636" max="5637" width="9.1796875" style="3"/>
    <col min="5638" max="5638" width="12.26953125" style="3" customWidth="1"/>
    <col min="5639" max="5639" width="11" style="3" customWidth="1"/>
    <col min="5640" max="5890" width="9.1796875" style="3"/>
    <col min="5891" max="5891" width="32.26953125" style="3" customWidth="1"/>
    <col min="5892" max="5893" width="9.1796875" style="3"/>
    <col min="5894" max="5894" width="12.26953125" style="3" customWidth="1"/>
    <col min="5895" max="5895" width="11" style="3" customWidth="1"/>
    <col min="5896" max="6146" width="9.1796875" style="3"/>
    <col min="6147" max="6147" width="32.26953125" style="3" customWidth="1"/>
    <col min="6148" max="6149" width="9.1796875" style="3"/>
    <col min="6150" max="6150" width="12.26953125" style="3" customWidth="1"/>
    <col min="6151" max="6151" width="11" style="3" customWidth="1"/>
    <col min="6152" max="6402" width="9.1796875" style="3"/>
    <col min="6403" max="6403" width="32.26953125" style="3" customWidth="1"/>
    <col min="6404" max="6405" width="9.1796875" style="3"/>
    <col min="6406" max="6406" width="12.26953125" style="3" customWidth="1"/>
    <col min="6407" max="6407" width="11" style="3" customWidth="1"/>
    <col min="6408" max="6658" width="9.1796875" style="3"/>
    <col min="6659" max="6659" width="32.26953125" style="3" customWidth="1"/>
    <col min="6660" max="6661" width="9.1796875" style="3"/>
    <col min="6662" max="6662" width="12.26953125" style="3" customWidth="1"/>
    <col min="6663" max="6663" width="11" style="3" customWidth="1"/>
    <col min="6664" max="6914" width="9.1796875" style="3"/>
    <col min="6915" max="6915" width="32.26953125" style="3" customWidth="1"/>
    <col min="6916" max="6917" width="9.1796875" style="3"/>
    <col min="6918" max="6918" width="12.26953125" style="3" customWidth="1"/>
    <col min="6919" max="6919" width="11" style="3" customWidth="1"/>
    <col min="6920" max="7170" width="9.1796875" style="3"/>
    <col min="7171" max="7171" width="32.26953125" style="3" customWidth="1"/>
    <col min="7172" max="7173" width="9.1796875" style="3"/>
    <col min="7174" max="7174" width="12.26953125" style="3" customWidth="1"/>
    <col min="7175" max="7175" width="11" style="3" customWidth="1"/>
    <col min="7176" max="7426" width="9.1796875" style="3"/>
    <col min="7427" max="7427" width="32.26953125" style="3" customWidth="1"/>
    <col min="7428" max="7429" width="9.1796875" style="3"/>
    <col min="7430" max="7430" width="12.26953125" style="3" customWidth="1"/>
    <col min="7431" max="7431" width="11" style="3" customWidth="1"/>
    <col min="7432" max="7682" width="9.1796875" style="3"/>
    <col min="7683" max="7683" width="32.26953125" style="3" customWidth="1"/>
    <col min="7684" max="7685" width="9.1796875" style="3"/>
    <col min="7686" max="7686" width="12.26953125" style="3" customWidth="1"/>
    <col min="7687" max="7687" width="11" style="3" customWidth="1"/>
    <col min="7688" max="7938" width="9.1796875" style="3"/>
    <col min="7939" max="7939" width="32.26953125" style="3" customWidth="1"/>
    <col min="7940" max="7941" width="9.1796875" style="3"/>
    <col min="7942" max="7942" width="12.26953125" style="3" customWidth="1"/>
    <col min="7943" max="7943" width="11" style="3" customWidth="1"/>
    <col min="7944" max="8194" width="9.1796875" style="3"/>
    <col min="8195" max="8195" width="32.26953125" style="3" customWidth="1"/>
    <col min="8196" max="8197" width="9.1796875" style="3"/>
    <col min="8198" max="8198" width="12.26953125" style="3" customWidth="1"/>
    <col min="8199" max="8199" width="11" style="3" customWidth="1"/>
    <col min="8200" max="8450" width="9.1796875" style="3"/>
    <col min="8451" max="8451" width="32.26953125" style="3" customWidth="1"/>
    <col min="8452" max="8453" width="9.1796875" style="3"/>
    <col min="8454" max="8454" width="12.26953125" style="3" customWidth="1"/>
    <col min="8455" max="8455" width="11" style="3" customWidth="1"/>
    <col min="8456" max="8706" width="9.1796875" style="3"/>
    <col min="8707" max="8707" width="32.26953125" style="3" customWidth="1"/>
    <col min="8708" max="8709" width="9.1796875" style="3"/>
    <col min="8710" max="8710" width="12.26953125" style="3" customWidth="1"/>
    <col min="8711" max="8711" width="11" style="3" customWidth="1"/>
    <col min="8712" max="8962" width="9.1796875" style="3"/>
    <col min="8963" max="8963" width="32.26953125" style="3" customWidth="1"/>
    <col min="8964" max="8965" width="9.1796875" style="3"/>
    <col min="8966" max="8966" width="12.26953125" style="3" customWidth="1"/>
    <col min="8967" max="8967" width="11" style="3" customWidth="1"/>
    <col min="8968" max="9218" width="9.1796875" style="3"/>
    <col min="9219" max="9219" width="32.26953125" style="3" customWidth="1"/>
    <col min="9220" max="9221" width="9.1796875" style="3"/>
    <col min="9222" max="9222" width="12.26953125" style="3" customWidth="1"/>
    <col min="9223" max="9223" width="11" style="3" customWidth="1"/>
    <col min="9224" max="9474" width="9.1796875" style="3"/>
    <col min="9475" max="9475" width="32.26953125" style="3" customWidth="1"/>
    <col min="9476" max="9477" width="9.1796875" style="3"/>
    <col min="9478" max="9478" width="12.26953125" style="3" customWidth="1"/>
    <col min="9479" max="9479" width="11" style="3" customWidth="1"/>
    <col min="9480" max="9730" width="9.1796875" style="3"/>
    <col min="9731" max="9731" width="32.26953125" style="3" customWidth="1"/>
    <col min="9732" max="9733" width="9.1796875" style="3"/>
    <col min="9734" max="9734" width="12.26953125" style="3" customWidth="1"/>
    <col min="9735" max="9735" width="11" style="3" customWidth="1"/>
    <col min="9736" max="9986" width="9.1796875" style="3"/>
    <col min="9987" max="9987" width="32.26953125" style="3" customWidth="1"/>
    <col min="9988" max="9989" width="9.1796875" style="3"/>
    <col min="9990" max="9990" width="12.26953125" style="3" customWidth="1"/>
    <col min="9991" max="9991" width="11" style="3" customWidth="1"/>
    <col min="9992" max="10242" width="9.1796875" style="3"/>
    <col min="10243" max="10243" width="32.26953125" style="3" customWidth="1"/>
    <col min="10244" max="10245" width="9.1796875" style="3"/>
    <col min="10246" max="10246" width="12.26953125" style="3" customWidth="1"/>
    <col min="10247" max="10247" width="11" style="3" customWidth="1"/>
    <col min="10248" max="10498" width="9.1796875" style="3"/>
    <col min="10499" max="10499" width="32.26953125" style="3" customWidth="1"/>
    <col min="10500" max="10501" width="9.1796875" style="3"/>
    <col min="10502" max="10502" width="12.26953125" style="3" customWidth="1"/>
    <col min="10503" max="10503" width="11" style="3" customWidth="1"/>
    <col min="10504" max="10754" width="9.1796875" style="3"/>
    <col min="10755" max="10755" width="32.26953125" style="3" customWidth="1"/>
    <col min="10756" max="10757" width="9.1796875" style="3"/>
    <col min="10758" max="10758" width="12.26953125" style="3" customWidth="1"/>
    <col min="10759" max="10759" width="11" style="3" customWidth="1"/>
    <col min="10760" max="11010" width="9.1796875" style="3"/>
    <col min="11011" max="11011" width="32.26953125" style="3" customWidth="1"/>
    <col min="11012" max="11013" width="9.1796875" style="3"/>
    <col min="11014" max="11014" width="12.26953125" style="3" customWidth="1"/>
    <col min="11015" max="11015" width="11" style="3" customWidth="1"/>
    <col min="11016" max="11266" width="9.1796875" style="3"/>
    <col min="11267" max="11267" width="32.26953125" style="3" customWidth="1"/>
    <col min="11268" max="11269" width="9.1796875" style="3"/>
    <col min="11270" max="11270" width="12.26953125" style="3" customWidth="1"/>
    <col min="11271" max="11271" width="11" style="3" customWidth="1"/>
    <col min="11272" max="11522" width="9.1796875" style="3"/>
    <col min="11523" max="11523" width="32.26953125" style="3" customWidth="1"/>
    <col min="11524" max="11525" width="9.1796875" style="3"/>
    <col min="11526" max="11526" width="12.26953125" style="3" customWidth="1"/>
    <col min="11527" max="11527" width="11" style="3" customWidth="1"/>
    <col min="11528" max="11778" width="9.1796875" style="3"/>
    <col min="11779" max="11779" width="32.26953125" style="3" customWidth="1"/>
    <col min="11780" max="11781" width="9.1796875" style="3"/>
    <col min="11782" max="11782" width="12.26953125" style="3" customWidth="1"/>
    <col min="11783" max="11783" width="11" style="3" customWidth="1"/>
    <col min="11784" max="12034" width="9.1796875" style="3"/>
    <col min="12035" max="12035" width="32.26953125" style="3" customWidth="1"/>
    <col min="12036" max="12037" width="9.1796875" style="3"/>
    <col min="12038" max="12038" width="12.26953125" style="3" customWidth="1"/>
    <col min="12039" max="12039" width="11" style="3" customWidth="1"/>
    <col min="12040" max="12290" width="9.1796875" style="3"/>
    <col min="12291" max="12291" width="32.26953125" style="3" customWidth="1"/>
    <col min="12292" max="12293" width="9.1796875" style="3"/>
    <col min="12294" max="12294" width="12.26953125" style="3" customWidth="1"/>
    <col min="12295" max="12295" width="11" style="3" customWidth="1"/>
    <col min="12296" max="12546" width="9.1796875" style="3"/>
    <col min="12547" max="12547" width="32.26953125" style="3" customWidth="1"/>
    <col min="12548" max="12549" width="9.1796875" style="3"/>
    <col min="12550" max="12550" width="12.26953125" style="3" customWidth="1"/>
    <col min="12551" max="12551" width="11" style="3" customWidth="1"/>
    <col min="12552" max="12802" width="9.1796875" style="3"/>
    <col min="12803" max="12803" width="32.26953125" style="3" customWidth="1"/>
    <col min="12804" max="12805" width="9.1796875" style="3"/>
    <col min="12806" max="12806" width="12.26953125" style="3" customWidth="1"/>
    <col min="12807" max="12807" width="11" style="3" customWidth="1"/>
    <col min="12808" max="13058" width="9.1796875" style="3"/>
    <col min="13059" max="13059" width="32.26953125" style="3" customWidth="1"/>
    <col min="13060" max="13061" width="9.1796875" style="3"/>
    <col min="13062" max="13062" width="12.26953125" style="3" customWidth="1"/>
    <col min="13063" max="13063" width="11" style="3" customWidth="1"/>
    <col min="13064" max="13314" width="9.1796875" style="3"/>
    <col min="13315" max="13315" width="32.26953125" style="3" customWidth="1"/>
    <col min="13316" max="13317" width="9.1796875" style="3"/>
    <col min="13318" max="13318" width="12.26953125" style="3" customWidth="1"/>
    <col min="13319" max="13319" width="11" style="3" customWidth="1"/>
    <col min="13320" max="13570" width="9.1796875" style="3"/>
    <col min="13571" max="13571" width="32.26953125" style="3" customWidth="1"/>
    <col min="13572" max="13573" width="9.1796875" style="3"/>
    <col min="13574" max="13574" width="12.26953125" style="3" customWidth="1"/>
    <col min="13575" max="13575" width="11" style="3" customWidth="1"/>
    <col min="13576" max="13826" width="9.1796875" style="3"/>
    <col min="13827" max="13827" width="32.26953125" style="3" customWidth="1"/>
    <col min="13828" max="13829" width="9.1796875" style="3"/>
    <col min="13830" max="13830" width="12.26953125" style="3" customWidth="1"/>
    <col min="13831" max="13831" width="11" style="3" customWidth="1"/>
    <col min="13832" max="14082" width="9.1796875" style="3"/>
    <col min="14083" max="14083" width="32.26953125" style="3" customWidth="1"/>
    <col min="14084" max="14085" width="9.1796875" style="3"/>
    <col min="14086" max="14086" width="12.26953125" style="3" customWidth="1"/>
    <col min="14087" max="14087" width="11" style="3" customWidth="1"/>
    <col min="14088" max="14338" width="9.1796875" style="3"/>
    <col min="14339" max="14339" width="32.26953125" style="3" customWidth="1"/>
    <col min="14340" max="14341" width="9.1796875" style="3"/>
    <col min="14342" max="14342" width="12.26953125" style="3" customWidth="1"/>
    <col min="14343" max="14343" width="11" style="3" customWidth="1"/>
    <col min="14344" max="14594" width="9.1796875" style="3"/>
    <col min="14595" max="14595" width="32.26953125" style="3" customWidth="1"/>
    <col min="14596" max="14597" width="9.1796875" style="3"/>
    <col min="14598" max="14598" width="12.26953125" style="3" customWidth="1"/>
    <col min="14599" max="14599" width="11" style="3" customWidth="1"/>
    <col min="14600" max="14850" width="9.1796875" style="3"/>
    <col min="14851" max="14851" width="32.26953125" style="3" customWidth="1"/>
    <col min="14852" max="14853" width="9.1796875" style="3"/>
    <col min="14854" max="14854" width="12.26953125" style="3" customWidth="1"/>
    <col min="14855" max="14855" width="11" style="3" customWidth="1"/>
    <col min="14856" max="15106" width="9.1796875" style="3"/>
    <col min="15107" max="15107" width="32.26953125" style="3" customWidth="1"/>
    <col min="15108" max="15109" width="9.1796875" style="3"/>
    <col min="15110" max="15110" width="12.26953125" style="3" customWidth="1"/>
    <col min="15111" max="15111" width="11" style="3" customWidth="1"/>
    <col min="15112" max="15362" width="9.1796875" style="3"/>
    <col min="15363" max="15363" width="32.26953125" style="3" customWidth="1"/>
    <col min="15364" max="15365" width="9.1796875" style="3"/>
    <col min="15366" max="15366" width="12.26953125" style="3" customWidth="1"/>
    <col min="15367" max="15367" width="11" style="3" customWidth="1"/>
    <col min="15368" max="15618" width="9.1796875" style="3"/>
    <col min="15619" max="15619" width="32.26953125" style="3" customWidth="1"/>
    <col min="15620" max="15621" width="9.1796875" style="3"/>
    <col min="15622" max="15622" width="12.26953125" style="3" customWidth="1"/>
    <col min="15623" max="15623" width="11" style="3" customWidth="1"/>
    <col min="15624" max="15874" width="9.1796875" style="3"/>
    <col min="15875" max="15875" width="32.26953125" style="3" customWidth="1"/>
    <col min="15876" max="15877" width="9.1796875" style="3"/>
    <col min="15878" max="15878" width="12.26953125" style="3" customWidth="1"/>
    <col min="15879" max="15879" width="11" style="3" customWidth="1"/>
    <col min="15880" max="16130" width="9.1796875" style="3"/>
    <col min="16131" max="16131" width="32.26953125" style="3" customWidth="1"/>
    <col min="16132" max="16133" width="9.1796875" style="3"/>
    <col min="16134" max="16134" width="12.26953125" style="3" customWidth="1"/>
    <col min="16135" max="16135" width="11" style="3" customWidth="1"/>
    <col min="16136" max="16384" width="9.1796875" style="3"/>
  </cols>
  <sheetData>
    <row r="2" spans="3:17" ht="29">
      <c r="D2" s="29" t="s">
        <v>73</v>
      </c>
      <c r="E2" s="28" t="s">
        <v>74</v>
      </c>
      <c r="F2" s="28" t="s">
        <v>75</v>
      </c>
      <c r="G2" s="29" t="s">
        <v>76</v>
      </c>
      <c r="H2" s="29" t="s">
        <v>77</v>
      </c>
      <c r="I2" s="28" t="s">
        <v>78</v>
      </c>
      <c r="J2" s="28" t="s">
        <v>79</v>
      </c>
      <c r="K2" s="30" t="s">
        <v>177</v>
      </c>
    </row>
    <row r="3" spans="3:17">
      <c r="C3" s="3" t="s">
        <v>242</v>
      </c>
      <c r="D3" s="3">
        <v>25000</v>
      </c>
      <c r="G3" s="23">
        <v>100000</v>
      </c>
      <c r="H3" s="24">
        <v>50000</v>
      </c>
    </row>
    <row r="4" spans="3:17">
      <c r="C4" s="3" t="s">
        <v>80</v>
      </c>
    </row>
    <row r="5" spans="3:17">
      <c r="C5" s="3" t="s">
        <v>81</v>
      </c>
      <c r="D5" s="3">
        <f>7.61*14</f>
        <v>106.54</v>
      </c>
      <c r="E5" s="3">
        <v>0</v>
      </c>
      <c r="F5" s="3">
        <v>2</v>
      </c>
      <c r="G5" s="3">
        <v>27</v>
      </c>
      <c r="H5" s="3">
        <f>33.1*2.2</f>
        <v>72.820000000000007</v>
      </c>
      <c r="I5" s="3">
        <v>10.5</v>
      </c>
      <c r="J5" s="3">
        <v>40</v>
      </c>
    </row>
    <row r="6" spans="3:17">
      <c r="C6" s="3" t="s">
        <v>82</v>
      </c>
      <c r="D6" s="3">
        <v>0</v>
      </c>
      <c r="E6" s="3">
        <v>0</v>
      </c>
      <c r="F6" s="3">
        <v>2</v>
      </c>
      <c r="G6" s="3">
        <v>2.4</v>
      </c>
      <c r="H6" s="3">
        <f>H5</f>
        <v>72.820000000000007</v>
      </c>
      <c r="I6" s="3">
        <v>10.5</v>
      </c>
      <c r="J6" s="3">
        <v>40</v>
      </c>
    </row>
    <row r="7" spans="3:17">
      <c r="C7" s="3" t="s">
        <v>83</v>
      </c>
      <c r="D7" s="3">
        <v>0</v>
      </c>
      <c r="E7" s="3">
        <v>0</v>
      </c>
      <c r="F7" s="3">
        <v>2</v>
      </c>
      <c r="G7" s="3">
        <v>2.4</v>
      </c>
      <c r="H7" s="3">
        <f>H5</f>
        <v>72.820000000000007</v>
      </c>
      <c r="I7" s="3">
        <v>10.5</v>
      </c>
      <c r="J7" s="3">
        <v>40</v>
      </c>
    </row>
    <row r="8" spans="3:17" ht="29">
      <c r="C8" s="3" t="s">
        <v>84</v>
      </c>
      <c r="D8" s="3">
        <f>'TCO Calculation'!$C$8/'(B) Vehicle Fluid'!D3-1</f>
        <v>39</v>
      </c>
      <c r="E8" s="3">
        <v>0</v>
      </c>
      <c r="F8" s="3">
        <v>4</v>
      </c>
      <c r="G8" s="3">
        <f>'TCO Calculation'!$C$8/'(B) Vehicle Fluid'!G3-1</f>
        <v>9</v>
      </c>
      <c r="H8" s="3">
        <f>'TCO Calculation'!$C$8/'(B) Vehicle Fluid'!H3-1</f>
        <v>19</v>
      </c>
      <c r="I8" s="3">
        <v>22</v>
      </c>
      <c r="J8" s="3">
        <v>0</v>
      </c>
    </row>
    <row r="9" spans="3:17">
      <c r="C9" s="3" t="s">
        <v>85</v>
      </c>
      <c r="D9" s="25">
        <v>0.66666666666666663</v>
      </c>
      <c r="E9" s="25">
        <v>0.66666666666666663</v>
      </c>
      <c r="F9" s="25">
        <v>0.66666666666666663</v>
      </c>
      <c r="G9" s="25">
        <v>0.66666666666666663</v>
      </c>
      <c r="H9" s="25">
        <v>0.66666666666666663</v>
      </c>
      <c r="I9" s="25">
        <v>0</v>
      </c>
      <c r="J9" s="25">
        <v>0.66666666666666663</v>
      </c>
    </row>
    <row r="11" spans="3:17" ht="43.5">
      <c r="C11" s="3">
        <v>0.5</v>
      </c>
      <c r="D11" s="3" t="s">
        <v>86</v>
      </c>
    </row>
    <row r="12" spans="3:17" ht="29">
      <c r="C12" s="3">
        <v>0.5</v>
      </c>
      <c r="D12" s="3" t="s">
        <v>87</v>
      </c>
    </row>
    <row r="14" spans="3:17" ht="46.5">
      <c r="C14" s="26" t="s">
        <v>105</v>
      </c>
    </row>
    <row r="15" spans="3:17">
      <c r="D15" s="1300" t="s">
        <v>73</v>
      </c>
      <c r="E15" s="1300"/>
      <c r="F15" s="1300" t="s">
        <v>74</v>
      </c>
      <c r="G15" s="1300"/>
      <c r="H15" s="1300" t="s">
        <v>75</v>
      </c>
      <c r="I15" s="1300"/>
      <c r="J15" s="1300" t="s">
        <v>76</v>
      </c>
      <c r="K15" s="1300"/>
      <c r="L15" s="1300" t="s">
        <v>77</v>
      </c>
      <c r="M15" s="1300"/>
      <c r="N15" s="1300" t="s">
        <v>78</v>
      </c>
      <c r="O15" s="1300"/>
      <c r="P15" s="1300" t="s">
        <v>79</v>
      </c>
      <c r="Q15" s="1300"/>
    </row>
    <row r="16" spans="3:17" ht="29">
      <c r="D16" s="3" t="s">
        <v>88</v>
      </c>
      <c r="E16" s="3" t="s">
        <v>89</v>
      </c>
      <c r="F16" s="3" t="s">
        <v>88</v>
      </c>
      <c r="G16" s="3" t="s">
        <v>89</v>
      </c>
      <c r="H16" s="3" t="s">
        <v>88</v>
      </c>
      <c r="I16" s="3" t="s">
        <v>89</v>
      </c>
      <c r="J16" s="3" t="s">
        <v>88</v>
      </c>
      <c r="K16" s="3" t="s">
        <v>89</v>
      </c>
      <c r="L16" s="3" t="s">
        <v>88</v>
      </c>
      <c r="M16" s="3" t="s">
        <v>89</v>
      </c>
      <c r="N16" s="3" t="s">
        <v>88</v>
      </c>
      <c r="O16" s="3" t="s">
        <v>90</v>
      </c>
      <c r="P16" s="3" t="s">
        <v>88</v>
      </c>
      <c r="Q16" s="3" t="s">
        <v>89</v>
      </c>
    </row>
    <row r="17" spans="3:17">
      <c r="C17" s="3" t="s">
        <v>91</v>
      </c>
    </row>
    <row r="18" spans="3:17">
      <c r="C18" s="3" t="s">
        <v>92</v>
      </c>
      <c r="D18" s="3">
        <v>0.51393181392323128</v>
      </c>
      <c r="E18" s="3">
        <v>7.0601535038251367E-2</v>
      </c>
      <c r="F18" s="3">
        <v>0.51393181392323128</v>
      </c>
      <c r="G18" s="3">
        <v>7.0601535038251367E-2</v>
      </c>
      <c r="H18" s="3">
        <v>0.51393181392323128</v>
      </c>
      <c r="I18" s="3">
        <v>7.0601535038251367E-2</v>
      </c>
      <c r="J18" s="3">
        <v>0.51393181392323128</v>
      </c>
      <c r="K18" s="3">
        <v>7.0601535038251367E-2</v>
      </c>
      <c r="L18" s="3">
        <v>4.4058116548974757</v>
      </c>
      <c r="M18" s="3">
        <v>0</v>
      </c>
      <c r="N18" s="3">
        <v>0.10257563115858076</v>
      </c>
      <c r="O18" s="3">
        <v>227</v>
      </c>
      <c r="P18" s="3">
        <v>0.51052518447802575</v>
      </c>
      <c r="Q18" s="3">
        <v>0</v>
      </c>
    </row>
    <row r="19" spans="3:17">
      <c r="C19" s="3" t="s">
        <v>93</v>
      </c>
      <c r="D19" s="3">
        <v>0.27630531124577656</v>
      </c>
      <c r="E19" s="3">
        <v>0.31236006449544623</v>
      </c>
      <c r="F19" s="3">
        <v>0.27630531124577656</v>
      </c>
      <c r="G19" s="3">
        <v>0.31236006449544623</v>
      </c>
      <c r="H19" s="3">
        <v>0.27630531124577656</v>
      </c>
      <c r="I19" s="3">
        <v>0.31236006449544623</v>
      </c>
      <c r="J19" s="3">
        <v>0.27630531124577656</v>
      </c>
      <c r="K19" s="3">
        <v>0.31236006449544623</v>
      </c>
      <c r="L19" s="3">
        <v>0.42941252347873021</v>
      </c>
      <c r="M19" s="3">
        <v>0</v>
      </c>
      <c r="N19" s="3">
        <v>9.3534892679190282E-2</v>
      </c>
      <c r="O19" s="3">
        <v>0</v>
      </c>
      <c r="P19" s="3">
        <v>3.1742146012245884</v>
      </c>
      <c r="Q19" s="3">
        <v>0</v>
      </c>
    </row>
    <row r="20" spans="3:17">
      <c r="C20" s="3" t="s">
        <v>94</v>
      </c>
      <c r="D20" s="3">
        <v>0.55420001001432806</v>
      </c>
      <c r="E20" s="3">
        <v>3.4360573973916204</v>
      </c>
      <c r="F20" s="3">
        <v>0.55420001001432806</v>
      </c>
      <c r="G20" s="3">
        <v>3.4360573973916204</v>
      </c>
      <c r="H20" s="3">
        <v>0.55420001001432806</v>
      </c>
      <c r="I20" s="3">
        <v>3.4360573973916204</v>
      </c>
      <c r="J20" s="3">
        <v>0.55420001001432806</v>
      </c>
      <c r="K20" s="3">
        <v>3.4360573973916204</v>
      </c>
      <c r="L20" s="3">
        <v>1.0623477441437372</v>
      </c>
      <c r="M20" s="3">
        <v>0</v>
      </c>
      <c r="N20" s="3">
        <v>0.13918851965465454</v>
      </c>
      <c r="O20" s="3">
        <v>0</v>
      </c>
      <c r="P20" s="3">
        <v>2.3148157743898183</v>
      </c>
      <c r="Q20" s="3">
        <v>0</v>
      </c>
    </row>
    <row r="21" spans="3:17">
      <c r="C21" s="3" t="s">
        <v>95</v>
      </c>
      <c r="D21" s="3">
        <v>4.4566539205865639E-2</v>
      </c>
      <c r="E21" s="3">
        <v>0.68348705996357029</v>
      </c>
      <c r="F21" s="3">
        <v>4.4566539205865639E-2</v>
      </c>
      <c r="G21" s="3">
        <v>0.68348705996357029</v>
      </c>
      <c r="H21" s="3">
        <v>4.4566539205865639E-2</v>
      </c>
      <c r="I21" s="3">
        <v>0.68348705996357029</v>
      </c>
      <c r="J21" s="3">
        <v>4.4566539205865639E-2</v>
      </c>
      <c r="K21" s="3">
        <v>0.68348705996357029</v>
      </c>
      <c r="L21" s="3">
        <v>0.2009775689100726</v>
      </c>
      <c r="M21" s="3">
        <v>0</v>
      </c>
      <c r="N21" s="3">
        <v>1.0126217875222939E-2</v>
      </c>
      <c r="O21" s="3">
        <v>0</v>
      </c>
      <c r="P21" s="3">
        <v>0.54032288160209352</v>
      </c>
      <c r="Q21" s="3">
        <v>0</v>
      </c>
    </row>
    <row r="22" spans="3:17">
      <c r="C22" s="3" t="s">
        <v>96</v>
      </c>
      <c r="D22" s="3">
        <v>3.7679482646442525E-2</v>
      </c>
      <c r="E22" s="3">
        <v>0.31274681626229506</v>
      </c>
      <c r="F22" s="3">
        <v>3.7679482646442525E-2</v>
      </c>
      <c r="G22" s="3">
        <v>0.31274681626229506</v>
      </c>
      <c r="H22" s="3">
        <v>3.7679482646442525E-2</v>
      </c>
      <c r="I22" s="3">
        <v>0.31274681626229506</v>
      </c>
      <c r="J22" s="3">
        <v>3.7679482646442525E-2</v>
      </c>
      <c r="K22" s="3">
        <v>0.31274681626229506</v>
      </c>
      <c r="L22" s="3">
        <v>0.1042959185298077</v>
      </c>
      <c r="M22" s="3">
        <v>0</v>
      </c>
      <c r="N22" s="3">
        <v>7.7678603708571225E-3</v>
      </c>
      <c r="O22" s="3">
        <v>0</v>
      </c>
      <c r="P22" s="3">
        <v>0.14445975576149409</v>
      </c>
      <c r="Q22" s="3">
        <v>0</v>
      </c>
    </row>
    <row r="23" spans="3:17">
      <c r="C23" s="3" t="s">
        <v>97</v>
      </c>
      <c r="D23" s="3">
        <v>0.21410718713711346</v>
      </c>
      <c r="E23" s="3">
        <v>12.91335143125683</v>
      </c>
      <c r="F23" s="3">
        <v>0.21410718713711346</v>
      </c>
      <c r="G23" s="3">
        <v>12.91335143125683</v>
      </c>
      <c r="H23" s="3">
        <v>0.21410718713711346</v>
      </c>
      <c r="I23" s="3">
        <v>12.91335143125683</v>
      </c>
      <c r="J23" s="3">
        <v>0.21410718713711346</v>
      </c>
      <c r="K23" s="3">
        <v>12.91335143125683</v>
      </c>
      <c r="L23" s="3">
        <v>2.8075453329368161</v>
      </c>
      <c r="M23" s="3">
        <v>0</v>
      </c>
      <c r="N23" s="3">
        <v>0.1077242753475824</v>
      </c>
      <c r="O23" s="3">
        <v>0</v>
      </c>
      <c r="P23" s="3">
        <v>7.9286722410311672</v>
      </c>
      <c r="Q23" s="3">
        <v>0</v>
      </c>
    </row>
    <row r="24" spans="3:17">
      <c r="C24" s="3" t="s">
        <v>98</v>
      </c>
      <c r="D24" s="3">
        <v>5.9024945282805915E-3</v>
      </c>
      <c r="E24" s="3">
        <v>1.9828148151029509E-2</v>
      </c>
      <c r="F24" s="3">
        <v>5.9024945282805915E-3</v>
      </c>
      <c r="G24" s="3">
        <v>1.9828148151029509E-2</v>
      </c>
      <c r="H24" s="3">
        <v>5.9024945282805915E-3</v>
      </c>
      <c r="I24" s="3">
        <v>1.9828148151029509E-2</v>
      </c>
      <c r="J24" s="3">
        <v>5.9024945282805915E-3</v>
      </c>
      <c r="K24" s="3">
        <v>1.9828148151029509E-2</v>
      </c>
      <c r="L24" s="3">
        <v>7.351332525866356E-3</v>
      </c>
      <c r="M24" s="3">
        <v>0</v>
      </c>
      <c r="N24" s="3">
        <v>5.7853256132512439E-4</v>
      </c>
      <c r="O24" s="3">
        <v>0</v>
      </c>
      <c r="P24" s="3">
        <v>1.7651480297105476E-2</v>
      </c>
      <c r="Q24" s="3">
        <v>0</v>
      </c>
    </row>
    <row r="25" spans="3:17">
      <c r="C25" s="3" t="s">
        <v>99</v>
      </c>
      <c r="D25" s="3">
        <v>9.5808860411113628E-3</v>
      </c>
      <c r="E25" s="3">
        <v>1.3760859915540984E-2</v>
      </c>
      <c r="F25" s="3">
        <v>9.5808860411113628E-3</v>
      </c>
      <c r="G25" s="3">
        <v>1.3760859915540984E-2</v>
      </c>
      <c r="H25" s="3">
        <v>9.5808860411113628E-3</v>
      </c>
      <c r="I25" s="3">
        <v>1.3760859915540984E-2</v>
      </c>
      <c r="J25" s="3">
        <v>9.5808860411113628E-3</v>
      </c>
      <c r="K25" s="3">
        <v>1.3760859915540984E-2</v>
      </c>
      <c r="L25" s="3">
        <v>1.0631228747312985E-2</v>
      </c>
      <c r="M25" s="3">
        <v>0</v>
      </c>
      <c r="N25" s="3">
        <v>6.5095847710616912E-4</v>
      </c>
      <c r="O25" s="3">
        <v>0</v>
      </c>
      <c r="P25" s="3">
        <v>2.7066971684680197E-2</v>
      </c>
      <c r="Q25" s="3">
        <v>0</v>
      </c>
    </row>
    <row r="26" spans="3:17">
      <c r="C26" s="3" t="s">
        <v>100</v>
      </c>
      <c r="D26" s="3">
        <v>2.2017067410961917</v>
      </c>
      <c r="E26" s="3">
        <v>2.9683198105646631E-2</v>
      </c>
      <c r="F26" s="3">
        <v>2.2017067410961917</v>
      </c>
      <c r="G26" s="3">
        <v>2.9683198105646631E-2</v>
      </c>
      <c r="H26" s="3">
        <v>2.2017067410961917</v>
      </c>
      <c r="I26" s="3">
        <v>2.9683198105646631E-2</v>
      </c>
      <c r="J26" s="3">
        <v>2.2017067410961917</v>
      </c>
      <c r="K26" s="3">
        <v>2.9683198105646631E-2</v>
      </c>
      <c r="L26" s="3">
        <v>1.7797606679669697</v>
      </c>
      <c r="M26" s="3">
        <v>0</v>
      </c>
      <c r="N26" s="3">
        <v>1.0078584771176151</v>
      </c>
      <c r="O26" s="3">
        <v>0</v>
      </c>
      <c r="P26" s="3">
        <v>9.8849516429635376</v>
      </c>
      <c r="Q26" s="3">
        <v>0</v>
      </c>
    </row>
    <row r="27" spans="3:17">
      <c r="C27" s="3" t="s">
        <v>101</v>
      </c>
      <c r="D27" s="3">
        <v>5.5102441491064304E-3</v>
      </c>
      <c r="E27" s="3">
        <v>3.3105951242258652E-2</v>
      </c>
      <c r="F27" s="3">
        <v>5.5102441491064304E-3</v>
      </c>
      <c r="G27" s="3">
        <v>3.3105951242258652E-2</v>
      </c>
      <c r="H27" s="3">
        <v>5.5102441491064304E-3</v>
      </c>
      <c r="I27" s="3">
        <v>3.3105951242258652E-2</v>
      </c>
      <c r="J27" s="3">
        <v>5.5102441491064304E-3</v>
      </c>
      <c r="K27" s="3">
        <v>3.3105951242258652E-2</v>
      </c>
      <c r="L27" s="3">
        <v>1.5021201539586292E-2</v>
      </c>
      <c r="M27" s="3">
        <v>0</v>
      </c>
      <c r="N27" s="3">
        <v>1.3730983732796436E-3</v>
      </c>
      <c r="O27" s="3">
        <v>0</v>
      </c>
      <c r="P27" s="3">
        <v>0.11463390414235677</v>
      </c>
      <c r="Q27" s="3">
        <v>0</v>
      </c>
    </row>
    <row r="28" spans="3:17">
      <c r="C28" s="3" t="s">
        <v>102</v>
      </c>
      <c r="D28" s="3">
        <v>329.1532359578801</v>
      </c>
      <c r="E28" s="3">
        <v>1644.4732949061895</v>
      </c>
      <c r="F28" s="3">
        <v>329.1532359578801</v>
      </c>
      <c r="G28" s="3">
        <v>1644.4732949061895</v>
      </c>
      <c r="H28" s="3">
        <v>329.1532359578801</v>
      </c>
      <c r="I28" s="3">
        <v>1644.4732949061895</v>
      </c>
      <c r="J28" s="3">
        <v>329.1532359578801</v>
      </c>
      <c r="K28" s="3">
        <v>1644.4732949061895</v>
      </c>
      <c r="L28" s="3">
        <v>717.58968189656889</v>
      </c>
      <c r="M28" s="3">
        <v>0</v>
      </c>
      <c r="N28" s="3">
        <v>83.605989952752353</v>
      </c>
      <c r="O28" s="3">
        <v>0</v>
      </c>
      <c r="P28" s="3">
        <v>1386.5842584971024</v>
      </c>
      <c r="Q28" s="3">
        <v>0</v>
      </c>
    </row>
    <row r="29" spans="3:17">
      <c r="C29" s="3" t="s">
        <v>103</v>
      </c>
      <c r="D29" s="3">
        <v>331.18918417180328</v>
      </c>
      <c r="E29" s="3">
        <v>1645.1841878869802</v>
      </c>
      <c r="F29" s="3">
        <v>331.18918417180328</v>
      </c>
      <c r="G29" s="3">
        <v>1645.1841878869802</v>
      </c>
      <c r="H29" s="3">
        <v>331.18918417180328</v>
      </c>
      <c r="I29" s="3">
        <v>1645.1841878869802</v>
      </c>
      <c r="J29" s="3">
        <v>331.18918417180328</v>
      </c>
      <c r="K29" s="3">
        <v>1645.1841878869802</v>
      </c>
      <c r="L29" s="3">
        <v>731.9959193293231</v>
      </c>
      <c r="M29" s="3">
        <v>0</v>
      </c>
      <c r="N29" s="3">
        <v>84.07266740597818</v>
      </c>
      <c r="O29" s="3">
        <v>707.48333333333335</v>
      </c>
      <c r="P29" s="3">
        <v>1393.1634468382688</v>
      </c>
      <c r="Q29" s="3">
        <v>0</v>
      </c>
    </row>
    <row r="30" spans="3:17">
      <c r="C30" s="3" t="s">
        <v>104</v>
      </c>
      <c r="D30" s="3">
        <v>398.70060110420224</v>
      </c>
      <c r="E30" s="3">
        <v>1654.8477609093482</v>
      </c>
      <c r="F30" s="3">
        <v>398.70060110420224</v>
      </c>
      <c r="G30" s="3">
        <v>1654.8477609093482</v>
      </c>
      <c r="H30" s="3">
        <v>398.70060110420224</v>
      </c>
      <c r="I30" s="3">
        <v>1654.8477609093482</v>
      </c>
      <c r="J30" s="3">
        <v>398.70060110420224</v>
      </c>
      <c r="K30" s="3">
        <v>1654.8477609093482</v>
      </c>
      <c r="L30" s="3">
        <v>789.36935777632254</v>
      </c>
      <c r="M30" s="3">
        <v>0</v>
      </c>
      <c r="N30" s="3">
        <v>114.67229278842574</v>
      </c>
      <c r="O30" s="3">
        <v>707.48333333333335</v>
      </c>
      <c r="P30" s="3">
        <v>1720.0899807248995</v>
      </c>
      <c r="Q30" s="3">
        <v>0</v>
      </c>
    </row>
    <row r="34" spans="3:8" ht="29">
      <c r="D34" s="28" t="s">
        <v>11</v>
      </c>
      <c r="E34" s="28" t="s">
        <v>9</v>
      </c>
      <c r="F34" s="28" t="s">
        <v>106</v>
      </c>
      <c r="H34" s="27" t="s">
        <v>110</v>
      </c>
    </row>
    <row r="35" spans="3:8">
      <c r="C35" s="3" t="s">
        <v>107</v>
      </c>
      <c r="D35" s="3">
        <f>($D$30*D5*(1+$D$8)+$E$30*(D5)*(1+$D$8)*$D$9)/1000000</f>
        <v>6.4006352935931865</v>
      </c>
      <c r="E35" s="3">
        <f>($J$30*G5*(1+$G$8)+$K$30*G5*(1+$G$8)*$G$9)/1000000</f>
        <v>0.40552175926181727</v>
      </c>
      <c r="F35" s="3">
        <f>($L$30*H5*(1+$H$8)+$M$30*H5*(1+$H$8)*$H$9)/1000000</f>
        <v>1.1496375326654364</v>
      </c>
      <c r="H35" s="27">
        <f>SUM(D35:F35)</f>
        <v>7.9557945855204402</v>
      </c>
    </row>
    <row r="36" spans="3:8">
      <c r="C36" s="3" t="s">
        <v>108</v>
      </c>
      <c r="D36" s="3">
        <f>($D$30*D6*(1+$D$8)+$E$30*(D6)*(1+$D$8)*$D$9)/1000000</f>
        <v>0</v>
      </c>
      <c r="E36" s="3">
        <f>($J$30*G6*(1+$G$8)+$K$30*G6*(1+$G$8)*$G$9)/1000000</f>
        <v>3.6046378601050429E-2</v>
      </c>
      <c r="F36" s="3">
        <f>($L$30*H6*(1+$H$8)+$M$30*H6*(1+$H$8)*$H$9)/1000000</f>
        <v>1.1496375326654364</v>
      </c>
      <c r="H36" s="27">
        <f>SUM(D36:F36)</f>
        <v>1.185683911266487</v>
      </c>
    </row>
    <row r="37" spans="3:8">
      <c r="C37" s="3" t="s">
        <v>109</v>
      </c>
      <c r="D37" s="3">
        <f>($D$30*D7*(1+$D$8)+$E$30*(D7)*(1+$D$8)*$D$9)/1000000</f>
        <v>0</v>
      </c>
      <c r="E37" s="3">
        <f>($J$30*G7*(1+$G$8)+$K$30*G7*(1+$G$8)*$G$9)/1000000</f>
        <v>3.6046378601050429E-2</v>
      </c>
      <c r="F37" s="3">
        <f>($L$30*H7*(1+$H$8)+$M$30*H7*(1+$H$8)*$H$9)/1000000</f>
        <v>1.1496375326654364</v>
      </c>
      <c r="H37" s="27">
        <f>SUM(D37:F37)</f>
        <v>1.185683911266487</v>
      </c>
    </row>
  </sheetData>
  <mergeCells count="7">
    <mergeCell ref="P15:Q15"/>
    <mergeCell ref="D15:E15"/>
    <mergeCell ref="F15:G15"/>
    <mergeCell ref="H15:I15"/>
    <mergeCell ref="J15:K15"/>
    <mergeCell ref="L15:M15"/>
    <mergeCell ref="N15:O15"/>
  </mergeCells>
  <phoneticPr fontId="37" type="noConversion"/>
  <pageMargins left="0.7" right="0.7" top="0.75" bottom="0.75" header="0.3" footer="0.3"/>
  <pageSetup orientation="portrait" r:id="rId1"/>
  <headerFooter>
    <oddFooter>&amp;C&amp;1#&amp;"Calibri"&amp;14&amp;K008000Classification: General Use</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1"/>
  </sheetPr>
  <dimension ref="A1:B29"/>
  <sheetViews>
    <sheetView zoomScaleNormal="100" workbookViewId="0">
      <selection activeCell="B23" sqref="B23"/>
    </sheetView>
  </sheetViews>
  <sheetFormatPr defaultRowHeight="14.5"/>
  <cols>
    <col min="1" max="1" width="25.1796875" bestFit="1" customWidth="1"/>
    <col min="2" max="2" width="230.54296875" customWidth="1"/>
  </cols>
  <sheetData>
    <row r="1" spans="1:2" ht="23.5">
      <c r="A1" s="418" t="s">
        <v>434</v>
      </c>
      <c r="B1" s="418" t="s">
        <v>518</v>
      </c>
    </row>
    <row r="2" spans="1:2" ht="23.5">
      <c r="A2" s="418"/>
      <c r="B2" s="418" t="s">
        <v>435</v>
      </c>
    </row>
    <row r="3" spans="1:2" ht="23.5">
      <c r="A3" s="418"/>
      <c r="B3" s="418" t="s">
        <v>436</v>
      </c>
    </row>
    <row r="4" spans="1:2" ht="23.5">
      <c r="A4" s="418"/>
      <c r="B4" s="418"/>
    </row>
    <row r="5" spans="1:2" ht="23.5">
      <c r="A5" s="418"/>
      <c r="B5" s="418"/>
    </row>
    <row r="6" spans="1:2" ht="23.5">
      <c r="A6" s="418"/>
      <c r="B6" s="418"/>
    </row>
    <row r="7" spans="1:2" ht="23.5">
      <c r="A7" s="418"/>
      <c r="B7" s="418"/>
    </row>
    <row r="8" spans="1:2" ht="23.5">
      <c r="A8" s="418" t="s">
        <v>467</v>
      </c>
      <c r="B8" s="419" t="s">
        <v>457</v>
      </c>
    </row>
    <row r="9" spans="1:2" ht="23.5">
      <c r="A9" s="418"/>
      <c r="B9" s="420" t="s">
        <v>458</v>
      </c>
    </row>
    <row r="10" spans="1:2" ht="23.5">
      <c r="A10" s="418"/>
      <c r="B10" s="420" t="s">
        <v>462</v>
      </c>
    </row>
    <row r="11" spans="1:2" ht="23.5">
      <c r="A11" s="418"/>
      <c r="B11" s="420" t="s">
        <v>464</v>
      </c>
    </row>
    <row r="12" spans="1:2" ht="23.5">
      <c r="A12" s="418"/>
      <c r="B12" s="420" t="s">
        <v>465</v>
      </c>
    </row>
    <row r="13" spans="1:2" ht="23.5">
      <c r="A13" s="418"/>
      <c r="B13" s="420" t="s">
        <v>466</v>
      </c>
    </row>
    <row r="14" spans="1:2" ht="23.5">
      <c r="A14" s="418"/>
      <c r="B14" s="418"/>
    </row>
    <row r="15" spans="1:2" ht="23.5">
      <c r="A15" s="418"/>
      <c r="B15" s="418"/>
    </row>
    <row r="16" spans="1:2" ht="23.5">
      <c r="A16" s="418"/>
      <c r="B16" s="418"/>
    </row>
    <row r="17" spans="1:2" ht="23.5">
      <c r="A17" s="418"/>
      <c r="B17" s="418"/>
    </row>
    <row r="18" spans="1:2" ht="23.5">
      <c r="A18" s="418"/>
    </row>
    <row r="19" spans="1:2" ht="23.5">
      <c r="A19" s="418"/>
    </row>
    <row r="20" spans="1:2" ht="23.5">
      <c r="A20" s="418"/>
      <c r="B20" s="418"/>
    </row>
    <row r="21" spans="1:2" ht="23.5">
      <c r="A21" s="418"/>
      <c r="B21" s="418"/>
    </row>
    <row r="22" spans="1:2" ht="23.5">
      <c r="A22" s="418"/>
      <c r="B22" s="418"/>
    </row>
    <row r="23" spans="1:2" ht="23.5">
      <c r="A23" s="418"/>
      <c r="B23" s="418"/>
    </row>
    <row r="24" spans="1:2" ht="23.5">
      <c r="A24" s="418"/>
      <c r="B24" s="418"/>
    </row>
    <row r="25" spans="1:2" ht="23.5">
      <c r="A25" s="418"/>
      <c r="B25" s="418"/>
    </row>
    <row r="26" spans="1:2" ht="23.5">
      <c r="A26" s="418"/>
      <c r="B26" s="418"/>
    </row>
    <row r="27" spans="1:2" ht="23.5">
      <c r="A27" s="418"/>
      <c r="B27" s="418"/>
    </row>
    <row r="28" spans="1:2" ht="23.5">
      <c r="A28" s="418"/>
      <c r="B28" s="418"/>
    </row>
    <row r="29" spans="1:2" ht="23.5">
      <c r="A29" s="418"/>
    </row>
  </sheetData>
  <phoneticPr fontId="37" type="noConversion"/>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5C2167223E46E46BEF149A571EDC232" ma:contentTypeVersion="12" ma:contentTypeDescription="Create a new document." ma:contentTypeScope="" ma:versionID="4caa32087d5103b41b2f627b9e36f3b9">
  <xsd:schema xmlns:xsd="http://www.w3.org/2001/XMLSchema" xmlns:xs="http://www.w3.org/2001/XMLSchema" xmlns:p="http://schemas.microsoft.com/office/2006/metadata/properties" xmlns:ns3="bdb365df-c41c-4b35-8a24-8bca38b3c37d" xmlns:ns4="a319be3f-6189-45c2-a9c8-04c579c2938b" targetNamespace="http://schemas.microsoft.com/office/2006/metadata/properties" ma:root="true" ma:fieldsID="c5d4d2395fe8bb65aca61cf21fdb5370" ns3:_="" ns4:_="">
    <xsd:import namespace="bdb365df-c41c-4b35-8a24-8bca38b3c37d"/>
    <xsd:import namespace="a319be3f-6189-45c2-a9c8-04c579c2938b"/>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AutoKeyPoints" minOccurs="0"/>
                <xsd:element ref="ns3:MediaServiceKeyPoints" minOccurs="0"/>
                <xsd:element ref="ns3:MediaServiceOCR" minOccurs="0"/>
                <xsd:element ref="ns4:SharedWithUsers" minOccurs="0"/>
                <xsd:element ref="ns4:SharedWithDetails" minOccurs="0"/>
                <xsd:element ref="ns4:SharingHintHash"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365df-c41c-4b35-8a24-8bca38b3c37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9"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319be3f-6189-45c2-a9c8-04c579c2938b"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SharingHintHash" ma:index="18"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8A45C0D-C270-41C0-9690-ED561B9969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365df-c41c-4b35-8a24-8bca38b3c37d"/>
    <ds:schemaRef ds:uri="a319be3f-6189-45c2-a9c8-04c579c293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930F505-F1F3-4CA1-A6BD-1594701A4595}">
  <ds:schemaRefs>
    <ds:schemaRef ds:uri="http://schemas.microsoft.com/office/2006/documentManagement/types"/>
    <ds:schemaRef ds:uri="http://schemas.microsoft.com/office/2006/metadata/properties"/>
    <ds:schemaRef ds:uri="http://purl.org/dc/elements/1.1/"/>
    <ds:schemaRef ds:uri="a319be3f-6189-45c2-a9c8-04c579c2938b"/>
    <ds:schemaRef ds:uri="http://schemas.openxmlformats.org/package/2006/metadata/core-properties"/>
    <ds:schemaRef ds:uri="http://purl.org/dc/dcmitype/"/>
    <ds:schemaRef ds:uri="http://purl.org/dc/terms/"/>
    <ds:schemaRef ds:uri="http://schemas.microsoft.com/office/infopath/2007/PartnerControls"/>
    <ds:schemaRef ds:uri="bdb365df-c41c-4b35-8a24-8bca38b3c37d"/>
    <ds:schemaRef ds:uri="http://www.w3.org/XML/1998/namespace"/>
  </ds:schemaRefs>
</ds:datastoreItem>
</file>

<file path=customXml/itemProps3.xml><?xml version="1.0" encoding="utf-8"?>
<ds:datastoreItem xmlns:ds="http://schemas.openxmlformats.org/officeDocument/2006/customXml" ds:itemID="{396974F8-BB59-41D9-B164-4DF2B3F4686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Main</vt:lpstr>
      <vt:lpstr>TCO Calculation</vt:lpstr>
      <vt:lpstr>GHG Emissions</vt:lpstr>
      <vt:lpstr>Cash flow Analysis</vt:lpstr>
      <vt:lpstr>Cost Summary DCF</vt:lpstr>
      <vt:lpstr>Cost Summary Nominal</vt:lpstr>
      <vt:lpstr>Sensitivity Analysis</vt:lpstr>
      <vt:lpstr>Cost Projection</vt:lpstr>
      <vt:lpstr>Future Projection</vt:lpstr>
      <vt:lpstr>H2 FCV</vt:lpstr>
      <vt:lpstr>GHG FE &amp; Fuel </vt:lpstr>
      <vt:lpstr>GHG Electricity</vt:lpstr>
      <vt:lpstr>GHG Battery </vt:lpstr>
      <vt:lpstr>GHG Intensity Materials </vt:lpstr>
      <vt:lpstr>MCC Efficiency</vt:lpstr>
      <vt:lpstr>(B) Vehicle Production</vt:lpstr>
      <vt:lpstr>(B) Vehicle Fluid</vt:lpstr>
      <vt:lpstr>Discussions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MCC</dc:title>
  <dc:creator>Jessey.Bouchard@aramcoamericas.com;hexin1976@mail.tsinghua.edu.cn</dc:creator>
  <cp:lastModifiedBy>Ziming Yan</cp:lastModifiedBy>
  <dcterms:created xsi:type="dcterms:W3CDTF">2020-02-26T23:14:46Z</dcterms:created>
  <dcterms:modified xsi:type="dcterms:W3CDTF">2025-03-11T20:33:29Z</dcterms:modified>
  <cp:category>Strategic Transport Analysis Team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0959062-7b44-4d77-8d0f-cf572960120c_Enabled">
    <vt:lpwstr>true</vt:lpwstr>
  </property>
  <property fmtid="{D5CDD505-2E9C-101B-9397-08002B2CF9AE}" pid="3" name="MSIP_Label_10959062-7b44-4d77-8d0f-cf572960120c_SetDate">
    <vt:lpwstr>2020-02-27T12:17:24Z</vt:lpwstr>
  </property>
  <property fmtid="{D5CDD505-2E9C-101B-9397-08002B2CF9AE}" pid="4" name="MSIP_Label_10959062-7b44-4d77-8d0f-cf572960120c_Method">
    <vt:lpwstr>Privileged</vt:lpwstr>
  </property>
  <property fmtid="{D5CDD505-2E9C-101B-9397-08002B2CF9AE}" pid="5" name="MSIP_Label_10959062-7b44-4d77-8d0f-cf572960120c_Name">
    <vt:lpwstr>ASC-General-Use</vt:lpwstr>
  </property>
  <property fmtid="{D5CDD505-2E9C-101B-9397-08002B2CF9AE}" pid="6" name="MSIP_Label_10959062-7b44-4d77-8d0f-cf572960120c_SiteId">
    <vt:lpwstr>3793a1e6-1687-4a33-a150-6d1a5640ff06</vt:lpwstr>
  </property>
  <property fmtid="{D5CDD505-2E9C-101B-9397-08002B2CF9AE}" pid="7" name="MSIP_Label_10959062-7b44-4d77-8d0f-cf572960120c_ActionId">
    <vt:lpwstr>4a924318-b155-402d-a7fb-00009dce6f3c</vt:lpwstr>
  </property>
  <property fmtid="{D5CDD505-2E9C-101B-9397-08002B2CF9AE}" pid="8" name="MSIP_Label_10959062-7b44-4d77-8d0f-cf572960120c_ContentBits">
    <vt:lpwstr>2</vt:lpwstr>
  </property>
  <property fmtid="{D5CDD505-2E9C-101B-9397-08002B2CF9AE}" pid="9" name="ContentTypeId">
    <vt:lpwstr>0x01010085C2167223E46E46BEF149A571EDC232</vt:lpwstr>
  </property>
  <property fmtid="{D5CDD505-2E9C-101B-9397-08002B2CF9AE}" pid="10" name="TaxKeyword">
    <vt:lpwstr/>
  </property>
</Properties>
</file>