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21555" yWindow="2550" windowWidth="11070" windowHeight="5085" activeTab="3"/>
  </bookViews>
  <sheets>
    <sheet name="Base" sheetId="11" r:id="rId1"/>
    <sheet name="Cone Wall Top1" sheetId="10" r:id="rId2"/>
    <sheet name="Auger" sheetId="4" r:id="rId3"/>
    <sheet name="Steel" sheetId="15" r:id="rId4"/>
    <sheet name="Bolts-Rivet-Teks" sheetId="5" r:id="rId5"/>
    <sheet name="Laser Cutting" sheetId="13" r:id="rId6"/>
    <sheet name="Bearings" sheetId="14" r:id="rId7"/>
    <sheet name="Stock Value" sheetId="17" r:id="rId8"/>
    <sheet name="Stickers" sheetId="18" r:id="rId9"/>
    <sheet name="Steel Order" sheetId="16" r:id="rId10"/>
  </sheets>
  <definedNames>
    <definedName name="_xlnm.Print_Area" localSheetId="2">Auger!$A$1:$K$60</definedName>
    <definedName name="_xlnm.Print_Area" localSheetId="0">Base!$A$1:$I$55</definedName>
    <definedName name="_xlnm.Print_Area" localSheetId="1">'Cone Wall Top1'!$A$1:$K$84</definedName>
    <definedName name="_xlnm.Print_Area" localSheetId="5">'Laser Cutting'!$A$1:$H$28</definedName>
    <definedName name="_xlnm.Print_Area" localSheetId="3">Steel!$A$2:$K$56</definedName>
    <definedName name="_xlnm.Print_Titles" localSheetId="3">Steel!$3:$3</definedName>
  </definedNames>
  <calcPr calcId="145621"/>
</workbook>
</file>

<file path=xl/calcChain.xml><?xml version="1.0" encoding="utf-8"?>
<calcChain xmlns="http://schemas.openxmlformats.org/spreadsheetml/2006/main">
  <c r="U8" i="15" l="1"/>
  <c r="S29" i="4"/>
  <c r="S30" i="4"/>
  <c r="S5" i="4"/>
  <c r="S6" i="4"/>
  <c r="S4" i="4"/>
  <c r="R60" i="10"/>
  <c r="R58" i="10"/>
  <c r="R57" i="10"/>
  <c r="R55" i="10"/>
  <c r="R47" i="10"/>
  <c r="R43" i="10"/>
  <c r="P43" i="10"/>
  <c r="R35" i="10"/>
  <c r="R36" i="10"/>
  <c r="R37" i="10"/>
  <c r="R34" i="10"/>
  <c r="R32" i="10"/>
  <c r="R19" i="10"/>
  <c r="R26" i="10"/>
  <c r="Q26" i="10"/>
  <c r="R8" i="10"/>
  <c r="R7" i="10"/>
  <c r="Q48" i="11"/>
  <c r="O38" i="11"/>
  <c r="Q35" i="11"/>
  <c r="Q36" i="11"/>
  <c r="Q34" i="11"/>
  <c r="Q28" i="11"/>
  <c r="Q27" i="11"/>
  <c r="P14" i="11"/>
  <c r="Q14" i="11" s="1"/>
  <c r="Q50" i="11"/>
  <c r="F5" i="5" l="1"/>
  <c r="F6" i="5"/>
  <c r="F9" i="5"/>
  <c r="F10" i="5"/>
  <c r="F11" i="5"/>
  <c r="F12" i="5"/>
  <c r="F13" i="5"/>
  <c r="F15" i="5"/>
  <c r="F4" i="5"/>
  <c r="P42" i="4" l="1"/>
  <c r="P41" i="4"/>
  <c r="P40" i="4"/>
  <c r="P39" i="4"/>
  <c r="P12" i="4"/>
  <c r="P11" i="4"/>
  <c r="J22" i="15"/>
  <c r="P10" i="4"/>
  <c r="P72" i="10"/>
  <c r="P69" i="10"/>
  <c r="Q69" i="10" s="1"/>
  <c r="P68" i="10"/>
  <c r="Q68" i="10" s="1"/>
  <c r="P67" i="10"/>
  <c r="Q67" i="10" s="1"/>
  <c r="P65" i="10"/>
  <c r="P64" i="10"/>
  <c r="P54" i="10"/>
  <c r="R54" i="10" s="1"/>
  <c r="P49" i="10"/>
  <c r="R49" i="10" s="1"/>
  <c r="P46" i="10"/>
  <c r="R46" i="10" s="1"/>
  <c r="P45" i="10"/>
  <c r="P25" i="10"/>
  <c r="Q25" i="10" s="1"/>
  <c r="P24" i="10"/>
  <c r="Q24" i="10" s="1"/>
  <c r="P16" i="10"/>
  <c r="P15" i="10"/>
  <c r="P12" i="10"/>
  <c r="Q12" i="10" s="1"/>
  <c r="P5" i="10"/>
  <c r="R5" i="10" s="1"/>
  <c r="P4" i="10"/>
  <c r="R4" i="10" s="1"/>
  <c r="P11" i="11"/>
  <c r="O49" i="11"/>
  <c r="Q49" i="11" s="1"/>
  <c r="O47" i="11"/>
  <c r="O46" i="11"/>
  <c r="O43" i="11"/>
  <c r="Q43" i="11" s="1"/>
  <c r="O41" i="11"/>
  <c r="O40" i="11"/>
  <c r="Q40" i="11" s="1"/>
  <c r="O33" i="11"/>
  <c r="O32" i="11"/>
  <c r="O26" i="11"/>
  <c r="O19" i="11"/>
  <c r="O12" i="11"/>
  <c r="O10" i="11"/>
  <c r="O9" i="11"/>
  <c r="O8" i="11"/>
  <c r="O7" i="11"/>
  <c r="V48" i="15"/>
  <c r="V15" i="15"/>
  <c r="J43" i="15"/>
  <c r="J44" i="15"/>
  <c r="J48" i="15"/>
  <c r="J46" i="15"/>
  <c r="J42" i="15"/>
  <c r="J40" i="15"/>
  <c r="J38" i="15"/>
  <c r="J34" i="15"/>
  <c r="J32" i="15"/>
  <c r="J31" i="15"/>
  <c r="J30" i="15"/>
  <c r="J28" i="15"/>
  <c r="J27" i="15"/>
  <c r="J26" i="15"/>
  <c r="J23" i="15"/>
  <c r="J21" i="15"/>
  <c r="J20" i="15"/>
  <c r="J19" i="15"/>
  <c r="J17" i="15"/>
  <c r="J16" i="15"/>
  <c r="J15" i="15"/>
  <c r="T6" i="15"/>
  <c r="O6" i="11" s="1"/>
  <c r="J7" i="15"/>
  <c r="J8" i="15"/>
  <c r="J9" i="15"/>
  <c r="J10" i="15"/>
  <c r="J11" i="15"/>
  <c r="J12" i="15"/>
  <c r="J13" i="15"/>
  <c r="J6" i="15"/>
  <c r="Q60" i="10"/>
  <c r="P31" i="11"/>
  <c r="F30" i="11"/>
  <c r="F25" i="11"/>
  <c r="F18" i="11"/>
  <c r="F3" i="14"/>
  <c r="F4" i="14"/>
  <c r="F5" i="14"/>
  <c r="F2" i="14"/>
  <c r="F6" i="14" s="1"/>
  <c r="H26" i="5"/>
  <c r="H24" i="5"/>
  <c r="H23" i="5"/>
  <c r="N26" i="15"/>
  <c r="N7" i="15"/>
  <c r="N8" i="15"/>
  <c r="N6" i="15"/>
  <c r="P17" i="13"/>
  <c r="M17" i="13"/>
  <c r="O17" i="13"/>
  <c r="I18" i="13"/>
  <c r="I20" i="13" s="1"/>
  <c r="P21" i="13"/>
  <c r="O21" i="13"/>
  <c r="M21" i="13"/>
  <c r="P20" i="13"/>
  <c r="O20" i="13"/>
  <c r="M20" i="13"/>
  <c r="J18" i="13"/>
  <c r="K18" i="13" s="1"/>
  <c r="M18" i="13"/>
  <c r="O18" i="13"/>
  <c r="P18" i="13"/>
  <c r="J17" i="13"/>
  <c r="K17" i="13" s="1"/>
  <c r="F18" i="13"/>
  <c r="F20" i="13"/>
  <c r="F21" i="13"/>
  <c r="F17" i="13"/>
  <c r="G18" i="13"/>
  <c r="G20" i="13"/>
  <c r="G21" i="13"/>
  <c r="G17" i="13"/>
  <c r="E6" i="15"/>
  <c r="E7" i="15" s="1"/>
  <c r="E8" i="15" s="1"/>
  <c r="E9" i="15" s="1"/>
  <c r="C28" i="15"/>
  <c r="V28" i="15" s="1"/>
  <c r="H1" i="10"/>
  <c r="N4" i="10"/>
  <c r="M50" i="11"/>
  <c r="F10" i="11"/>
  <c r="M43" i="11"/>
  <c r="D66" i="11" s="1"/>
  <c r="C13" i="15" s="1"/>
  <c r="V13" i="15" s="1"/>
  <c r="J20" i="13" l="1"/>
  <c r="K20" i="13" s="1"/>
  <c r="I21" i="13"/>
  <c r="J21" i="13" s="1"/>
  <c r="K21" i="13" s="1"/>
  <c r="Q16" i="10"/>
  <c r="R16" i="10"/>
  <c r="J57" i="15"/>
  <c r="Q10" i="11"/>
  <c r="Q15" i="10"/>
  <c r="R15" i="10"/>
  <c r="R45" i="10"/>
  <c r="P44" i="10"/>
  <c r="Q4" i="10"/>
  <c r="P43" i="11"/>
  <c r="Q32" i="11"/>
  <c r="Q46" i="11"/>
  <c r="Q33" i="11"/>
  <c r="Q17" i="10"/>
  <c r="Q18" i="10"/>
  <c r="Q19" i="10"/>
  <c r="Q8" i="10"/>
  <c r="Q7" i="10"/>
  <c r="Q57" i="10"/>
  <c r="P38" i="4"/>
  <c r="Q38" i="4" s="1"/>
  <c r="P25" i="4"/>
  <c r="P34" i="4"/>
  <c r="P33" i="4"/>
  <c r="P32" i="4"/>
  <c r="Q13" i="4"/>
  <c r="Q14" i="4"/>
  <c r="Q15" i="4"/>
  <c r="P14" i="4"/>
  <c r="P15" i="4"/>
  <c r="P13" i="4"/>
  <c r="Q16" i="4"/>
  <c r="P7" i="4"/>
  <c r="P8" i="4"/>
  <c r="P9" i="4"/>
  <c r="P37" i="4"/>
  <c r="P28" i="4"/>
  <c r="S28" i="4" s="1"/>
  <c r="Q27" i="4"/>
  <c r="G5" i="14"/>
  <c r="D5" i="14"/>
  <c r="J5" i="14" s="1"/>
  <c r="G4" i="14"/>
  <c r="D4" i="14"/>
  <c r="J4" i="14" s="1"/>
  <c r="H4" i="14" s="1"/>
  <c r="J3" i="14"/>
  <c r="G3" i="14"/>
  <c r="D3" i="14"/>
  <c r="H3" i="14" s="1"/>
  <c r="G2" i="14"/>
  <c r="D2" i="14"/>
  <c r="H2" i="14" s="1"/>
  <c r="J2" i="14" l="1"/>
  <c r="J6" i="14" s="1"/>
  <c r="D10" i="17" s="1"/>
  <c r="H5" i="14"/>
  <c r="R44" i="10"/>
  <c r="R75" i="10" s="1"/>
  <c r="D5" i="17" s="1"/>
  <c r="Q44" i="10"/>
  <c r="O12" i="13"/>
  <c r="M12" i="13"/>
  <c r="O11" i="13"/>
  <c r="M11" i="13"/>
  <c r="O10" i="13"/>
  <c r="M10" i="13"/>
  <c r="O9" i="13"/>
  <c r="M9" i="13"/>
  <c r="O8" i="13"/>
  <c r="M8" i="13"/>
  <c r="O7" i="13"/>
  <c r="M7" i="13"/>
  <c r="F7" i="13"/>
  <c r="O6" i="13"/>
  <c r="M6" i="13"/>
  <c r="O5" i="13"/>
  <c r="M5" i="13"/>
  <c r="F5" i="13"/>
  <c r="O4" i="13"/>
  <c r="M4" i="13"/>
  <c r="I4" i="13"/>
  <c r="J4" i="13" s="1"/>
  <c r="F4" i="13"/>
  <c r="O3" i="13"/>
  <c r="O13" i="13" s="1"/>
  <c r="M3" i="13"/>
  <c r="J3" i="13"/>
  <c r="K3" i="13" l="1"/>
  <c r="M13" i="13"/>
  <c r="O14" i="13"/>
  <c r="G6" i="13"/>
  <c r="F6" i="13"/>
  <c r="F3" i="13"/>
  <c r="P8" i="13"/>
  <c r="F8" i="13"/>
  <c r="G11" i="13"/>
  <c r="F11" i="13"/>
  <c r="K4" i="13"/>
  <c r="G9" i="13"/>
  <c r="F9" i="13"/>
  <c r="G12" i="13"/>
  <c r="F12" i="13"/>
  <c r="P10" i="13"/>
  <c r="F10" i="13"/>
  <c r="G8" i="13"/>
  <c r="G5" i="13"/>
  <c r="P3" i="13"/>
  <c r="P6" i="13"/>
  <c r="G3" i="13"/>
  <c r="G4" i="13"/>
  <c r="P11" i="13"/>
  <c r="P4" i="13"/>
  <c r="P7" i="13"/>
  <c r="P12" i="13"/>
  <c r="P9" i="13"/>
  <c r="P5" i="13"/>
  <c r="G7" i="13"/>
  <c r="M17" i="5"/>
  <c r="F13" i="13" l="1"/>
  <c r="D9" i="17" s="1"/>
  <c r="M14" i="13"/>
  <c r="L16" i="5"/>
  <c r="D14" i="5" l="1"/>
  <c r="F14" i="5" s="1"/>
  <c r="M12" i="5" l="1"/>
  <c r="L11" i="5" l="1"/>
  <c r="L10" i="5" l="1"/>
  <c r="L9" i="5" l="1"/>
  <c r="D8" i="5" l="1"/>
  <c r="F8" i="5" s="1"/>
  <c r="D7" i="5" l="1"/>
  <c r="F7" i="5" s="1"/>
  <c r="F19" i="5" s="1"/>
  <c r="H4" i="5" l="1"/>
  <c r="H32" i="5"/>
  <c r="F56" i="15"/>
  <c r="F55" i="15"/>
  <c r="C40" i="15"/>
  <c r="V40" i="15" s="1"/>
  <c r="G5" i="5" l="1"/>
  <c r="G6" i="5" s="1"/>
  <c r="M32" i="15"/>
  <c r="C29" i="15"/>
  <c r="E27" i="15"/>
  <c r="C27" i="15"/>
  <c r="V27" i="15" s="1"/>
  <c r="C26" i="15"/>
  <c r="L24" i="15"/>
  <c r="L26" i="15" l="1"/>
  <c r="V26" i="15"/>
  <c r="H5" i="5"/>
  <c r="H6" i="5"/>
  <c r="G7" i="5"/>
  <c r="L27" i="15"/>
  <c r="E38" i="15"/>
  <c r="H7" i="5" l="1"/>
  <c r="G8" i="5"/>
  <c r="E40" i="15"/>
  <c r="H8" i="5" l="1"/>
  <c r="G9" i="5"/>
  <c r="E42" i="15"/>
  <c r="E43" i="15"/>
  <c r="L40" i="15"/>
  <c r="E10" i="15"/>
  <c r="H9" i="5" l="1"/>
  <c r="G10" i="5"/>
  <c r="E11" i="15"/>
  <c r="E12" i="15" s="1"/>
  <c r="E44" i="15"/>
  <c r="Q64" i="4"/>
  <c r="M9" i="5" l="1"/>
  <c r="H10" i="5"/>
  <c r="G11" i="5"/>
  <c r="E16" i="15"/>
  <c r="E13" i="15"/>
  <c r="E46" i="15"/>
  <c r="Q46" i="4"/>
  <c r="Q45" i="4"/>
  <c r="Q44" i="4"/>
  <c r="Q43" i="4"/>
  <c r="N42" i="4"/>
  <c r="N41" i="4"/>
  <c r="M41" i="4"/>
  <c r="N40" i="4"/>
  <c r="M40" i="4"/>
  <c r="M39" i="4"/>
  <c r="N39" i="4" s="1"/>
  <c r="Q37" i="4"/>
  <c r="Q34" i="4"/>
  <c r="Q33" i="4"/>
  <c r="Q32" i="4"/>
  <c r="Q41" i="4" l="1"/>
  <c r="S41" i="4"/>
  <c r="Q42" i="4"/>
  <c r="S42" i="4"/>
  <c r="S40" i="4"/>
  <c r="Q40" i="4"/>
  <c r="S39" i="4"/>
  <c r="Q39" i="4"/>
  <c r="M10" i="5"/>
  <c r="H11" i="5"/>
  <c r="G12" i="5"/>
  <c r="E17" i="15"/>
  <c r="E19" i="15" s="1"/>
  <c r="E21" i="15" s="1"/>
  <c r="E48" i="15"/>
  <c r="E20" i="15" l="1"/>
  <c r="E23" i="15" s="1"/>
  <c r="M11" i="5"/>
  <c r="H12" i="5"/>
  <c r="G13" i="5"/>
  <c r="Q31" i="4"/>
  <c r="Q30" i="4"/>
  <c r="Q29" i="4"/>
  <c r="Q28" i="4"/>
  <c r="Q26" i="4"/>
  <c r="Q25" i="4"/>
  <c r="Q24" i="4"/>
  <c r="Q17" i="4"/>
  <c r="Q23" i="4"/>
  <c r="Q22" i="4"/>
  <c r="Q21" i="4"/>
  <c r="Q20" i="4"/>
  <c r="Q19" i="4"/>
  <c r="Q18" i="4"/>
  <c r="N12" i="4"/>
  <c r="N11" i="4"/>
  <c r="N10" i="4"/>
  <c r="Q9" i="4"/>
  <c r="Q8" i="4"/>
  <c r="Q7" i="4"/>
  <c r="Q6" i="4"/>
  <c r="Q5" i="4"/>
  <c r="Q4" i="4"/>
  <c r="H1" i="4"/>
  <c r="H2" i="4" s="1"/>
  <c r="H3" i="4" s="1"/>
  <c r="H4" i="4" s="1"/>
  <c r="H5" i="4" s="1"/>
  <c r="S12" i="4" l="1"/>
  <c r="Q12" i="4"/>
  <c r="Q11" i="4"/>
  <c r="S11" i="4"/>
  <c r="E55" i="4"/>
  <c r="Q10" i="4"/>
  <c r="S10" i="4"/>
  <c r="H13" i="5"/>
  <c r="G14" i="5"/>
  <c r="C42" i="15"/>
  <c r="S47" i="4" l="1"/>
  <c r="D6" i="17" s="1"/>
  <c r="L42" i="15"/>
  <c r="V42" i="15"/>
  <c r="H14" i="5"/>
  <c r="G15" i="5"/>
  <c r="P75" i="10"/>
  <c r="N72" i="10"/>
  <c r="Q70" i="10"/>
  <c r="Q72" i="10" l="1"/>
  <c r="H15" i="5"/>
  <c r="G16" i="5"/>
  <c r="N65" i="10"/>
  <c r="Q65" i="10" s="1"/>
  <c r="H16" i="5" l="1"/>
  <c r="G17" i="5"/>
  <c r="N64" i="10"/>
  <c r="Q64" i="10" s="1"/>
  <c r="M16" i="5" l="1"/>
  <c r="G18" i="5"/>
  <c r="H18" i="5" s="1"/>
  <c r="H17" i="5"/>
  <c r="Q63" i="10"/>
  <c r="Q62" i="10" l="1"/>
  <c r="Q47" i="4" l="1"/>
  <c r="Q63" i="4" s="1"/>
  <c r="Q59" i="10" l="1"/>
  <c r="E59" i="4" l="1"/>
  <c r="C46" i="15" l="1"/>
  <c r="Q58" i="10"/>
  <c r="L46" i="15" l="1"/>
  <c r="V46" i="15"/>
  <c r="Q55" i="10"/>
  <c r="N54" i="10" l="1"/>
  <c r="Q54" i="10" l="1"/>
  <c r="E84" i="10"/>
  <c r="C31" i="15" s="1"/>
  <c r="V31" i="15" s="1"/>
  <c r="Q52" i="10" l="1"/>
  <c r="Q51" i="10"/>
  <c r="Q50" i="10" l="1"/>
  <c r="N49" i="10"/>
  <c r="Q49" i="10" s="1"/>
  <c r="Q47" i="10" l="1"/>
  <c r="N46" i="10"/>
  <c r="Q46" i="10" s="1"/>
  <c r="N45" i="10"/>
  <c r="Q45" i="10" s="1"/>
  <c r="Q43" i="10"/>
  <c r="Q42" i="10"/>
  <c r="Q41" i="10"/>
  <c r="Q40" i="10"/>
  <c r="Q39" i="10"/>
  <c r="Q37" i="10"/>
  <c r="E85" i="10" l="1"/>
  <c r="C32" i="15" s="1"/>
  <c r="V32" i="15" s="1"/>
  <c r="Q36" i="10"/>
  <c r="Q35" i="10"/>
  <c r="Q34" i="10"/>
  <c r="Q33" i="10"/>
  <c r="Q32" i="10"/>
  <c r="Q22" i="10"/>
  <c r="Q21" i="10" l="1"/>
  <c r="Q20" i="10"/>
  <c r="Q27" i="10" s="1"/>
  <c r="N5" i="10" l="1"/>
  <c r="H3" i="10"/>
  <c r="H2" i="10"/>
  <c r="H5" i="10" s="1"/>
  <c r="E87" i="10" l="1"/>
  <c r="Q5" i="10"/>
  <c r="Q75" i="10" s="1"/>
  <c r="C34" i="15"/>
  <c r="V34" i="15" s="1"/>
  <c r="P55" i="11" l="1"/>
  <c r="P54" i="11"/>
  <c r="P53" i="11"/>
  <c r="P52" i="11"/>
  <c r="P51" i="11"/>
  <c r="P50" i="11"/>
  <c r="M49" i="11"/>
  <c r="P49" i="11" s="1"/>
  <c r="P48" i="11"/>
  <c r="L47" i="11"/>
  <c r="Q47" i="11" s="1"/>
  <c r="M46" i="11"/>
  <c r="P46" i="11" s="1"/>
  <c r="P45" i="11"/>
  <c r="P44" i="11"/>
  <c r="L41" i="11"/>
  <c r="Q41" i="11" s="1"/>
  <c r="M40" i="11"/>
  <c r="P40" i="11" s="1"/>
  <c r="P39" i="11"/>
  <c r="L38" i="11"/>
  <c r="Q38" i="11" s="1"/>
  <c r="P36" i="11"/>
  <c r="P35" i="11"/>
  <c r="P34" i="11"/>
  <c r="M33" i="11"/>
  <c r="M32" i="11"/>
  <c r="P30" i="11"/>
  <c r="M47" i="11" l="1"/>
  <c r="P47" i="11" s="1"/>
  <c r="D63" i="11"/>
  <c r="C10" i="15" s="1"/>
  <c r="V10" i="15" s="1"/>
  <c r="P33" i="11"/>
  <c r="D73" i="11"/>
  <c r="C21" i="15" s="1"/>
  <c r="P32" i="11"/>
  <c r="O42" i="11"/>
  <c r="Q42" i="11" s="1"/>
  <c r="M38" i="11"/>
  <c r="C23" i="15"/>
  <c r="D74" i="11"/>
  <c r="D65" i="11"/>
  <c r="C12" i="15" s="1"/>
  <c r="V12" i="15" s="1"/>
  <c r="P28" i="11"/>
  <c r="P27" i="11"/>
  <c r="L26" i="11"/>
  <c r="Q26" i="11" s="1"/>
  <c r="P25" i="11"/>
  <c r="D64" i="11" l="1"/>
  <c r="C11" i="15" s="1"/>
  <c r="V11" i="15" s="1"/>
  <c r="P38" i="11"/>
  <c r="O29" i="11"/>
  <c r="Q29" i="11" s="1"/>
  <c r="L23" i="15"/>
  <c r="V23" i="15"/>
  <c r="L21" i="15"/>
  <c r="V21" i="15"/>
  <c r="M26" i="11"/>
  <c r="M24" i="11"/>
  <c r="D71" i="11" l="1"/>
  <c r="C19" i="15" s="1"/>
  <c r="L19" i="15" s="1"/>
  <c r="P26" i="11"/>
  <c r="M23" i="11"/>
  <c r="M22" i="11"/>
  <c r="P20" i="11"/>
  <c r="L19" i="11"/>
  <c r="Q19" i="11" s="1"/>
  <c r="V19" i="15" l="1"/>
  <c r="D62" i="11"/>
  <c r="M19" i="11"/>
  <c r="P19" i="11" s="1"/>
  <c r="P18" i="11"/>
  <c r="C9" i="15" l="1"/>
  <c r="V9" i="15" s="1"/>
  <c r="P17" i="11"/>
  <c r="O22" i="11" l="1"/>
  <c r="O23" i="11"/>
  <c r="O24" i="11"/>
  <c r="P16" i="11"/>
  <c r="P15" i="11"/>
  <c r="L15" i="11"/>
  <c r="P13" i="11"/>
  <c r="L12" i="11"/>
  <c r="Q12" i="11" s="1"/>
  <c r="M15" i="11" l="1"/>
  <c r="P22" i="11"/>
  <c r="Q22" i="11"/>
  <c r="P23" i="11"/>
  <c r="Q23" i="11"/>
  <c r="P24" i="11"/>
  <c r="Q24" i="11"/>
  <c r="M12" i="11"/>
  <c r="P12" i="11" s="1"/>
  <c r="M10" i="11"/>
  <c r="L9" i="11"/>
  <c r="Q9" i="11" s="1"/>
  <c r="L8" i="11"/>
  <c r="Q8" i="11" s="1"/>
  <c r="M7" i="11"/>
  <c r="P7" i="11" s="1"/>
  <c r="L7" i="11"/>
  <c r="Q7" i="11" s="1"/>
  <c r="M6" i="11"/>
  <c r="P6" i="11" s="1"/>
  <c r="L6" i="11"/>
  <c r="Q6" i="11" s="1"/>
  <c r="G1" i="11"/>
  <c r="E56" i="4"/>
  <c r="E51" i="4"/>
  <c r="C38" i="15" s="1"/>
  <c r="V38" i="15" s="1"/>
  <c r="H6" i="4"/>
  <c r="H10" i="4" s="1"/>
  <c r="E57" i="4"/>
  <c r="H7" i="4"/>
  <c r="H11" i="4" s="1"/>
  <c r="H9" i="4"/>
  <c r="J9" i="4" s="1"/>
  <c r="O21" i="11" l="1"/>
  <c r="Q21" i="11"/>
  <c r="P21" i="11"/>
  <c r="D68" i="11"/>
  <c r="P10" i="11"/>
  <c r="J7" i="4"/>
  <c r="J5" i="4"/>
  <c r="M8" i="11"/>
  <c r="P8" i="11" s="1"/>
  <c r="M9" i="11"/>
  <c r="C43" i="15"/>
  <c r="L38" i="15"/>
  <c r="C44" i="15"/>
  <c r="H14" i="4"/>
  <c r="J10" i="4"/>
  <c r="O10" i="4" s="1"/>
  <c r="J55" i="4" s="1"/>
  <c r="H15" i="4"/>
  <c r="J11" i="4"/>
  <c r="O11" i="4" s="1"/>
  <c r="J56" i="4" s="1"/>
  <c r="J6" i="4"/>
  <c r="H13" i="4"/>
  <c r="D60" i="11" l="1"/>
  <c r="L44" i="15"/>
  <c r="V44" i="15"/>
  <c r="L43" i="15"/>
  <c r="V43" i="15"/>
  <c r="D61" i="11"/>
  <c r="P9" i="11"/>
  <c r="Q65" i="4"/>
  <c r="Q67" i="4" s="1"/>
  <c r="H19" i="4"/>
  <c r="J14" i="4"/>
  <c r="J15" i="4"/>
  <c r="H20" i="4"/>
  <c r="J13" i="4"/>
  <c r="H18" i="4"/>
  <c r="H23" i="4" l="1"/>
  <c r="J19" i="4"/>
  <c r="J20" i="4"/>
  <c r="H17" i="4"/>
  <c r="H22" i="4"/>
  <c r="J18" i="4"/>
  <c r="J23" i="4" l="1"/>
  <c r="H26" i="4"/>
  <c r="H25" i="4"/>
  <c r="J22" i="4"/>
  <c r="J17" i="4"/>
  <c r="H27" i="4"/>
  <c r="J26" i="4" l="1"/>
  <c r="H30" i="4"/>
  <c r="J25" i="4"/>
  <c r="H29" i="4"/>
  <c r="J27" i="4"/>
  <c r="H31" i="4"/>
  <c r="J30" i="4" l="1"/>
  <c r="O30" i="4" s="1"/>
  <c r="J53" i="4" s="1"/>
  <c r="H34" i="4"/>
  <c r="J29" i="4"/>
  <c r="H33" i="4"/>
  <c r="H35" i="4"/>
  <c r="J31" i="4"/>
  <c r="J33" i="4" l="1"/>
  <c r="H37" i="4"/>
  <c r="J35" i="4"/>
  <c r="H39" i="4"/>
  <c r="H38" i="4"/>
  <c r="J34" i="4"/>
  <c r="H41" i="4" l="1"/>
  <c r="J41" i="4" s="1"/>
  <c r="O41" i="4" s="1"/>
  <c r="J57" i="4" s="1"/>
  <c r="J37" i="4"/>
  <c r="H43" i="4"/>
  <c r="J43" i="4" s="1"/>
  <c r="J39" i="4"/>
  <c r="O39" i="4" s="1"/>
  <c r="J38" i="4"/>
  <c r="H42" i="4"/>
  <c r="H45" i="4" l="1"/>
  <c r="H47" i="4" s="1"/>
  <c r="J42" i="4"/>
  <c r="O42" i="4" s="1"/>
  <c r="H44" i="4"/>
  <c r="J45" i="4" l="1"/>
  <c r="J44" i="4"/>
  <c r="H46" i="4"/>
  <c r="H48" i="4" s="1"/>
  <c r="J46" i="4" l="1"/>
  <c r="H55" i="4" l="1"/>
  <c r="H49" i="4"/>
  <c r="H56" i="4" s="1"/>
  <c r="H59" i="4" l="1"/>
  <c r="H51" i="4"/>
  <c r="H57" i="4" l="1"/>
  <c r="H42" i="15"/>
  <c r="H53" i="4"/>
  <c r="H43" i="15"/>
  <c r="H44" i="15" l="1"/>
  <c r="H40" i="15"/>
  <c r="J4" i="4"/>
  <c r="H8" i="4" l="1"/>
  <c r="H12" i="4" l="1"/>
  <c r="J8" i="4"/>
  <c r="H16" i="4" l="1"/>
  <c r="J12" i="4"/>
  <c r="O12" i="4" s="1"/>
  <c r="J59" i="4" s="1"/>
  <c r="H46" i="15" s="1"/>
  <c r="H21" i="4" l="1"/>
  <c r="J16" i="4"/>
  <c r="H24" i="4" l="1"/>
  <c r="J21" i="4"/>
  <c r="J24" i="4" l="1"/>
  <c r="H28" i="4"/>
  <c r="H32" i="4" l="1"/>
  <c r="J28" i="4"/>
  <c r="J32" i="4" l="1"/>
  <c r="H36" i="4"/>
  <c r="H40" i="4" l="1"/>
  <c r="J40" i="4" s="1"/>
  <c r="O40" i="4" s="1"/>
  <c r="J51" i="4" s="1"/>
  <c r="H38" i="15" s="1"/>
  <c r="J36" i="4"/>
  <c r="H9" i="10"/>
  <c r="H4" i="10"/>
  <c r="H8" i="10" s="1"/>
  <c r="E83" i="10"/>
  <c r="H6" i="10"/>
  <c r="H10" i="10" s="1"/>
  <c r="H7" i="10"/>
  <c r="H12" i="10" s="1"/>
  <c r="J12" i="10" s="1"/>
  <c r="O12" i="10" s="1"/>
  <c r="J79" i="10" s="1"/>
  <c r="C30" i="15"/>
  <c r="V30" i="15" s="1"/>
  <c r="E28" i="15"/>
  <c r="L28" i="15" s="1"/>
  <c r="E29" i="15" l="1"/>
  <c r="E30" i="15" s="1"/>
  <c r="E31" i="15" s="1"/>
  <c r="L31" i="15" s="1"/>
  <c r="J4" i="10"/>
  <c r="O4" i="10" s="1"/>
  <c r="J7" i="10"/>
  <c r="J8" i="10"/>
  <c r="H13" i="10"/>
  <c r="J9" i="10"/>
  <c r="H14" i="10"/>
  <c r="H26" i="10"/>
  <c r="J26" i="10" s="1"/>
  <c r="J5" i="10"/>
  <c r="O5" i="10" s="1"/>
  <c r="H24" i="10"/>
  <c r="J10" i="10"/>
  <c r="J6" i="10"/>
  <c r="H11" i="10"/>
  <c r="J87" i="10" l="1"/>
  <c r="E32" i="15"/>
  <c r="L32" i="15" s="1"/>
  <c r="L30" i="15"/>
  <c r="H17" i="10"/>
  <c r="J13" i="10"/>
  <c r="H25" i="10"/>
  <c r="J11" i="10"/>
  <c r="H18" i="10"/>
  <c r="J14" i="10"/>
  <c r="H16" i="10"/>
  <c r="H19" i="10"/>
  <c r="J24" i="10"/>
  <c r="E34" i="15" l="1"/>
  <c r="L34" i="15" s="1"/>
  <c r="J19" i="10"/>
  <c r="H22" i="10"/>
  <c r="J17" i="10"/>
  <c r="H20" i="10"/>
  <c r="H15" i="10"/>
  <c r="J25" i="10"/>
  <c r="J18" i="10"/>
  <c r="H21" i="10"/>
  <c r="H28" i="10"/>
  <c r="H33" i="10" s="1"/>
  <c r="J33" i="10" s="1"/>
  <c r="J16" i="10"/>
  <c r="O16" i="10" s="1"/>
  <c r="J81" i="10" s="1"/>
  <c r="J22" i="10" l="1"/>
  <c r="H31" i="10"/>
  <c r="H29" i="10"/>
  <c r="H23" i="10"/>
  <c r="J23" i="10" s="1"/>
  <c r="J20" i="10"/>
  <c r="J15" i="10"/>
  <c r="O15" i="10" s="1"/>
  <c r="J80" i="10" s="1"/>
  <c r="H27" i="10"/>
  <c r="H32" i="10" s="1"/>
  <c r="J32" i="10" s="1"/>
  <c r="H30" i="10"/>
  <c r="H34" i="10" s="1"/>
  <c r="J21" i="10"/>
  <c r="H35" i="10" l="1"/>
  <c r="J34" i="10"/>
  <c r="J35" i="10" l="1"/>
  <c r="H36" i="10"/>
  <c r="J36" i="10" l="1"/>
  <c r="H37" i="10"/>
  <c r="H38" i="10" l="1"/>
  <c r="H39" i="10" s="1"/>
  <c r="J37" i="10"/>
  <c r="H40" i="10" l="1"/>
  <c r="J39" i="10"/>
  <c r="J40" i="10" l="1"/>
  <c r="H41" i="10"/>
  <c r="J41" i="10" l="1"/>
  <c r="H42" i="10"/>
  <c r="H43" i="10" l="1"/>
  <c r="J42" i="10"/>
  <c r="H44" i="10" l="1"/>
  <c r="J43" i="10"/>
  <c r="H45" i="10" l="1"/>
  <c r="J44" i="10"/>
  <c r="H46" i="10" l="1"/>
  <c r="J45" i="10"/>
  <c r="O45" i="10" s="1"/>
  <c r="J46" i="10" l="1"/>
  <c r="O46" i="10" s="1"/>
  <c r="J85" i="10" s="1"/>
  <c r="H47" i="10"/>
  <c r="J47" i="10" l="1"/>
  <c r="H48" i="10"/>
  <c r="J48" i="10" l="1"/>
  <c r="H49" i="10"/>
  <c r="J49" i="10" l="1"/>
  <c r="O49" i="10" s="1"/>
  <c r="H50" i="10"/>
  <c r="H51" i="10" l="1"/>
  <c r="J50" i="10"/>
  <c r="J51" i="10" l="1"/>
  <c r="H52" i="10"/>
  <c r="J52" i="10" l="1"/>
  <c r="H53" i="10"/>
  <c r="H54" i="10" l="1"/>
  <c r="J53" i="10"/>
  <c r="H55" i="10" l="1"/>
  <c r="J54" i="10"/>
  <c r="O54" i="10" s="1"/>
  <c r="H56" i="10" l="1"/>
  <c r="J55" i="10"/>
  <c r="J56" i="10" l="1"/>
  <c r="H57" i="10"/>
  <c r="J57" i="10" l="1"/>
  <c r="H58" i="10"/>
  <c r="H59" i="10" l="1"/>
  <c r="J58" i="10"/>
  <c r="H60" i="10" l="1"/>
  <c r="J60" i="10" s="1"/>
  <c r="J59" i="10"/>
  <c r="H61" i="10"/>
  <c r="J61" i="10" l="1"/>
  <c r="H62" i="10"/>
  <c r="H63" i="10" l="1"/>
  <c r="J62" i="10"/>
  <c r="H64" i="10" l="1"/>
  <c r="J63" i="10"/>
  <c r="H65" i="10" l="1"/>
  <c r="J64" i="10"/>
  <c r="O64" i="10" s="1"/>
  <c r="J65" i="10" l="1"/>
  <c r="O65" i="10" s="1"/>
  <c r="J83" i="10" s="1"/>
  <c r="H66" i="10"/>
  <c r="J66" i="10" l="1"/>
  <c r="H67" i="10"/>
  <c r="H68" i="10" l="1"/>
  <c r="J67" i="10"/>
  <c r="J68" i="10" l="1"/>
  <c r="H69" i="10"/>
  <c r="H70" i="10" l="1"/>
  <c r="J69" i="10"/>
  <c r="H71" i="10" l="1"/>
  <c r="H75" i="10"/>
  <c r="H81" i="10" s="1"/>
  <c r="J70" i="10"/>
  <c r="J71" i="10" l="1"/>
  <c r="H72" i="10"/>
  <c r="H76" i="10"/>
  <c r="H77" i="10" s="1"/>
  <c r="H79" i="10" s="1"/>
  <c r="H84" i="10"/>
  <c r="G26" i="15" l="1"/>
  <c r="N79" i="10"/>
  <c r="H73" i="10"/>
  <c r="J72" i="10"/>
  <c r="O72" i="10" s="1"/>
  <c r="J84" i="10" s="1"/>
  <c r="N84" i="10" s="1"/>
  <c r="G28" i="15"/>
  <c r="N81" i="10"/>
  <c r="G31" i="15" l="1"/>
  <c r="H74" i="10"/>
  <c r="H87" i="10"/>
  <c r="J73" i="10"/>
  <c r="J74" i="10" l="1"/>
  <c r="H80" i="10"/>
  <c r="H85" i="10"/>
  <c r="G32" i="15" l="1"/>
  <c r="N85" i="10"/>
  <c r="H83" i="10"/>
  <c r="G34" i="15"/>
  <c r="N87" i="10"/>
  <c r="G30" i="15" l="1"/>
  <c r="N83" i="10"/>
  <c r="N80" i="10"/>
  <c r="G27" i="15"/>
  <c r="N86" i="10" l="1"/>
  <c r="Q86" i="10" s="1"/>
  <c r="G2" i="11" l="1"/>
  <c r="G3" i="11" s="1"/>
  <c r="G4" i="11" s="1"/>
  <c r="D59" i="11"/>
  <c r="C6" i="15" s="1"/>
  <c r="V6" i="15" s="1"/>
  <c r="D69" i="11"/>
  <c r="C17" i="15" s="1"/>
  <c r="P56" i="11"/>
  <c r="M41" i="11"/>
  <c r="P41" i="11" s="1"/>
  <c r="O37" i="11" s="1"/>
  <c r="Q37" i="11" s="1"/>
  <c r="Q56" i="11" s="1"/>
  <c r="D4" i="17" s="1"/>
  <c r="C8" i="15"/>
  <c r="V8" i="15" s="1"/>
  <c r="C7" i="15"/>
  <c r="V7" i="15" s="1"/>
  <c r="L17" i="15" l="1"/>
  <c r="V17" i="15"/>
  <c r="G57" i="11"/>
  <c r="G5" i="11"/>
  <c r="D72" i="11"/>
  <c r="C20" i="15" s="1"/>
  <c r="C16" i="15"/>
  <c r="L16" i="15" l="1"/>
  <c r="V16" i="15"/>
  <c r="L20" i="15"/>
  <c r="V20" i="15"/>
  <c r="G21" i="11"/>
  <c r="G6" i="11"/>
  <c r="I6" i="11" s="1"/>
  <c r="N6" i="11" s="1"/>
  <c r="I59" i="11" s="1"/>
  <c r="F6" i="15" s="1"/>
  <c r="L6" i="15" s="1"/>
  <c r="G42" i="11"/>
  <c r="I42" i="11" s="1"/>
  <c r="G29" i="11"/>
  <c r="G37" i="11"/>
  <c r="G38" i="11" s="1"/>
  <c r="G7" i="11"/>
  <c r="G9" i="11" s="1"/>
  <c r="V49" i="15" l="1"/>
  <c r="D7" i="17" s="1"/>
  <c r="D11" i="17" s="1"/>
  <c r="G8" i="11"/>
  <c r="I8" i="11" s="1"/>
  <c r="N8" i="11" s="1"/>
  <c r="I7" i="11"/>
  <c r="N7" i="11" s="1"/>
  <c r="G10" i="11"/>
  <c r="G11" i="11"/>
  <c r="I9" i="11"/>
  <c r="N9" i="11" s="1"/>
  <c r="I61" i="11" s="1"/>
  <c r="F8" i="15" s="1"/>
  <c r="L8" i="15" s="1"/>
  <c r="I60" i="11" l="1"/>
  <c r="G13" i="11"/>
  <c r="G12" i="11"/>
  <c r="G14" i="11" s="1"/>
  <c r="I14" i="11" s="1"/>
  <c r="I10" i="11"/>
  <c r="N10" i="11" s="1"/>
  <c r="F7" i="15" l="1"/>
  <c r="L7" i="15" s="1"/>
  <c r="G15" i="11"/>
  <c r="G16" i="11"/>
  <c r="I11" i="11"/>
  <c r="G18" i="11" l="1"/>
  <c r="G17" i="11"/>
  <c r="I12" i="11"/>
  <c r="N12" i="11" s="1"/>
  <c r="G19" i="11" l="1"/>
  <c r="G20" i="11"/>
  <c r="I13" i="11"/>
  <c r="I15" i="11" l="1"/>
  <c r="N15" i="11" s="1"/>
  <c r="I16" i="11" l="1"/>
  <c r="I21" i="11" l="1"/>
  <c r="I17" i="11"/>
  <c r="G22" i="11" l="1"/>
  <c r="I22" i="11" s="1"/>
  <c r="N22" i="11" s="1"/>
  <c r="I18" i="11"/>
  <c r="G23" i="11" l="1"/>
  <c r="I23" i="11" s="1"/>
  <c r="N23" i="11" s="1"/>
  <c r="I19" i="11"/>
  <c r="N19" i="11" s="1"/>
  <c r="I69" i="11" s="1"/>
  <c r="F17" i="15" s="1"/>
  <c r="G24" i="11" l="1"/>
  <c r="I24" i="11" s="1"/>
  <c r="N24" i="11" s="1"/>
  <c r="I62" i="11" s="1"/>
  <c r="F9" i="15" s="1"/>
  <c r="L9" i="15" s="1"/>
  <c r="I20" i="11"/>
  <c r="G25" i="11" l="1"/>
  <c r="I25" i="11" s="1"/>
  <c r="G26" i="11" l="1"/>
  <c r="I26" i="11" s="1"/>
  <c r="N26" i="11" s="1"/>
  <c r="I71" i="11" s="1"/>
  <c r="I29" i="11" l="1"/>
  <c r="G27" i="11"/>
  <c r="I27" i="11" s="1"/>
  <c r="G30" i="11" l="1"/>
  <c r="G28" i="11"/>
  <c r="I28" i="11" s="1"/>
  <c r="I30" i="11" l="1"/>
  <c r="G31" i="11"/>
  <c r="I31" i="11" s="1"/>
  <c r="G32" i="11" l="1"/>
  <c r="I32" i="11" s="1"/>
  <c r="N32" i="11" s="1"/>
  <c r="I73" i="11" s="1"/>
  <c r="G33" i="11" l="1"/>
  <c r="I33" i="11" s="1"/>
  <c r="N33" i="11" s="1"/>
  <c r="G34" i="11" l="1"/>
  <c r="I34" i="11" s="1"/>
  <c r="G35" i="11" l="1"/>
  <c r="I35" i="11" s="1"/>
  <c r="G36" i="11" l="1"/>
  <c r="I36" i="11" s="1"/>
  <c r="I37" i="11"/>
  <c r="G43" i="11" l="1"/>
  <c r="I43" i="11" s="1"/>
  <c r="N43" i="11" s="1"/>
  <c r="I66" i="11" s="1"/>
  <c r="F13" i="15" s="1"/>
  <c r="L13" i="15" s="1"/>
  <c r="G44" i="11" l="1"/>
  <c r="I44" i="11" s="1"/>
  <c r="G45" i="11" l="1"/>
  <c r="I45" i="11" s="1"/>
  <c r="G46" i="11" l="1"/>
  <c r="I46" i="11" s="1"/>
  <c r="N46" i="11" s="1"/>
  <c r="I65" i="11" s="1"/>
  <c r="F12" i="15" s="1"/>
  <c r="L12" i="15" s="1"/>
  <c r="G47" i="11" l="1"/>
  <c r="I47" i="11" l="1"/>
  <c r="N47" i="11" s="1"/>
  <c r="G48" i="11"/>
  <c r="G49" i="11" s="1"/>
  <c r="G50" i="11" s="1"/>
  <c r="G51" i="11" s="1"/>
  <c r="G52" i="11" s="1"/>
  <c r="G53" i="11" s="1"/>
  <c r="G54" i="11" s="1"/>
  <c r="G55" i="11" s="1"/>
  <c r="I38" i="11"/>
  <c r="N38" i="11" s="1"/>
  <c r="I64" i="11" s="1"/>
  <c r="F11" i="15" s="1"/>
  <c r="L11" i="15" s="1"/>
  <c r="G39" i="11" l="1"/>
  <c r="I39" i="11" l="1"/>
  <c r="G40" i="11"/>
  <c r="G41" i="11" s="1"/>
  <c r="I48" i="11"/>
  <c r="I40" i="11" l="1"/>
  <c r="N40" i="11" s="1"/>
  <c r="I74" i="11" s="1"/>
  <c r="I49" i="11" l="1"/>
  <c r="N49" i="11" s="1"/>
  <c r="I68" i="11" s="1"/>
  <c r="F16" i="15" s="1"/>
  <c r="I41" i="11" l="1"/>
  <c r="N41" i="11" s="1"/>
  <c r="I72" i="11" s="1"/>
  <c r="I50" i="11"/>
  <c r="N50" i="11" s="1"/>
  <c r="I51" i="11" l="1"/>
  <c r="I52" i="11" l="1"/>
  <c r="I53" i="11" l="1"/>
  <c r="I54" i="11" l="1"/>
  <c r="I55" i="11" l="1"/>
  <c r="G56" i="11" l="1"/>
  <c r="G68" i="11" l="1"/>
  <c r="G71" i="11"/>
  <c r="G60" i="11"/>
  <c r="G69" i="11"/>
  <c r="G59" i="11"/>
  <c r="G61" i="11"/>
  <c r="G72" i="11"/>
  <c r="F19" i="15" l="1"/>
  <c r="G73" i="11"/>
  <c r="G64" i="11"/>
  <c r="G62" i="11"/>
  <c r="G63" i="11"/>
  <c r="I63" i="11" s="1"/>
  <c r="F10" i="15" s="1"/>
  <c r="L10" i="15" s="1"/>
  <c r="G65" i="11"/>
  <c r="G66" i="11" l="1"/>
  <c r="G76" i="11"/>
  <c r="G77" i="11" s="1"/>
  <c r="G78" i="11" s="1"/>
  <c r="G79" i="11" s="1"/>
  <c r="G74" i="11"/>
  <c r="F20" i="15"/>
  <c r="F21" i="15" l="1"/>
  <c r="F23" i="15"/>
  <c r="I5" i="13"/>
  <c r="J5" i="13"/>
  <c r="K5" i="13" s="1"/>
  <c r="I6" i="13"/>
  <c r="J6" i="13" s="1"/>
  <c r="K6" i="13" s="1"/>
  <c r="G10" i="13"/>
  <c r="G33" i="5"/>
  <c r="I7" i="13" l="1"/>
  <c r="G34" i="5"/>
  <c r="H33" i="5"/>
  <c r="J7" i="13" l="1"/>
  <c r="K7" i="13" s="1"/>
  <c r="I8" i="13"/>
  <c r="G35" i="5"/>
  <c r="H34" i="5"/>
  <c r="J8" i="13" l="1"/>
  <c r="K8" i="13" s="1"/>
  <c r="I9" i="13"/>
  <c r="G36" i="5"/>
  <c r="H35" i="5"/>
  <c r="J9" i="13" l="1"/>
  <c r="K9" i="13" s="1"/>
  <c r="I10" i="13"/>
  <c r="G37" i="5"/>
  <c r="H36" i="5"/>
  <c r="J10" i="13" l="1"/>
  <c r="K10" i="13" s="1"/>
  <c r="I11" i="13"/>
  <c r="G38" i="5"/>
  <c r="H37" i="5"/>
  <c r="J11" i="13" l="1"/>
  <c r="K11" i="13" s="1"/>
  <c r="I12" i="13"/>
  <c r="J12" i="13" s="1"/>
  <c r="K12" i="13" s="1"/>
  <c r="K13" i="13" s="1"/>
  <c r="G39" i="5"/>
  <c r="H38" i="5"/>
  <c r="H39" i="5" l="1"/>
  <c r="G40" i="5"/>
  <c r="H40" i="5" s="1"/>
</calcChain>
</file>

<file path=xl/sharedStrings.xml><?xml version="1.0" encoding="utf-8"?>
<sst xmlns="http://schemas.openxmlformats.org/spreadsheetml/2006/main" count="1008" uniqueCount="510">
  <si>
    <t>M6 nyloc nut</t>
  </si>
  <si>
    <t>M14 Nyloc nut</t>
  </si>
  <si>
    <t>AV24 structural rivets  1-5mm</t>
  </si>
  <si>
    <t>AV25 structural rivets 1-9mm</t>
  </si>
  <si>
    <t>ASL3-6   ally flanged rivets</t>
  </si>
  <si>
    <t>ASL6-6   ally flanged rivets</t>
  </si>
  <si>
    <t>AUGER &amp; DRIVELINE</t>
  </si>
  <si>
    <t>Total Bins Req</t>
  </si>
  <si>
    <t>Part No</t>
  </si>
  <si>
    <t>Part Description</t>
  </si>
  <si>
    <t>In Stock</t>
  </si>
  <si>
    <t>On Order</t>
  </si>
  <si>
    <t>Required to Order</t>
  </si>
  <si>
    <t>Supplier</t>
  </si>
  <si>
    <t>Barrel</t>
  </si>
  <si>
    <t>Auger Chute</t>
  </si>
  <si>
    <t>Eagle Rota Moulding</t>
  </si>
  <si>
    <t>7m x 15" x 2mm Barrel</t>
  </si>
  <si>
    <t>TurboAir</t>
  </si>
  <si>
    <t>Barrell Galvanised</t>
  </si>
  <si>
    <t>Western Galvanisers</t>
  </si>
  <si>
    <t>Acton Laser Cutting</t>
  </si>
  <si>
    <t>Laser cut - Base Plate</t>
  </si>
  <si>
    <t>Steel - 100x5mm Flat 735mm pressed</t>
  </si>
  <si>
    <t xml:space="preserve"> FL208 Block Assembly</t>
  </si>
  <si>
    <t xml:space="preserve">F208 Block Assembly </t>
  </si>
  <si>
    <t>UK208 Bearing Taper Lock</t>
  </si>
  <si>
    <t>H2308 35mm Bearing Sleeve</t>
  </si>
  <si>
    <t>Bolt - M12x50 Hex</t>
  </si>
  <si>
    <t>Bolt - M12x30 Cup Head</t>
  </si>
  <si>
    <t>M12 Washer Lock</t>
  </si>
  <si>
    <t>M12 Washer Flat</t>
  </si>
  <si>
    <t>M12 Nut Lock</t>
  </si>
  <si>
    <t>M12 Nut Hex</t>
  </si>
  <si>
    <t xml:space="preserve">Flighting </t>
  </si>
  <si>
    <t>End Stubs - laser cut rings</t>
  </si>
  <si>
    <t>plain shaft</t>
  </si>
  <si>
    <t>spline shaft</t>
  </si>
  <si>
    <t>Spiral Steel 3m sections</t>
  </si>
  <si>
    <t>Spiral Flighting Supplies</t>
  </si>
  <si>
    <t>Section Spiral Steel</t>
  </si>
  <si>
    <t>Jacmor</t>
  </si>
  <si>
    <t>7.6m 80nb heavy steel</t>
  </si>
  <si>
    <t>H-Frame</t>
  </si>
  <si>
    <t>WB6105 60Hp PTO Shaft</t>
  </si>
  <si>
    <t>AB6105 60Hp PTO Shaft</t>
  </si>
  <si>
    <t>Shaft 1 3/8 6 spline each end</t>
  </si>
  <si>
    <t>Laser cut - Spline Holder</t>
  </si>
  <si>
    <t>Bare-Co</t>
  </si>
  <si>
    <t>Per Ass</t>
  </si>
  <si>
    <t>Cone</t>
  </si>
  <si>
    <t>15" Auger Box Doors 2.9mm Galv (cut 205)</t>
  </si>
  <si>
    <t>15" Auger Box - 2.9mm Galv (cut 328)</t>
  </si>
  <si>
    <t>Henrob C05 Rivets</t>
  </si>
  <si>
    <t>Manhole</t>
  </si>
  <si>
    <t>Wall</t>
  </si>
  <si>
    <t>Cone &amp; Wall</t>
  </si>
  <si>
    <t>Site glasses - Rectangle</t>
  </si>
  <si>
    <t>Site Glasses - Square</t>
  </si>
  <si>
    <t>Stickers</t>
  </si>
  <si>
    <t>15" Auger Shroud - 2mm (Cut 153)</t>
  </si>
  <si>
    <t>1200mm Coil</t>
  </si>
  <si>
    <t>900mm Coil</t>
  </si>
  <si>
    <t>Main Frame</t>
  </si>
  <si>
    <t>Base</t>
  </si>
  <si>
    <t>40x2.5 SHS @30</t>
  </si>
  <si>
    <t>Axle Frame</t>
  </si>
  <si>
    <t>Axle Gusset</t>
  </si>
  <si>
    <t xml:space="preserve">Stub Axle </t>
  </si>
  <si>
    <t>Axle Gusset - Galvanised</t>
  </si>
  <si>
    <t>Hubs &amp; Bearings</t>
  </si>
  <si>
    <t>Tyre &amp; Rim</t>
  </si>
  <si>
    <t>Hydraulic Cylinder</t>
  </si>
  <si>
    <t>Hydraulic Hoses</t>
  </si>
  <si>
    <t>Laser cut -Auger Saddle Lug</t>
  </si>
  <si>
    <t>Statewide</t>
  </si>
  <si>
    <t>Top</t>
  </si>
  <si>
    <t>Cost</t>
  </si>
  <si>
    <t>Hinge 75mm</t>
  </si>
  <si>
    <t>Hasp &amp; Staple 115mm</t>
  </si>
  <si>
    <t>10mm Paddlock</t>
  </si>
  <si>
    <t>60T Door Front Overlap Left</t>
  </si>
  <si>
    <t>60T Door Front Overlap Right</t>
  </si>
  <si>
    <t>150mm T Hinge</t>
  </si>
  <si>
    <t>Tek Screw ??</t>
  </si>
  <si>
    <t>Henrob Rivets</t>
  </si>
  <si>
    <t>60T Door Rear Underlap Right</t>
  </si>
  <si>
    <t>60T Door Rear Underlap left</t>
  </si>
  <si>
    <t>100x200x3mm Galv Plate</t>
  </si>
  <si>
    <t>Door Opener</t>
  </si>
  <si>
    <t>Roof Lid</t>
  </si>
  <si>
    <t>Swing Arm Holder 3mm Galv Plate</t>
  </si>
  <si>
    <t>6mm Bolt</t>
  </si>
  <si>
    <t>20x20x1.6mm SHS @ 307mm (6mm hole 15mm)</t>
  </si>
  <si>
    <t>20x20x1.6mm SHS @ 325mm (2 holes 15mm each end)</t>
  </si>
  <si>
    <t>20x20x1.6mm SHS @180mm (45o cut at one end)</t>
  </si>
  <si>
    <t>3mm Galv Plate 75x75mm</t>
  </si>
  <si>
    <t>25x25x1.6mm SHS @150mm</t>
  </si>
  <si>
    <t>20x20x1.6 @ 180mm (?? Cut one end, 6mm hole 15mm other)</t>
  </si>
  <si>
    <t>Grey Silicone</t>
  </si>
  <si>
    <t>60T Hydraulic Holder (16mm w hole)</t>
  </si>
  <si>
    <t>Action Laser</t>
  </si>
  <si>
    <t>Murray George</t>
  </si>
  <si>
    <t>Tyrepower</t>
  </si>
  <si>
    <t>Drawbar Gussets</t>
  </si>
  <si>
    <t>Drawbar Lock Plate</t>
  </si>
  <si>
    <t>Tongue - 100x16mm @190mm w 16mm hole</t>
  </si>
  <si>
    <t>40NB Auger Brackets notched each end w 12mm hole</t>
  </si>
  <si>
    <t>Centre Roof Lid Holder 25 x 50 SHS @ 150 Angled</t>
  </si>
  <si>
    <t>100x50x2mm Galv cap</t>
  </si>
  <si>
    <t>M14 Lock Nut</t>
  </si>
  <si>
    <t>A</t>
  </si>
  <si>
    <t>B</t>
  </si>
  <si>
    <t>C</t>
  </si>
  <si>
    <t>D</t>
  </si>
  <si>
    <t>Lid</t>
  </si>
  <si>
    <t>Tek Screws</t>
  </si>
  <si>
    <t>Rivets</t>
  </si>
  <si>
    <t>60T Roof panels - pressed</t>
  </si>
  <si>
    <t>Roof Frame</t>
  </si>
  <si>
    <t>50x25x1.6 @2750 15deg cut on end</t>
  </si>
  <si>
    <t>Heavy duty Hinge 100mm bent</t>
  </si>
  <si>
    <t>Door Handle</t>
  </si>
  <si>
    <t>Lid Opener  Handel</t>
  </si>
  <si>
    <t>Spring</t>
  </si>
  <si>
    <t>20x20x1.6 SHS @ 3250</t>
  </si>
  <si>
    <t>25x25x1.6@150</t>
  </si>
  <si>
    <t>M6 Bolt and Nut</t>
  </si>
  <si>
    <t>M14 x 150 Bolt</t>
  </si>
  <si>
    <t>50x12 FlAT @ 150mm w hole for Auger stirrups</t>
  </si>
  <si>
    <t>32NB @ 1875mm Trusses</t>
  </si>
  <si>
    <t xml:space="preserve">32NB @ 150mm </t>
  </si>
  <si>
    <t>40x40x2.5 SHS @ 200 Hyd End Hose Holder w 40x10mm@20mm welded</t>
  </si>
  <si>
    <t>Shroud Barrel</t>
  </si>
  <si>
    <t>Auger Rain Band</t>
  </si>
  <si>
    <t>Raw Materials</t>
  </si>
  <si>
    <t>2.90mm X 1220 X 2400 Galv Sheet</t>
  </si>
  <si>
    <t>MAKE</t>
  </si>
  <si>
    <t>Henrob</t>
  </si>
  <si>
    <t>Anderson Metal Spinners</t>
  </si>
  <si>
    <t>TD Ibbotson</t>
  </si>
  <si>
    <t>3mm Perspex</t>
  </si>
  <si>
    <t>Hyden Hardware</t>
  </si>
  <si>
    <t>Raw</t>
  </si>
  <si>
    <t>1.6 X 25 X 50 SHS X 8M</t>
  </si>
  <si>
    <t>50x25x1.6 curved ~2250mm</t>
  </si>
  <si>
    <t>1.6 X 20 X 20 SHS X 8M</t>
  </si>
  <si>
    <t>Top Lid Opening Pivot</t>
  </si>
  <si>
    <t>Top Lid Opener</t>
  </si>
  <si>
    <t>20x20x1.6mm SHS @ 2950</t>
  </si>
  <si>
    <t>20x20x1.6mm SHS @ 2880</t>
  </si>
  <si>
    <t>1.6 X 25 X 25 SHS X 8M</t>
  </si>
  <si>
    <t>Inner Ring - 65x2.5 SHS - 17M</t>
  </si>
  <si>
    <t>Outer Ring - 65x2.5 SHS - 16M</t>
  </si>
  <si>
    <t>Top Ring - 65 x 74 x 2.5 Silo Tube - 19M</t>
  </si>
  <si>
    <t>32NB MED X 6M</t>
  </si>
  <si>
    <t>50 X 12MM FLAT</t>
  </si>
  <si>
    <t>74.6 X 65 X 2.5MM X 12M</t>
  </si>
  <si>
    <t>65 X 65 X 2.5MM X 8M</t>
  </si>
  <si>
    <t xml:space="preserve">40NB MED </t>
  </si>
  <si>
    <t>75x4 SHS @ 1500 slotted</t>
  </si>
  <si>
    <t>75x4 SHS @ 525</t>
  </si>
  <si>
    <t>75x4 SHS @ 85</t>
  </si>
  <si>
    <t>75 X 75 X 4MM X 8M</t>
  </si>
  <si>
    <t>76 X 75 X 4MM X 8M</t>
  </si>
  <si>
    <t>77 X 75 X 4MM X 8M</t>
  </si>
  <si>
    <t>100 X 50 X 6MM RHS</t>
  </si>
  <si>
    <t>32NB Drawbar Brackets@ 1700mm</t>
  </si>
  <si>
    <t>25x25x2.5 SHS @260mm Angled - PTO Holder</t>
  </si>
  <si>
    <t>100 X 16MM FLAT X 6M</t>
  </si>
  <si>
    <t>32NB MED PIPE X 6M</t>
  </si>
  <si>
    <t>MAKE - easy</t>
  </si>
  <si>
    <t>2 Week Turn Around</t>
  </si>
  <si>
    <t>4 Week Turn around</t>
  </si>
  <si>
    <t>6 Week Turn Around</t>
  </si>
  <si>
    <t>3 Week Turn Around</t>
  </si>
  <si>
    <t>4 Week Turn Around</t>
  </si>
  <si>
    <t>50x2.5 SHS @ 1875mm Uprights</t>
  </si>
  <si>
    <t>50 X 50 X 2.5MM X 8M</t>
  </si>
  <si>
    <t>75x8 FLAT @185</t>
  </si>
  <si>
    <t>50 x 5mm FLAT not sure what used for</t>
  </si>
  <si>
    <t xml:space="preserve">25 X 8MM FLAT </t>
  </si>
  <si>
    <t>75x8mm FLAT @100 w 12mm hole 30x30 from corner</t>
  </si>
  <si>
    <t>100 X 5mm FLAT</t>
  </si>
  <si>
    <t>75 X 8mm FLAT</t>
  </si>
  <si>
    <t>75 X 8MM FLAT</t>
  </si>
  <si>
    <t>Coil</t>
  </si>
  <si>
    <t>FLAT</t>
  </si>
  <si>
    <t>PIPE</t>
  </si>
  <si>
    <t xml:space="preserve"> </t>
  </si>
  <si>
    <t>50 x 3mm FLAT for plasma</t>
  </si>
  <si>
    <t>Lengths per Bin</t>
  </si>
  <si>
    <t>Lengths in Stock</t>
  </si>
  <si>
    <t>Lengths Required</t>
  </si>
  <si>
    <t>Pack Size</t>
  </si>
  <si>
    <t xml:space="preserve">Axle Gusset w hole </t>
  </si>
  <si>
    <t>Description</t>
  </si>
  <si>
    <t>Material</t>
  </si>
  <si>
    <t>SHAPE 302x180 WITH HOLE</t>
  </si>
  <si>
    <t>10 M/S</t>
  </si>
  <si>
    <t>16 M/S</t>
  </si>
  <si>
    <t>SHAPE 111x75 WITH HOLE</t>
  </si>
  <si>
    <t>SHAPE 260x210</t>
  </si>
  <si>
    <t>5 M/S</t>
  </si>
  <si>
    <t>FB Drawbar lock bracket</t>
  </si>
  <si>
    <t>SHAPE 115x130 WITH SLOT</t>
  </si>
  <si>
    <t>Bearings</t>
  </si>
  <si>
    <t>Teks</t>
  </si>
  <si>
    <t>Bolts</t>
  </si>
  <si>
    <t>200mm T Hinge</t>
  </si>
  <si>
    <t>Springs</t>
  </si>
  <si>
    <t>Chain 6mm?</t>
  </si>
  <si>
    <t>M12 Nyloc Nut</t>
  </si>
  <si>
    <t>M12 Flat Washer</t>
  </si>
  <si>
    <t>M14 Flat Washer</t>
  </si>
  <si>
    <t>M14 Spring Washer</t>
  </si>
  <si>
    <t>Drawbar Base Plate 8mm</t>
  </si>
  <si>
    <t>M14x200 Bolt</t>
  </si>
  <si>
    <t>25x3 Galv x 150 w 90deg bend at 30mm and hole</t>
  </si>
  <si>
    <t>25 X 3 Galv</t>
  </si>
  <si>
    <t>6mm R-Clip</t>
  </si>
  <si>
    <t>BareCo</t>
  </si>
  <si>
    <t>1mm x 1200 Zinculum Coil</t>
  </si>
  <si>
    <t>1mm x 900 Zinculum Coil</t>
  </si>
  <si>
    <t>2.90mm X 1220 X 2400 Galv Plate</t>
  </si>
  <si>
    <t>Offcuts</t>
  </si>
  <si>
    <t>Raw Materials - Roof &amp; Walls</t>
  </si>
  <si>
    <t>2mm Galv Plasma (Cut 500)</t>
  </si>
  <si>
    <t>Auger - 15" Base Plate</t>
  </si>
  <si>
    <t>Auger - Saddle Lug</t>
  </si>
  <si>
    <t>Axle Frame - 60T Axle Lug</t>
  </si>
  <si>
    <t>Auger - Stub Washers</t>
  </si>
  <si>
    <t>Auger - Top  Mount</t>
  </si>
  <si>
    <t xml:space="preserve">Axle Gusset </t>
  </si>
  <si>
    <t>Base - Drawbar Plate</t>
  </si>
  <si>
    <t>Drawbar - Gusset</t>
  </si>
  <si>
    <t xml:space="preserve">UnderCarriage - Intershaft PTO </t>
  </si>
  <si>
    <t>8 M/S</t>
  </si>
  <si>
    <t>Qty per FB</t>
  </si>
  <si>
    <t>Total Required</t>
  </si>
  <si>
    <t>X</t>
  </si>
  <si>
    <t>89x89x6 @350mm</t>
  </si>
  <si>
    <t>89 X 89 X 6MM</t>
  </si>
  <si>
    <t>80nb Welded Pipe ERW</t>
  </si>
  <si>
    <t>Steel - 200x50x2mm RHS Galv @2850mm long</t>
  </si>
  <si>
    <t>Steel - 200x50x2mm RHS Galv @700mm long</t>
  </si>
  <si>
    <t>200x50x2mm RHS GALV</t>
  </si>
  <si>
    <t>Steel 400x200x5mm Plate</t>
  </si>
  <si>
    <t>5mm X 1220 X 2400 Galv Sheet</t>
  </si>
  <si>
    <t>5mm X 1220 X 2400 Sheet</t>
  </si>
  <si>
    <t>50x6mm flat dont know</t>
  </si>
  <si>
    <t>Price per unit</t>
  </si>
  <si>
    <t xml:space="preserve">Bohler </t>
  </si>
  <si>
    <t>Price per Auger</t>
  </si>
  <si>
    <t>TOTAL PER BIN</t>
  </si>
  <si>
    <t>Jack retail 167.96 weld 19.50</t>
  </si>
  <si>
    <t>1.95mm X 1220 X 2400 Galv Sheet</t>
  </si>
  <si>
    <t>1.95mm x 1500mm x ???</t>
  </si>
  <si>
    <t>Pin - 20x5mm 150mm with hole</t>
  </si>
  <si>
    <t>20 X 5MM FLAT</t>
  </si>
  <si>
    <t>A-Frame Galvanised</t>
  </si>
  <si>
    <t xml:space="preserve">Drawbar </t>
  </si>
  <si>
    <t>Auger Shroud</t>
  </si>
  <si>
    <t>60T Door Assembly Parts</t>
  </si>
  <si>
    <t>100x50x5 RHS @ 1360mm with angle cut</t>
  </si>
  <si>
    <t>75x50x5mm RHS @ 900mm</t>
  </si>
  <si>
    <t># of pieces per length of steel</t>
  </si>
  <si>
    <t># of lengths of steel per unit</t>
  </si>
  <si>
    <t>75 X 50 X 5MM</t>
  </si>
  <si>
    <t>Roof Rim</t>
  </si>
  <si>
    <t>RHS</t>
  </si>
  <si>
    <t>ROD</t>
  </si>
  <si>
    <t>PLATE</t>
  </si>
  <si>
    <t>1.55mm X 1200 Galv Coil</t>
  </si>
  <si>
    <t>SHEET</t>
  </si>
  <si>
    <t>Auger</t>
  </si>
  <si>
    <t>Units to Make</t>
  </si>
  <si>
    <t>FB #</t>
  </si>
  <si>
    <t>Cost $/unit</t>
  </si>
  <si>
    <t>Total Cost</t>
  </si>
  <si>
    <t>TOTAL</t>
  </si>
  <si>
    <t>Stock</t>
  </si>
  <si>
    <t>Required</t>
  </si>
  <si>
    <t>Next Order</t>
  </si>
  <si>
    <t>per field bin</t>
  </si>
  <si>
    <t>in stock</t>
  </si>
  <si>
    <t>Required/Bins</t>
  </si>
  <si>
    <t>Bins</t>
  </si>
  <si>
    <t>Actual Req</t>
  </si>
  <si>
    <t>How many bins</t>
  </si>
  <si>
    <t>ITEM</t>
  </si>
  <si>
    <t>LENGTH</t>
  </si>
  <si>
    <t>QTY</t>
  </si>
  <si>
    <t>QTY FOR 10</t>
  </si>
  <si>
    <t>length</t>
  </si>
  <si>
    <t>normal pack</t>
  </si>
  <si>
    <t>m per pack</t>
  </si>
  <si>
    <t>mini pacl</t>
  </si>
  <si>
    <t>options</t>
  </si>
  <si>
    <t>COST EA</t>
  </si>
  <si>
    <t>Steel</t>
  </si>
  <si>
    <t>50x50x2.5mm SHS galv</t>
  </si>
  <si>
    <t>m</t>
  </si>
  <si>
    <t>75x75x5mm SHS galv</t>
  </si>
  <si>
    <t>mini pack</t>
  </si>
  <si>
    <t>90x90x6mm SHS galv</t>
  </si>
  <si>
    <t>100x50x3mm RHS galv</t>
  </si>
  <si>
    <t>20x20x1.6mm shs galv</t>
  </si>
  <si>
    <t>25x25x1.6mm shs galv</t>
  </si>
  <si>
    <t>50x25x1.6mm shs galv</t>
  </si>
  <si>
    <t>32NB MGP</t>
  </si>
  <si>
    <t>40NB MGP</t>
  </si>
  <si>
    <t>65x65x5 angle dgal</t>
  </si>
  <si>
    <t>pack size??</t>
  </si>
  <si>
    <t>25x8mm flat bar</t>
  </si>
  <si>
    <t>75x8mm flat bar</t>
  </si>
  <si>
    <t>65x65x2.5mm rhs</t>
  </si>
  <si>
    <t>74x65x3mm silo section galv</t>
  </si>
  <si>
    <t>??</t>
  </si>
  <si>
    <t>20x20x1.6mm rhs galv</t>
  </si>
  <si>
    <t>100x5mm flat bar</t>
  </si>
  <si>
    <t>50x12mm flat bar</t>
  </si>
  <si>
    <t xml:space="preserve">1.95mm x 1200mm Galv coil  is 15.6kg/m </t>
  </si>
  <si>
    <t>ton</t>
  </si>
  <si>
    <t xml:space="preserve">1.00mm x 1200mm Zinc coil is 8kg/m2 </t>
  </si>
  <si>
    <t>1.00mm x 900mm Zinc coil is 8kg/m2</t>
  </si>
  <si>
    <t>1mm 1200x3200mm sheets 8 x 30.72kg</t>
  </si>
  <si>
    <t>1mm 1200x4000mm sheets 2 x 38.4kg</t>
  </si>
  <si>
    <t>SOUTHERN STEEL</t>
  </si>
  <si>
    <t>rate/unit</t>
  </si>
  <si>
    <t>No required</t>
  </si>
  <si>
    <t>8 Silos per pack</t>
  </si>
  <si>
    <t>40 Silos per pack</t>
  </si>
  <si>
    <t>96 Silos per pack</t>
  </si>
  <si>
    <t>n/r</t>
  </si>
  <si>
    <t>232 Silos per pack</t>
  </si>
  <si>
    <t>35 Silos per pack</t>
  </si>
  <si>
    <t>100 Silos per pack</t>
  </si>
  <si>
    <t>24 Silos Per Pack</t>
  </si>
  <si>
    <t>7 Silos per pack</t>
  </si>
  <si>
    <t>61 Silos per pack</t>
  </si>
  <si>
    <t>76 Silos Per pack</t>
  </si>
  <si>
    <t>?</t>
  </si>
  <si>
    <t>10 silos Per length</t>
  </si>
  <si>
    <t>4 Silos Per length</t>
  </si>
  <si>
    <t>10 Silos per pack</t>
  </si>
  <si>
    <t>10 silo per length</t>
  </si>
  <si>
    <t>5t</t>
  </si>
  <si>
    <t>8 silos per coil</t>
  </si>
  <si>
    <t>25 silos per coil</t>
  </si>
  <si>
    <t>33 silos per coil</t>
  </si>
  <si>
    <t>8 per silo</t>
  </si>
  <si>
    <t>2 per silo</t>
  </si>
  <si>
    <t>Cost/unit</t>
  </si>
  <si>
    <t>50 X 50 X 2MM X 8M</t>
  </si>
  <si>
    <t>Galv Plate - Hydraulics Holder</t>
  </si>
  <si>
    <t>Current Stock</t>
  </si>
  <si>
    <t>Field Bin that can build</t>
  </si>
  <si>
    <t>Ideal Senario</t>
  </si>
  <si>
    <t>GST incl</t>
  </si>
  <si>
    <t>that can build</t>
  </si>
  <si>
    <t>Mitre 10</t>
  </si>
  <si>
    <t xml:space="preserve">Steel - 250x450??x1.55mm Galv Plate </t>
  </si>
  <si>
    <t>Auger Choke</t>
  </si>
  <si>
    <t>12mm Rod</t>
  </si>
  <si>
    <t>25NB Med</t>
  </si>
  <si>
    <t>25x25x1.6mm x 14m</t>
  </si>
  <si>
    <t>Ladder</t>
  </si>
  <si>
    <t>20x20x1.6 x 10.4m</t>
  </si>
  <si>
    <t>Parobolic Spring D0154</t>
  </si>
  <si>
    <t>Martins</t>
  </si>
  <si>
    <t>1 Week</t>
  </si>
  <si>
    <t>Prev Stock</t>
  </si>
  <si>
    <t>in Stock</t>
  </si>
  <si>
    <t>Coil 1.55mm X 1200</t>
  </si>
  <si>
    <t>12MM Rod</t>
  </si>
  <si>
    <t>Bedford Harbour Engineering</t>
  </si>
  <si>
    <t>Caution</t>
  </si>
  <si>
    <t>Danger</t>
  </si>
  <si>
    <t>60T</t>
  </si>
  <si>
    <t>Transport Empty Only</t>
  </si>
  <si>
    <t>Size</t>
  </si>
  <si>
    <t>Over</t>
  </si>
  <si>
    <t>FB 15 inch boxrev4</t>
  </si>
  <si>
    <t>Cleanout Door</t>
  </si>
  <si>
    <t>15 Auger Box Back</t>
  </si>
  <si>
    <t>3 Galv</t>
  </si>
  <si>
    <t>Qty</t>
  </si>
  <si>
    <t>Received</t>
  </si>
  <si>
    <t>Materials</t>
  </si>
  <si>
    <t>Labour</t>
  </si>
  <si>
    <t>markup</t>
  </si>
  <si>
    <t>M14x200mm Bolt</t>
  </si>
  <si>
    <t xml:space="preserve">M14x140mm Bolt </t>
  </si>
  <si>
    <t xml:space="preserve">M12 x 30mm Cup head bolt </t>
  </si>
  <si>
    <t>Unit/Field Bin</t>
  </si>
  <si>
    <t>Lid Opener</t>
  </si>
  <si>
    <t>Lid &amp; Doors</t>
  </si>
  <si>
    <t xml:space="preserve">M6 x 60mm bolt </t>
  </si>
  <si>
    <t xml:space="preserve">M6 x 40mm bolt </t>
  </si>
  <si>
    <t>Drawbar</t>
  </si>
  <si>
    <t>Clamping distance</t>
  </si>
  <si>
    <t>total</t>
  </si>
  <si>
    <t>bearing distance</t>
  </si>
  <si>
    <t>Auger discharge</t>
  </si>
  <si>
    <t>steel thickness</t>
  </si>
  <si>
    <t>steel thickness 2</t>
  </si>
  <si>
    <t>PTO intershaft</t>
  </si>
  <si>
    <t>PTO Auger</t>
  </si>
  <si>
    <t>M12x140mm Bolt</t>
  </si>
  <si>
    <t>M14 x 40mm bolt</t>
  </si>
  <si>
    <t>Auger supports</t>
  </si>
  <si>
    <t>M12 x 35mm bolt</t>
  </si>
  <si>
    <t>Field Bins</t>
  </si>
  <si>
    <t>Units Req</t>
  </si>
  <si>
    <t>not in use</t>
  </si>
  <si>
    <t>14-10x25 Self Drilling Hex Screws Class 4</t>
  </si>
  <si>
    <t>AgShop</t>
  </si>
  <si>
    <t>Full Retail Price Shown</t>
  </si>
  <si>
    <t>FL208 Block Assembly</t>
  </si>
  <si>
    <t>Price last updated</t>
  </si>
  <si>
    <t>4.8mm flighting RH OD 343 ID 88.9 Pitch 343</t>
  </si>
  <si>
    <t>343D x 350 P x 88.9 B x 5mm RH Flights</t>
  </si>
  <si>
    <t>Onesteel</t>
  </si>
  <si>
    <t>Steel - 50x10mm Flat 735mm</t>
  </si>
  <si>
    <t>50 X 10mm FLAT</t>
  </si>
  <si>
    <t>Laser cut - Top Mount</t>
  </si>
  <si>
    <t>linked</t>
  </si>
  <si>
    <t xml:space="preserve">FL208 Block Assembly </t>
  </si>
  <si>
    <t>Laser Cutting</t>
  </si>
  <si>
    <t>Plasma Cutting</t>
  </si>
  <si>
    <t>Mitre10</t>
  </si>
  <si>
    <t>Profast</t>
  </si>
  <si>
    <t>Notchka</t>
  </si>
  <si>
    <t>Solar Light</t>
  </si>
  <si>
    <t>Order1</t>
  </si>
  <si>
    <t>Order2</t>
  </si>
  <si>
    <t>Order3</t>
  </si>
  <si>
    <t>Order4</t>
  </si>
  <si>
    <t>65x65x5 RHS @1800mm</t>
  </si>
  <si>
    <t>75 X 50 X 5MM RHS X 8M</t>
  </si>
  <si>
    <t>65 X 65 X 5MM RHS X 8MM Galv</t>
  </si>
  <si>
    <t>89 X 89 X 6MM SHS Black</t>
  </si>
  <si>
    <t>65 X 65 X 5MM RHS</t>
  </si>
  <si>
    <t>40NB MED  X 6M GALV</t>
  </si>
  <si>
    <t>32NB MED X 6M GALV</t>
  </si>
  <si>
    <t>25NB MED X 6M GALV</t>
  </si>
  <si>
    <t>100mmx300mm</t>
  </si>
  <si>
    <t>50 X 10MM FLAT</t>
  </si>
  <si>
    <t>Price / Assembly</t>
  </si>
  <si>
    <t>Price / unit</t>
  </si>
  <si>
    <t>Lengths Req</t>
  </si>
  <si>
    <t xml:space="preserve">180x50x10mm FLAT  w 12mm holes Spring to Drawbar holder </t>
  </si>
  <si>
    <t>50x12mm FLAT @ 180mm holes either side</t>
  </si>
  <si>
    <t>Pin - 50x10mm 200 with hole</t>
  </si>
  <si>
    <t>Make - Onesteel</t>
  </si>
  <si>
    <t>1mm x 1200 Zinculum 8kg/m2</t>
  </si>
  <si>
    <t>1mm x 900 Zinculum 8kg/m2</t>
  </si>
  <si>
    <t>1.95mm X 1200 Galv Coil 15.6kg/m2</t>
  </si>
  <si>
    <t>Door</t>
  </si>
  <si>
    <t>Door Plate</t>
  </si>
  <si>
    <t>1.15 Zincalume</t>
  </si>
  <si>
    <t>Stock Value</t>
  </si>
  <si>
    <t>Order 1</t>
  </si>
  <si>
    <t>Cost/bin</t>
  </si>
  <si>
    <t>Lengths / Bin</t>
  </si>
  <si>
    <t>Cost / m</t>
  </si>
  <si>
    <t>Cost / length</t>
  </si>
  <si>
    <t>Cost / pack</t>
  </si>
  <si>
    <t>MAKE OneSteel</t>
  </si>
  <si>
    <t>Agshop</t>
  </si>
  <si>
    <t>Miscellaneous</t>
  </si>
  <si>
    <t>AgShop Hyden</t>
  </si>
  <si>
    <t>Mitre10 Hyden</t>
  </si>
  <si>
    <t>Part ID</t>
  </si>
  <si>
    <t>Unit Cost</t>
  </si>
  <si>
    <t>Cost / Field Bin</t>
  </si>
  <si>
    <t>hose clamp</t>
  </si>
  <si>
    <t>Updated 20/4</t>
  </si>
  <si>
    <t>Price / unit (or length)</t>
  </si>
  <si>
    <t>mistake 25x8mm</t>
  </si>
  <si>
    <t>50 X 10MM FLAT X 6M</t>
  </si>
  <si>
    <t>100x5MM FLAT</t>
  </si>
  <si>
    <t>Weight/Bin</t>
  </si>
  <si>
    <t>Current Stock Value</t>
  </si>
  <si>
    <t>Weldon Mount Kit FR B9202 Jack</t>
  </si>
  <si>
    <t>Last Update</t>
  </si>
  <si>
    <t>Chain Links Cut B6009</t>
  </si>
  <si>
    <t>B6009</t>
  </si>
  <si>
    <t>Bareco</t>
  </si>
  <si>
    <t>Cone Wall Top</t>
  </si>
  <si>
    <t>Raw Steel</t>
  </si>
  <si>
    <t>Hardware</t>
  </si>
  <si>
    <t xml:space="preserve">Field Bin Kits </t>
  </si>
  <si>
    <t>Invoice No 60179685</t>
  </si>
  <si>
    <t>2.35 KG</t>
  </si>
  <si>
    <t>35.81 EA</t>
  </si>
  <si>
    <t>42.97 EA</t>
  </si>
  <si>
    <t>114.57 EA</t>
  </si>
  <si>
    <t>Invoice No 59998953</t>
  </si>
  <si>
    <t>1.53 KG</t>
  </si>
  <si>
    <t>Invoice No 59991241</t>
  </si>
  <si>
    <t>Invoice No 59958843</t>
  </si>
  <si>
    <t>1.53KG</t>
  </si>
  <si>
    <t>31.93 EA</t>
  </si>
  <si>
    <t>39.70 EA</t>
  </si>
  <si>
    <t>Invoice No 59916528</t>
  </si>
  <si>
    <t>Invoice No 59893514</t>
  </si>
  <si>
    <t>200.43 EA</t>
  </si>
  <si>
    <t>Invoice No 59817586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</si>
</sst>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;[Red]\-&quot;$&quot;#,##0.00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&quot;$&quot;#,##0.00"/>
    <numFmt numFmtId="166" formatCode="0.0"/>
    <numFmt numFmtId="167" formatCode="_-* #,##0_-;\-* #,##0_-;_-* &quot;-&quot;??_-;_-@_-"/>
    <numFmt numFmtId="168" formatCode="_(&quot;$&quot;* #,##0_);_(&quot;$&quot;* \(#,##0\);_(&quot;$&quot;* &quot;-&quot;??_);_(@_)"/>
    <numFmt numFmtId="169" formatCode="&quot;$&quot;#,##0"/>
  </numFmts>
  <fonts count="29" x14ac:knownFonts="1">
    <font>
      <sz val="10"/>
      <name val="Arial"/>
    </font>
    <font>
      <sz val="10"/>
      <name val="Arial"/>
      <family val="2"/>
    </font>
    <font>
      <sz val="16"/>
      <name val="Arial"/>
      <family val="2"/>
    </font>
    <font>
      <sz val="2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FF0000"/>
      <name val="Arial"/>
      <family val="2"/>
    </font>
    <font>
      <sz val="16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0"/>
      <color theme="6" tint="-0.249977111117893"/>
      <name val="Arial"/>
      <family val="2"/>
    </font>
    <font>
      <b/>
      <sz val="14"/>
      <name val="Arial"/>
      <family val="2"/>
    </font>
    <font>
      <b/>
      <sz val="10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58">
    <xf numFmtId="0" fontId="0" fillId="0" borderId="0" xfId="0"/>
    <xf numFmtId="0" fontId="3" fillId="0" borderId="0" xfId="0" applyFont="1"/>
    <xf numFmtId="0" fontId="0" fillId="0" borderId="1" xfId="0" applyBorder="1"/>
    <xf numFmtId="0" fontId="16" fillId="0" borderId="0" xfId="0" applyFont="1"/>
    <xf numFmtId="0" fontId="14" fillId="0" borderId="0" xfId="0" applyFont="1"/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13" fillId="0" borderId="0" xfId="0" applyFont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NumberFormat="1"/>
    <xf numFmtId="0" fontId="0" fillId="2" borderId="0" xfId="0" applyFill="1"/>
    <xf numFmtId="0" fontId="4" fillId="2" borderId="0" xfId="0" applyFont="1" applyFill="1"/>
    <xf numFmtId="0" fontId="4" fillId="3" borderId="0" xfId="0" applyFont="1" applyFill="1"/>
    <xf numFmtId="0" fontId="0" fillId="0" borderId="0" xfId="0" applyFill="1"/>
    <xf numFmtId="0" fontId="2" fillId="0" borderId="1" xfId="0" applyFont="1" applyBorder="1" applyAlignment="1">
      <alignment horizontal="center"/>
    </xf>
    <xf numFmtId="0" fontId="16" fillId="0" borderId="0" xfId="0" applyFont="1" applyAlignment="1">
      <alignment horizontal="right"/>
    </xf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9" fillId="0" borderId="0" xfId="0" applyFont="1"/>
    <xf numFmtId="0" fontId="9" fillId="4" borderId="0" xfId="0" applyFont="1" applyFill="1"/>
    <xf numFmtId="0" fontId="9" fillId="4" borderId="0" xfId="0" applyFont="1" applyFill="1" applyBorder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1" xfId="0" applyFont="1" applyFill="1" applyBorder="1" applyAlignment="1">
      <alignment horizontal="center"/>
    </xf>
    <xf numFmtId="0" fontId="0" fillId="2" borderId="1" xfId="0" applyFill="1" applyBorder="1"/>
    <xf numFmtId="0" fontId="5" fillId="2" borderId="1" xfId="0" applyFont="1" applyFill="1" applyBorder="1"/>
    <xf numFmtId="0" fontId="14" fillId="2" borderId="0" xfId="0" applyFont="1" applyFill="1"/>
    <xf numFmtId="0" fontId="0" fillId="5" borderId="0" xfId="0" applyFill="1"/>
    <xf numFmtId="0" fontId="0" fillId="0" borderId="0" xfId="0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Fill="1" applyBorder="1"/>
    <xf numFmtId="0" fontId="15" fillId="0" borderId="0" xfId="0" applyFont="1" applyAlignment="1">
      <alignment horizontal="center" wrapText="1"/>
    </xf>
    <xf numFmtId="0" fontId="4" fillId="6" borderId="0" xfId="0" applyFont="1" applyFill="1"/>
    <xf numFmtId="0" fontId="4" fillId="0" borderId="0" xfId="0" applyFont="1" applyFill="1"/>
    <xf numFmtId="166" fontId="5" fillId="0" borderId="0" xfId="0" applyNumberFormat="1" applyFont="1"/>
    <xf numFmtId="166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NumberFormat="1" applyFill="1"/>
    <xf numFmtId="166" fontId="0" fillId="0" borderId="0" xfId="0" applyNumberFormat="1" applyFill="1"/>
    <xf numFmtId="0" fontId="0" fillId="0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3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6" fillId="0" borderId="0" xfId="0" applyFon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4" fillId="0" borderId="0" xfId="0" applyNumberFormat="1" applyFont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0" xfId="0" applyNumberFormat="1" applyBorder="1"/>
    <xf numFmtId="0" fontId="6" fillId="0" borderId="1" xfId="0" applyFont="1" applyFill="1" applyBorder="1" applyAlignment="1">
      <alignment horizontal="center" wrapText="1"/>
    </xf>
    <xf numFmtId="0" fontId="5" fillId="0" borderId="0" xfId="0" applyFont="1" applyAlignment="1">
      <alignment horizontal="right"/>
    </xf>
    <xf numFmtId="165" fontId="0" fillId="0" borderId="1" xfId="2" applyNumberFormat="1" applyFont="1" applyBorder="1"/>
    <xf numFmtId="165" fontId="7" fillId="0" borderId="1" xfId="0" applyNumberFormat="1" applyFont="1" applyBorder="1" applyAlignment="1">
      <alignment horizontal="center"/>
    </xf>
    <xf numFmtId="0" fontId="0" fillId="12" borderId="0" xfId="0" applyFill="1"/>
    <xf numFmtId="0" fontId="0" fillId="13" borderId="0" xfId="0" applyFill="1"/>
    <xf numFmtId="0" fontId="17" fillId="0" borderId="0" xfId="0" applyFont="1" applyAlignment="1">
      <alignment horizontal="center"/>
    </xf>
    <xf numFmtId="0" fontId="5" fillId="14" borderId="0" xfId="0" applyFont="1" applyFill="1"/>
    <xf numFmtId="0" fontId="0" fillId="14" borderId="0" xfId="0" applyFill="1"/>
    <xf numFmtId="0" fontId="0" fillId="14" borderId="0" xfId="0" applyFill="1" applyAlignment="1">
      <alignment horizontal="center" wrapText="1"/>
    </xf>
    <xf numFmtId="0" fontId="15" fillId="14" borderId="0" xfId="0" applyFont="1" applyFill="1" applyAlignment="1">
      <alignment horizontal="center" wrapText="1"/>
    </xf>
    <xf numFmtId="0" fontId="17" fillId="14" borderId="0" xfId="0" applyFont="1" applyFill="1" applyAlignment="1">
      <alignment horizontal="center"/>
    </xf>
    <xf numFmtId="166" fontId="0" fillId="14" borderId="0" xfId="0" applyNumberFormat="1" applyFill="1" applyAlignment="1">
      <alignment horizontal="center"/>
    </xf>
    <xf numFmtId="1" fontId="0" fillId="14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166" fontId="0" fillId="14" borderId="0" xfId="0" applyNumberFormat="1" applyFill="1" applyAlignment="1">
      <alignment horizontal="center" wrapText="1"/>
    </xf>
    <xf numFmtId="1" fontId="0" fillId="14" borderId="0" xfId="0" applyNumberFormat="1" applyFill="1" applyAlignment="1">
      <alignment horizontal="center" wrapText="1"/>
    </xf>
    <xf numFmtId="0" fontId="4" fillId="14" borderId="0" xfId="0" applyFont="1" applyFill="1"/>
    <xf numFmtId="0" fontId="16" fillId="0" borderId="1" xfId="0" applyFont="1" applyBorder="1"/>
    <xf numFmtId="0" fontId="15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165" fontId="2" fillId="0" borderId="1" xfId="0" applyNumberFormat="1" applyFont="1" applyBorder="1"/>
    <xf numFmtId="0" fontId="10" fillId="0" borderId="1" xfId="0" applyFont="1" applyBorder="1" applyAlignment="1">
      <alignment horizontal="center"/>
    </xf>
    <xf numFmtId="165" fontId="10" fillId="0" borderId="1" xfId="0" applyNumberFormat="1" applyFont="1" applyBorder="1"/>
    <xf numFmtId="9" fontId="10" fillId="14" borderId="1" xfId="0" applyNumberFormat="1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9" fontId="2" fillId="14" borderId="1" xfId="3" applyFont="1" applyFill="1" applyBorder="1" applyAlignment="1">
      <alignment horizontal="center"/>
    </xf>
    <xf numFmtId="0" fontId="2" fillId="14" borderId="1" xfId="0" applyFont="1" applyFill="1" applyBorder="1"/>
    <xf numFmtId="0" fontId="2" fillId="0" borderId="1" xfId="0" applyFont="1" applyBorder="1" applyAlignment="1">
      <alignment horizontal="left"/>
    </xf>
    <xf numFmtId="0" fontId="2" fillId="0" borderId="1" xfId="1" applyNumberFormat="1" applyFont="1" applyBorder="1"/>
    <xf numFmtId="167" fontId="2" fillId="0" borderId="1" xfId="1" applyNumberFormat="1" applyFont="1" applyBorder="1"/>
    <xf numFmtId="167" fontId="10" fillId="0" borderId="1" xfId="1" applyNumberFormat="1" applyFont="1" applyBorder="1"/>
    <xf numFmtId="0" fontId="2" fillId="12" borderId="1" xfId="1" applyNumberFormat="1" applyFont="1" applyFill="1" applyBorder="1"/>
    <xf numFmtId="167" fontId="2" fillId="6" borderId="1" xfId="1" applyNumberFormat="1" applyFont="1" applyFill="1" applyBorder="1"/>
    <xf numFmtId="0" fontId="1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15" borderId="1" xfId="1" applyNumberFormat="1" applyFont="1" applyFill="1" applyBorder="1"/>
    <xf numFmtId="0" fontId="10" fillId="0" borderId="4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2" fillId="0" borderId="0" xfId="0" applyFont="1"/>
    <xf numFmtId="0" fontId="2" fillId="0" borderId="1" xfId="0" applyNumberFormat="1" applyFont="1" applyBorder="1"/>
    <xf numFmtId="0" fontId="10" fillId="0" borderId="1" xfId="0" applyNumberFormat="1" applyFont="1" applyBorder="1"/>
    <xf numFmtId="167" fontId="2" fillId="0" borderId="1" xfId="1" applyNumberFormat="1" applyFont="1" applyFill="1" applyBorder="1"/>
    <xf numFmtId="165" fontId="2" fillId="0" borderId="1" xfId="0" applyNumberFormat="1" applyFont="1" applyFill="1" applyBorder="1"/>
    <xf numFmtId="9" fontId="2" fillId="0" borderId="1" xfId="3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3" applyNumberFormat="1" applyFont="1" applyFill="1" applyBorder="1" applyAlignment="1">
      <alignment horizontal="center"/>
    </xf>
    <xf numFmtId="43" fontId="2" fillId="0" borderId="1" xfId="0" applyNumberFormat="1" applyFont="1" applyFill="1" applyBorder="1"/>
    <xf numFmtId="43" fontId="10" fillId="0" borderId="1" xfId="0" applyNumberFormat="1" applyFont="1" applyFill="1" applyBorder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165" fontId="2" fillId="0" borderId="2" xfId="0" applyNumberFormat="1" applyFont="1" applyBorder="1"/>
    <xf numFmtId="165" fontId="10" fillId="0" borderId="2" xfId="0" applyNumberFormat="1" applyFont="1" applyBorder="1"/>
    <xf numFmtId="0" fontId="2" fillId="0" borderId="2" xfId="0" applyFont="1" applyBorder="1"/>
    <xf numFmtId="9" fontId="2" fillId="14" borderId="2" xfId="3" applyFont="1" applyFill="1" applyBorder="1" applyAlignment="1">
      <alignment horizontal="center"/>
    </xf>
    <xf numFmtId="0" fontId="2" fillId="14" borderId="2" xfId="0" applyFont="1" applyFill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165" fontId="2" fillId="0" borderId="3" xfId="0" applyNumberFormat="1" applyFont="1" applyBorder="1"/>
    <xf numFmtId="165" fontId="10" fillId="0" borderId="3" xfId="0" applyNumberFormat="1" applyFont="1" applyBorder="1"/>
    <xf numFmtId="0" fontId="2" fillId="0" borderId="3" xfId="0" applyFont="1" applyBorder="1"/>
    <xf numFmtId="9" fontId="2" fillId="0" borderId="3" xfId="3" applyFont="1" applyFill="1" applyBorder="1" applyAlignment="1">
      <alignment horizontal="center"/>
    </xf>
    <xf numFmtId="0" fontId="2" fillId="0" borderId="3" xfId="0" applyFont="1" applyFill="1" applyBorder="1"/>
    <xf numFmtId="0" fontId="12" fillId="0" borderId="1" xfId="0" applyFont="1" applyBorder="1"/>
    <xf numFmtId="0" fontId="2" fillId="0" borderId="1" xfId="0" applyNumberFormat="1" applyFont="1" applyFill="1" applyBorder="1"/>
    <xf numFmtId="165" fontId="5" fillId="0" borderId="0" xfId="0" applyNumberFormat="1" applyFont="1"/>
    <xf numFmtId="165" fontId="0" fillId="0" borderId="3" xfId="2" applyNumberFormat="1" applyFont="1" applyBorder="1"/>
    <xf numFmtId="165" fontId="0" fillId="0" borderId="1" xfId="0" applyNumberFormat="1" applyBorder="1"/>
    <xf numFmtId="0" fontId="0" fillId="7" borderId="1" xfId="0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8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17" fillId="0" borderId="1" xfId="0" applyFont="1" applyBorder="1" applyAlignment="1">
      <alignment horizontal="center"/>
    </xf>
    <xf numFmtId="166" fontId="17" fillId="0" borderId="0" xfId="0" applyNumberFormat="1" applyFont="1"/>
    <xf numFmtId="9" fontId="0" fillId="0" borderId="0" xfId="0" applyNumberFormat="1"/>
    <xf numFmtId="2" fontId="0" fillId="0" borderId="0" xfId="0" applyNumberFormat="1"/>
    <xf numFmtId="0" fontId="9" fillId="0" borderId="0" xfId="0" applyFont="1" applyBorder="1"/>
    <xf numFmtId="166" fontId="9" fillId="4" borderId="0" xfId="0" applyNumberFormat="1" applyFont="1" applyFill="1" applyBorder="1"/>
    <xf numFmtId="0" fontId="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66" fontId="8" fillId="4" borderId="1" xfId="0" applyNumberFormat="1" applyFont="1" applyFill="1" applyBorder="1" applyAlignment="1">
      <alignment horizontal="center" vertical="center"/>
    </xf>
    <xf numFmtId="0" fontId="9" fillId="0" borderId="1" xfId="0" applyFont="1" applyBorder="1"/>
    <xf numFmtId="166" fontId="9" fillId="4" borderId="1" xfId="0" applyNumberFormat="1" applyFont="1" applyFill="1" applyBorder="1" applyAlignment="1">
      <alignment horizontal="center"/>
    </xf>
    <xf numFmtId="14" fontId="0" fillId="0" borderId="0" xfId="0" applyNumberFormat="1"/>
    <xf numFmtId="0" fontId="14" fillId="8" borderId="0" xfId="0" applyFont="1" applyFill="1"/>
    <xf numFmtId="0" fontId="14" fillId="8" borderId="0" xfId="0" applyFont="1" applyFill="1" applyAlignment="1">
      <alignment horizontal="center"/>
    </xf>
    <xf numFmtId="0" fontId="18" fillId="0" borderId="0" xfId="0" applyFont="1"/>
    <xf numFmtId="0" fontId="0" fillId="7" borderId="2" xfId="0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5" fillId="0" borderId="0" xfId="0" applyFont="1" applyFill="1" applyAlignment="1">
      <alignment horizontal="center"/>
    </xf>
    <xf numFmtId="0" fontId="0" fillId="0" borderId="0" xfId="0" applyFont="1" applyFill="1"/>
    <xf numFmtId="0" fontId="5" fillId="0" borderId="0" xfId="0" applyFont="1" applyFill="1"/>
    <xf numFmtId="0" fontId="4" fillId="0" borderId="1" xfId="0" applyFont="1" applyFill="1" applyBorder="1" applyAlignment="1">
      <alignment horizontal="center"/>
    </xf>
    <xf numFmtId="0" fontId="1" fillId="0" borderId="0" xfId="0" applyFont="1" applyFill="1"/>
    <xf numFmtId="0" fontId="0" fillId="0" borderId="1" xfId="0" applyFill="1" applyBorder="1"/>
    <xf numFmtId="0" fontId="5" fillId="0" borderId="0" xfId="0" applyFont="1" applyAlignment="1">
      <alignment wrapText="1"/>
    </xf>
    <xf numFmtId="1" fontId="0" fillId="0" borderId="0" xfId="0" applyNumberForma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" fillId="4" borderId="0" xfId="0" applyFont="1" applyFill="1"/>
    <xf numFmtId="166" fontId="0" fillId="0" borderId="0" xfId="0" applyNumberFormat="1" applyFill="1" applyAlignment="1">
      <alignment horizontal="center"/>
    </xf>
    <xf numFmtId="0" fontId="19" fillId="0" borderId="0" xfId="0" applyFont="1" applyAlignment="1">
      <alignment horizontal="center" wrapText="1"/>
    </xf>
    <xf numFmtId="0" fontId="1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1" fillId="14" borderId="0" xfId="0" applyFont="1" applyFill="1" applyAlignment="1">
      <alignment horizontal="center"/>
    </xf>
    <xf numFmtId="0" fontId="1" fillId="14" borderId="0" xfId="0" applyFont="1" applyFill="1"/>
    <xf numFmtId="1" fontId="21" fillId="0" borderId="0" xfId="0" applyNumberFormat="1" applyFont="1" applyAlignment="1">
      <alignment horizontal="center"/>
    </xf>
    <xf numFmtId="1" fontId="21" fillId="0" borderId="0" xfId="0" applyNumberFormat="1" applyFont="1" applyFill="1" applyAlignment="1">
      <alignment horizontal="center"/>
    </xf>
    <xf numFmtId="1" fontId="21" fillId="14" borderId="0" xfId="0" applyNumberFormat="1" applyFont="1" applyFill="1" applyAlignment="1">
      <alignment horizontal="center"/>
    </xf>
    <xf numFmtId="0" fontId="1" fillId="0" borderId="1" xfId="0" applyFont="1" applyBorder="1"/>
    <xf numFmtId="169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168" fontId="5" fillId="0" borderId="1" xfId="2" applyNumberFormat="1" applyFont="1" applyBorder="1"/>
    <xf numFmtId="0" fontId="22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 wrapText="1"/>
    </xf>
    <xf numFmtId="1" fontId="22" fillId="0" borderId="0" xfId="0" applyNumberFormat="1" applyFont="1" applyAlignment="1">
      <alignment horizontal="center" wrapText="1"/>
    </xf>
    <xf numFmtId="0" fontId="24" fillId="0" borderId="0" xfId="0" applyFont="1" applyAlignment="1">
      <alignment horizontal="center" wrapText="1"/>
    </xf>
    <xf numFmtId="0" fontId="20" fillId="14" borderId="0" xfId="0" applyFont="1" applyFill="1" applyAlignment="1">
      <alignment horizontal="center"/>
    </xf>
    <xf numFmtId="0" fontId="20" fillId="14" borderId="0" xfId="0" applyFont="1" applyFill="1"/>
    <xf numFmtId="166" fontId="20" fillId="0" borderId="0" xfId="0" applyNumberFormat="1" applyFont="1" applyBorder="1" applyAlignment="1">
      <alignment horizontal="center"/>
    </xf>
    <xf numFmtId="166" fontId="20" fillId="0" borderId="0" xfId="0" applyNumberFormat="1" applyFont="1" applyBorder="1"/>
    <xf numFmtId="166" fontId="20" fillId="14" borderId="0" xfId="0" applyNumberFormat="1" applyFont="1" applyFill="1" applyBorder="1" applyAlignment="1">
      <alignment horizontal="center"/>
    </xf>
    <xf numFmtId="166" fontId="20" fillId="14" borderId="0" xfId="0" applyNumberFormat="1" applyFont="1" applyFill="1" applyBorder="1"/>
    <xf numFmtId="166" fontId="20" fillId="0" borderId="0" xfId="0" applyNumberFormat="1" applyFont="1" applyFill="1" applyBorder="1" applyAlignment="1">
      <alignment horizontal="center"/>
    </xf>
    <xf numFmtId="166" fontId="20" fillId="0" borderId="0" xfId="0" applyNumberFormat="1" applyFont="1" applyFill="1" applyBorder="1"/>
    <xf numFmtId="166" fontId="24" fillId="14" borderId="0" xfId="0" applyNumberFormat="1" applyFont="1" applyFill="1" applyBorder="1" applyAlignment="1">
      <alignment horizontal="center" wrapText="1"/>
    </xf>
    <xf numFmtId="166" fontId="24" fillId="0" borderId="0" xfId="0" applyNumberFormat="1" applyFont="1" applyBorder="1" applyAlignment="1">
      <alignment horizontal="center"/>
    </xf>
    <xf numFmtId="166" fontId="24" fillId="14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 wrapText="1"/>
    </xf>
    <xf numFmtId="0" fontId="26" fillId="0" borderId="0" xfId="0" applyFont="1"/>
    <xf numFmtId="0" fontId="26" fillId="14" borderId="0" xfId="0" applyFont="1" applyFill="1"/>
    <xf numFmtId="0" fontId="26" fillId="0" borderId="0" xfId="0" applyFont="1" applyFill="1"/>
    <xf numFmtId="0" fontId="26" fillId="0" borderId="0" xfId="0" applyFont="1" applyAlignment="1">
      <alignment horizontal="center"/>
    </xf>
    <xf numFmtId="0" fontId="1" fillId="6" borderId="0" xfId="0" applyFont="1" applyFill="1"/>
    <xf numFmtId="0" fontId="3" fillId="0" borderId="0" xfId="0" applyFont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0" fontId="27" fillId="0" borderId="0" xfId="0" applyFont="1"/>
    <xf numFmtId="0" fontId="9" fillId="0" borderId="0" xfId="0" applyFont="1" applyAlignment="1">
      <alignment horizontal="center"/>
    </xf>
    <xf numFmtId="166" fontId="8" fillId="4" borderId="0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9" fillId="4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9" xfId="0" applyFont="1" applyFill="1" applyBorder="1"/>
    <xf numFmtId="0" fontId="0" fillId="0" borderId="7" xfId="0" applyBorder="1" applyAlignment="1"/>
    <xf numFmtId="0" fontId="15" fillId="0" borderId="0" xfId="0" applyFont="1" applyBorder="1" applyAlignment="1">
      <alignment horizontal="center"/>
    </xf>
    <xf numFmtId="166" fontId="4" fillId="0" borderId="0" xfId="0" applyNumberFormat="1" applyFont="1" applyFill="1"/>
    <xf numFmtId="166" fontId="0" fillId="8" borderId="0" xfId="0" applyNumberFormat="1" applyFill="1"/>
    <xf numFmtId="166" fontId="0" fillId="10" borderId="0" xfId="0" applyNumberFormat="1" applyFill="1"/>
    <xf numFmtId="166" fontId="0" fillId="9" borderId="0" xfId="0" applyNumberFormat="1" applyFill="1"/>
    <xf numFmtId="166" fontId="0" fillId="2" borderId="0" xfId="0" applyNumberFormat="1" applyFill="1"/>
    <xf numFmtId="166" fontId="0" fillId="11" borderId="0" xfId="0" applyNumberFormat="1" applyFill="1"/>
    <xf numFmtId="0" fontId="4" fillId="16" borderId="0" xfId="0" applyFont="1" applyFill="1"/>
    <xf numFmtId="0" fontId="0" fillId="16" borderId="0" xfId="0" applyFill="1"/>
    <xf numFmtId="166" fontId="0" fillId="16" borderId="0" xfId="0" applyNumberFormat="1" applyFill="1"/>
    <xf numFmtId="0" fontId="9" fillId="0" borderId="8" xfId="0" applyFont="1" applyBorder="1"/>
    <xf numFmtId="0" fontId="9" fillId="4" borderId="8" xfId="0" applyFont="1" applyFill="1" applyBorder="1" applyAlignment="1">
      <alignment horizontal="center"/>
    </xf>
    <xf numFmtId="166" fontId="9" fillId="4" borderId="8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28" fillId="0" borderId="0" xfId="0" applyFont="1"/>
    <xf numFmtId="0" fontId="28" fillId="0" borderId="0" xfId="0" applyFont="1" applyAlignment="1">
      <alignment horizontal="right"/>
    </xf>
    <xf numFmtId="16" fontId="17" fillId="0" borderId="0" xfId="0" applyNumberFormat="1" applyFont="1"/>
    <xf numFmtId="0" fontId="0" fillId="14" borderId="0" xfId="0" applyFont="1" applyFill="1"/>
    <xf numFmtId="0" fontId="0" fillId="14" borderId="0" xfId="0" applyFill="1" applyAlignment="1">
      <alignment horizontal="center"/>
    </xf>
    <xf numFmtId="0" fontId="0" fillId="14" borderId="1" xfId="0" applyFill="1" applyBorder="1" applyAlignment="1">
      <alignment horizontal="center"/>
    </xf>
    <xf numFmtId="0" fontId="14" fillId="14" borderId="0" xfId="0" applyFont="1" applyFill="1"/>
    <xf numFmtId="0" fontId="4" fillId="14" borderId="1" xfId="0" applyFont="1" applyFill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0" fillId="14" borderId="0" xfId="0" applyNumberFormat="1" applyFill="1"/>
    <xf numFmtId="0" fontId="9" fillId="0" borderId="0" xfId="0" applyFont="1" applyFill="1" applyBorder="1"/>
    <xf numFmtId="164" fontId="28" fillId="0" borderId="0" xfId="2" applyFont="1"/>
    <xf numFmtId="0" fontId="27" fillId="0" borderId="0" xfId="0" applyFont="1" applyAlignment="1">
      <alignment horizontal="left"/>
    </xf>
    <xf numFmtId="0" fontId="3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5" xfId="0" applyFont="1" applyBorder="1" applyAlignment="1">
      <alignment horizontal="left"/>
    </xf>
  </cellXfs>
  <cellStyles count="4">
    <cellStyle name="Comma 2" xfId="1"/>
    <cellStyle name="Currency" xfId="2" builtinId="4"/>
    <cellStyle name="Normal" xfId="0" builtinId="0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javascript:void(0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9"/>
  <sheetViews>
    <sheetView topLeftCell="A34" zoomScale="90" zoomScaleNormal="90" workbookViewId="0">
      <selection activeCell="J27" sqref="J27"/>
    </sheetView>
  </sheetViews>
  <sheetFormatPr defaultRowHeight="12.75" x14ac:dyDescent="0.2"/>
  <cols>
    <col min="1" max="1" width="5.42578125" customWidth="1"/>
    <col min="2" max="2" width="4.85546875" customWidth="1"/>
    <col min="3" max="3" width="49.140625" customWidth="1"/>
    <col min="4" max="4" width="8.28515625" customWidth="1"/>
    <col min="6" max="6" width="8.7109375" customWidth="1"/>
    <col min="7" max="7" width="5.7109375" hidden="1" customWidth="1"/>
    <col min="9" max="9" width="10" customWidth="1"/>
    <col min="10" max="10" width="23.28515625" customWidth="1"/>
    <col min="11" max="11" width="25.140625" customWidth="1"/>
    <col min="12" max="12" width="10.42578125" customWidth="1"/>
    <col min="13" max="14" width="11.85546875" customWidth="1"/>
    <col min="16" max="16" width="10.140625" customWidth="1"/>
  </cols>
  <sheetData>
    <row r="1" spans="1:17" ht="23.25" x14ac:dyDescent="0.35">
      <c r="B1" s="3" t="s">
        <v>64</v>
      </c>
      <c r="E1" s="26" t="s">
        <v>7</v>
      </c>
      <c r="F1" s="3"/>
      <c r="G1">
        <f>H1</f>
        <v>10</v>
      </c>
      <c r="H1" s="12">
        <v>10</v>
      </c>
      <c r="O1" s="232" t="s">
        <v>486</v>
      </c>
      <c r="P1" s="232"/>
      <c r="Q1" s="232" t="s">
        <v>486</v>
      </c>
    </row>
    <row r="2" spans="1:17" hidden="1" x14ac:dyDescent="0.2">
      <c r="G2">
        <f>G1</f>
        <v>10</v>
      </c>
    </row>
    <row r="3" spans="1:17" x14ac:dyDescent="0.2">
      <c r="G3">
        <f>G2</f>
        <v>10</v>
      </c>
      <c r="Q3" s="234">
        <v>42115</v>
      </c>
    </row>
    <row r="4" spans="1:17" ht="52.5" x14ac:dyDescent="0.3">
      <c r="A4" s="11" t="s">
        <v>8</v>
      </c>
      <c r="B4" s="4"/>
      <c r="C4" s="4" t="s">
        <v>9</v>
      </c>
      <c r="D4" s="4" t="s">
        <v>49</v>
      </c>
      <c r="E4" s="11" t="s">
        <v>372</v>
      </c>
      <c r="F4" s="9" t="s">
        <v>10</v>
      </c>
      <c r="G4">
        <f t="shared" ref="G4:G56" si="0">G3</f>
        <v>10</v>
      </c>
      <c r="H4" s="8" t="s">
        <v>11</v>
      </c>
      <c r="I4" s="9" t="s">
        <v>12</v>
      </c>
      <c r="J4" s="4" t="s">
        <v>13</v>
      </c>
      <c r="K4" s="25"/>
      <c r="L4" s="164" t="s">
        <v>266</v>
      </c>
      <c r="M4" s="164" t="s">
        <v>267</v>
      </c>
      <c r="N4" s="164" t="s">
        <v>451</v>
      </c>
      <c r="O4" s="11" t="s">
        <v>479</v>
      </c>
      <c r="P4" s="11" t="s">
        <v>449</v>
      </c>
      <c r="Q4" s="231" t="s">
        <v>484</v>
      </c>
    </row>
    <row r="5" spans="1:17" ht="15" x14ac:dyDescent="0.25">
      <c r="A5" s="34" t="s">
        <v>111</v>
      </c>
      <c r="B5" s="39" t="s">
        <v>63</v>
      </c>
      <c r="C5" s="35"/>
      <c r="D5" s="34">
        <v>1</v>
      </c>
      <c r="E5" s="36">
        <v>0</v>
      </c>
      <c r="F5" s="36">
        <v>0</v>
      </c>
      <c r="G5" s="37">
        <f>G4-F5</f>
        <v>10</v>
      </c>
      <c r="H5" s="38"/>
      <c r="I5" s="35"/>
      <c r="J5" s="21"/>
      <c r="K5" s="21"/>
      <c r="L5" s="21"/>
      <c r="M5" s="21"/>
      <c r="N5" s="21"/>
      <c r="O5" s="21"/>
      <c r="P5" s="21"/>
    </row>
    <row r="6" spans="1:17" ht="15" x14ac:dyDescent="0.25">
      <c r="A6" s="10"/>
      <c r="B6" s="4"/>
      <c r="C6" s="13" t="s">
        <v>154</v>
      </c>
      <c r="D6" s="5">
        <v>1</v>
      </c>
      <c r="E6" s="17">
        <v>0</v>
      </c>
      <c r="F6" s="17">
        <v>6</v>
      </c>
      <c r="G6" s="2">
        <f>G5</f>
        <v>10</v>
      </c>
      <c r="H6" s="17"/>
      <c r="I6" s="6">
        <f t="shared" ref="I6:I13" si="1">(G6*D6)-F6-H6-E6</f>
        <v>4</v>
      </c>
      <c r="J6" s="207" t="s">
        <v>469</v>
      </c>
      <c r="K6" s="14" t="s">
        <v>157</v>
      </c>
      <c r="L6">
        <f>12/19</f>
        <v>0.63157894736842102</v>
      </c>
      <c r="M6" s="20">
        <f>D6/L6</f>
        <v>1.5833333333333335</v>
      </c>
      <c r="N6" s="20">
        <f>I6/L6</f>
        <v>6.3333333333333339</v>
      </c>
      <c r="O6" s="219">
        <f>Steel!T6</f>
        <v>163.32</v>
      </c>
      <c r="P6" s="53">
        <f>O6*M6</f>
        <v>258.59000000000003</v>
      </c>
      <c r="Q6">
        <f>F6/L6*O6</f>
        <v>1551.54</v>
      </c>
    </row>
    <row r="7" spans="1:17" ht="15" x14ac:dyDescent="0.25">
      <c r="A7">
        <v>1</v>
      </c>
      <c r="C7" s="14" t="s">
        <v>152</v>
      </c>
      <c r="D7" s="5">
        <v>1</v>
      </c>
      <c r="E7" s="17">
        <v>0</v>
      </c>
      <c r="F7" s="17">
        <v>3</v>
      </c>
      <c r="G7" s="2">
        <f>G5</f>
        <v>10</v>
      </c>
      <c r="H7" s="17"/>
      <c r="I7" s="6">
        <f t="shared" si="1"/>
        <v>7</v>
      </c>
      <c r="J7" s="207" t="s">
        <v>469</v>
      </c>
      <c r="K7" s="14" t="s">
        <v>158</v>
      </c>
      <c r="L7">
        <f>8/17</f>
        <v>0.47058823529411764</v>
      </c>
      <c r="M7" s="20">
        <f>D7/L7</f>
        <v>2.125</v>
      </c>
      <c r="N7" s="20">
        <f>I7/L7</f>
        <v>14.875</v>
      </c>
      <c r="O7" s="53">
        <f>Steel!T7</f>
        <v>87.05</v>
      </c>
      <c r="P7" s="53">
        <f t="shared" ref="P7:P12" si="2">O7*M7</f>
        <v>184.98124999999999</v>
      </c>
      <c r="Q7">
        <f>F7/L7*O7</f>
        <v>554.94375000000002</v>
      </c>
    </row>
    <row r="8" spans="1:17" ht="15" x14ac:dyDescent="0.25">
      <c r="A8">
        <v>2</v>
      </c>
      <c r="C8" s="14" t="s">
        <v>153</v>
      </c>
      <c r="D8" s="5">
        <v>1</v>
      </c>
      <c r="E8" s="17">
        <v>0</v>
      </c>
      <c r="F8" s="17">
        <v>3</v>
      </c>
      <c r="G8" s="2">
        <f>G7</f>
        <v>10</v>
      </c>
      <c r="H8" s="17"/>
      <c r="I8" s="6">
        <f t="shared" si="1"/>
        <v>7</v>
      </c>
      <c r="J8" s="207" t="s">
        <v>469</v>
      </c>
      <c r="K8" s="14" t="s">
        <v>158</v>
      </c>
      <c r="L8">
        <f>8/16</f>
        <v>0.5</v>
      </c>
      <c r="M8" s="20">
        <f>D8/L8</f>
        <v>2</v>
      </c>
      <c r="N8" s="20">
        <f>I8/L8</f>
        <v>14</v>
      </c>
      <c r="O8" s="53">
        <f>Steel!T7</f>
        <v>87.05</v>
      </c>
      <c r="P8" s="53">
        <f t="shared" si="2"/>
        <v>174.1</v>
      </c>
      <c r="Q8">
        <f>F8/L8*O8</f>
        <v>522.29999999999995</v>
      </c>
    </row>
    <row r="9" spans="1:17" ht="15" x14ac:dyDescent="0.25">
      <c r="A9">
        <v>3</v>
      </c>
      <c r="C9" s="14" t="s">
        <v>177</v>
      </c>
      <c r="D9" s="5">
        <v>22</v>
      </c>
      <c r="E9" s="17">
        <v>0</v>
      </c>
      <c r="F9" s="17">
        <v>22</v>
      </c>
      <c r="G9" s="2">
        <f>G7</f>
        <v>10</v>
      </c>
      <c r="H9" s="17"/>
      <c r="I9" s="6">
        <f t="shared" si="1"/>
        <v>198</v>
      </c>
      <c r="J9" s="207" t="s">
        <v>469</v>
      </c>
      <c r="K9" s="14" t="s">
        <v>178</v>
      </c>
      <c r="L9">
        <f>4</f>
        <v>4</v>
      </c>
      <c r="M9" s="20">
        <f>D9/L9</f>
        <v>5.5</v>
      </c>
      <c r="N9" s="20">
        <f>I9/L9</f>
        <v>49.5</v>
      </c>
      <c r="O9" s="53">
        <f>Steel!T8</f>
        <v>39.700000000000003</v>
      </c>
      <c r="P9" s="53">
        <f t="shared" si="2"/>
        <v>218.35000000000002</v>
      </c>
      <c r="Q9">
        <f>F9/L9*O9</f>
        <v>218.35000000000002</v>
      </c>
    </row>
    <row r="10" spans="1:17" ht="15" x14ac:dyDescent="0.25">
      <c r="A10">
        <v>4</v>
      </c>
      <c r="C10" s="14" t="s">
        <v>130</v>
      </c>
      <c r="D10" s="5">
        <v>22</v>
      </c>
      <c r="E10" s="17">
        <v>0</v>
      </c>
      <c r="F10" s="17">
        <f>6*61</f>
        <v>366</v>
      </c>
      <c r="G10" s="2">
        <f>G9</f>
        <v>10</v>
      </c>
      <c r="H10" s="17"/>
      <c r="I10" s="6">
        <f t="shared" si="1"/>
        <v>-146</v>
      </c>
      <c r="J10" s="207" t="s">
        <v>469</v>
      </c>
      <c r="K10" s="14" t="s">
        <v>155</v>
      </c>
      <c r="L10">
        <v>3</v>
      </c>
      <c r="M10" s="20">
        <f>D10/L10</f>
        <v>7.333333333333333</v>
      </c>
      <c r="N10" s="20">
        <f>I10/L10</f>
        <v>-48.666666666666664</v>
      </c>
      <c r="O10" s="53">
        <f>Steel!T16</f>
        <v>31.62</v>
      </c>
      <c r="P10" s="53">
        <f t="shared" si="2"/>
        <v>231.88</v>
      </c>
      <c r="Q10">
        <f>F10/L10*O10</f>
        <v>3857.6400000000003</v>
      </c>
    </row>
    <row r="11" spans="1:17" ht="15" x14ac:dyDescent="0.25">
      <c r="A11">
        <v>5</v>
      </c>
      <c r="C11" s="14" t="s">
        <v>131</v>
      </c>
      <c r="D11" s="5">
        <v>4</v>
      </c>
      <c r="E11" s="134"/>
      <c r="F11" s="134"/>
      <c r="G11" s="134">
        <f>G9</f>
        <v>10</v>
      </c>
      <c r="H11" s="134"/>
      <c r="I11" s="6">
        <f t="shared" si="1"/>
        <v>40</v>
      </c>
      <c r="J11" s="45" t="s">
        <v>171</v>
      </c>
      <c r="K11" s="50"/>
      <c r="L11" s="50"/>
      <c r="M11" s="50"/>
      <c r="N11" s="50"/>
      <c r="O11" s="220">
        <v>1</v>
      </c>
      <c r="P11" s="227">
        <f t="shared" ref="P11:P28" si="3">O11*D11</f>
        <v>4</v>
      </c>
      <c r="Q11" s="49"/>
    </row>
    <row r="12" spans="1:17" ht="15" x14ac:dyDescent="0.25">
      <c r="A12">
        <v>6</v>
      </c>
      <c r="C12" s="14" t="s">
        <v>129</v>
      </c>
      <c r="D12" s="5">
        <v>2</v>
      </c>
      <c r="E12" s="54">
        <v>0</v>
      </c>
      <c r="F12" s="17">
        <v>50</v>
      </c>
      <c r="G12" s="2">
        <f>G11</f>
        <v>10</v>
      </c>
      <c r="H12" s="17"/>
      <c r="I12" s="6">
        <f t="shared" si="1"/>
        <v>-30</v>
      </c>
      <c r="J12" s="207" t="s">
        <v>469</v>
      </c>
      <c r="K12" s="14" t="s">
        <v>156</v>
      </c>
      <c r="L12">
        <f>6000/150</f>
        <v>40</v>
      </c>
      <c r="M12" s="20">
        <f>D12/L12</f>
        <v>0.05</v>
      </c>
      <c r="N12" s="20">
        <f>I12/L12</f>
        <v>-0.75</v>
      </c>
      <c r="O12" s="53">
        <f>Steel!T20</f>
        <v>31.83</v>
      </c>
      <c r="P12" s="53">
        <f t="shared" si="2"/>
        <v>1.5914999999999999</v>
      </c>
      <c r="Q12">
        <f>F12/L12*O12</f>
        <v>39.787499999999994</v>
      </c>
    </row>
    <row r="13" spans="1:17" ht="15" x14ac:dyDescent="0.25">
      <c r="A13">
        <v>7</v>
      </c>
      <c r="C13" s="14" t="s">
        <v>255</v>
      </c>
      <c r="D13" s="5">
        <v>1</v>
      </c>
      <c r="E13" s="17">
        <v>0</v>
      </c>
      <c r="F13" s="17">
        <v>3</v>
      </c>
      <c r="G13" s="2">
        <f>G11</f>
        <v>10</v>
      </c>
      <c r="H13" s="17"/>
      <c r="I13" s="6">
        <f t="shared" si="1"/>
        <v>7</v>
      </c>
      <c r="J13" t="s">
        <v>48</v>
      </c>
      <c r="K13" s="225" t="s">
        <v>176</v>
      </c>
      <c r="L13" s="226"/>
      <c r="M13" s="226"/>
      <c r="N13" s="226"/>
      <c r="O13" s="227"/>
      <c r="P13" s="227">
        <f t="shared" si="3"/>
        <v>0</v>
      </c>
      <c r="Q13" s="49"/>
    </row>
    <row r="14" spans="1:17" ht="15" x14ac:dyDescent="0.25">
      <c r="C14" s="138" t="s">
        <v>485</v>
      </c>
      <c r="D14" s="5">
        <v>1</v>
      </c>
      <c r="E14" s="17">
        <v>0</v>
      </c>
      <c r="F14" s="17">
        <v>15</v>
      </c>
      <c r="G14" s="2">
        <f>G12</f>
        <v>10</v>
      </c>
      <c r="H14" s="17"/>
      <c r="I14" s="6">
        <f t="shared" ref="I14" si="4">(G14*D14)-F14-H14-E14</f>
        <v>-5</v>
      </c>
      <c r="J14" t="s">
        <v>48</v>
      </c>
      <c r="K14" s="225"/>
      <c r="L14" s="226"/>
      <c r="M14" s="226"/>
      <c r="N14" s="226"/>
      <c r="O14" s="227">
        <v>13</v>
      </c>
      <c r="P14" s="227">
        <f>O14*D14</f>
        <v>13</v>
      </c>
      <c r="Q14">
        <f>P14*F14</f>
        <v>195</v>
      </c>
    </row>
    <row r="15" spans="1:17" ht="15" x14ac:dyDescent="0.25">
      <c r="A15">
        <v>8</v>
      </c>
      <c r="C15" s="14" t="s">
        <v>355</v>
      </c>
      <c r="D15" s="5">
        <v>12</v>
      </c>
      <c r="E15" s="134"/>
      <c r="F15" s="134"/>
      <c r="G15" s="134">
        <f>G13</f>
        <v>10</v>
      </c>
      <c r="H15" s="134"/>
      <c r="I15" s="6">
        <f t="shared" ref="I15:I55" si="5">(G15*D15)-F15-H15-E15</f>
        <v>120</v>
      </c>
      <c r="J15" s="46" t="s">
        <v>171</v>
      </c>
      <c r="K15" s="162" t="s">
        <v>447</v>
      </c>
      <c r="L15" s="24">
        <f>6/0.05</f>
        <v>120</v>
      </c>
      <c r="M15" s="52">
        <f>D15/L15</f>
        <v>0.1</v>
      </c>
      <c r="N15" s="20">
        <f>I15/L15</f>
        <v>1</v>
      </c>
      <c r="O15" s="221"/>
      <c r="P15" s="221">
        <f t="shared" si="3"/>
        <v>0</v>
      </c>
      <c r="Q15" s="49"/>
    </row>
    <row r="16" spans="1:17" ht="15" x14ac:dyDescent="0.25">
      <c r="A16">
        <v>9</v>
      </c>
      <c r="C16" s="14" t="s">
        <v>65</v>
      </c>
      <c r="D16" s="5">
        <v>3</v>
      </c>
      <c r="E16" s="134"/>
      <c r="F16" s="134"/>
      <c r="G16" s="134">
        <f>G13</f>
        <v>10</v>
      </c>
      <c r="H16" s="134"/>
      <c r="I16" s="6">
        <f t="shared" si="5"/>
        <v>30</v>
      </c>
      <c r="J16" s="46" t="s">
        <v>171</v>
      </c>
      <c r="K16" s="50"/>
      <c r="L16" s="50"/>
      <c r="M16" s="50"/>
      <c r="N16" s="50"/>
      <c r="O16" s="220">
        <v>1</v>
      </c>
      <c r="P16" s="220">
        <f t="shared" si="3"/>
        <v>3</v>
      </c>
      <c r="Q16" s="49"/>
    </row>
    <row r="17" spans="1:18" ht="15" x14ac:dyDescent="0.25">
      <c r="A17">
        <v>10</v>
      </c>
      <c r="C17" s="14" t="s">
        <v>108</v>
      </c>
      <c r="D17" s="5">
        <v>1</v>
      </c>
      <c r="E17" s="134"/>
      <c r="F17" s="134"/>
      <c r="G17" s="134">
        <f>G16</f>
        <v>10</v>
      </c>
      <c r="H17" s="134"/>
      <c r="I17" s="6">
        <f t="shared" si="5"/>
        <v>10</v>
      </c>
      <c r="J17" s="46" t="s">
        <v>171</v>
      </c>
      <c r="K17" s="24" t="s">
        <v>172</v>
      </c>
      <c r="L17" s="24"/>
      <c r="M17" s="24"/>
      <c r="N17" s="24"/>
      <c r="O17" s="48">
        <v>2</v>
      </c>
      <c r="P17" s="48">
        <f t="shared" si="3"/>
        <v>2</v>
      </c>
      <c r="Q17" s="49"/>
    </row>
    <row r="18" spans="1:18" ht="15" x14ac:dyDescent="0.25">
      <c r="A18">
        <v>11</v>
      </c>
      <c r="C18" s="14" t="s">
        <v>216</v>
      </c>
      <c r="D18" s="5">
        <v>2</v>
      </c>
      <c r="E18" s="54">
        <v>0</v>
      </c>
      <c r="F18" s="17">
        <f>'Laser Cutting'!E9</f>
        <v>29</v>
      </c>
      <c r="G18" s="2">
        <f>G16</f>
        <v>10</v>
      </c>
      <c r="H18" s="17"/>
      <c r="I18" s="6">
        <f t="shared" si="5"/>
        <v>-9</v>
      </c>
      <c r="J18" t="s">
        <v>101</v>
      </c>
      <c r="K18" s="46" t="s">
        <v>172</v>
      </c>
      <c r="L18" s="24"/>
      <c r="M18" s="24"/>
      <c r="N18" s="24"/>
      <c r="O18" s="48">
        <v>3.21</v>
      </c>
      <c r="P18" s="48">
        <f t="shared" si="3"/>
        <v>6.42</v>
      </c>
      <c r="Q18" s="49"/>
    </row>
    <row r="19" spans="1:18" ht="15" x14ac:dyDescent="0.25">
      <c r="A19">
        <v>12</v>
      </c>
      <c r="C19" s="14" t="s">
        <v>107</v>
      </c>
      <c r="D19" s="5">
        <v>2</v>
      </c>
      <c r="E19" s="17">
        <v>0</v>
      </c>
      <c r="F19" s="17">
        <v>0</v>
      </c>
      <c r="G19" s="2">
        <f>G18</f>
        <v>10</v>
      </c>
      <c r="H19" s="17"/>
      <c r="I19" s="6">
        <f t="shared" si="5"/>
        <v>20</v>
      </c>
      <c r="J19" s="207" t="s">
        <v>469</v>
      </c>
      <c r="K19" s="14" t="s">
        <v>159</v>
      </c>
      <c r="L19">
        <f>8/4</f>
        <v>2</v>
      </c>
      <c r="M19" s="20">
        <f>D19/L19</f>
        <v>1</v>
      </c>
      <c r="N19" s="20">
        <f>I19/L19</f>
        <v>10</v>
      </c>
      <c r="O19" s="53">
        <f>Steel!T17</f>
        <v>36.299999999999997</v>
      </c>
      <c r="P19" s="53">
        <f t="shared" ref="P19" si="6">O19*M19</f>
        <v>36.299999999999997</v>
      </c>
      <c r="Q19">
        <f>F19/L19*O19</f>
        <v>0</v>
      </c>
    </row>
    <row r="20" spans="1:18" ht="15" x14ac:dyDescent="0.25">
      <c r="A20">
        <v>13</v>
      </c>
      <c r="C20" s="14" t="s">
        <v>132</v>
      </c>
      <c r="D20" s="5">
        <v>1</v>
      </c>
      <c r="E20" s="17">
        <v>0</v>
      </c>
      <c r="F20" s="17">
        <v>100</v>
      </c>
      <c r="G20" s="2">
        <f>G18</f>
        <v>10</v>
      </c>
      <c r="H20" s="17"/>
      <c r="I20" s="6">
        <f t="shared" si="5"/>
        <v>-90</v>
      </c>
      <c r="J20" s="46" t="s">
        <v>171</v>
      </c>
      <c r="K20" s="51"/>
      <c r="L20" s="51"/>
      <c r="M20" s="51"/>
      <c r="N20" s="51"/>
      <c r="O20" s="222">
        <v>1</v>
      </c>
      <c r="P20" s="222">
        <f t="shared" si="3"/>
        <v>1</v>
      </c>
      <c r="Q20" s="49"/>
    </row>
    <row r="21" spans="1:18" ht="15" x14ac:dyDescent="0.25">
      <c r="A21" s="34" t="s">
        <v>112</v>
      </c>
      <c r="B21" s="35" t="s">
        <v>66</v>
      </c>
      <c r="C21" s="35"/>
      <c r="D21" s="34">
        <v>2</v>
      </c>
      <c r="E21" s="36">
        <v>0</v>
      </c>
      <c r="F21" s="36">
        <v>8</v>
      </c>
      <c r="G21" s="37">
        <f>G5-F21/D21</f>
        <v>6</v>
      </c>
      <c r="H21" s="36"/>
      <c r="I21" s="170">
        <f t="shared" si="5"/>
        <v>4</v>
      </c>
      <c r="J21" s="22"/>
      <c r="K21" s="21"/>
      <c r="L21" s="21"/>
      <c r="M21" s="21"/>
      <c r="N21" s="21"/>
      <c r="O21" s="223">
        <f>SUM(P22:P26)</f>
        <v>50.519386006740113</v>
      </c>
      <c r="P21" s="223">
        <f t="shared" si="3"/>
        <v>101.03877201348023</v>
      </c>
      <c r="Q21">
        <f>F21*O21</f>
        <v>404.15508805392091</v>
      </c>
    </row>
    <row r="22" spans="1:18" ht="15" x14ac:dyDescent="0.25">
      <c r="A22">
        <v>14</v>
      </c>
      <c r="C22" s="14" t="s">
        <v>160</v>
      </c>
      <c r="D22" s="5">
        <v>2</v>
      </c>
      <c r="E22" s="17">
        <v>0</v>
      </c>
      <c r="F22" s="17">
        <v>29</v>
      </c>
      <c r="G22" s="2">
        <f t="shared" si="0"/>
        <v>6</v>
      </c>
      <c r="H22" s="17"/>
      <c r="I22" s="6">
        <f t="shared" si="5"/>
        <v>-17</v>
      </c>
      <c r="J22" s="207" t="s">
        <v>469</v>
      </c>
      <c r="K22" s="14" t="s">
        <v>163</v>
      </c>
      <c r="L22">
        <v>5</v>
      </c>
      <c r="M22" s="20">
        <f>D22/L22</f>
        <v>0.4</v>
      </c>
      <c r="N22" s="20">
        <f>I22/L22</f>
        <v>-3.4</v>
      </c>
      <c r="O22" s="53">
        <f>Steel!V9</f>
        <v>72.420964539007102</v>
      </c>
      <c r="P22" s="53">
        <f t="shared" ref="P22:P26" si="7">O22*M22</f>
        <v>28.968385815602844</v>
      </c>
      <c r="Q22">
        <f>F22/L22*O22</f>
        <v>420.04159432624118</v>
      </c>
    </row>
    <row r="23" spans="1:18" ht="15" x14ac:dyDescent="0.25">
      <c r="A23">
        <v>15</v>
      </c>
      <c r="C23" s="14" t="s">
        <v>161</v>
      </c>
      <c r="D23" s="5">
        <v>2</v>
      </c>
      <c r="E23" s="17">
        <v>0</v>
      </c>
      <c r="F23" s="17">
        <v>29</v>
      </c>
      <c r="G23" s="2">
        <f t="shared" si="0"/>
        <v>6</v>
      </c>
      <c r="H23" s="17"/>
      <c r="I23" s="6">
        <f t="shared" si="5"/>
        <v>-17</v>
      </c>
      <c r="J23" s="207" t="s">
        <v>469</v>
      </c>
      <c r="K23" s="14" t="s">
        <v>164</v>
      </c>
      <c r="L23">
        <v>15</v>
      </c>
      <c r="M23" s="20">
        <f>D23/L23</f>
        <v>0.13333333333333333</v>
      </c>
      <c r="N23" s="20">
        <f>I23/L23</f>
        <v>-1.1333333333333333</v>
      </c>
      <c r="O23" s="53">
        <f>Steel!V9</f>
        <v>72.420964539007102</v>
      </c>
      <c r="P23" s="53">
        <f t="shared" si="7"/>
        <v>9.6561286052009461</v>
      </c>
      <c r="Q23">
        <f t="shared" ref="Q23:Q26" si="8">F23/L23*O23</f>
        <v>140.01386477541374</v>
      </c>
    </row>
    <row r="24" spans="1:18" ht="15" x14ac:dyDescent="0.25">
      <c r="A24">
        <v>16</v>
      </c>
      <c r="C24" s="14" t="s">
        <v>162</v>
      </c>
      <c r="D24" s="5">
        <v>2</v>
      </c>
      <c r="E24" s="17">
        <v>0</v>
      </c>
      <c r="F24" s="17">
        <v>29</v>
      </c>
      <c r="G24" s="2">
        <f t="shared" si="0"/>
        <v>6</v>
      </c>
      <c r="H24" s="17"/>
      <c r="I24" s="6">
        <f t="shared" si="5"/>
        <v>-17</v>
      </c>
      <c r="J24" s="207" t="s">
        <v>469</v>
      </c>
      <c r="K24" s="14" t="s">
        <v>165</v>
      </c>
      <c r="L24">
        <v>94</v>
      </c>
      <c r="M24" s="20">
        <f>D24/L24</f>
        <v>2.1276595744680851E-2</v>
      </c>
      <c r="N24" s="20">
        <f>I24/L24</f>
        <v>-0.18085106382978725</v>
      </c>
      <c r="O24" s="53">
        <f>Steel!V9</f>
        <v>72.420964539007102</v>
      </c>
      <c r="P24" s="53">
        <f t="shared" si="7"/>
        <v>1.5408715859363213</v>
      </c>
      <c r="Q24">
        <f t="shared" si="8"/>
        <v>22.342637996076657</v>
      </c>
    </row>
    <row r="25" spans="1:18" s="24" customFormat="1" ht="15" x14ac:dyDescent="0.25">
      <c r="A25" s="24">
        <v>17</v>
      </c>
      <c r="C25" s="46" t="s">
        <v>100</v>
      </c>
      <c r="D25" s="157">
        <v>2</v>
      </c>
      <c r="E25" s="54">
        <v>6</v>
      </c>
      <c r="F25" s="54">
        <f>'Laser Cutting'!E7</f>
        <v>8</v>
      </c>
      <c r="G25" s="163">
        <f t="shared" si="0"/>
        <v>6</v>
      </c>
      <c r="H25" s="54"/>
      <c r="I25" s="6">
        <f t="shared" si="5"/>
        <v>-2</v>
      </c>
      <c r="J25" s="24" t="s">
        <v>101</v>
      </c>
      <c r="K25" s="46" t="s">
        <v>172</v>
      </c>
      <c r="O25" s="53">
        <v>4.74</v>
      </c>
      <c r="P25" s="53">
        <f t="shared" si="3"/>
        <v>9.48</v>
      </c>
      <c r="Q25" s="49"/>
    </row>
    <row r="26" spans="1:18" ht="15" x14ac:dyDescent="0.25">
      <c r="A26">
        <v>18</v>
      </c>
      <c r="C26" s="14" t="s">
        <v>258</v>
      </c>
      <c r="D26" s="5">
        <v>2</v>
      </c>
      <c r="E26" s="17">
        <v>0</v>
      </c>
      <c r="F26" s="17"/>
      <c r="G26" s="2">
        <f t="shared" si="0"/>
        <v>6</v>
      </c>
      <c r="H26" s="17"/>
      <c r="I26" s="6">
        <f t="shared" si="5"/>
        <v>12</v>
      </c>
      <c r="J26" s="46" t="s">
        <v>171</v>
      </c>
      <c r="K26" s="24" t="s">
        <v>259</v>
      </c>
      <c r="L26" s="24">
        <f>6/0.2</f>
        <v>30</v>
      </c>
      <c r="M26" s="52">
        <f>D26/L26</f>
        <v>6.6666666666666666E-2</v>
      </c>
      <c r="N26" s="20">
        <f>I26/L26</f>
        <v>0.4</v>
      </c>
      <c r="O26" s="53">
        <f>Steel!T19</f>
        <v>13.11</v>
      </c>
      <c r="P26" s="53">
        <f t="shared" si="7"/>
        <v>0.874</v>
      </c>
      <c r="Q26">
        <f t="shared" si="8"/>
        <v>0</v>
      </c>
      <c r="R26" t="s">
        <v>480</v>
      </c>
    </row>
    <row r="27" spans="1:18" s="24" customFormat="1" ht="15" x14ac:dyDescent="0.25">
      <c r="A27" s="24">
        <v>19</v>
      </c>
      <c r="C27" s="46" t="s">
        <v>72</v>
      </c>
      <c r="D27" s="157">
        <v>2</v>
      </c>
      <c r="E27" s="54">
        <v>9</v>
      </c>
      <c r="F27" s="54">
        <v>6</v>
      </c>
      <c r="G27" s="163">
        <f t="shared" si="0"/>
        <v>6</v>
      </c>
      <c r="H27" s="54"/>
      <c r="I27" s="6">
        <f t="shared" si="5"/>
        <v>-3</v>
      </c>
      <c r="J27" s="46" t="s">
        <v>48</v>
      </c>
      <c r="O27" s="53">
        <v>110</v>
      </c>
      <c r="P27" s="53">
        <f t="shared" si="3"/>
        <v>220</v>
      </c>
      <c r="Q27" s="24">
        <f>O27*F27</f>
        <v>660</v>
      </c>
    </row>
    <row r="28" spans="1:18" ht="15" x14ac:dyDescent="0.25">
      <c r="A28">
        <v>20</v>
      </c>
      <c r="C28" s="14" t="s">
        <v>73</v>
      </c>
      <c r="D28" s="5">
        <v>1</v>
      </c>
      <c r="E28" s="17">
        <v>0</v>
      </c>
      <c r="F28" s="17">
        <v>0</v>
      </c>
      <c r="G28" s="2">
        <f t="shared" si="0"/>
        <v>6</v>
      </c>
      <c r="H28" s="17"/>
      <c r="I28" s="6">
        <f t="shared" si="5"/>
        <v>6</v>
      </c>
      <c r="J28" s="138" t="s">
        <v>470</v>
      </c>
      <c r="K28" s="46" t="s">
        <v>173</v>
      </c>
      <c r="L28" s="24"/>
      <c r="M28" s="24"/>
      <c r="N28" s="24"/>
      <c r="O28" s="48">
        <v>500</v>
      </c>
      <c r="P28" s="48">
        <f t="shared" si="3"/>
        <v>500</v>
      </c>
      <c r="Q28">
        <f>O28*F28</f>
        <v>0</v>
      </c>
    </row>
    <row r="29" spans="1:18" ht="15" x14ac:dyDescent="0.25">
      <c r="A29" s="34" t="s">
        <v>113</v>
      </c>
      <c r="B29" s="35" t="s">
        <v>69</v>
      </c>
      <c r="C29" s="35"/>
      <c r="D29" s="34">
        <v>2</v>
      </c>
      <c r="E29" s="36">
        <v>0</v>
      </c>
      <c r="F29" s="36">
        <v>10</v>
      </c>
      <c r="G29" s="37">
        <f>G5-F29/D29</f>
        <v>5</v>
      </c>
      <c r="H29" s="36"/>
      <c r="I29" s="170">
        <f t="shared" si="5"/>
        <v>0</v>
      </c>
      <c r="J29" s="21"/>
      <c r="K29" s="21"/>
      <c r="L29" s="21"/>
      <c r="M29" s="21"/>
      <c r="N29" s="21"/>
      <c r="O29" s="223">
        <f>SUM(P30:P33)</f>
        <v>80.158181818181816</v>
      </c>
      <c r="P29" s="223"/>
      <c r="Q29">
        <f>O29*F29</f>
        <v>801.58181818181811</v>
      </c>
    </row>
    <row r="30" spans="1:18" ht="15" x14ac:dyDescent="0.25">
      <c r="A30">
        <v>21</v>
      </c>
      <c r="C30" s="14" t="s">
        <v>195</v>
      </c>
      <c r="D30" s="5">
        <v>4</v>
      </c>
      <c r="E30" s="17">
        <v>0</v>
      </c>
      <c r="F30" s="17">
        <f>'Laser Cutting'!E8</f>
        <v>27</v>
      </c>
      <c r="G30" s="2">
        <f t="shared" si="0"/>
        <v>5</v>
      </c>
      <c r="H30" s="17"/>
      <c r="I30" s="6">
        <f t="shared" si="5"/>
        <v>-7</v>
      </c>
      <c r="J30" t="s">
        <v>101</v>
      </c>
      <c r="K30" s="46" t="s">
        <v>172</v>
      </c>
      <c r="L30" s="24"/>
      <c r="M30" s="24"/>
      <c r="N30" s="24"/>
      <c r="O30" s="48">
        <v>14.4</v>
      </c>
      <c r="P30" s="48">
        <f t="shared" ref="P30:P36" si="9">O30*D30</f>
        <v>57.6</v>
      </c>
      <c r="Q30" s="49"/>
    </row>
    <row r="31" spans="1:18" ht="15" x14ac:dyDescent="0.25">
      <c r="A31">
        <v>22</v>
      </c>
      <c r="C31" s="14" t="s">
        <v>67</v>
      </c>
      <c r="D31" s="5">
        <v>0</v>
      </c>
      <c r="E31" s="17">
        <v>0</v>
      </c>
      <c r="F31" s="17"/>
      <c r="G31" s="2">
        <f t="shared" si="0"/>
        <v>5</v>
      </c>
      <c r="H31" s="17"/>
      <c r="I31" s="6">
        <f t="shared" si="5"/>
        <v>0</v>
      </c>
      <c r="J31" s="14" t="s">
        <v>101</v>
      </c>
      <c r="K31" s="46" t="s">
        <v>172</v>
      </c>
      <c r="L31" s="24"/>
      <c r="M31" s="24"/>
      <c r="N31" s="24"/>
      <c r="O31" s="48">
        <v>14.4</v>
      </c>
      <c r="P31" s="48">
        <f t="shared" si="9"/>
        <v>0</v>
      </c>
      <c r="Q31" s="49"/>
    </row>
    <row r="32" spans="1:18" ht="15" x14ac:dyDescent="0.25">
      <c r="A32">
        <v>23</v>
      </c>
      <c r="C32" s="14" t="s">
        <v>179</v>
      </c>
      <c r="D32" s="5">
        <v>4</v>
      </c>
      <c r="E32" s="54">
        <v>0</v>
      </c>
      <c r="F32" s="17">
        <v>0</v>
      </c>
      <c r="G32" s="2">
        <f>G31</f>
        <v>5</v>
      </c>
      <c r="H32" s="17"/>
      <c r="I32" s="6">
        <f t="shared" si="5"/>
        <v>20</v>
      </c>
      <c r="J32" s="45" t="s">
        <v>137</v>
      </c>
      <c r="K32" s="46" t="s">
        <v>185</v>
      </c>
      <c r="L32" s="24">
        <v>33</v>
      </c>
      <c r="M32" s="52">
        <f>D32/L32</f>
        <v>0.12121212121212122</v>
      </c>
      <c r="N32" s="20">
        <f>I32/L32</f>
        <v>0.60606060606060608</v>
      </c>
      <c r="O32" s="53">
        <f>Steel!T21</f>
        <v>38.19</v>
      </c>
      <c r="P32" s="53">
        <f t="shared" ref="P32" si="10">O32*M32</f>
        <v>4.6290909090909089</v>
      </c>
      <c r="Q32">
        <f>F32/L32*O32</f>
        <v>0</v>
      </c>
    </row>
    <row r="33" spans="1:17" ht="15" x14ac:dyDescent="0.25">
      <c r="A33">
        <v>24</v>
      </c>
      <c r="C33" s="14" t="s">
        <v>241</v>
      </c>
      <c r="D33" s="5">
        <v>2</v>
      </c>
      <c r="E33" s="54">
        <v>0</v>
      </c>
      <c r="F33" s="17">
        <v>0</v>
      </c>
      <c r="G33" s="2">
        <f t="shared" si="0"/>
        <v>5</v>
      </c>
      <c r="H33" s="17"/>
      <c r="I33" s="6">
        <f t="shared" si="5"/>
        <v>10</v>
      </c>
      <c r="J33" s="45" t="s">
        <v>137</v>
      </c>
      <c r="K33" s="46" t="s">
        <v>242</v>
      </c>
      <c r="L33" s="24">
        <v>22</v>
      </c>
      <c r="M33" s="52">
        <f>D33/L33</f>
        <v>9.0909090909090912E-2</v>
      </c>
      <c r="N33" s="20">
        <f>I33/L33</f>
        <v>0.45454545454545453</v>
      </c>
      <c r="O33" s="53">
        <f>Steel!T10</f>
        <v>197.22</v>
      </c>
      <c r="P33" s="53">
        <f>O33*M33</f>
        <v>17.92909090909091</v>
      </c>
      <c r="Q33">
        <f>F33/L33*O33</f>
        <v>0</v>
      </c>
    </row>
    <row r="34" spans="1:17" ht="15" x14ac:dyDescent="0.25">
      <c r="A34">
        <v>25</v>
      </c>
      <c r="B34" s="4"/>
      <c r="C34" s="14" t="s">
        <v>68</v>
      </c>
      <c r="D34" s="5">
        <v>4</v>
      </c>
      <c r="E34" s="54">
        <v>0</v>
      </c>
      <c r="F34" s="17">
        <v>80</v>
      </c>
      <c r="G34" s="2">
        <f t="shared" si="0"/>
        <v>5</v>
      </c>
      <c r="H34" s="17"/>
      <c r="I34" s="6">
        <f t="shared" si="5"/>
        <v>-60</v>
      </c>
      <c r="J34" t="s">
        <v>102</v>
      </c>
      <c r="K34" s="46" t="s">
        <v>174</v>
      </c>
      <c r="L34" s="24"/>
      <c r="M34" s="24"/>
      <c r="N34" s="24"/>
      <c r="O34" s="48">
        <v>16</v>
      </c>
      <c r="P34" s="48">
        <f t="shared" si="9"/>
        <v>64</v>
      </c>
      <c r="Q34">
        <f>O34*F34</f>
        <v>1280</v>
      </c>
    </row>
    <row r="35" spans="1:17" ht="15" x14ac:dyDescent="0.25">
      <c r="A35">
        <v>26</v>
      </c>
      <c r="C35" s="14" t="s">
        <v>70</v>
      </c>
      <c r="D35" s="5">
        <v>4</v>
      </c>
      <c r="E35" s="54">
        <v>0</v>
      </c>
      <c r="F35" s="17">
        <v>50</v>
      </c>
      <c r="G35" s="2">
        <f t="shared" si="0"/>
        <v>5</v>
      </c>
      <c r="H35" s="17"/>
      <c r="I35" s="6">
        <f t="shared" si="5"/>
        <v>-30</v>
      </c>
      <c r="J35" t="s">
        <v>102</v>
      </c>
      <c r="K35" s="46" t="s">
        <v>174</v>
      </c>
      <c r="L35" s="24"/>
      <c r="M35" s="24"/>
      <c r="N35" s="24"/>
      <c r="O35" s="48">
        <v>23.5</v>
      </c>
      <c r="P35" s="48">
        <f t="shared" si="9"/>
        <v>94</v>
      </c>
      <c r="Q35">
        <f t="shared" ref="Q35:Q36" si="11">O35*F35</f>
        <v>1175</v>
      </c>
    </row>
    <row r="36" spans="1:17" ht="15" x14ac:dyDescent="0.25">
      <c r="A36">
        <v>27</v>
      </c>
      <c r="C36" s="14" t="s">
        <v>71</v>
      </c>
      <c r="D36" s="5">
        <v>4</v>
      </c>
      <c r="E36" s="54">
        <v>0</v>
      </c>
      <c r="F36" s="17">
        <v>2</v>
      </c>
      <c r="G36" s="2">
        <f t="shared" si="0"/>
        <v>5</v>
      </c>
      <c r="H36" s="17"/>
      <c r="I36" s="6">
        <f t="shared" si="5"/>
        <v>18</v>
      </c>
      <c r="J36" t="s">
        <v>103</v>
      </c>
      <c r="K36" s="46" t="s">
        <v>175</v>
      </c>
      <c r="L36" s="24"/>
      <c r="M36" s="24"/>
      <c r="N36" s="24"/>
      <c r="O36" s="48">
        <v>164</v>
      </c>
      <c r="P36" s="48">
        <f t="shared" si="9"/>
        <v>656</v>
      </c>
      <c r="Q36">
        <f t="shared" si="11"/>
        <v>328</v>
      </c>
    </row>
    <row r="37" spans="1:17" ht="15" x14ac:dyDescent="0.25">
      <c r="A37" s="34"/>
      <c r="B37" s="35" t="s">
        <v>261</v>
      </c>
      <c r="C37" s="35"/>
      <c r="D37" s="171">
        <v>1</v>
      </c>
      <c r="E37" s="172">
        <v>0</v>
      </c>
      <c r="F37" s="172">
        <v>23</v>
      </c>
      <c r="G37" s="37">
        <f>G5-F37</f>
        <v>-13</v>
      </c>
      <c r="H37" s="172"/>
      <c r="I37" s="170">
        <f t="shared" si="5"/>
        <v>-36</v>
      </c>
      <c r="J37" s="21"/>
      <c r="K37" s="21"/>
      <c r="L37" s="21"/>
      <c r="M37" s="21"/>
      <c r="N37" s="21"/>
      <c r="O37" s="223">
        <f>SUM(P38:P41)</f>
        <v>32.608361290322584</v>
      </c>
      <c r="P37" s="223"/>
      <c r="Q37">
        <f>O37*F37</f>
        <v>749.99230967741948</v>
      </c>
    </row>
    <row r="38" spans="1:17" ht="15" x14ac:dyDescent="0.25">
      <c r="A38">
        <v>32</v>
      </c>
      <c r="C38" t="s">
        <v>264</v>
      </c>
      <c r="D38" s="5">
        <v>1</v>
      </c>
      <c r="E38" s="54">
        <v>0</v>
      </c>
      <c r="F38" s="17"/>
      <c r="G38" s="2">
        <f>G37</f>
        <v>-13</v>
      </c>
      <c r="H38" s="17"/>
      <c r="I38" s="6">
        <f t="shared" si="5"/>
        <v>-13</v>
      </c>
      <c r="J38" s="45" t="s">
        <v>137</v>
      </c>
      <c r="K38" s="46" t="s">
        <v>166</v>
      </c>
      <c r="L38" s="53">
        <f>8/1.36</f>
        <v>5.8823529411764701</v>
      </c>
      <c r="M38" s="52">
        <f>D38/L38</f>
        <v>0.17</v>
      </c>
      <c r="N38" s="20">
        <f>I38/L38</f>
        <v>-2.21</v>
      </c>
      <c r="O38" s="53">
        <f>Steel!T11</f>
        <v>160.99</v>
      </c>
      <c r="P38" s="53">
        <f>O38*M38</f>
        <v>27.368300000000005</v>
      </c>
      <c r="Q38">
        <f>F38/L38*O38</f>
        <v>0</v>
      </c>
    </row>
    <row r="39" spans="1:17" ht="15" x14ac:dyDescent="0.25">
      <c r="A39">
        <v>33</v>
      </c>
      <c r="C39" t="s">
        <v>109</v>
      </c>
      <c r="D39" s="5">
        <v>1</v>
      </c>
      <c r="E39" s="54">
        <v>0</v>
      </c>
      <c r="F39" s="17"/>
      <c r="G39" s="2">
        <f>G38</f>
        <v>-13</v>
      </c>
      <c r="H39" s="17"/>
      <c r="I39" s="6">
        <f t="shared" si="5"/>
        <v>-13</v>
      </c>
      <c r="J39" s="14" t="s">
        <v>171</v>
      </c>
      <c r="K39" s="50"/>
      <c r="L39" s="50"/>
      <c r="M39" s="50"/>
      <c r="N39" s="50"/>
      <c r="O39" s="224">
        <v>1</v>
      </c>
      <c r="P39" s="224">
        <f>O39*D39</f>
        <v>1</v>
      </c>
      <c r="Q39" s="49"/>
    </row>
    <row r="40" spans="1:17" ht="15" x14ac:dyDescent="0.25">
      <c r="A40">
        <v>35</v>
      </c>
      <c r="C40" t="s">
        <v>106</v>
      </c>
      <c r="D40" s="5">
        <v>1</v>
      </c>
      <c r="E40" s="54">
        <v>0</v>
      </c>
      <c r="F40" s="17"/>
      <c r="G40" s="2">
        <f>G39</f>
        <v>-13</v>
      </c>
      <c r="H40" s="17"/>
      <c r="I40" s="6">
        <f t="shared" si="5"/>
        <v>-13</v>
      </c>
      <c r="J40" s="45" t="s">
        <v>137</v>
      </c>
      <c r="K40" s="46" t="s">
        <v>169</v>
      </c>
      <c r="L40" s="24">
        <v>31</v>
      </c>
      <c r="M40" s="52">
        <f>D40/L40</f>
        <v>3.2258064516129031E-2</v>
      </c>
      <c r="N40" s="20">
        <f>I40/L40</f>
        <v>-0.41935483870967744</v>
      </c>
      <c r="O40" s="53">
        <f>Steel!T23</f>
        <v>101.84</v>
      </c>
      <c r="P40" s="53">
        <f t="shared" ref="P40:P43" si="12">O40*M40</f>
        <v>3.2851612903225806</v>
      </c>
      <c r="Q40">
        <f>F40/L40*O40</f>
        <v>0</v>
      </c>
    </row>
    <row r="41" spans="1:17" ht="15" x14ac:dyDescent="0.25">
      <c r="C41" s="138" t="s">
        <v>453</v>
      </c>
      <c r="D41" s="5">
        <v>1</v>
      </c>
      <c r="E41" s="54">
        <v>0</v>
      </c>
      <c r="F41" s="17"/>
      <c r="G41" s="2">
        <f>G40</f>
        <v>-13</v>
      </c>
      <c r="H41" s="17"/>
      <c r="I41" s="6">
        <f t="shared" si="5"/>
        <v>-13</v>
      </c>
      <c r="J41" s="45" t="s">
        <v>137</v>
      </c>
      <c r="K41" s="162" t="s">
        <v>481</v>
      </c>
      <c r="L41" s="24">
        <f>6000/180</f>
        <v>33.333333333333336</v>
      </c>
      <c r="M41" s="52">
        <f>D41/L41</f>
        <v>0.03</v>
      </c>
      <c r="N41" s="20">
        <f>I41/L41</f>
        <v>-0.38999999999999996</v>
      </c>
      <c r="O41" s="53">
        <f>Steel!T20</f>
        <v>31.83</v>
      </c>
      <c r="P41" s="53">
        <f t="shared" si="12"/>
        <v>0.95489999999999986</v>
      </c>
      <c r="Q41">
        <f>F41/L41*O41</f>
        <v>0</v>
      </c>
    </row>
    <row r="42" spans="1:17" ht="15" x14ac:dyDescent="0.25">
      <c r="A42" s="34" t="s">
        <v>114</v>
      </c>
      <c r="B42" s="35" t="s">
        <v>260</v>
      </c>
      <c r="C42" s="35"/>
      <c r="D42" s="34">
        <v>1</v>
      </c>
      <c r="E42" s="36">
        <v>0</v>
      </c>
      <c r="F42" s="36">
        <v>0</v>
      </c>
      <c r="G42" s="38">
        <f>G5-F42</f>
        <v>10</v>
      </c>
      <c r="H42" s="36"/>
      <c r="I42" s="170">
        <f>(G42*D42)-F42-H42-E42</f>
        <v>10</v>
      </c>
      <c r="J42" s="21"/>
      <c r="K42" s="21"/>
      <c r="L42" s="21"/>
      <c r="M42" s="21"/>
      <c r="N42" s="21"/>
      <c r="O42" s="223">
        <f>SUM(P43:P47)</f>
        <v>88.269500000000008</v>
      </c>
      <c r="P42" s="223"/>
      <c r="Q42">
        <f>O42*F42</f>
        <v>0</v>
      </c>
    </row>
    <row r="43" spans="1:17" ht="15" x14ac:dyDescent="0.25">
      <c r="A43">
        <v>28</v>
      </c>
      <c r="C43" s="167" t="s">
        <v>439</v>
      </c>
      <c r="D43" s="5">
        <v>2</v>
      </c>
      <c r="E43" s="54">
        <v>0</v>
      </c>
      <c r="F43" s="17"/>
      <c r="G43" s="2">
        <f t="shared" si="0"/>
        <v>10</v>
      </c>
      <c r="H43" s="17"/>
      <c r="I43" s="6">
        <f t="shared" si="5"/>
        <v>20</v>
      </c>
      <c r="J43" s="45" t="s">
        <v>137</v>
      </c>
      <c r="K43" s="162" t="s">
        <v>443</v>
      </c>
      <c r="L43" s="24">
        <v>4</v>
      </c>
      <c r="M43" s="52">
        <f>D43/L43</f>
        <v>0.5</v>
      </c>
      <c r="N43" s="20">
        <f>I43/L43</f>
        <v>5</v>
      </c>
      <c r="O43" s="53">
        <f>Steel!T13</f>
        <v>131.12</v>
      </c>
      <c r="P43" s="53">
        <f t="shared" si="12"/>
        <v>65.56</v>
      </c>
      <c r="Q43">
        <f>F43/L43*O43</f>
        <v>0</v>
      </c>
    </row>
    <row r="44" spans="1:17" ht="15" x14ac:dyDescent="0.25">
      <c r="A44">
        <v>29</v>
      </c>
      <c r="C44" t="s">
        <v>104</v>
      </c>
      <c r="D44" s="5">
        <v>1</v>
      </c>
      <c r="E44" s="54">
        <v>0</v>
      </c>
      <c r="F44" s="17"/>
      <c r="G44" s="2">
        <f t="shared" si="0"/>
        <v>10</v>
      </c>
      <c r="H44" s="17"/>
      <c r="I44" s="6">
        <f t="shared" si="5"/>
        <v>10</v>
      </c>
      <c r="J44" t="s">
        <v>101</v>
      </c>
      <c r="K44" s="46" t="s">
        <v>172</v>
      </c>
      <c r="L44" s="24"/>
      <c r="M44" s="24"/>
      <c r="N44" s="24"/>
      <c r="O44" s="48">
        <v>3.93</v>
      </c>
      <c r="P44" s="48">
        <f>O44*D44</f>
        <v>3.93</v>
      </c>
      <c r="Q44" s="49"/>
    </row>
    <row r="45" spans="1:17" ht="15" x14ac:dyDescent="0.25">
      <c r="A45">
        <v>30</v>
      </c>
      <c r="C45" t="s">
        <v>105</v>
      </c>
      <c r="D45" s="5">
        <v>2</v>
      </c>
      <c r="E45" s="54">
        <v>0</v>
      </c>
      <c r="F45" s="17"/>
      <c r="G45" s="2">
        <f t="shared" si="0"/>
        <v>10</v>
      </c>
      <c r="H45" s="17"/>
      <c r="I45" s="6">
        <f t="shared" si="5"/>
        <v>20</v>
      </c>
      <c r="J45" t="s">
        <v>101</v>
      </c>
      <c r="K45" s="46" t="s">
        <v>172</v>
      </c>
      <c r="L45" s="24"/>
      <c r="M45" s="24"/>
      <c r="N45" s="24"/>
      <c r="O45" s="48">
        <v>2.17</v>
      </c>
      <c r="P45" s="48">
        <f>O45*D45</f>
        <v>4.34</v>
      </c>
      <c r="Q45" s="49"/>
    </row>
    <row r="46" spans="1:17" ht="15" x14ac:dyDescent="0.25">
      <c r="C46" t="s">
        <v>265</v>
      </c>
      <c r="D46" s="5">
        <v>1</v>
      </c>
      <c r="E46" s="54">
        <v>0</v>
      </c>
      <c r="F46" s="17"/>
      <c r="G46" s="2">
        <f t="shared" si="0"/>
        <v>10</v>
      </c>
      <c r="H46" s="17"/>
      <c r="I46" s="6">
        <f t="shared" si="5"/>
        <v>10</v>
      </c>
      <c r="J46" t="s">
        <v>137</v>
      </c>
      <c r="K46" s="46" t="s">
        <v>268</v>
      </c>
      <c r="L46" s="24">
        <v>8</v>
      </c>
      <c r="M46" s="52">
        <f>D46/L46</f>
        <v>0.125</v>
      </c>
      <c r="N46" s="20">
        <f>I46/L46</f>
        <v>1.25</v>
      </c>
      <c r="O46" s="48">
        <f>Steel!T12</f>
        <v>112.02</v>
      </c>
      <c r="P46" s="53">
        <f t="shared" ref="P46:P49" si="13">O46*M46</f>
        <v>14.0025</v>
      </c>
      <c r="Q46">
        <f>F46/L46*O46</f>
        <v>0</v>
      </c>
    </row>
    <row r="47" spans="1:17" ht="15" x14ac:dyDescent="0.25">
      <c r="A47">
        <v>31</v>
      </c>
      <c r="B47" s="4"/>
      <c r="C47" s="138" t="s">
        <v>454</v>
      </c>
      <c r="D47" s="5">
        <v>1</v>
      </c>
      <c r="E47" s="54">
        <v>0</v>
      </c>
      <c r="F47" s="17"/>
      <c r="G47" s="2">
        <f t="shared" si="0"/>
        <v>10</v>
      </c>
      <c r="H47" s="17"/>
      <c r="I47" s="6">
        <f t="shared" si="5"/>
        <v>10</v>
      </c>
      <c r="J47" s="14" t="s">
        <v>171</v>
      </c>
      <c r="K47" s="24" t="s">
        <v>259</v>
      </c>
      <c r="L47" s="24">
        <f>6/0.2</f>
        <v>30</v>
      </c>
      <c r="M47" s="52">
        <f>D47/L47</f>
        <v>3.3333333333333333E-2</v>
      </c>
      <c r="N47" s="20">
        <f>I47/L47</f>
        <v>0.33333333333333331</v>
      </c>
      <c r="O47" s="53">
        <f>Steel!T19</f>
        <v>13.11</v>
      </c>
      <c r="P47" s="53">
        <f t="shared" si="13"/>
        <v>0.437</v>
      </c>
      <c r="Q47">
        <f>F47/L47*O47</f>
        <v>0</v>
      </c>
    </row>
    <row r="48" spans="1:17" s="24" customFormat="1" ht="15" x14ac:dyDescent="0.25">
      <c r="A48" s="24">
        <v>34</v>
      </c>
      <c r="C48" s="46" t="s">
        <v>369</v>
      </c>
      <c r="D48" s="157">
        <v>1</v>
      </c>
      <c r="E48" s="54">
        <v>0</v>
      </c>
      <c r="F48" s="54">
        <v>1</v>
      </c>
      <c r="G48" s="2">
        <f t="shared" si="0"/>
        <v>10</v>
      </c>
      <c r="H48" s="54"/>
      <c r="I48" s="6">
        <f t="shared" si="5"/>
        <v>9</v>
      </c>
      <c r="J48" s="46" t="s">
        <v>370</v>
      </c>
      <c r="K48" s="46" t="s">
        <v>371</v>
      </c>
      <c r="O48" s="53">
        <v>60</v>
      </c>
      <c r="P48" s="53">
        <f t="shared" ref="P48:P55" si="14">O48*D48</f>
        <v>60</v>
      </c>
      <c r="Q48">
        <f>F48*O48</f>
        <v>60</v>
      </c>
    </row>
    <row r="49" spans="1:17" ht="15" x14ac:dyDescent="0.25">
      <c r="A49">
        <v>36</v>
      </c>
      <c r="C49" s="14" t="s">
        <v>167</v>
      </c>
      <c r="D49" s="5">
        <v>2</v>
      </c>
      <c r="E49" s="54">
        <v>0</v>
      </c>
      <c r="F49" s="17"/>
      <c r="G49" s="2">
        <f t="shared" si="0"/>
        <v>10</v>
      </c>
      <c r="H49" s="17"/>
      <c r="I49" s="6">
        <f t="shared" si="5"/>
        <v>20</v>
      </c>
      <c r="J49" s="45" t="s">
        <v>137</v>
      </c>
      <c r="K49" s="46" t="s">
        <v>170</v>
      </c>
      <c r="L49" s="24">
        <v>3</v>
      </c>
      <c r="M49" s="52">
        <f>D49/L49</f>
        <v>0.66666666666666663</v>
      </c>
      <c r="N49" s="20">
        <f>I49/L49</f>
        <v>6.666666666666667</v>
      </c>
      <c r="O49" s="53">
        <f>Steel!T16</f>
        <v>31.62</v>
      </c>
      <c r="P49" s="53">
        <f t="shared" si="13"/>
        <v>21.08</v>
      </c>
      <c r="Q49">
        <f>F49/L49*O49</f>
        <v>0</v>
      </c>
    </row>
    <row r="50" spans="1:17" ht="15" x14ac:dyDescent="0.25">
      <c r="A50">
        <v>37</v>
      </c>
      <c r="C50" s="138" t="s">
        <v>452</v>
      </c>
      <c r="D50" s="5">
        <v>2</v>
      </c>
      <c r="E50" s="54">
        <v>0</v>
      </c>
      <c r="F50" s="17"/>
      <c r="G50" s="2">
        <f t="shared" si="0"/>
        <v>10</v>
      </c>
      <c r="H50" s="17"/>
      <c r="I50" s="6">
        <f t="shared" si="5"/>
        <v>20</v>
      </c>
      <c r="J50" s="14" t="s">
        <v>171</v>
      </c>
      <c r="K50" s="14" t="s">
        <v>156</v>
      </c>
      <c r="L50" s="24">
        <v>33</v>
      </c>
      <c r="M50" s="52">
        <f>D50/L50</f>
        <v>6.0606060606060608E-2</v>
      </c>
      <c r="N50" s="20">
        <f>I50/L50</f>
        <v>0.60606060606060608</v>
      </c>
      <c r="O50" s="224">
        <v>1</v>
      </c>
      <c r="P50" s="224">
        <f t="shared" si="14"/>
        <v>2</v>
      </c>
      <c r="Q50">
        <f>F50/L50*O50</f>
        <v>0</v>
      </c>
    </row>
    <row r="51" spans="1:17" ht="15" x14ac:dyDescent="0.25">
      <c r="A51">
        <v>38</v>
      </c>
      <c r="C51" s="14" t="s">
        <v>168</v>
      </c>
      <c r="D51" s="5">
        <v>1</v>
      </c>
      <c r="E51" s="134"/>
      <c r="F51" s="134"/>
      <c r="G51" s="134">
        <f t="shared" si="0"/>
        <v>10</v>
      </c>
      <c r="H51" s="134"/>
      <c r="I51" s="6">
        <f t="shared" si="5"/>
        <v>10</v>
      </c>
      <c r="J51" s="14" t="s">
        <v>171</v>
      </c>
      <c r="K51" s="24"/>
      <c r="L51" s="24"/>
      <c r="M51" s="24"/>
      <c r="N51" s="24"/>
      <c r="O51" s="224">
        <v>1</v>
      </c>
      <c r="P51" s="224">
        <f t="shared" si="14"/>
        <v>1</v>
      </c>
      <c r="Q51" s="49"/>
    </row>
    <row r="52" spans="1:17" ht="15" x14ac:dyDescent="0.25">
      <c r="A52">
        <v>39</v>
      </c>
      <c r="C52" s="14" t="s">
        <v>128</v>
      </c>
      <c r="D52" s="5">
        <v>2</v>
      </c>
      <c r="E52" s="134"/>
      <c r="F52" s="134"/>
      <c r="G52" s="134">
        <f t="shared" si="0"/>
        <v>10</v>
      </c>
      <c r="H52" s="134"/>
      <c r="I52" s="6">
        <f t="shared" si="5"/>
        <v>20</v>
      </c>
      <c r="J52" s="138" t="s">
        <v>470</v>
      </c>
      <c r="K52" s="46" t="s">
        <v>172</v>
      </c>
      <c r="L52" s="24"/>
      <c r="M52" s="24"/>
      <c r="N52" s="24"/>
      <c r="O52" s="48">
        <v>1</v>
      </c>
      <c r="P52" s="48">
        <f t="shared" si="14"/>
        <v>2</v>
      </c>
      <c r="Q52" s="49"/>
    </row>
    <row r="53" spans="1:17" ht="15" x14ac:dyDescent="0.25">
      <c r="A53">
        <v>40</v>
      </c>
      <c r="C53" s="14" t="s">
        <v>110</v>
      </c>
      <c r="D53" s="5">
        <v>2</v>
      </c>
      <c r="E53" s="134"/>
      <c r="F53" s="134"/>
      <c r="G53" s="134">
        <f t="shared" si="0"/>
        <v>10</v>
      </c>
      <c r="H53" s="134"/>
      <c r="I53" s="6">
        <f t="shared" si="5"/>
        <v>20</v>
      </c>
      <c r="J53" s="138" t="s">
        <v>470</v>
      </c>
      <c r="K53" s="46" t="s">
        <v>172</v>
      </c>
      <c r="L53" s="24"/>
      <c r="M53" s="24"/>
      <c r="N53" s="24"/>
      <c r="O53" s="48">
        <v>1</v>
      </c>
      <c r="P53" s="48">
        <f t="shared" si="14"/>
        <v>2</v>
      </c>
      <c r="Q53" s="49"/>
    </row>
    <row r="54" spans="1:17" ht="15" x14ac:dyDescent="0.25">
      <c r="A54">
        <v>41</v>
      </c>
      <c r="C54" s="14" t="s">
        <v>217</v>
      </c>
      <c r="D54" s="5">
        <v>2</v>
      </c>
      <c r="E54" s="134"/>
      <c r="F54" s="134"/>
      <c r="G54" s="134">
        <f t="shared" si="0"/>
        <v>10</v>
      </c>
      <c r="H54" s="134"/>
      <c r="I54" s="6">
        <f t="shared" si="5"/>
        <v>20</v>
      </c>
      <c r="J54" s="138" t="s">
        <v>470</v>
      </c>
      <c r="K54" s="46" t="s">
        <v>172</v>
      </c>
      <c r="L54" s="24"/>
      <c r="M54" s="24"/>
      <c r="N54" s="24"/>
      <c r="O54" s="48">
        <v>1</v>
      </c>
      <c r="P54" s="48">
        <f t="shared" si="14"/>
        <v>2</v>
      </c>
      <c r="Q54" s="49"/>
    </row>
    <row r="55" spans="1:17" ht="15" x14ac:dyDescent="0.25">
      <c r="A55">
        <v>42</v>
      </c>
      <c r="C55" s="14" t="s">
        <v>110</v>
      </c>
      <c r="D55" s="5">
        <v>2</v>
      </c>
      <c r="E55" s="134"/>
      <c r="F55" s="134"/>
      <c r="G55" s="134">
        <f t="shared" si="0"/>
        <v>10</v>
      </c>
      <c r="H55" s="134"/>
      <c r="I55" s="6">
        <f t="shared" si="5"/>
        <v>20</v>
      </c>
      <c r="J55" s="138" t="s">
        <v>470</v>
      </c>
      <c r="K55" s="46" t="s">
        <v>172</v>
      </c>
      <c r="L55" s="24"/>
      <c r="M55" s="24"/>
      <c r="N55" s="24"/>
      <c r="O55" s="48">
        <v>1</v>
      </c>
      <c r="P55" s="48">
        <f t="shared" si="14"/>
        <v>2</v>
      </c>
      <c r="Q55" s="49"/>
    </row>
    <row r="56" spans="1:17" ht="15" x14ac:dyDescent="0.25">
      <c r="D56" s="5"/>
      <c r="E56" s="5"/>
      <c r="F56" s="5"/>
      <c r="G56">
        <f t="shared" si="0"/>
        <v>10</v>
      </c>
      <c r="H56" s="5"/>
      <c r="I56" s="6"/>
      <c r="K56" s="24"/>
      <c r="L56" s="24"/>
      <c r="M56" s="24"/>
      <c r="N56" s="24"/>
      <c r="O56" s="47" t="s">
        <v>280</v>
      </c>
      <c r="P56" s="47">
        <f>SUM(P6:P55)</f>
        <v>3113.8869511287253</v>
      </c>
      <c r="Q56" s="47">
        <f>SUM(Q6:Q55)</f>
        <v>12980.68856301089</v>
      </c>
    </row>
    <row r="57" spans="1:17" ht="31.5" x14ac:dyDescent="0.35">
      <c r="B57" s="3" t="s">
        <v>135</v>
      </c>
      <c r="D57" s="41" t="s">
        <v>191</v>
      </c>
      <c r="E57" s="41" t="s">
        <v>192</v>
      </c>
      <c r="F57" s="5"/>
      <c r="G57">
        <f>G4</f>
        <v>10</v>
      </c>
      <c r="H57" s="5" t="s">
        <v>11</v>
      </c>
      <c r="I57" s="44" t="s">
        <v>193</v>
      </c>
      <c r="K57" s="46"/>
      <c r="L57" s="24"/>
      <c r="M57" s="24"/>
      <c r="N57" s="24"/>
    </row>
    <row r="58" spans="1:17" ht="15" x14ac:dyDescent="0.25">
      <c r="B58" s="13" t="s">
        <v>270</v>
      </c>
      <c r="D58" s="41"/>
      <c r="E58" s="41"/>
      <c r="F58" s="5"/>
      <c r="H58" s="5"/>
      <c r="I58" s="44"/>
      <c r="K58" s="46"/>
      <c r="L58" s="24"/>
      <c r="M58" s="24"/>
      <c r="N58" s="24"/>
    </row>
    <row r="59" spans="1:17" ht="15" x14ac:dyDescent="0.25">
      <c r="C59" s="14" t="s">
        <v>157</v>
      </c>
      <c r="D59" s="5">
        <f>M6</f>
        <v>1.5833333333333335</v>
      </c>
      <c r="E59" s="17">
        <v>0</v>
      </c>
      <c r="F59" s="17"/>
      <c r="G59" s="2">
        <f>G57</f>
        <v>10</v>
      </c>
      <c r="H59" s="17"/>
      <c r="I59" s="6">
        <f>N6</f>
        <v>6.3333333333333339</v>
      </c>
      <c r="M59" s="48"/>
      <c r="N59" s="48"/>
    </row>
    <row r="60" spans="1:17" ht="15" x14ac:dyDescent="0.25">
      <c r="B60" s="4"/>
      <c r="C60" s="14" t="s">
        <v>158</v>
      </c>
      <c r="D60" s="5">
        <f>M7+M8</f>
        <v>4.125</v>
      </c>
      <c r="E60" s="17"/>
      <c r="F60" s="17"/>
      <c r="G60" s="2">
        <f>G57</f>
        <v>10</v>
      </c>
      <c r="H60" s="17"/>
      <c r="I60" s="6">
        <f>N7+N8</f>
        <v>28.875</v>
      </c>
      <c r="M60" s="48"/>
      <c r="N60" s="48"/>
    </row>
    <row r="61" spans="1:17" ht="15" x14ac:dyDescent="0.25">
      <c r="C61" s="14" t="s">
        <v>178</v>
      </c>
      <c r="D61" s="5">
        <f>M9</f>
        <v>5.5</v>
      </c>
      <c r="E61" s="17"/>
      <c r="F61" s="17"/>
      <c r="G61" s="2">
        <f>G57</f>
        <v>10</v>
      </c>
      <c r="H61" s="17"/>
      <c r="I61" s="6">
        <f>N9</f>
        <v>49.5</v>
      </c>
      <c r="M61" s="48"/>
      <c r="N61" s="48"/>
    </row>
    <row r="62" spans="1:17" ht="15" x14ac:dyDescent="0.25">
      <c r="C62" s="14" t="s">
        <v>163</v>
      </c>
      <c r="D62" s="5">
        <f>M22+M23+M24</f>
        <v>0.55460992907801421</v>
      </c>
      <c r="E62" s="17"/>
      <c r="F62" s="17"/>
      <c r="G62" s="2">
        <f>G60</f>
        <v>10</v>
      </c>
      <c r="H62" s="17"/>
      <c r="I62" s="6">
        <f>N22+N23+N24</f>
        <v>-4.7141843971631205</v>
      </c>
      <c r="M62" s="48"/>
      <c r="N62" s="48"/>
    </row>
    <row r="63" spans="1:17" ht="15" x14ac:dyDescent="0.25">
      <c r="C63" s="138" t="s">
        <v>442</v>
      </c>
      <c r="D63" s="5">
        <f>M33</f>
        <v>9.0909090909090912E-2</v>
      </c>
      <c r="E63" s="17"/>
      <c r="F63" s="17"/>
      <c r="G63" s="2">
        <f>G59</f>
        <v>10</v>
      </c>
      <c r="H63" s="17"/>
      <c r="I63" s="6">
        <f>(G63*D63)</f>
        <v>0.90909090909090917</v>
      </c>
      <c r="M63" s="48"/>
      <c r="N63" s="48"/>
    </row>
    <row r="64" spans="1:17" ht="15" x14ac:dyDescent="0.25">
      <c r="C64" s="14" t="s">
        <v>166</v>
      </c>
      <c r="D64" s="5">
        <f>M38</f>
        <v>0.17</v>
      </c>
      <c r="E64" s="17"/>
      <c r="F64" s="17"/>
      <c r="G64" s="2">
        <f>G60</f>
        <v>10</v>
      </c>
      <c r="H64" s="17"/>
      <c r="I64" s="6">
        <f>N38</f>
        <v>-2.21</v>
      </c>
      <c r="M64" s="48"/>
      <c r="N64" s="48"/>
    </row>
    <row r="65" spans="2:17" ht="15" x14ac:dyDescent="0.25">
      <c r="C65" s="138" t="s">
        <v>440</v>
      </c>
      <c r="D65" s="5">
        <f>M46</f>
        <v>0.125</v>
      </c>
      <c r="E65" s="17"/>
      <c r="F65" s="17"/>
      <c r="G65" s="2">
        <f>G61</f>
        <v>10</v>
      </c>
      <c r="H65" s="17"/>
      <c r="I65" s="6">
        <f>N46</f>
        <v>1.25</v>
      </c>
      <c r="M65" s="48"/>
      <c r="N65" s="48"/>
    </row>
    <row r="66" spans="2:17" ht="15" x14ac:dyDescent="0.25">
      <c r="C66" s="138" t="s">
        <v>441</v>
      </c>
      <c r="D66" s="5">
        <f>M43</f>
        <v>0.5</v>
      </c>
      <c r="E66" s="17"/>
      <c r="F66" s="17"/>
      <c r="G66" s="2">
        <f>G62</f>
        <v>10</v>
      </c>
      <c r="H66" s="17"/>
      <c r="I66" s="6">
        <f>N43</f>
        <v>5</v>
      </c>
      <c r="M66" s="48"/>
      <c r="N66" s="48"/>
    </row>
    <row r="67" spans="2:17" ht="15" x14ac:dyDescent="0.25">
      <c r="B67" s="13" t="s">
        <v>188</v>
      </c>
      <c r="D67" s="5"/>
      <c r="E67" s="17"/>
      <c r="F67" s="17"/>
      <c r="G67" s="2"/>
      <c r="H67" s="17"/>
      <c r="I67" s="6"/>
      <c r="M67" s="48"/>
      <c r="N67" s="48"/>
    </row>
    <row r="68" spans="2:17" ht="15" x14ac:dyDescent="0.25">
      <c r="C68" s="14" t="s">
        <v>155</v>
      </c>
      <c r="D68" s="5">
        <f>M10+M49</f>
        <v>8</v>
      </c>
      <c r="E68" s="17"/>
      <c r="F68" s="17"/>
      <c r="G68" s="2">
        <f>G57</f>
        <v>10</v>
      </c>
      <c r="H68" s="17"/>
      <c r="I68" s="6">
        <f>N10+N49</f>
        <v>-42</v>
      </c>
      <c r="M68" s="48"/>
      <c r="N68" s="48"/>
    </row>
    <row r="69" spans="2:17" ht="15" x14ac:dyDescent="0.25">
      <c r="C69" s="14" t="s">
        <v>159</v>
      </c>
      <c r="D69" s="5">
        <f>M19</f>
        <v>1</v>
      </c>
      <c r="E69" s="17"/>
      <c r="F69" s="17"/>
      <c r="G69" s="2">
        <f>G57</f>
        <v>10</v>
      </c>
      <c r="H69" s="17"/>
      <c r="I69" s="6">
        <f>N19</f>
        <v>10</v>
      </c>
      <c r="M69" s="48"/>
      <c r="N69" s="48"/>
    </row>
    <row r="70" spans="2:17" ht="15" x14ac:dyDescent="0.25">
      <c r="B70" s="13" t="s">
        <v>187</v>
      </c>
      <c r="D70" s="5"/>
      <c r="E70" s="17"/>
      <c r="F70" s="17"/>
      <c r="G70" s="2"/>
      <c r="H70" s="17"/>
      <c r="I70" s="6"/>
      <c r="M70" s="48"/>
      <c r="N70" s="48"/>
    </row>
    <row r="71" spans="2:17" ht="15" x14ac:dyDescent="0.25">
      <c r="C71" s="14" t="s">
        <v>181</v>
      </c>
      <c r="D71" s="5">
        <f>M26</f>
        <v>6.6666666666666666E-2</v>
      </c>
      <c r="E71" s="17"/>
      <c r="F71" s="17"/>
      <c r="G71" s="2">
        <f>G57</f>
        <v>10</v>
      </c>
      <c r="H71" s="17"/>
      <c r="I71" s="6">
        <f>N26</f>
        <v>0.4</v>
      </c>
      <c r="M71" s="48"/>
      <c r="N71" s="48"/>
    </row>
    <row r="72" spans="2:17" ht="15" x14ac:dyDescent="0.25">
      <c r="C72" s="14" t="s">
        <v>156</v>
      </c>
      <c r="D72" s="5">
        <f>M47+M41</f>
        <v>6.3333333333333325E-2</v>
      </c>
      <c r="E72" s="17"/>
      <c r="F72" s="17"/>
      <c r="G72" s="2">
        <f>G57</f>
        <v>10</v>
      </c>
      <c r="H72" s="17"/>
      <c r="I72" s="6">
        <f>N47+N41</f>
        <v>-5.6666666666666643E-2</v>
      </c>
      <c r="M72" s="48"/>
      <c r="N72" s="48"/>
    </row>
    <row r="73" spans="2:17" ht="15" x14ac:dyDescent="0.25">
      <c r="C73" s="14" t="s">
        <v>185</v>
      </c>
      <c r="D73" s="5">
        <f>M32</f>
        <v>0.12121212121212122</v>
      </c>
      <c r="E73" s="17"/>
      <c r="F73" s="17"/>
      <c r="G73" s="2">
        <f>G72</f>
        <v>10</v>
      </c>
      <c r="H73" s="17"/>
      <c r="I73" s="6">
        <f>N32</f>
        <v>0.60606060606060608</v>
      </c>
      <c r="M73" s="48"/>
      <c r="N73" s="48"/>
    </row>
    <row r="74" spans="2:17" ht="15" x14ac:dyDescent="0.25">
      <c r="C74" s="14" t="s">
        <v>169</v>
      </c>
      <c r="D74" s="5">
        <f>M40</f>
        <v>3.2258064516129031E-2</v>
      </c>
      <c r="E74" s="17"/>
      <c r="F74" s="17"/>
      <c r="G74" s="2">
        <f>G73</f>
        <v>10</v>
      </c>
      <c r="H74" s="17"/>
      <c r="I74" s="6">
        <f>N40</f>
        <v>-0.41935483870967744</v>
      </c>
      <c r="M74" s="48"/>
      <c r="N74" s="48"/>
    </row>
    <row r="76" spans="2:17" x14ac:dyDescent="0.2">
      <c r="G76" s="2">
        <f>G65</f>
        <v>10</v>
      </c>
    </row>
    <row r="77" spans="2:17" x14ac:dyDescent="0.2">
      <c r="C77" t="s">
        <v>180</v>
      </c>
      <c r="D77">
        <v>10</v>
      </c>
      <c r="G77" s="2">
        <f>G76</f>
        <v>10</v>
      </c>
      <c r="M77" s="48"/>
      <c r="N77" s="48"/>
    </row>
    <row r="78" spans="2:17" x14ac:dyDescent="0.2">
      <c r="C78" t="s">
        <v>190</v>
      </c>
      <c r="G78" s="2">
        <f>G77</f>
        <v>10</v>
      </c>
      <c r="M78" s="48"/>
      <c r="N78" s="48"/>
    </row>
    <row r="79" spans="2:17" x14ac:dyDescent="0.2">
      <c r="C79" t="s">
        <v>250</v>
      </c>
      <c r="G79" s="2">
        <f>G78</f>
        <v>10</v>
      </c>
      <c r="H79" t="s">
        <v>189</v>
      </c>
      <c r="P79" s="47"/>
      <c r="Q79" s="13"/>
    </row>
  </sheetData>
  <printOptions horizontalCentered="1" verticalCentered="1"/>
  <pageMargins left="0.39370078740157483" right="0.11811023622047245" top="0.15748031496062992" bottom="0.19685039370078741" header="0.31496062992125984" footer="0.31496062992125984"/>
  <pageSetup scale="9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2"/>
  <sheetViews>
    <sheetView workbookViewId="0">
      <selection activeCell="J12" sqref="J12"/>
    </sheetView>
  </sheetViews>
  <sheetFormatPr defaultRowHeight="12.75" x14ac:dyDescent="0.2"/>
  <cols>
    <col min="10" max="10" width="19.140625" customWidth="1"/>
    <col min="11" max="11" width="19.28515625" customWidth="1"/>
  </cols>
  <sheetData>
    <row r="3" spans="1:18" ht="26.25" x14ac:dyDescent="0.4">
      <c r="A3" s="84"/>
      <c r="B3" s="255" t="s">
        <v>290</v>
      </c>
      <c r="C3" s="256"/>
      <c r="D3" s="257"/>
      <c r="E3" s="100"/>
      <c r="F3" s="88" t="s">
        <v>291</v>
      </c>
      <c r="G3" s="88" t="s">
        <v>292</v>
      </c>
      <c r="H3" s="88" t="s">
        <v>293</v>
      </c>
      <c r="I3" s="88" t="s">
        <v>294</v>
      </c>
      <c r="J3" s="88" t="s">
        <v>295</v>
      </c>
      <c r="K3" s="88" t="s">
        <v>296</v>
      </c>
      <c r="L3" s="88" t="s">
        <v>297</v>
      </c>
      <c r="M3" s="97" t="s">
        <v>296</v>
      </c>
      <c r="N3" s="88" t="s">
        <v>298</v>
      </c>
      <c r="O3" s="88"/>
      <c r="P3" s="90"/>
      <c r="Q3" s="91" t="s">
        <v>299</v>
      </c>
      <c r="R3" s="91" t="s">
        <v>280</v>
      </c>
    </row>
    <row r="4" spans="1:18" ht="26.25" x14ac:dyDescent="0.4">
      <c r="A4" s="84"/>
      <c r="B4" s="103" t="s">
        <v>300</v>
      </c>
      <c r="C4" s="104"/>
      <c r="D4" s="100"/>
      <c r="E4" s="100"/>
      <c r="F4" s="88"/>
      <c r="G4" s="88"/>
      <c r="H4" s="88"/>
      <c r="I4" s="88"/>
      <c r="J4" s="88"/>
      <c r="K4" s="88"/>
      <c r="L4" s="88"/>
      <c r="M4" s="97"/>
      <c r="N4" s="88"/>
      <c r="O4" s="88"/>
      <c r="P4" s="90"/>
      <c r="Q4" s="91"/>
      <c r="R4" s="91"/>
    </row>
    <row r="5" spans="1:18" ht="23.25" x14ac:dyDescent="0.35">
      <c r="A5" s="105">
        <v>1</v>
      </c>
      <c r="B5" s="252" t="s">
        <v>301</v>
      </c>
      <c r="C5" s="253"/>
      <c r="D5" s="254"/>
      <c r="E5" s="101" t="s">
        <v>295</v>
      </c>
      <c r="F5" s="25" t="s">
        <v>302</v>
      </c>
      <c r="G5" s="25">
        <v>45</v>
      </c>
      <c r="H5" s="95">
        <v>450</v>
      </c>
      <c r="I5" s="96">
        <v>8</v>
      </c>
      <c r="J5" s="96">
        <v>49</v>
      </c>
      <c r="K5" s="99">
        <v>392</v>
      </c>
      <c r="L5" s="97">
        <v>25</v>
      </c>
      <c r="M5" s="96">
        <v>200</v>
      </c>
      <c r="N5" s="86"/>
      <c r="O5" s="86"/>
      <c r="P5" s="92"/>
      <c r="Q5" s="93">
        <v>6</v>
      </c>
      <c r="R5" s="93">
        <v>270</v>
      </c>
    </row>
    <row r="6" spans="1:18" ht="23.25" x14ac:dyDescent="0.35">
      <c r="A6" s="105">
        <v>2</v>
      </c>
      <c r="B6" s="252" t="s">
        <v>303</v>
      </c>
      <c r="C6" s="253"/>
      <c r="D6" s="254"/>
      <c r="E6" s="101" t="s">
        <v>304</v>
      </c>
      <c r="F6" s="25" t="s">
        <v>302</v>
      </c>
      <c r="G6" s="25">
        <v>4</v>
      </c>
      <c r="H6" s="95">
        <v>40</v>
      </c>
      <c r="I6" s="96">
        <v>8</v>
      </c>
      <c r="J6" s="96">
        <v>20</v>
      </c>
      <c r="K6" s="96">
        <v>160</v>
      </c>
      <c r="L6" s="96">
        <v>9</v>
      </c>
      <c r="M6" s="99">
        <v>72</v>
      </c>
      <c r="N6" s="86"/>
      <c r="O6" s="86"/>
      <c r="P6" s="92"/>
      <c r="Q6" s="93">
        <v>15</v>
      </c>
      <c r="R6" s="93">
        <v>60</v>
      </c>
    </row>
    <row r="7" spans="1:18" ht="23.25" x14ac:dyDescent="0.35">
      <c r="A7" s="105">
        <v>3</v>
      </c>
      <c r="B7" s="252" t="s">
        <v>305</v>
      </c>
      <c r="C7" s="253"/>
      <c r="D7" s="254"/>
      <c r="E7" s="101" t="s">
        <v>304</v>
      </c>
      <c r="F7" s="25" t="s">
        <v>302</v>
      </c>
      <c r="G7" s="25">
        <v>0.7</v>
      </c>
      <c r="H7" s="95">
        <v>7</v>
      </c>
      <c r="I7" s="96">
        <v>8</v>
      </c>
      <c r="J7" s="96">
        <v>12</v>
      </c>
      <c r="K7" s="96">
        <v>96</v>
      </c>
      <c r="L7" s="96">
        <v>6</v>
      </c>
      <c r="M7" s="99">
        <v>48</v>
      </c>
      <c r="N7" s="86"/>
      <c r="O7" s="86"/>
      <c r="P7" s="92"/>
      <c r="Q7" s="93">
        <v>24</v>
      </c>
      <c r="R7" s="93">
        <v>16.799999999999997</v>
      </c>
    </row>
    <row r="8" spans="1:18" ht="23.25" x14ac:dyDescent="0.35">
      <c r="A8" s="105">
        <v>4</v>
      </c>
      <c r="B8" s="252" t="s">
        <v>306</v>
      </c>
      <c r="C8" s="253"/>
      <c r="D8" s="254"/>
      <c r="E8" s="101" t="s">
        <v>304</v>
      </c>
      <c r="F8" s="25" t="s">
        <v>302</v>
      </c>
      <c r="G8" s="25">
        <v>1.1000000000000001</v>
      </c>
      <c r="H8" s="95">
        <v>11</v>
      </c>
      <c r="I8" s="96">
        <v>8</v>
      </c>
      <c r="J8" s="96">
        <v>32</v>
      </c>
      <c r="K8" s="96">
        <v>256</v>
      </c>
      <c r="L8" s="96">
        <v>15</v>
      </c>
      <c r="M8" s="99">
        <v>120</v>
      </c>
      <c r="N8" s="86"/>
      <c r="O8" s="86"/>
      <c r="P8" s="92"/>
      <c r="Q8" s="93">
        <v>12.25</v>
      </c>
      <c r="R8" s="93">
        <v>13.475000000000001</v>
      </c>
    </row>
    <row r="9" spans="1:18" ht="23.25" x14ac:dyDescent="0.35">
      <c r="A9" s="105">
        <v>5</v>
      </c>
      <c r="B9" s="252" t="s">
        <v>307</v>
      </c>
      <c r="C9" s="253"/>
      <c r="D9" s="254"/>
      <c r="E9" s="101" t="s">
        <v>304</v>
      </c>
      <c r="F9" s="25" t="s">
        <v>302</v>
      </c>
      <c r="G9" s="25">
        <v>12</v>
      </c>
      <c r="H9" s="98">
        <v>120</v>
      </c>
      <c r="I9" s="96">
        <v>8</v>
      </c>
      <c r="J9" s="96">
        <v>100</v>
      </c>
      <c r="K9" s="96">
        <v>800</v>
      </c>
      <c r="L9" s="96">
        <v>49</v>
      </c>
      <c r="M9" s="99">
        <v>392</v>
      </c>
      <c r="N9" s="86"/>
      <c r="O9" s="86"/>
      <c r="P9" s="92"/>
      <c r="Q9" s="93">
        <v>1.69</v>
      </c>
      <c r="R9" s="93">
        <v>20.28</v>
      </c>
    </row>
    <row r="10" spans="1:18" ht="23.25" x14ac:dyDescent="0.35">
      <c r="A10" s="105">
        <v>6</v>
      </c>
      <c r="B10" s="252" t="s">
        <v>308</v>
      </c>
      <c r="C10" s="253"/>
      <c r="D10" s="254"/>
      <c r="E10" s="101" t="s">
        <v>304</v>
      </c>
      <c r="F10" s="25" t="s">
        <v>302</v>
      </c>
      <c r="G10" s="25">
        <v>0.6</v>
      </c>
      <c r="H10" s="95">
        <v>6</v>
      </c>
      <c r="I10" s="96">
        <v>8</v>
      </c>
      <c r="J10" s="96">
        <v>100</v>
      </c>
      <c r="K10" s="96">
        <v>800</v>
      </c>
      <c r="L10" s="96">
        <v>49</v>
      </c>
      <c r="M10" s="99">
        <v>392</v>
      </c>
      <c r="N10" s="86"/>
      <c r="O10" s="86"/>
      <c r="P10" s="92"/>
      <c r="Q10" s="93">
        <v>2.5</v>
      </c>
      <c r="R10" s="93">
        <v>1.5</v>
      </c>
    </row>
    <row r="11" spans="1:18" ht="23.25" x14ac:dyDescent="0.35">
      <c r="A11" s="105">
        <v>7</v>
      </c>
      <c r="B11" s="252" t="s">
        <v>309</v>
      </c>
      <c r="C11" s="253"/>
      <c r="D11" s="254"/>
      <c r="E11" s="101" t="s">
        <v>304</v>
      </c>
      <c r="F11" s="25" t="s">
        <v>302</v>
      </c>
      <c r="G11" s="25">
        <v>32</v>
      </c>
      <c r="H11" s="95">
        <v>320</v>
      </c>
      <c r="I11" s="96">
        <v>8</v>
      </c>
      <c r="J11" s="96">
        <v>96</v>
      </c>
      <c r="K11" s="96">
        <v>768</v>
      </c>
      <c r="L11" s="96">
        <v>48</v>
      </c>
      <c r="M11" s="99">
        <v>384</v>
      </c>
      <c r="N11" s="86"/>
      <c r="O11" s="86"/>
      <c r="P11" s="92"/>
      <c r="Q11" s="93">
        <v>4</v>
      </c>
      <c r="R11" s="93">
        <v>128</v>
      </c>
    </row>
    <row r="12" spans="1:18" ht="23.25" x14ac:dyDescent="0.35">
      <c r="A12" s="105">
        <v>8</v>
      </c>
      <c r="B12" s="252" t="s">
        <v>310</v>
      </c>
      <c r="C12" s="253"/>
      <c r="D12" s="254"/>
      <c r="E12" s="101" t="s">
        <v>295</v>
      </c>
      <c r="F12" s="25" t="s">
        <v>302</v>
      </c>
      <c r="G12" s="25">
        <v>48</v>
      </c>
      <c r="H12" s="102">
        <v>480</v>
      </c>
      <c r="I12" s="96">
        <v>7.1</v>
      </c>
      <c r="J12" s="96">
        <v>61</v>
      </c>
      <c r="K12" s="99">
        <v>433.09999999999997</v>
      </c>
      <c r="L12" s="96"/>
      <c r="M12" s="96">
        <v>0</v>
      </c>
      <c r="N12" s="87"/>
      <c r="O12" s="86"/>
      <c r="P12" s="92"/>
      <c r="Q12" s="93">
        <v>6.15</v>
      </c>
      <c r="R12" s="93">
        <v>295.20000000000005</v>
      </c>
    </row>
    <row r="13" spans="1:18" ht="23.25" x14ac:dyDescent="0.35">
      <c r="A13" s="105">
        <v>9</v>
      </c>
      <c r="B13" s="252" t="s">
        <v>311</v>
      </c>
      <c r="C13" s="253"/>
      <c r="D13" s="254"/>
      <c r="E13" s="101" t="s">
        <v>295</v>
      </c>
      <c r="F13" s="25" t="s">
        <v>302</v>
      </c>
      <c r="G13" s="25">
        <v>6.5</v>
      </c>
      <c r="H13" s="95">
        <v>65</v>
      </c>
      <c r="I13" s="96">
        <v>7.25</v>
      </c>
      <c r="J13" s="96">
        <v>37</v>
      </c>
      <c r="K13" s="99">
        <v>268.25</v>
      </c>
      <c r="L13" s="96"/>
      <c r="M13" s="96">
        <v>0</v>
      </c>
      <c r="N13" s="86"/>
      <c r="O13" s="86"/>
      <c r="P13" s="92"/>
      <c r="Q13" s="93">
        <v>6.92</v>
      </c>
      <c r="R13" s="93">
        <v>44.98</v>
      </c>
    </row>
    <row r="14" spans="1:18" ht="23.25" x14ac:dyDescent="0.35">
      <c r="A14" s="105">
        <v>10</v>
      </c>
      <c r="B14" s="252" t="s">
        <v>310</v>
      </c>
      <c r="C14" s="253"/>
      <c r="D14" s="254"/>
      <c r="E14" s="101"/>
      <c r="F14" s="25" t="s">
        <v>302</v>
      </c>
      <c r="G14" s="25">
        <v>4</v>
      </c>
      <c r="H14" s="102">
        <v>40</v>
      </c>
      <c r="I14" s="96"/>
      <c r="J14" s="96"/>
      <c r="K14" s="96">
        <v>0</v>
      </c>
      <c r="L14" s="96"/>
      <c r="M14" s="96"/>
      <c r="N14" s="86"/>
      <c r="O14" s="86"/>
      <c r="P14" s="92"/>
      <c r="Q14" s="93">
        <v>6.15</v>
      </c>
      <c r="R14" s="93">
        <v>24.6</v>
      </c>
    </row>
    <row r="15" spans="1:18" ht="23.25" x14ac:dyDescent="0.35">
      <c r="A15" s="105">
        <v>11</v>
      </c>
      <c r="B15" s="252" t="s">
        <v>312</v>
      </c>
      <c r="C15" s="253"/>
      <c r="D15" s="254"/>
      <c r="E15" s="101" t="s">
        <v>313</v>
      </c>
      <c r="F15" s="25" t="s">
        <v>302</v>
      </c>
      <c r="G15" s="25">
        <v>2.6</v>
      </c>
      <c r="H15" s="95">
        <v>26</v>
      </c>
      <c r="I15" s="96">
        <v>9</v>
      </c>
      <c r="J15" s="96"/>
      <c r="K15" s="96">
        <v>0</v>
      </c>
      <c r="L15" s="96"/>
      <c r="M15" s="96"/>
      <c r="N15" s="86"/>
      <c r="O15" s="86"/>
      <c r="P15" s="92"/>
      <c r="Q15" s="93">
        <v>16.829999999999998</v>
      </c>
      <c r="R15" s="93">
        <v>43.757999999999996</v>
      </c>
    </row>
    <row r="16" spans="1:18" ht="23.25" x14ac:dyDescent="0.35">
      <c r="A16" s="105">
        <v>12</v>
      </c>
      <c r="B16" s="252" t="s">
        <v>314</v>
      </c>
      <c r="C16" s="253"/>
      <c r="D16" s="254"/>
      <c r="E16" s="101" t="s">
        <v>313</v>
      </c>
      <c r="F16" s="25" t="s">
        <v>302</v>
      </c>
      <c r="G16" s="25">
        <v>0.52500000000000002</v>
      </c>
      <c r="H16" s="95">
        <v>5.25</v>
      </c>
      <c r="I16" s="96">
        <v>6</v>
      </c>
      <c r="J16" s="96"/>
      <c r="K16" s="96">
        <v>0</v>
      </c>
      <c r="L16" s="96"/>
      <c r="M16" s="97"/>
      <c r="N16" s="86"/>
      <c r="O16" s="86"/>
      <c r="P16" s="92"/>
      <c r="Q16" s="93">
        <v>3.15</v>
      </c>
      <c r="R16" s="93">
        <v>1.6537500000000001</v>
      </c>
    </row>
    <row r="17" spans="1:18" ht="23.25" x14ac:dyDescent="0.35">
      <c r="A17" s="105">
        <v>13</v>
      </c>
      <c r="B17" s="252" t="s">
        <v>315</v>
      </c>
      <c r="C17" s="253"/>
      <c r="D17" s="254"/>
      <c r="E17" s="101" t="s">
        <v>313</v>
      </c>
      <c r="F17" s="25" t="s">
        <v>302</v>
      </c>
      <c r="G17" s="25">
        <v>1.56</v>
      </c>
      <c r="H17" s="95">
        <v>15.600000000000001</v>
      </c>
      <c r="I17" s="96">
        <v>6</v>
      </c>
      <c r="J17" s="96"/>
      <c r="K17" s="96">
        <v>0</v>
      </c>
      <c r="L17" s="96"/>
      <c r="M17" s="97"/>
      <c r="N17" s="86"/>
      <c r="O17" s="86"/>
      <c r="P17" s="92"/>
      <c r="Q17" s="93">
        <v>11.23</v>
      </c>
      <c r="R17" s="93">
        <v>17.518800000000002</v>
      </c>
    </row>
    <row r="18" spans="1:18" ht="23.25" x14ac:dyDescent="0.35">
      <c r="A18" s="105">
        <v>19</v>
      </c>
      <c r="B18" s="249" t="s">
        <v>316</v>
      </c>
      <c r="C18" s="249"/>
      <c r="D18" s="249"/>
      <c r="E18" s="94" t="s">
        <v>295</v>
      </c>
      <c r="F18" s="25" t="s">
        <v>302</v>
      </c>
      <c r="G18" s="25">
        <v>33</v>
      </c>
      <c r="H18" s="95">
        <v>330</v>
      </c>
      <c r="I18" s="96">
        <v>8</v>
      </c>
      <c r="J18" s="96">
        <v>42</v>
      </c>
      <c r="K18" s="99">
        <v>336</v>
      </c>
      <c r="L18" s="96">
        <v>20</v>
      </c>
      <c r="M18" s="96">
        <v>160</v>
      </c>
      <c r="N18" s="86"/>
      <c r="O18" s="86"/>
      <c r="P18" s="92"/>
      <c r="Q18" s="93">
        <v>9.02</v>
      </c>
      <c r="R18" s="93">
        <v>297.65999999999997</v>
      </c>
    </row>
    <row r="19" spans="1:18" ht="23.25" x14ac:dyDescent="0.35">
      <c r="A19" s="105">
        <v>20</v>
      </c>
      <c r="B19" s="249" t="s">
        <v>317</v>
      </c>
      <c r="C19" s="249"/>
      <c r="D19" s="249"/>
      <c r="E19" s="94" t="s">
        <v>318</v>
      </c>
      <c r="F19" s="25" t="s">
        <v>302</v>
      </c>
      <c r="G19" s="25">
        <v>19</v>
      </c>
      <c r="H19" s="95">
        <v>190</v>
      </c>
      <c r="I19" s="96"/>
      <c r="J19" s="96"/>
      <c r="K19" s="96">
        <v>0</v>
      </c>
      <c r="L19" s="96"/>
      <c r="M19" s="97"/>
      <c r="N19" s="86"/>
      <c r="O19" s="86"/>
      <c r="P19" s="92"/>
      <c r="Q19" s="93">
        <v>17.8</v>
      </c>
      <c r="R19" s="93">
        <v>338.2</v>
      </c>
    </row>
    <row r="20" spans="1:18" ht="23.25" x14ac:dyDescent="0.35">
      <c r="A20" s="105"/>
      <c r="B20" s="249" t="s">
        <v>319</v>
      </c>
      <c r="C20" s="249"/>
      <c r="D20" s="249"/>
      <c r="E20" s="94"/>
      <c r="F20" s="25" t="s">
        <v>302</v>
      </c>
      <c r="G20" s="25">
        <v>6.4</v>
      </c>
      <c r="H20" s="98">
        <v>64</v>
      </c>
      <c r="I20" s="96"/>
      <c r="J20" s="96">
        <v>100</v>
      </c>
      <c r="K20" s="96">
        <v>0</v>
      </c>
      <c r="L20" s="96"/>
      <c r="M20" s="97"/>
      <c r="N20" s="86"/>
      <c r="O20" s="86"/>
      <c r="P20" s="92"/>
      <c r="Q20" s="93">
        <v>1.67</v>
      </c>
      <c r="R20" s="93">
        <v>10.688000000000001</v>
      </c>
    </row>
    <row r="21" spans="1:18" ht="23.25" x14ac:dyDescent="0.35">
      <c r="A21" s="105">
        <v>52</v>
      </c>
      <c r="B21" s="249" t="s">
        <v>320</v>
      </c>
      <c r="C21" s="249"/>
      <c r="D21" s="249"/>
      <c r="E21" s="94" t="s">
        <v>313</v>
      </c>
      <c r="F21" s="25" t="s">
        <v>302</v>
      </c>
      <c r="G21" s="25">
        <v>1.4</v>
      </c>
      <c r="H21" s="95">
        <v>14</v>
      </c>
      <c r="I21" s="96">
        <v>6</v>
      </c>
      <c r="J21" s="96"/>
      <c r="K21" s="96"/>
      <c r="L21" s="96"/>
      <c r="M21" s="97"/>
      <c r="N21" s="86"/>
      <c r="O21" s="86"/>
      <c r="P21" s="92"/>
      <c r="Q21" s="93">
        <v>8.75</v>
      </c>
      <c r="R21" s="93">
        <v>12.25</v>
      </c>
    </row>
    <row r="22" spans="1:18" ht="23.25" x14ac:dyDescent="0.35">
      <c r="A22" s="105">
        <v>53</v>
      </c>
      <c r="B22" s="249" t="s">
        <v>321</v>
      </c>
      <c r="C22" s="249"/>
      <c r="D22" s="249"/>
      <c r="E22" s="94" t="s">
        <v>313</v>
      </c>
      <c r="F22" s="25" t="s">
        <v>302</v>
      </c>
      <c r="G22" s="25">
        <v>0.6</v>
      </c>
      <c r="H22" s="95">
        <v>6</v>
      </c>
      <c r="I22" s="96">
        <v>6</v>
      </c>
      <c r="J22" s="96"/>
      <c r="K22" s="96"/>
      <c r="L22" s="96"/>
      <c r="M22" s="97"/>
      <c r="N22" s="86"/>
      <c r="O22" s="86"/>
      <c r="P22" s="92"/>
      <c r="Q22" s="93">
        <v>7.18</v>
      </c>
      <c r="R22" s="93">
        <v>4.3079999999999998</v>
      </c>
    </row>
    <row r="23" spans="1:18" ht="25.5" x14ac:dyDescent="0.35">
      <c r="A23" s="1">
        <v>14</v>
      </c>
      <c r="B23" s="249" t="s">
        <v>322</v>
      </c>
      <c r="C23" s="249"/>
      <c r="D23" s="249"/>
      <c r="E23" s="94" t="s">
        <v>313</v>
      </c>
      <c r="F23" s="25" t="s">
        <v>323</v>
      </c>
      <c r="G23" s="25">
        <v>0.59899999999999998</v>
      </c>
      <c r="H23" s="95">
        <v>5.99</v>
      </c>
      <c r="I23" s="87"/>
      <c r="J23" s="87"/>
      <c r="K23" s="87"/>
      <c r="L23" s="87"/>
      <c r="M23" s="89"/>
      <c r="N23" s="86"/>
      <c r="O23" s="86"/>
      <c r="P23" s="92"/>
      <c r="Q23" s="93"/>
      <c r="R23" s="93"/>
    </row>
    <row r="24" spans="1:18" ht="25.5" x14ac:dyDescent="0.35">
      <c r="A24" s="1">
        <v>15</v>
      </c>
      <c r="B24" s="249" t="s">
        <v>324</v>
      </c>
      <c r="C24" s="249"/>
      <c r="D24" s="249"/>
      <c r="E24" s="94" t="s">
        <v>313</v>
      </c>
      <c r="F24" s="25" t="s">
        <v>323</v>
      </c>
      <c r="G24" s="25">
        <v>0.183</v>
      </c>
      <c r="H24" s="95">
        <v>1.83</v>
      </c>
      <c r="I24" s="87"/>
      <c r="J24" s="87"/>
      <c r="K24" s="87"/>
      <c r="L24" s="87"/>
      <c r="M24" s="89"/>
      <c r="N24" s="86"/>
      <c r="O24" s="86"/>
      <c r="P24" s="92"/>
      <c r="Q24" s="93"/>
      <c r="R24" s="93"/>
    </row>
    <row r="25" spans="1:18" ht="25.5" x14ac:dyDescent="0.35">
      <c r="A25" s="1">
        <v>16</v>
      </c>
      <c r="B25" s="249" t="s">
        <v>325</v>
      </c>
      <c r="C25" s="249"/>
      <c r="D25" s="249"/>
      <c r="E25" s="94" t="s">
        <v>313</v>
      </c>
      <c r="F25" s="25" t="s">
        <v>323</v>
      </c>
      <c r="G25" s="25">
        <v>0.13800000000000001</v>
      </c>
      <c r="H25" s="95">
        <v>1.3800000000000001</v>
      </c>
      <c r="I25" s="87"/>
      <c r="J25" s="87"/>
      <c r="K25" s="87"/>
      <c r="L25" s="87"/>
      <c r="M25" s="89"/>
      <c r="N25" s="86"/>
      <c r="O25" s="86"/>
      <c r="P25" s="92"/>
      <c r="Q25" s="93"/>
      <c r="R25" s="93"/>
    </row>
    <row r="26" spans="1:18" ht="25.5" x14ac:dyDescent="0.35">
      <c r="A26" s="1">
        <v>17</v>
      </c>
      <c r="B26" s="249" t="s">
        <v>326</v>
      </c>
      <c r="C26" s="249"/>
      <c r="D26" s="249"/>
      <c r="E26" s="94" t="s">
        <v>313</v>
      </c>
      <c r="F26" s="25" t="s">
        <v>323</v>
      </c>
      <c r="G26" s="25">
        <v>0.24576000000000001</v>
      </c>
      <c r="H26" s="95">
        <v>2.4576000000000002</v>
      </c>
      <c r="I26" s="87"/>
      <c r="J26" s="87"/>
      <c r="K26" s="87"/>
      <c r="L26" s="87"/>
      <c r="M26" s="89"/>
      <c r="N26" s="86"/>
      <c r="O26" s="86"/>
      <c r="P26" s="92"/>
      <c r="Q26" s="93"/>
      <c r="R26" s="93"/>
    </row>
    <row r="27" spans="1:18" ht="25.5" x14ac:dyDescent="0.35">
      <c r="A27" s="1">
        <v>18</v>
      </c>
      <c r="B27" s="249" t="s">
        <v>327</v>
      </c>
      <c r="C27" s="249"/>
      <c r="D27" s="249"/>
      <c r="E27" s="94" t="s">
        <v>313</v>
      </c>
      <c r="F27" s="25" t="s">
        <v>323</v>
      </c>
      <c r="G27" s="25">
        <v>7.6799999999999993E-2</v>
      </c>
      <c r="H27" s="95">
        <v>0.7679999999999999</v>
      </c>
      <c r="I27" s="87"/>
      <c r="J27" s="87"/>
      <c r="K27" s="87"/>
      <c r="L27" s="87"/>
      <c r="M27" s="89"/>
      <c r="N27" s="86"/>
      <c r="O27" s="86"/>
      <c r="P27" s="92"/>
      <c r="Q27" s="93"/>
      <c r="R27" s="93"/>
    </row>
    <row r="28" spans="1:18" ht="25.5" x14ac:dyDescent="0.35">
      <c r="A28" s="1"/>
      <c r="B28" s="251"/>
      <c r="C28" s="251"/>
      <c r="D28" s="251"/>
      <c r="E28" s="115"/>
      <c r="F28" s="116"/>
      <c r="G28" s="116"/>
      <c r="H28" s="117"/>
      <c r="I28" s="117"/>
      <c r="J28" s="117"/>
      <c r="K28" s="117"/>
      <c r="L28" s="117"/>
      <c r="M28" s="118"/>
      <c r="N28" s="119"/>
      <c r="O28" s="119"/>
      <c r="P28" s="120"/>
      <c r="Q28" s="121"/>
      <c r="R28" s="121"/>
    </row>
    <row r="29" spans="1:18" ht="25.5" x14ac:dyDescent="0.35">
      <c r="A29" s="85"/>
      <c r="B29" s="249"/>
      <c r="C29" s="249"/>
      <c r="D29" s="249"/>
      <c r="E29" s="248" t="s">
        <v>328</v>
      </c>
      <c r="F29" s="248"/>
      <c r="G29" s="248"/>
      <c r="H29" s="248"/>
      <c r="I29" s="248"/>
      <c r="J29" s="248"/>
      <c r="K29" s="248"/>
      <c r="L29" s="248"/>
      <c r="M29" s="248"/>
      <c r="N29" s="248"/>
      <c r="O29" s="248"/>
      <c r="P29" s="248"/>
      <c r="Q29" s="248"/>
      <c r="R29" s="248"/>
    </row>
    <row r="30" spans="1:18" ht="25.5" x14ac:dyDescent="0.35">
      <c r="A30" s="85"/>
      <c r="B30" s="85"/>
      <c r="C30" s="85"/>
      <c r="D30" s="85"/>
      <c r="E30" s="94"/>
      <c r="F30" s="88" t="s">
        <v>291</v>
      </c>
      <c r="G30" s="88" t="s">
        <v>292</v>
      </c>
      <c r="H30" s="88" t="s">
        <v>293</v>
      </c>
      <c r="I30" s="88" t="s">
        <v>294</v>
      </c>
      <c r="J30" s="88" t="s">
        <v>295</v>
      </c>
      <c r="K30" s="88" t="s">
        <v>296</v>
      </c>
      <c r="L30" s="88"/>
      <c r="M30" s="97" t="s">
        <v>329</v>
      </c>
      <c r="N30" s="86"/>
      <c r="O30" s="86"/>
      <c r="P30" s="110" t="s">
        <v>330</v>
      </c>
      <c r="Q30" s="111"/>
      <c r="R30" s="111"/>
    </row>
    <row r="31" spans="1:18" ht="23.25" x14ac:dyDescent="0.35">
      <c r="A31" s="129">
        <v>1</v>
      </c>
      <c r="B31" s="249" t="s">
        <v>301</v>
      </c>
      <c r="C31" s="249"/>
      <c r="D31" s="249"/>
      <c r="E31" s="94"/>
      <c r="F31" s="25" t="s">
        <v>302</v>
      </c>
      <c r="G31" s="25">
        <v>45</v>
      </c>
      <c r="H31" s="95">
        <v>450</v>
      </c>
      <c r="I31" s="106">
        <v>8</v>
      </c>
      <c r="J31" s="106">
        <v>49</v>
      </c>
      <c r="K31" s="108">
        <v>392</v>
      </c>
      <c r="L31" s="106" t="s">
        <v>331</v>
      </c>
      <c r="M31" s="107">
        <v>5.76</v>
      </c>
      <c r="N31" s="86"/>
      <c r="O31" s="106"/>
      <c r="P31" s="112">
        <v>3</v>
      </c>
      <c r="Q31" s="113">
        <v>6773.76</v>
      </c>
      <c r="R31" s="111"/>
    </row>
    <row r="32" spans="1:18" ht="23.25" x14ac:dyDescent="0.35">
      <c r="A32" s="129">
        <v>2</v>
      </c>
      <c r="B32" s="94" t="s">
        <v>303</v>
      </c>
      <c r="C32" s="94"/>
      <c r="D32" s="94"/>
      <c r="E32" s="94"/>
      <c r="F32" s="25" t="s">
        <v>302</v>
      </c>
      <c r="G32" s="25">
        <v>4</v>
      </c>
      <c r="H32" s="95">
        <v>40</v>
      </c>
      <c r="I32" s="106">
        <v>8</v>
      </c>
      <c r="J32" s="106">
        <v>25</v>
      </c>
      <c r="K32" s="108">
        <v>200</v>
      </c>
      <c r="L32" s="106" t="s">
        <v>332</v>
      </c>
      <c r="M32" s="107">
        <v>13.6</v>
      </c>
      <c r="N32" s="86"/>
      <c r="O32" s="106"/>
      <c r="P32" s="112">
        <v>1</v>
      </c>
      <c r="Q32" s="113">
        <v>2720</v>
      </c>
      <c r="R32" s="111"/>
    </row>
    <row r="33" spans="1:18" ht="23.25" x14ac:dyDescent="0.35">
      <c r="A33" s="129">
        <v>3</v>
      </c>
      <c r="B33" s="94" t="s">
        <v>305</v>
      </c>
      <c r="C33" s="94"/>
      <c r="D33" s="94"/>
      <c r="E33" s="94"/>
      <c r="F33" s="25" t="s">
        <v>302</v>
      </c>
      <c r="G33" s="25">
        <v>0.7</v>
      </c>
      <c r="H33" s="95">
        <v>7</v>
      </c>
      <c r="I33" s="106">
        <v>8</v>
      </c>
      <c r="J33" s="106">
        <v>12</v>
      </c>
      <c r="K33" s="108">
        <v>96</v>
      </c>
      <c r="L33" s="106" t="s">
        <v>333</v>
      </c>
      <c r="M33" s="107">
        <v>23.5</v>
      </c>
      <c r="N33" s="86"/>
      <c r="O33" s="106"/>
      <c r="P33" s="112" t="s">
        <v>334</v>
      </c>
      <c r="Q33" s="113"/>
      <c r="R33" s="111"/>
    </row>
    <row r="34" spans="1:18" ht="23.25" x14ac:dyDescent="0.35">
      <c r="A34" s="129">
        <v>4</v>
      </c>
      <c r="B34" s="94" t="s">
        <v>306</v>
      </c>
      <c r="C34" s="94"/>
      <c r="D34" s="94"/>
      <c r="E34" s="94"/>
      <c r="F34" s="25" t="s">
        <v>302</v>
      </c>
      <c r="G34" s="25">
        <v>1.1000000000000001</v>
      </c>
      <c r="H34" s="95">
        <v>11</v>
      </c>
      <c r="I34" s="106">
        <v>8</v>
      </c>
      <c r="J34" s="106">
        <v>32</v>
      </c>
      <c r="K34" s="108">
        <v>256</v>
      </c>
      <c r="L34" s="106" t="s">
        <v>335</v>
      </c>
      <c r="M34" s="107">
        <v>10.6</v>
      </c>
      <c r="N34" s="86"/>
      <c r="O34" s="106"/>
      <c r="P34" s="112">
        <v>1</v>
      </c>
      <c r="Q34" s="113">
        <v>2713.6</v>
      </c>
      <c r="R34" s="111"/>
    </row>
    <row r="35" spans="1:18" ht="23.25" x14ac:dyDescent="0.35">
      <c r="A35" s="129">
        <v>5</v>
      </c>
      <c r="B35" s="94" t="s">
        <v>307</v>
      </c>
      <c r="C35" s="94"/>
      <c r="D35" s="94"/>
      <c r="E35" s="94"/>
      <c r="F35" s="25" t="s">
        <v>302</v>
      </c>
      <c r="G35" s="25">
        <v>12</v>
      </c>
      <c r="H35" s="98">
        <v>120</v>
      </c>
      <c r="I35" s="106">
        <v>6.5</v>
      </c>
      <c r="J35" s="106">
        <v>100</v>
      </c>
      <c r="K35" s="108">
        <v>650</v>
      </c>
      <c r="L35" s="106" t="s">
        <v>336</v>
      </c>
      <c r="M35" s="107">
        <v>1.4</v>
      </c>
      <c r="N35" s="86"/>
      <c r="O35" s="106"/>
      <c r="P35" s="112">
        <v>1</v>
      </c>
      <c r="Q35" s="113">
        <v>909.99999999999989</v>
      </c>
      <c r="R35" s="111"/>
    </row>
    <row r="36" spans="1:18" ht="23.25" x14ac:dyDescent="0.35">
      <c r="A36" s="129">
        <v>6</v>
      </c>
      <c r="B36" s="94" t="s">
        <v>308</v>
      </c>
      <c r="C36" s="94"/>
      <c r="D36" s="94"/>
      <c r="E36" s="94"/>
      <c r="F36" s="25" t="s">
        <v>302</v>
      </c>
      <c r="G36" s="25">
        <v>0.6</v>
      </c>
      <c r="H36" s="95">
        <v>6</v>
      </c>
      <c r="I36" s="106">
        <v>6.5</v>
      </c>
      <c r="J36" s="106">
        <v>100</v>
      </c>
      <c r="K36" s="108">
        <v>650</v>
      </c>
      <c r="L36" s="106" t="s">
        <v>337</v>
      </c>
      <c r="M36" s="107">
        <v>1.8</v>
      </c>
      <c r="N36" s="86"/>
      <c r="O36" s="106"/>
      <c r="P36" s="112">
        <v>1</v>
      </c>
      <c r="Q36" s="113">
        <v>1170</v>
      </c>
      <c r="R36" s="111"/>
    </row>
    <row r="37" spans="1:18" ht="23.25" x14ac:dyDescent="0.35">
      <c r="A37" s="129">
        <v>7</v>
      </c>
      <c r="B37" s="94" t="s">
        <v>309</v>
      </c>
      <c r="C37" s="94"/>
      <c r="D37" s="94"/>
      <c r="E37" s="94"/>
      <c r="F37" s="25" t="s">
        <v>302</v>
      </c>
      <c r="G37" s="25">
        <v>32</v>
      </c>
      <c r="H37" s="95">
        <v>320</v>
      </c>
      <c r="I37" s="106">
        <v>8</v>
      </c>
      <c r="J37" s="106">
        <v>96</v>
      </c>
      <c r="K37" s="108">
        <v>768</v>
      </c>
      <c r="L37" s="106" t="s">
        <v>338</v>
      </c>
      <c r="M37" s="107">
        <v>2.8</v>
      </c>
      <c r="N37" s="86"/>
      <c r="O37" s="106"/>
      <c r="P37" s="112">
        <v>1</v>
      </c>
      <c r="Q37" s="113">
        <v>2150.3999999999996</v>
      </c>
      <c r="R37" s="111"/>
    </row>
    <row r="38" spans="1:18" ht="23.25" x14ac:dyDescent="0.35">
      <c r="A38" s="129">
        <v>8</v>
      </c>
      <c r="B38" s="94" t="s">
        <v>310</v>
      </c>
      <c r="C38" s="94"/>
      <c r="D38" s="94"/>
      <c r="E38" s="94"/>
      <c r="F38" s="25" t="s">
        <v>302</v>
      </c>
      <c r="G38" s="25">
        <v>48</v>
      </c>
      <c r="H38" s="102">
        <v>480</v>
      </c>
      <c r="I38" s="106">
        <v>6.5</v>
      </c>
      <c r="J38" s="106">
        <v>61</v>
      </c>
      <c r="K38" s="108">
        <v>396.5</v>
      </c>
      <c r="L38" s="106" t="s">
        <v>339</v>
      </c>
      <c r="M38" s="107">
        <v>5.0999999999999996</v>
      </c>
      <c r="N38" s="86"/>
      <c r="O38" s="106"/>
      <c r="P38" s="112">
        <v>4</v>
      </c>
      <c r="Q38" s="113">
        <v>8088.5999999999995</v>
      </c>
      <c r="R38" s="111"/>
    </row>
    <row r="39" spans="1:18" ht="23.25" x14ac:dyDescent="0.35">
      <c r="A39" s="129">
        <v>9</v>
      </c>
      <c r="B39" s="94" t="s">
        <v>311</v>
      </c>
      <c r="C39" s="94"/>
      <c r="D39" s="94"/>
      <c r="E39" s="94"/>
      <c r="F39" s="25" t="s">
        <v>302</v>
      </c>
      <c r="G39" s="25">
        <v>6.5</v>
      </c>
      <c r="H39" s="95">
        <v>65</v>
      </c>
      <c r="I39" s="106">
        <v>6.5</v>
      </c>
      <c r="J39" s="106">
        <v>61</v>
      </c>
      <c r="K39" s="108">
        <v>396.5</v>
      </c>
      <c r="L39" s="106" t="s">
        <v>340</v>
      </c>
      <c r="M39" s="107">
        <v>5.7</v>
      </c>
      <c r="N39" s="86"/>
      <c r="O39" s="106"/>
      <c r="P39" s="112">
        <v>1</v>
      </c>
      <c r="Q39" s="113">
        <v>2260.0500000000002</v>
      </c>
      <c r="R39" s="111"/>
    </row>
    <row r="40" spans="1:18" ht="23.25" x14ac:dyDescent="0.35">
      <c r="A40" s="129">
        <v>10</v>
      </c>
      <c r="B40" s="94" t="s">
        <v>310</v>
      </c>
      <c r="C40" s="94"/>
      <c r="D40" s="94"/>
      <c r="E40" s="94"/>
      <c r="F40" s="25" t="s">
        <v>302</v>
      </c>
      <c r="G40" s="25">
        <v>4</v>
      </c>
      <c r="H40" s="102">
        <v>40</v>
      </c>
      <c r="I40" s="106">
        <v>6.5</v>
      </c>
      <c r="J40" s="106">
        <v>61</v>
      </c>
      <c r="K40" s="108">
        <v>396.5</v>
      </c>
      <c r="L40" s="106" t="s">
        <v>339</v>
      </c>
      <c r="M40" s="107">
        <v>5.0999999999999996</v>
      </c>
      <c r="N40" s="86"/>
      <c r="O40" s="106"/>
      <c r="P40" s="112"/>
      <c r="Q40" s="113"/>
      <c r="R40" s="111"/>
    </row>
    <row r="41" spans="1:18" ht="23.25" x14ac:dyDescent="0.35">
      <c r="A41" s="129">
        <v>11</v>
      </c>
      <c r="B41" s="94" t="s">
        <v>312</v>
      </c>
      <c r="C41" s="94"/>
      <c r="D41" s="94"/>
      <c r="E41" s="94"/>
      <c r="F41" s="25" t="s">
        <v>302</v>
      </c>
      <c r="G41" s="25">
        <v>2.6</v>
      </c>
      <c r="H41" s="95">
        <v>26</v>
      </c>
      <c r="I41" s="106">
        <v>9</v>
      </c>
      <c r="J41" s="106">
        <v>22</v>
      </c>
      <c r="K41" s="108">
        <v>198</v>
      </c>
      <c r="L41" s="106" t="s">
        <v>341</v>
      </c>
      <c r="M41" s="107">
        <v>19.05</v>
      </c>
      <c r="N41" s="86"/>
      <c r="O41" s="106"/>
      <c r="P41" s="112">
        <v>1</v>
      </c>
      <c r="Q41" s="113">
        <v>3771.9</v>
      </c>
      <c r="R41" s="111"/>
    </row>
    <row r="42" spans="1:18" ht="23.25" x14ac:dyDescent="0.35">
      <c r="A42" s="129">
        <v>12</v>
      </c>
      <c r="B42" s="94" t="s">
        <v>314</v>
      </c>
      <c r="C42" s="94"/>
      <c r="D42" s="94"/>
      <c r="E42" s="94"/>
      <c r="F42" s="25" t="s">
        <v>302</v>
      </c>
      <c r="G42" s="25">
        <v>0.52500000000000002</v>
      </c>
      <c r="H42" s="95">
        <v>5.25</v>
      </c>
      <c r="I42" s="106">
        <v>6</v>
      </c>
      <c r="J42" s="106" t="s">
        <v>342</v>
      </c>
      <c r="K42" s="108"/>
      <c r="L42" s="106" t="s">
        <v>343</v>
      </c>
      <c r="M42" s="107">
        <v>2.16</v>
      </c>
      <c r="N42" s="86"/>
      <c r="O42" s="106"/>
      <c r="P42" s="112">
        <v>10</v>
      </c>
      <c r="Q42" s="113">
        <v>129.60000000000002</v>
      </c>
      <c r="R42" s="111"/>
    </row>
    <row r="43" spans="1:18" ht="23.25" x14ac:dyDescent="0.35">
      <c r="A43" s="129">
        <v>13</v>
      </c>
      <c r="B43" s="94" t="s">
        <v>315</v>
      </c>
      <c r="C43" s="94"/>
      <c r="D43" s="94"/>
      <c r="E43" s="94"/>
      <c r="F43" s="25" t="s">
        <v>302</v>
      </c>
      <c r="G43" s="25">
        <v>1.56</v>
      </c>
      <c r="H43" s="95">
        <v>15.600000000000001</v>
      </c>
      <c r="I43" s="106">
        <v>6</v>
      </c>
      <c r="J43" s="106" t="s">
        <v>342</v>
      </c>
      <c r="K43" s="108"/>
      <c r="L43" s="106" t="s">
        <v>344</v>
      </c>
      <c r="M43" s="107">
        <v>6.3</v>
      </c>
      <c r="N43" s="86"/>
      <c r="O43" s="106"/>
      <c r="P43" s="112">
        <v>10</v>
      </c>
      <c r="Q43" s="113">
        <v>378</v>
      </c>
      <c r="R43" s="111"/>
    </row>
    <row r="44" spans="1:18" ht="23.25" x14ac:dyDescent="0.35">
      <c r="A44" s="129">
        <v>19</v>
      </c>
      <c r="B44" s="94" t="s">
        <v>316</v>
      </c>
      <c r="C44" s="94"/>
      <c r="D44" s="94"/>
      <c r="E44" s="94"/>
      <c r="F44" s="25" t="s">
        <v>302</v>
      </c>
      <c r="G44" s="25">
        <v>33</v>
      </c>
      <c r="H44" s="95">
        <v>330</v>
      </c>
      <c r="I44" s="106">
        <v>8</v>
      </c>
      <c r="J44" s="106">
        <v>42</v>
      </c>
      <c r="K44" s="108">
        <v>336</v>
      </c>
      <c r="L44" s="106" t="s">
        <v>345</v>
      </c>
      <c r="M44" s="107">
        <v>7.4</v>
      </c>
      <c r="N44" s="86"/>
      <c r="O44" s="106"/>
      <c r="P44" s="112">
        <v>3</v>
      </c>
      <c r="Q44" s="113">
        <v>7459.2000000000007</v>
      </c>
      <c r="R44" s="111"/>
    </row>
    <row r="45" spans="1:18" ht="23.25" x14ac:dyDescent="0.35">
      <c r="A45" s="129">
        <v>20</v>
      </c>
      <c r="B45" s="94" t="s">
        <v>317</v>
      </c>
      <c r="C45" s="94"/>
      <c r="D45" s="94"/>
      <c r="E45" s="94"/>
      <c r="F45" s="25" t="s">
        <v>302</v>
      </c>
      <c r="G45" s="25">
        <v>19</v>
      </c>
      <c r="H45" s="95">
        <v>190</v>
      </c>
      <c r="I45" s="106"/>
      <c r="J45" s="106"/>
      <c r="K45" s="108">
        <v>0</v>
      </c>
      <c r="L45" s="106"/>
      <c r="M45" s="107"/>
      <c r="N45" s="86"/>
      <c r="O45" s="106"/>
      <c r="P45" s="112"/>
      <c r="Q45" s="113"/>
      <c r="R45" s="111"/>
    </row>
    <row r="46" spans="1:18" ht="23.25" x14ac:dyDescent="0.35">
      <c r="A46" s="129">
        <v>21</v>
      </c>
      <c r="B46" s="94" t="s">
        <v>319</v>
      </c>
      <c r="C46" s="94"/>
      <c r="D46" s="94"/>
      <c r="E46" s="94"/>
      <c r="F46" s="25" t="s">
        <v>302</v>
      </c>
      <c r="G46" s="25">
        <v>6.4</v>
      </c>
      <c r="H46" s="98">
        <v>64</v>
      </c>
      <c r="I46" s="106">
        <v>6.5</v>
      </c>
      <c r="J46" s="106">
        <v>100</v>
      </c>
      <c r="K46" s="108">
        <v>650</v>
      </c>
      <c r="L46" s="106" t="s">
        <v>336</v>
      </c>
      <c r="M46" s="107">
        <v>1.4</v>
      </c>
      <c r="N46" s="86"/>
      <c r="O46" s="106"/>
      <c r="P46" s="112">
        <v>1</v>
      </c>
      <c r="Q46" s="113">
        <v>909.99999999999989</v>
      </c>
      <c r="R46" s="111"/>
    </row>
    <row r="47" spans="1:18" ht="23.25" x14ac:dyDescent="0.35">
      <c r="A47" s="129">
        <v>52</v>
      </c>
      <c r="B47" s="94" t="s">
        <v>320</v>
      </c>
      <c r="C47" s="94"/>
      <c r="D47" s="94"/>
      <c r="E47" s="94"/>
      <c r="F47" s="25" t="s">
        <v>302</v>
      </c>
      <c r="G47" s="25">
        <v>1.4</v>
      </c>
      <c r="H47" s="95">
        <v>14</v>
      </c>
      <c r="I47" s="106">
        <v>6</v>
      </c>
      <c r="J47" s="106" t="s">
        <v>342</v>
      </c>
      <c r="K47" s="108"/>
      <c r="L47" s="106" t="s">
        <v>344</v>
      </c>
      <c r="M47" s="107">
        <v>5.2</v>
      </c>
      <c r="N47" s="86"/>
      <c r="O47" s="106"/>
      <c r="P47" s="112">
        <v>10</v>
      </c>
      <c r="Q47" s="113">
        <v>312</v>
      </c>
      <c r="R47" s="111"/>
    </row>
    <row r="48" spans="1:18" ht="23.25" x14ac:dyDescent="0.35">
      <c r="A48" s="129">
        <v>53</v>
      </c>
      <c r="B48" s="94" t="s">
        <v>321</v>
      </c>
      <c r="C48" s="94"/>
      <c r="D48" s="94"/>
      <c r="E48" s="94"/>
      <c r="F48" s="25" t="s">
        <v>302</v>
      </c>
      <c r="G48" s="25">
        <v>0.6</v>
      </c>
      <c r="H48" s="95">
        <v>6</v>
      </c>
      <c r="I48" s="106">
        <v>6</v>
      </c>
      <c r="J48" s="106" t="s">
        <v>342</v>
      </c>
      <c r="K48" s="108"/>
      <c r="L48" s="106" t="s">
        <v>346</v>
      </c>
      <c r="M48" s="107">
        <v>6.2</v>
      </c>
      <c r="N48" s="86"/>
      <c r="O48" s="106"/>
      <c r="P48" s="112">
        <v>10</v>
      </c>
      <c r="Q48" s="113">
        <v>372</v>
      </c>
      <c r="R48" s="111"/>
    </row>
    <row r="49" spans="1:18" ht="25.5" x14ac:dyDescent="0.35">
      <c r="A49" s="85">
        <v>14</v>
      </c>
      <c r="B49" s="94" t="s">
        <v>322</v>
      </c>
      <c r="C49" s="94"/>
      <c r="D49" s="94"/>
      <c r="E49" s="94"/>
      <c r="F49" s="25" t="s">
        <v>323</v>
      </c>
      <c r="G49" s="25">
        <v>0.59899999999999998</v>
      </c>
      <c r="H49" s="95">
        <v>5.99</v>
      </c>
      <c r="I49" s="106" t="s">
        <v>347</v>
      </c>
      <c r="J49" s="106" t="s">
        <v>342</v>
      </c>
      <c r="K49" s="108"/>
      <c r="L49" s="106" t="s">
        <v>348</v>
      </c>
      <c r="M49" s="107">
        <v>1650</v>
      </c>
      <c r="N49" s="86"/>
      <c r="O49" s="86"/>
      <c r="P49" s="112">
        <v>3</v>
      </c>
      <c r="Q49" s="111">
        <v>4950</v>
      </c>
      <c r="R49" s="111"/>
    </row>
    <row r="50" spans="1:18" ht="25.5" x14ac:dyDescent="0.35">
      <c r="A50" s="85">
        <v>15</v>
      </c>
      <c r="B50" s="94" t="s">
        <v>324</v>
      </c>
      <c r="C50" s="94"/>
      <c r="D50" s="94"/>
      <c r="E50" s="86"/>
      <c r="F50" s="25" t="s">
        <v>323</v>
      </c>
      <c r="G50" s="25">
        <v>0.183</v>
      </c>
      <c r="H50" s="95">
        <v>1.83</v>
      </c>
      <c r="I50" s="106" t="s">
        <v>347</v>
      </c>
      <c r="J50" s="106" t="s">
        <v>342</v>
      </c>
      <c r="K50" s="108"/>
      <c r="L50" s="106" t="s">
        <v>349</v>
      </c>
      <c r="M50" s="106">
        <v>1650</v>
      </c>
      <c r="N50" s="86"/>
      <c r="O50" s="86"/>
      <c r="P50" s="130">
        <v>1</v>
      </c>
      <c r="Q50" s="111">
        <v>1650</v>
      </c>
      <c r="R50" s="111"/>
    </row>
    <row r="51" spans="1:18" ht="25.5" x14ac:dyDescent="0.35">
      <c r="A51" s="85">
        <v>16</v>
      </c>
      <c r="B51" s="94" t="s">
        <v>325</v>
      </c>
      <c r="C51" s="94"/>
      <c r="D51" s="94"/>
      <c r="E51" s="86"/>
      <c r="F51" s="25" t="s">
        <v>323</v>
      </c>
      <c r="G51" s="25">
        <v>0.13800000000000001</v>
      </c>
      <c r="H51" s="95">
        <v>1.3800000000000001</v>
      </c>
      <c r="I51" s="106" t="s">
        <v>347</v>
      </c>
      <c r="J51" s="106" t="s">
        <v>342</v>
      </c>
      <c r="K51" s="108"/>
      <c r="L51" s="106" t="s">
        <v>350</v>
      </c>
      <c r="M51" s="106">
        <v>1430</v>
      </c>
      <c r="N51" s="86"/>
      <c r="O51" s="86"/>
      <c r="P51" s="130">
        <v>1</v>
      </c>
      <c r="Q51" s="111">
        <v>1430</v>
      </c>
      <c r="R51" s="111"/>
    </row>
    <row r="52" spans="1:18" ht="25.5" x14ac:dyDescent="0.35">
      <c r="A52" s="85">
        <v>17</v>
      </c>
      <c r="B52" s="94" t="s">
        <v>326</v>
      </c>
      <c r="C52" s="94"/>
      <c r="D52" s="94"/>
      <c r="E52" s="94"/>
      <c r="F52" s="25" t="s">
        <v>323</v>
      </c>
      <c r="G52" s="25">
        <v>0.24576000000000001</v>
      </c>
      <c r="H52" s="95">
        <v>2.4576000000000002</v>
      </c>
      <c r="I52" s="106">
        <v>3.2</v>
      </c>
      <c r="J52" s="106" t="s">
        <v>342</v>
      </c>
      <c r="K52" s="108"/>
      <c r="L52" s="106" t="s">
        <v>351</v>
      </c>
      <c r="M52" s="107">
        <v>52.5</v>
      </c>
      <c r="N52" s="86"/>
      <c r="O52" s="86"/>
      <c r="P52" s="112">
        <v>240</v>
      </c>
      <c r="Q52" s="111">
        <v>12600</v>
      </c>
      <c r="R52" s="111"/>
    </row>
    <row r="53" spans="1:18" ht="25.5" x14ac:dyDescent="0.35">
      <c r="A53" s="85">
        <v>18</v>
      </c>
      <c r="B53" s="94" t="s">
        <v>327</v>
      </c>
      <c r="C53" s="94"/>
      <c r="D53" s="94"/>
      <c r="E53" s="94"/>
      <c r="F53" s="25" t="s">
        <v>323</v>
      </c>
      <c r="G53" s="25">
        <v>7.6799999999999993E-2</v>
      </c>
      <c r="H53" s="95">
        <v>0.7679999999999999</v>
      </c>
      <c r="I53" s="106">
        <v>4</v>
      </c>
      <c r="J53" s="106" t="s">
        <v>342</v>
      </c>
      <c r="K53" s="108"/>
      <c r="L53" s="106" t="s">
        <v>352</v>
      </c>
      <c r="M53" s="107">
        <v>65.75</v>
      </c>
      <c r="N53" s="86"/>
      <c r="O53" s="86"/>
      <c r="P53" s="112">
        <v>60</v>
      </c>
      <c r="Q53" s="111">
        <v>3945</v>
      </c>
      <c r="R53" s="111"/>
    </row>
    <row r="54" spans="1:18" ht="25.5" x14ac:dyDescent="0.35">
      <c r="A54" s="85"/>
      <c r="B54" s="249"/>
      <c r="C54" s="249"/>
      <c r="D54" s="249"/>
      <c r="E54" s="94"/>
      <c r="F54" s="25"/>
      <c r="G54" s="25"/>
      <c r="H54" s="87"/>
      <c r="I54" s="87"/>
      <c r="J54" s="87"/>
      <c r="K54" s="109"/>
      <c r="L54" s="87"/>
      <c r="M54" s="89"/>
      <c r="N54" s="86"/>
      <c r="O54" s="86"/>
      <c r="P54" s="112"/>
      <c r="Q54" s="114">
        <v>64694.11</v>
      </c>
      <c r="R54" s="111"/>
    </row>
    <row r="55" spans="1:18" ht="25.5" x14ac:dyDescent="0.35">
      <c r="A55" s="1"/>
      <c r="B55" s="250"/>
      <c r="C55" s="250"/>
      <c r="D55" s="250"/>
      <c r="E55" s="122"/>
      <c r="F55" s="123"/>
      <c r="G55" s="123"/>
      <c r="H55" s="124"/>
      <c r="I55" s="124"/>
      <c r="J55" s="124"/>
      <c r="K55" s="124"/>
      <c r="L55" s="124"/>
      <c r="M55" s="125"/>
      <c r="N55" s="126"/>
      <c r="O55" s="126"/>
      <c r="P55" s="127"/>
      <c r="Q55" s="128"/>
      <c r="R55" s="128"/>
    </row>
    <row r="56" spans="1:18" ht="25.5" x14ac:dyDescent="0.35">
      <c r="A56" s="1"/>
      <c r="B56" s="249"/>
      <c r="C56" s="249"/>
      <c r="D56" s="249"/>
      <c r="E56" s="94"/>
      <c r="F56" s="25"/>
      <c r="G56" s="25"/>
      <c r="H56" s="87"/>
      <c r="I56" s="87"/>
      <c r="J56" s="87"/>
      <c r="K56" s="87"/>
      <c r="L56" s="87"/>
      <c r="M56" s="89"/>
      <c r="N56" s="86"/>
      <c r="O56" s="86"/>
      <c r="P56" s="110"/>
      <c r="Q56" s="111"/>
      <c r="R56" s="111"/>
    </row>
    <row r="57" spans="1:18" ht="25.5" x14ac:dyDescent="0.35">
      <c r="A57" s="1"/>
      <c r="B57" s="249"/>
      <c r="C57" s="249"/>
      <c r="D57" s="249"/>
      <c r="E57" s="94"/>
      <c r="F57" s="25"/>
      <c r="G57" s="25"/>
      <c r="H57" s="87"/>
      <c r="I57" s="87"/>
      <c r="J57" s="87"/>
      <c r="K57" s="87"/>
      <c r="L57" s="87"/>
      <c r="M57" s="89"/>
      <c r="N57" s="86"/>
      <c r="O57" s="86"/>
      <c r="P57" s="110"/>
      <c r="Q57" s="111"/>
      <c r="R57" s="111"/>
    </row>
    <row r="58" spans="1:18" ht="25.5" x14ac:dyDescent="0.35">
      <c r="A58" s="1"/>
      <c r="B58" s="249"/>
      <c r="C58" s="249"/>
      <c r="D58" s="249"/>
      <c r="E58" s="94"/>
      <c r="F58" s="25"/>
      <c r="G58" s="25"/>
      <c r="H58" s="87"/>
      <c r="I58" s="87"/>
      <c r="J58" s="87"/>
      <c r="K58" s="87"/>
      <c r="L58" s="87"/>
      <c r="M58" s="89"/>
      <c r="N58" s="86"/>
      <c r="O58" s="86"/>
      <c r="P58" s="110"/>
      <c r="Q58" s="111"/>
      <c r="R58" s="111"/>
    </row>
    <row r="59" spans="1:18" ht="25.5" x14ac:dyDescent="0.35">
      <c r="A59" s="1"/>
      <c r="B59" s="249"/>
      <c r="C59" s="249"/>
      <c r="D59" s="249"/>
      <c r="E59" s="94"/>
      <c r="F59" s="25"/>
      <c r="G59" s="25"/>
      <c r="H59" s="87"/>
      <c r="I59" s="87"/>
      <c r="J59" s="87"/>
      <c r="K59" s="87"/>
      <c r="L59" s="87"/>
      <c r="M59" s="89"/>
      <c r="N59" s="86"/>
      <c r="O59" s="86"/>
      <c r="P59" s="110"/>
      <c r="Q59" s="111"/>
      <c r="R59" s="111"/>
    </row>
    <row r="60" spans="1:18" ht="25.5" x14ac:dyDescent="0.35">
      <c r="A60" s="1"/>
      <c r="B60" s="249"/>
      <c r="C60" s="249"/>
      <c r="D60" s="249"/>
      <c r="E60" s="94"/>
      <c r="F60" s="25"/>
      <c r="G60" s="25"/>
      <c r="H60" s="87"/>
      <c r="I60" s="87"/>
      <c r="J60" s="87"/>
      <c r="K60" s="87"/>
      <c r="L60" s="87"/>
      <c r="M60" s="89"/>
      <c r="N60" s="86"/>
      <c r="O60" s="86"/>
      <c r="P60" s="110"/>
      <c r="Q60" s="111"/>
      <c r="R60" s="111"/>
    </row>
    <row r="61" spans="1:18" ht="25.5" x14ac:dyDescent="0.35">
      <c r="A61" s="1"/>
      <c r="B61" s="249"/>
      <c r="C61" s="249"/>
      <c r="D61" s="249"/>
      <c r="E61" s="94"/>
      <c r="F61" s="25"/>
      <c r="G61" s="25"/>
      <c r="H61" s="87"/>
      <c r="I61" s="87"/>
      <c r="J61" s="87"/>
      <c r="K61" s="87"/>
      <c r="L61" s="87"/>
      <c r="M61" s="89"/>
      <c r="N61" s="86"/>
      <c r="O61" s="86"/>
      <c r="P61" s="110"/>
      <c r="Q61" s="111"/>
      <c r="R61" s="111"/>
    </row>
    <row r="62" spans="1:18" ht="25.5" x14ac:dyDescent="0.35">
      <c r="A62" s="1"/>
      <c r="B62" s="249"/>
      <c r="C62" s="249"/>
      <c r="D62" s="249"/>
      <c r="E62" s="94"/>
      <c r="F62" s="25"/>
      <c r="G62" s="25"/>
      <c r="H62" s="87"/>
      <c r="I62" s="87"/>
      <c r="J62" s="87"/>
      <c r="K62" s="87"/>
      <c r="L62" s="87"/>
      <c r="M62" s="89"/>
      <c r="N62" s="86"/>
      <c r="O62" s="86"/>
      <c r="P62" s="110"/>
      <c r="Q62" s="111"/>
      <c r="R62" s="111"/>
    </row>
    <row r="63" spans="1:18" ht="25.5" x14ac:dyDescent="0.35">
      <c r="A63" s="1"/>
      <c r="B63" s="249"/>
      <c r="C63" s="249"/>
      <c r="D63" s="249"/>
      <c r="E63" s="94"/>
      <c r="F63" s="25"/>
      <c r="G63" s="25"/>
      <c r="H63" s="87"/>
      <c r="I63" s="87"/>
      <c r="J63" s="87"/>
      <c r="K63" s="87"/>
      <c r="L63" s="87"/>
      <c r="M63" s="89"/>
      <c r="N63" s="86"/>
      <c r="O63" s="86"/>
      <c r="P63" s="110"/>
      <c r="Q63" s="111"/>
      <c r="R63" s="111"/>
    </row>
    <row r="64" spans="1:18" ht="25.5" x14ac:dyDescent="0.35">
      <c r="A64" s="1"/>
      <c r="B64" s="249"/>
      <c r="C64" s="249"/>
      <c r="D64" s="249"/>
      <c r="E64" s="94"/>
      <c r="F64" s="25"/>
      <c r="G64" s="25"/>
      <c r="H64" s="87"/>
      <c r="I64" s="87"/>
      <c r="J64" s="87"/>
      <c r="K64" s="87"/>
      <c r="L64" s="87"/>
      <c r="M64" s="89"/>
      <c r="N64" s="86"/>
      <c r="O64" s="86"/>
      <c r="P64" s="110"/>
      <c r="Q64" s="111"/>
      <c r="R64" s="111"/>
    </row>
    <row r="65" spans="1:18" ht="25.5" x14ac:dyDescent="0.35">
      <c r="A65" s="1"/>
      <c r="B65" s="249"/>
      <c r="C65" s="249"/>
      <c r="D65" s="249"/>
      <c r="E65" s="94"/>
      <c r="F65" s="25"/>
      <c r="G65" s="25"/>
      <c r="H65" s="87"/>
      <c r="I65" s="87"/>
      <c r="J65" s="87"/>
      <c r="K65" s="87"/>
      <c r="L65" s="87"/>
      <c r="M65" s="89"/>
      <c r="N65" s="86"/>
      <c r="O65" s="86"/>
      <c r="P65" s="110"/>
      <c r="Q65" s="111"/>
      <c r="R65" s="111"/>
    </row>
    <row r="66" spans="1:18" ht="20.25" x14ac:dyDescent="0.3">
      <c r="B66" s="249"/>
      <c r="C66" s="249"/>
      <c r="D66" s="249"/>
      <c r="E66" s="94"/>
      <c r="F66" s="25"/>
      <c r="G66" s="25"/>
      <c r="H66" s="87"/>
      <c r="I66" s="87"/>
      <c r="J66" s="87"/>
      <c r="K66" s="87"/>
      <c r="L66" s="87"/>
      <c r="M66" s="89"/>
      <c r="N66" s="86"/>
      <c r="O66" s="86"/>
      <c r="P66" s="110"/>
      <c r="Q66" s="111"/>
      <c r="R66" s="111"/>
    </row>
    <row r="67" spans="1:18" ht="20.25" x14ac:dyDescent="0.3">
      <c r="B67" s="249"/>
      <c r="C67" s="249"/>
      <c r="D67" s="249"/>
      <c r="E67" s="94"/>
      <c r="F67" s="25"/>
      <c r="G67" s="25"/>
      <c r="H67" s="87"/>
      <c r="I67" s="87"/>
      <c r="J67" s="87"/>
      <c r="K67" s="87"/>
      <c r="L67" s="87"/>
      <c r="M67" s="89"/>
      <c r="N67" s="86"/>
      <c r="O67" s="86"/>
      <c r="P67" s="110"/>
      <c r="Q67" s="111"/>
      <c r="R67" s="111"/>
    </row>
    <row r="68" spans="1:18" ht="20.25" x14ac:dyDescent="0.3">
      <c r="B68" s="249"/>
      <c r="C68" s="249"/>
      <c r="D68" s="249"/>
      <c r="E68" s="94"/>
      <c r="F68" s="25"/>
      <c r="G68" s="25"/>
      <c r="H68" s="87"/>
      <c r="I68" s="87"/>
      <c r="J68" s="87"/>
      <c r="K68" s="87"/>
      <c r="L68" s="87"/>
      <c r="M68" s="89"/>
      <c r="N68" s="86"/>
      <c r="O68" s="86"/>
      <c r="P68" s="110"/>
      <c r="Q68" s="111"/>
      <c r="R68" s="111"/>
    </row>
    <row r="69" spans="1:18" ht="20.25" x14ac:dyDescent="0.3">
      <c r="B69" s="249"/>
      <c r="C69" s="249"/>
      <c r="D69" s="249"/>
      <c r="E69" s="94"/>
      <c r="F69" s="25"/>
      <c r="G69" s="25"/>
      <c r="H69" s="87"/>
      <c r="I69" s="87"/>
      <c r="J69" s="87"/>
      <c r="K69" s="87"/>
      <c r="L69" s="87"/>
      <c r="M69" s="89"/>
      <c r="N69" s="86"/>
      <c r="O69" s="86"/>
      <c r="P69" s="110"/>
      <c r="Q69" s="111"/>
      <c r="R69" s="111"/>
    </row>
    <row r="70" spans="1:18" ht="20.25" x14ac:dyDescent="0.3">
      <c r="B70" s="249"/>
      <c r="C70" s="249"/>
      <c r="D70" s="249"/>
      <c r="E70" s="94"/>
      <c r="F70" s="25"/>
      <c r="G70" s="25"/>
      <c r="H70" s="87"/>
      <c r="I70" s="87"/>
      <c r="J70" s="87"/>
      <c r="K70" s="87"/>
      <c r="L70" s="87"/>
      <c r="M70" s="89"/>
      <c r="N70" s="86"/>
      <c r="O70" s="86"/>
      <c r="P70" s="110"/>
      <c r="Q70" s="111"/>
      <c r="R70" s="111"/>
    </row>
    <row r="71" spans="1:18" ht="20.25" x14ac:dyDescent="0.3">
      <c r="B71" s="249"/>
      <c r="C71" s="249"/>
      <c r="D71" s="249"/>
      <c r="E71" s="94"/>
      <c r="F71" s="25"/>
      <c r="G71" s="25"/>
      <c r="H71" s="87"/>
      <c r="I71" s="87"/>
      <c r="J71" s="87"/>
      <c r="K71" s="87"/>
      <c r="L71" s="87"/>
      <c r="M71" s="89"/>
      <c r="N71" s="86"/>
      <c r="O71" s="86"/>
      <c r="P71" s="110"/>
      <c r="Q71" s="111"/>
      <c r="R71" s="111"/>
    </row>
    <row r="72" spans="1:18" ht="20.25" x14ac:dyDescent="0.3">
      <c r="B72" s="249"/>
      <c r="C72" s="249"/>
      <c r="D72" s="249"/>
      <c r="E72" s="94"/>
      <c r="F72" s="25"/>
      <c r="G72" s="25"/>
      <c r="H72" s="87"/>
      <c r="I72" s="87"/>
      <c r="J72" s="87"/>
      <c r="K72" s="87"/>
      <c r="L72" s="87"/>
      <c r="M72" s="89"/>
      <c r="N72" s="86"/>
      <c r="O72" s="86"/>
      <c r="P72" s="110"/>
      <c r="Q72" s="111"/>
      <c r="R72" s="111"/>
    </row>
  </sheetData>
  <mergeCells count="47">
    <mergeCell ref="B62:D62"/>
    <mergeCell ref="B6:D6"/>
    <mergeCell ref="B5:D5"/>
    <mergeCell ref="B3:D3"/>
    <mergeCell ref="B13:D13"/>
    <mergeCell ref="B12:D12"/>
    <mergeCell ref="B11:D11"/>
    <mergeCell ref="B10:D10"/>
    <mergeCell ref="B9:D9"/>
    <mergeCell ref="B8:D8"/>
    <mergeCell ref="B23:D23"/>
    <mergeCell ref="B24:D24"/>
    <mergeCell ref="B25:D25"/>
    <mergeCell ref="B26:D26"/>
    <mergeCell ref="B7:D7"/>
    <mergeCell ref="B72:D72"/>
    <mergeCell ref="B17:D17"/>
    <mergeCell ref="B16:D16"/>
    <mergeCell ref="B15:D15"/>
    <mergeCell ref="B14:D14"/>
    <mergeCell ref="B65:D65"/>
    <mergeCell ref="B66:D66"/>
    <mergeCell ref="B67:D67"/>
    <mergeCell ref="B68:D68"/>
    <mergeCell ref="B69:D69"/>
    <mergeCell ref="B63:D63"/>
    <mergeCell ref="B29:D29"/>
    <mergeCell ref="B31:D31"/>
    <mergeCell ref="B18:D18"/>
    <mergeCell ref="B19:D19"/>
    <mergeCell ref="B20:D20"/>
    <mergeCell ref="E29:R29"/>
    <mergeCell ref="B21:D21"/>
    <mergeCell ref="B71:D71"/>
    <mergeCell ref="B64:D64"/>
    <mergeCell ref="B54:D54"/>
    <mergeCell ref="B55:D55"/>
    <mergeCell ref="B56:D56"/>
    <mergeCell ref="B57:D57"/>
    <mergeCell ref="B70:D70"/>
    <mergeCell ref="B59:D59"/>
    <mergeCell ref="B60:D60"/>
    <mergeCell ref="B61:D61"/>
    <mergeCell ref="B58:D58"/>
    <mergeCell ref="B22:D22"/>
    <mergeCell ref="B27:D27"/>
    <mergeCell ref="B28:D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7"/>
  <sheetViews>
    <sheetView topLeftCell="A52" workbookViewId="0">
      <selection activeCell="D74" sqref="D74"/>
    </sheetView>
  </sheetViews>
  <sheetFormatPr defaultRowHeight="12.75" x14ac:dyDescent="0.2"/>
  <cols>
    <col min="1" max="1" width="5.42578125" customWidth="1"/>
    <col min="2" max="2" width="2.140625" customWidth="1"/>
    <col min="3" max="3" width="1.85546875" customWidth="1"/>
    <col min="4" max="4" width="43.85546875" customWidth="1"/>
    <col min="5" max="5" width="7" customWidth="1"/>
    <col min="6" max="6" width="7.5703125" customWidth="1"/>
    <col min="7" max="7" width="6.85546875" customWidth="1"/>
    <col min="8" max="8" width="5" hidden="1" customWidth="1"/>
    <col min="9" max="9" width="7.140625" customWidth="1"/>
    <col min="10" max="10" width="10" customWidth="1"/>
    <col min="11" max="11" width="11.42578125" customWidth="1"/>
    <col min="12" max="12" width="30.5703125" customWidth="1"/>
    <col min="13" max="13" width="11.85546875" customWidth="1"/>
  </cols>
  <sheetData>
    <row r="1" spans="1:19" ht="23.25" x14ac:dyDescent="0.35">
      <c r="B1" s="3" t="s">
        <v>56</v>
      </c>
      <c r="C1" s="3"/>
      <c r="E1" s="12" t="s">
        <v>7</v>
      </c>
      <c r="F1" s="3"/>
      <c r="G1" s="3"/>
      <c r="H1">
        <f>I1</f>
        <v>10</v>
      </c>
      <c r="I1" s="12">
        <v>10</v>
      </c>
      <c r="R1" s="232" t="s">
        <v>486</v>
      </c>
      <c r="S1" s="234">
        <v>42115</v>
      </c>
    </row>
    <row r="2" spans="1:19" ht="51.75" x14ac:dyDescent="0.25">
      <c r="A2" s="11" t="s">
        <v>8</v>
      </c>
      <c r="B2" s="4"/>
      <c r="C2" s="4"/>
      <c r="D2" s="4" t="s">
        <v>9</v>
      </c>
      <c r="E2" s="4" t="s">
        <v>49</v>
      </c>
      <c r="F2" s="11" t="s">
        <v>372</v>
      </c>
      <c r="G2" s="11" t="s">
        <v>10</v>
      </c>
      <c r="H2" s="8">
        <f>I1</f>
        <v>10</v>
      </c>
      <c r="I2" s="9" t="s">
        <v>11</v>
      </c>
      <c r="J2" s="9" t="s">
        <v>12</v>
      </c>
      <c r="K2" s="4" t="s">
        <v>13</v>
      </c>
      <c r="L2" t="s">
        <v>143</v>
      </c>
      <c r="M2" s="55" t="s">
        <v>266</v>
      </c>
      <c r="N2" s="55" t="s">
        <v>267</v>
      </c>
      <c r="O2" s="173" t="s">
        <v>451</v>
      </c>
      <c r="P2" s="11" t="s">
        <v>450</v>
      </c>
      <c r="Q2" s="11" t="s">
        <v>449</v>
      </c>
      <c r="R2" s="231" t="s">
        <v>484</v>
      </c>
    </row>
    <row r="3" spans="1:19" ht="15" x14ac:dyDescent="0.25">
      <c r="A3" s="72"/>
      <c r="B3" s="238" t="s">
        <v>50</v>
      </c>
      <c r="C3" s="238"/>
      <c r="D3" s="72"/>
      <c r="E3" s="72"/>
      <c r="F3" s="72"/>
      <c r="G3" s="72"/>
      <c r="H3" s="72">
        <f>I1</f>
        <v>10</v>
      </c>
      <c r="I3" s="72"/>
      <c r="J3" s="72"/>
      <c r="K3" s="72"/>
      <c r="L3" s="72"/>
      <c r="M3" s="72"/>
      <c r="N3" s="72"/>
      <c r="O3" s="72"/>
      <c r="P3" s="72"/>
      <c r="Q3" s="72"/>
      <c r="R3" s="72"/>
    </row>
    <row r="4" spans="1:19" s="68" customFormat="1" ht="15" x14ac:dyDescent="0.25">
      <c r="A4" s="24">
        <v>1</v>
      </c>
      <c r="B4" s="46"/>
      <c r="C4" s="46" t="s">
        <v>240</v>
      </c>
      <c r="D4" s="24" t="s">
        <v>51</v>
      </c>
      <c r="E4" s="157">
        <v>1</v>
      </c>
      <c r="F4" s="54">
        <v>1</v>
      </c>
      <c r="G4" s="54">
        <v>1</v>
      </c>
      <c r="H4" s="54">
        <f>H1</f>
        <v>10</v>
      </c>
      <c r="I4" s="54"/>
      <c r="J4" s="158">
        <f>(H4*E4)-I4-F4</f>
        <v>9</v>
      </c>
      <c r="K4" s="162" t="s">
        <v>455</v>
      </c>
      <c r="L4" s="24" t="s">
        <v>136</v>
      </c>
      <c r="M4" s="24">
        <v>16</v>
      </c>
      <c r="N4" s="52">
        <f>E4/M4</f>
        <v>6.25E-2</v>
      </c>
      <c r="O4" s="52">
        <f>J4/M4</f>
        <v>0.5625</v>
      </c>
      <c r="P4" s="24">
        <f>Steel!T34</f>
        <v>124.29</v>
      </c>
      <c r="Q4" s="24">
        <f>P4*N4</f>
        <v>7.7681250000000004</v>
      </c>
      <c r="R4">
        <f>G4/M4*P4</f>
        <v>7.7681250000000004</v>
      </c>
    </row>
    <row r="5" spans="1:19" s="68" customFormat="1" ht="15" x14ac:dyDescent="0.25">
      <c r="A5" s="24">
        <v>2</v>
      </c>
      <c r="B5" s="46"/>
      <c r="C5" s="46" t="s">
        <v>240</v>
      </c>
      <c r="D5" s="24" t="s">
        <v>52</v>
      </c>
      <c r="E5" s="157">
        <v>1</v>
      </c>
      <c r="F5" s="54">
        <v>1</v>
      </c>
      <c r="G5" s="54">
        <v>1</v>
      </c>
      <c r="H5" s="54">
        <f>H2</f>
        <v>10</v>
      </c>
      <c r="I5" s="54"/>
      <c r="J5" s="158">
        <f t="shared" ref="J5:J22" si="0">(H5*E5)-I5-F5</f>
        <v>9</v>
      </c>
      <c r="K5" s="162" t="s">
        <v>455</v>
      </c>
      <c r="L5" s="24" t="s">
        <v>136</v>
      </c>
      <c r="M5" s="24">
        <v>2</v>
      </c>
      <c r="N5" s="52">
        <f>E5/M5</f>
        <v>0.5</v>
      </c>
      <c r="O5" s="52">
        <f>J5/M5</f>
        <v>4.5</v>
      </c>
      <c r="P5" s="24">
        <f>Steel!T34</f>
        <v>124.29</v>
      </c>
      <c r="Q5" s="24">
        <f>P5*N5</f>
        <v>62.145000000000003</v>
      </c>
      <c r="R5">
        <f>G5/M5*P5</f>
        <v>62.145000000000003</v>
      </c>
    </row>
    <row r="6" spans="1:19" ht="15" x14ac:dyDescent="0.25">
      <c r="A6">
        <v>4</v>
      </c>
      <c r="D6" t="s">
        <v>53</v>
      </c>
      <c r="E6" s="15">
        <v>3600</v>
      </c>
      <c r="F6" s="17">
        <v>10000</v>
      </c>
      <c r="G6" s="17"/>
      <c r="H6" s="17">
        <f>H2</f>
        <v>10</v>
      </c>
      <c r="I6" s="17"/>
      <c r="J6" s="6">
        <f t="shared" si="0"/>
        <v>26000</v>
      </c>
      <c r="K6" t="s">
        <v>138</v>
      </c>
      <c r="R6" s="49"/>
    </row>
    <row r="7" spans="1:19" s="24" customFormat="1" ht="15" x14ac:dyDescent="0.25">
      <c r="A7" s="24">
        <v>5</v>
      </c>
      <c r="D7" s="24" t="s">
        <v>54</v>
      </c>
      <c r="E7" s="157">
        <v>1</v>
      </c>
      <c r="F7" s="54">
        <v>0</v>
      </c>
      <c r="G7" s="54">
        <v>10</v>
      </c>
      <c r="H7" s="54">
        <f>H3</f>
        <v>10</v>
      </c>
      <c r="I7" s="54"/>
      <c r="J7" s="158">
        <f t="shared" si="0"/>
        <v>10</v>
      </c>
      <c r="K7" s="24" t="s">
        <v>139</v>
      </c>
      <c r="P7" s="24">
        <v>37.049999999999997</v>
      </c>
      <c r="Q7" s="24">
        <f>P7*E7</f>
        <v>37.049999999999997</v>
      </c>
      <c r="R7">
        <f>P7*G7</f>
        <v>370.5</v>
      </c>
    </row>
    <row r="8" spans="1:19" s="24" customFormat="1" ht="15" x14ac:dyDescent="0.25">
      <c r="A8" s="24">
        <v>6</v>
      </c>
      <c r="D8" s="24" t="s">
        <v>115</v>
      </c>
      <c r="E8" s="157">
        <v>1</v>
      </c>
      <c r="F8" s="54">
        <v>0</v>
      </c>
      <c r="G8" s="54">
        <v>10</v>
      </c>
      <c r="H8" s="54">
        <f>H4</f>
        <v>10</v>
      </c>
      <c r="I8" s="54"/>
      <c r="J8" s="158">
        <f t="shared" si="0"/>
        <v>10</v>
      </c>
      <c r="K8" s="24" t="s">
        <v>139</v>
      </c>
      <c r="P8" s="24">
        <v>30.1</v>
      </c>
      <c r="Q8" s="24">
        <f>P8*E8</f>
        <v>30.1</v>
      </c>
      <c r="R8">
        <f>P8*G8</f>
        <v>301</v>
      </c>
    </row>
    <row r="9" spans="1:19" ht="15" x14ac:dyDescent="0.25">
      <c r="A9">
        <v>7</v>
      </c>
      <c r="D9" t="s">
        <v>78</v>
      </c>
      <c r="E9" s="15">
        <v>1</v>
      </c>
      <c r="F9" s="54">
        <v>0</v>
      </c>
      <c r="G9" s="54"/>
      <c r="H9" s="17">
        <f>H5</f>
        <v>10</v>
      </c>
      <c r="I9" s="17"/>
      <c r="J9" s="6">
        <f t="shared" si="0"/>
        <v>10</v>
      </c>
      <c r="K9" s="24" t="s">
        <v>342</v>
      </c>
    </row>
    <row r="10" spans="1:19" ht="15" x14ac:dyDescent="0.25">
      <c r="A10">
        <v>8</v>
      </c>
      <c r="D10" t="s">
        <v>79</v>
      </c>
      <c r="E10" s="15">
        <v>1</v>
      </c>
      <c r="F10" s="54">
        <v>0</v>
      </c>
      <c r="G10" s="54"/>
      <c r="H10" s="17">
        <f>H6</f>
        <v>10</v>
      </c>
      <c r="I10" s="17"/>
      <c r="J10" s="6">
        <f t="shared" si="0"/>
        <v>10</v>
      </c>
      <c r="K10" s="24" t="s">
        <v>342</v>
      </c>
    </row>
    <row r="11" spans="1:19" ht="15" x14ac:dyDescent="0.25">
      <c r="A11">
        <v>9</v>
      </c>
      <c r="D11" t="s">
        <v>80</v>
      </c>
      <c r="E11" s="15">
        <v>1</v>
      </c>
      <c r="F11" s="54">
        <v>0</v>
      </c>
      <c r="G11" s="54"/>
      <c r="H11" s="17">
        <f>H6</f>
        <v>10</v>
      </c>
      <c r="I11" s="17"/>
      <c r="J11" s="6">
        <f t="shared" si="0"/>
        <v>10</v>
      </c>
      <c r="K11" s="24" t="s">
        <v>342</v>
      </c>
    </row>
    <row r="12" spans="1:19" ht="15" x14ac:dyDescent="0.25">
      <c r="A12" s="40">
        <v>10</v>
      </c>
      <c r="D12" t="s">
        <v>374</v>
      </c>
      <c r="E12" s="15">
        <v>0.6</v>
      </c>
      <c r="F12" s="155">
        <v>0.6</v>
      </c>
      <c r="G12" s="155">
        <v>0.6</v>
      </c>
      <c r="H12" s="17">
        <f>H7</f>
        <v>10</v>
      </c>
      <c r="I12" s="155"/>
      <c r="J12" s="6">
        <f>(H12*E12)-I12-F12</f>
        <v>5.4</v>
      </c>
      <c r="K12" t="s">
        <v>423</v>
      </c>
      <c r="L12" s="138" t="s">
        <v>458</v>
      </c>
      <c r="M12" s="24">
        <v>1</v>
      </c>
      <c r="N12" s="52">
        <v>0.6</v>
      </c>
      <c r="O12" s="52">
        <f>J12/M12</f>
        <v>5.4</v>
      </c>
      <c r="P12" s="24">
        <f>Steel!T26</f>
        <v>1460</v>
      </c>
      <c r="Q12" s="24">
        <f>P12*N12</f>
        <v>876</v>
      </c>
      <c r="R12">
        <v>0</v>
      </c>
    </row>
    <row r="13" spans="1:19" ht="15" x14ac:dyDescent="0.25">
      <c r="A13">
        <v>11</v>
      </c>
      <c r="D13" s="138" t="s">
        <v>487</v>
      </c>
      <c r="E13" s="15">
        <v>5</v>
      </c>
      <c r="F13" s="156"/>
      <c r="G13" s="156"/>
      <c r="H13" s="17">
        <f>H8</f>
        <v>10</v>
      </c>
      <c r="I13" s="54"/>
      <c r="J13" s="6">
        <f t="shared" si="0"/>
        <v>50</v>
      </c>
      <c r="K13" t="s">
        <v>221</v>
      </c>
      <c r="L13" s="138" t="s">
        <v>488</v>
      </c>
      <c r="P13" s="162" t="s">
        <v>342</v>
      </c>
      <c r="Q13" s="24"/>
    </row>
    <row r="14" spans="1:19" ht="15" x14ac:dyDescent="0.25">
      <c r="A14" s="72"/>
      <c r="B14" s="71" t="s">
        <v>55</v>
      </c>
      <c r="C14" s="71"/>
      <c r="D14" s="235"/>
      <c r="E14" s="236"/>
      <c r="F14" s="237"/>
      <c r="G14" s="237"/>
      <c r="H14" s="237">
        <f>H9</f>
        <v>10</v>
      </c>
      <c r="I14" s="237"/>
      <c r="J14" s="78">
        <f>(H14*E14)-I14-F14</f>
        <v>0</v>
      </c>
      <c r="K14" s="72"/>
      <c r="L14" s="72"/>
      <c r="M14" s="72"/>
      <c r="N14" s="72"/>
      <c r="O14" s="72"/>
      <c r="P14" s="72"/>
      <c r="Q14" s="72"/>
      <c r="R14" s="72"/>
    </row>
    <row r="15" spans="1:19" ht="15" x14ac:dyDescent="0.25">
      <c r="A15" s="40">
        <v>16</v>
      </c>
      <c r="B15" s="14"/>
      <c r="C15" s="14" t="s">
        <v>240</v>
      </c>
      <c r="D15" s="7" t="s">
        <v>61</v>
      </c>
      <c r="E15" s="5">
        <v>1</v>
      </c>
      <c r="F15" s="54">
        <v>0</v>
      </c>
      <c r="G15" s="54"/>
      <c r="H15" s="17">
        <f>H25</f>
        <v>10</v>
      </c>
      <c r="I15" s="18"/>
      <c r="J15" s="6">
        <f>(H15*E15)-I15-F15</f>
        <v>10</v>
      </c>
      <c r="K15" t="s">
        <v>423</v>
      </c>
      <c r="L15" s="138" t="s">
        <v>456</v>
      </c>
      <c r="M15">
        <v>0.183</v>
      </c>
      <c r="N15">
        <v>0.183</v>
      </c>
      <c r="O15" s="52">
        <f>J15*M15</f>
        <v>1.83</v>
      </c>
      <c r="P15" s="24">
        <f>Steel!T27</f>
        <v>1510</v>
      </c>
      <c r="Q15" s="24">
        <f>P15*N15</f>
        <v>276.33</v>
      </c>
      <c r="R15">
        <f>G15/M15*P15</f>
        <v>0</v>
      </c>
    </row>
    <row r="16" spans="1:19" ht="15" x14ac:dyDescent="0.25">
      <c r="A16" s="40">
        <v>17</v>
      </c>
      <c r="B16" s="14"/>
      <c r="C16" s="14" t="s">
        <v>240</v>
      </c>
      <c r="D16" s="7" t="s">
        <v>62</v>
      </c>
      <c r="E16" s="5">
        <v>1</v>
      </c>
      <c r="F16" s="54">
        <v>0</v>
      </c>
      <c r="G16" s="54"/>
      <c r="H16" s="17">
        <f>H26</f>
        <v>10</v>
      </c>
      <c r="I16" s="17"/>
      <c r="J16" s="6">
        <f>(H16*E16)-I16-F16</f>
        <v>10</v>
      </c>
      <c r="K16" t="s">
        <v>423</v>
      </c>
      <c r="L16" s="138" t="s">
        <v>457</v>
      </c>
      <c r="M16">
        <v>0.13800000000000001</v>
      </c>
      <c r="N16">
        <v>0.13800000000000001</v>
      </c>
      <c r="O16" s="52">
        <f>J16*M16</f>
        <v>1.3800000000000001</v>
      </c>
      <c r="P16" s="24">
        <f>Steel!T28</f>
        <v>1510</v>
      </c>
      <c r="Q16" s="24">
        <f>P16*N16</f>
        <v>208.38000000000002</v>
      </c>
      <c r="R16">
        <f>G16/M16*P16</f>
        <v>0</v>
      </c>
    </row>
    <row r="17" spans="1:18" s="24" customFormat="1" ht="15" x14ac:dyDescent="0.25">
      <c r="A17" s="24">
        <v>13</v>
      </c>
      <c r="D17" s="46" t="s">
        <v>58</v>
      </c>
      <c r="E17" s="157">
        <v>8</v>
      </c>
      <c r="F17" s="54">
        <v>0</v>
      </c>
      <c r="G17" s="54"/>
      <c r="H17" s="54">
        <f>H13</f>
        <v>10</v>
      </c>
      <c r="I17" s="54"/>
      <c r="J17" s="158">
        <f t="shared" si="0"/>
        <v>80</v>
      </c>
      <c r="K17" s="24" t="s">
        <v>137</v>
      </c>
      <c r="L17" s="24" t="s">
        <v>141</v>
      </c>
      <c r="P17" s="24">
        <v>1</v>
      </c>
      <c r="Q17" s="24">
        <f t="shared" ref="Q17:Q22" si="1">P17*E17</f>
        <v>8</v>
      </c>
      <c r="R17" s="49"/>
    </row>
    <row r="18" spans="1:18" s="24" customFormat="1" ht="15" x14ac:dyDescent="0.25">
      <c r="A18" s="24">
        <v>14</v>
      </c>
      <c r="D18" s="159" t="s">
        <v>57</v>
      </c>
      <c r="E18" s="157">
        <v>4</v>
      </c>
      <c r="F18" s="54">
        <v>0</v>
      </c>
      <c r="G18" s="54"/>
      <c r="H18" s="54">
        <f>H14</f>
        <v>10</v>
      </c>
      <c r="I18" s="54"/>
      <c r="J18" s="158">
        <f t="shared" si="0"/>
        <v>40</v>
      </c>
      <c r="K18" s="24" t="s">
        <v>137</v>
      </c>
      <c r="L18" s="24" t="s">
        <v>141</v>
      </c>
      <c r="P18" s="24">
        <v>1</v>
      </c>
      <c r="Q18" s="24">
        <f t="shared" si="1"/>
        <v>4</v>
      </c>
      <c r="R18" s="49"/>
    </row>
    <row r="19" spans="1:18" s="24" customFormat="1" ht="15" x14ac:dyDescent="0.25">
      <c r="A19" s="24">
        <v>15</v>
      </c>
      <c r="D19" s="159" t="s">
        <v>59</v>
      </c>
      <c r="E19" s="157">
        <v>1</v>
      </c>
      <c r="F19" s="54">
        <v>10</v>
      </c>
      <c r="G19" s="54"/>
      <c r="H19" s="54">
        <f>H24</f>
        <v>10</v>
      </c>
      <c r="I19" s="54"/>
      <c r="J19" s="158">
        <f t="shared" si="0"/>
        <v>0</v>
      </c>
      <c r="K19" s="24" t="s">
        <v>140</v>
      </c>
      <c r="P19" s="24">
        <v>100</v>
      </c>
      <c r="Q19" s="24">
        <f t="shared" si="1"/>
        <v>100</v>
      </c>
      <c r="R19" s="24">
        <f>P19*G19</f>
        <v>0</v>
      </c>
    </row>
    <row r="20" spans="1:18" ht="15" x14ac:dyDescent="0.25">
      <c r="A20">
        <v>18</v>
      </c>
      <c r="D20" s="7" t="s">
        <v>116</v>
      </c>
      <c r="E20" s="5">
        <v>350</v>
      </c>
      <c r="F20" s="134"/>
      <c r="G20" s="134"/>
      <c r="H20" s="17">
        <f>H17</f>
        <v>10</v>
      </c>
      <c r="I20" s="134"/>
      <c r="J20" s="6">
        <f t="shared" si="0"/>
        <v>3500</v>
      </c>
      <c r="K20" t="s">
        <v>142</v>
      </c>
      <c r="P20">
        <v>0.15</v>
      </c>
      <c r="Q20" s="24">
        <f t="shared" si="1"/>
        <v>52.5</v>
      </c>
      <c r="R20" s="49"/>
    </row>
    <row r="21" spans="1:18" ht="15" x14ac:dyDescent="0.25">
      <c r="A21">
        <v>19</v>
      </c>
      <c r="D21" s="7" t="s">
        <v>117</v>
      </c>
      <c r="E21" s="5">
        <v>60</v>
      </c>
      <c r="F21" s="134"/>
      <c r="G21" s="134"/>
      <c r="H21" s="17">
        <f>H18</f>
        <v>10</v>
      </c>
      <c r="I21" s="134"/>
      <c r="J21" s="6">
        <f t="shared" si="0"/>
        <v>600</v>
      </c>
      <c r="P21">
        <v>0.2</v>
      </c>
      <c r="Q21" s="24">
        <f t="shared" si="1"/>
        <v>12</v>
      </c>
      <c r="R21" s="49"/>
    </row>
    <row r="22" spans="1:18" ht="15" x14ac:dyDescent="0.25">
      <c r="D22" s="7" t="s">
        <v>85</v>
      </c>
      <c r="E22" s="5">
        <v>400</v>
      </c>
      <c r="F22" s="134"/>
      <c r="G22" s="134"/>
      <c r="H22" s="17">
        <f>H19</f>
        <v>10</v>
      </c>
      <c r="I22" s="134"/>
      <c r="J22" s="6">
        <f t="shared" si="0"/>
        <v>4000</v>
      </c>
      <c r="P22">
        <v>0.12</v>
      </c>
      <c r="Q22" s="24">
        <f t="shared" si="1"/>
        <v>48</v>
      </c>
      <c r="R22" s="49"/>
    </row>
    <row r="23" spans="1:18" ht="15" x14ac:dyDescent="0.25">
      <c r="A23" s="72"/>
      <c r="B23" s="71"/>
      <c r="C23" s="71" t="s">
        <v>262</v>
      </c>
      <c r="D23" s="235"/>
      <c r="E23" s="236">
        <v>1</v>
      </c>
      <c r="F23" s="237">
        <v>12</v>
      </c>
      <c r="G23" s="237"/>
      <c r="H23" s="237">
        <f>H20</f>
        <v>10</v>
      </c>
      <c r="I23" s="237"/>
      <c r="J23" s="78">
        <f>(H23*E23)-I23-F23</f>
        <v>-2</v>
      </c>
      <c r="K23" s="72"/>
      <c r="L23" s="72"/>
      <c r="M23" s="72"/>
      <c r="N23" s="72"/>
      <c r="O23" s="72"/>
      <c r="P23" s="72"/>
      <c r="Q23" s="72"/>
      <c r="R23" s="72"/>
    </row>
    <row r="24" spans="1:18" ht="15" x14ac:dyDescent="0.25">
      <c r="A24" s="40">
        <v>12</v>
      </c>
      <c r="B24" s="14"/>
      <c r="C24" s="14" t="s">
        <v>240</v>
      </c>
      <c r="D24" s="14" t="s">
        <v>60</v>
      </c>
      <c r="E24" s="5">
        <v>1</v>
      </c>
      <c r="F24" s="54">
        <v>0</v>
      </c>
      <c r="G24" s="54"/>
      <c r="H24" s="17">
        <f>H10</f>
        <v>10</v>
      </c>
      <c r="I24" s="134"/>
      <c r="J24" s="6">
        <f>(H24*E24)-I24-F24</f>
        <v>10</v>
      </c>
      <c r="K24" t="s">
        <v>137</v>
      </c>
      <c r="L24" t="s">
        <v>256</v>
      </c>
      <c r="N24" s="20"/>
      <c r="O24" s="20"/>
      <c r="P24" s="24">
        <f>Steel!T34</f>
        <v>124.29</v>
      </c>
      <c r="Q24" s="24">
        <f>P24*N24</f>
        <v>0</v>
      </c>
      <c r="R24" s="49"/>
    </row>
    <row r="25" spans="1:18" ht="15" x14ac:dyDescent="0.25">
      <c r="A25" s="40"/>
      <c r="D25" s="14" t="s">
        <v>133</v>
      </c>
      <c r="E25" s="5">
        <v>1</v>
      </c>
      <c r="F25" s="54">
        <v>0</v>
      </c>
      <c r="G25" s="54"/>
      <c r="H25" s="17">
        <f>H11</f>
        <v>10</v>
      </c>
      <c r="I25" s="134"/>
      <c r="J25" s="6">
        <f>(H25*E25)-I25-F25</f>
        <v>10</v>
      </c>
      <c r="K25" t="s">
        <v>137</v>
      </c>
      <c r="L25" t="s">
        <v>257</v>
      </c>
      <c r="P25" s="24">
        <f>Steel!T26</f>
        <v>1460</v>
      </c>
      <c r="Q25" s="24">
        <f>P25*N25</f>
        <v>0</v>
      </c>
      <c r="R25" s="49"/>
    </row>
    <row r="26" spans="1:18" ht="15" x14ac:dyDescent="0.25">
      <c r="D26" s="14" t="s">
        <v>134</v>
      </c>
      <c r="E26" s="5">
        <v>1</v>
      </c>
      <c r="F26" s="56">
        <v>3</v>
      </c>
      <c r="G26" s="56">
        <v>10</v>
      </c>
      <c r="H26" s="17">
        <f>H12</f>
        <v>10</v>
      </c>
      <c r="I26" s="19"/>
      <c r="J26" s="6">
        <f>(H26*E26)-I26-F26</f>
        <v>7</v>
      </c>
      <c r="K26" t="s">
        <v>139</v>
      </c>
      <c r="P26">
        <v>26.42</v>
      </c>
      <c r="Q26">
        <f>P26*E26</f>
        <v>26.42</v>
      </c>
      <c r="R26">
        <f>P26*G26</f>
        <v>264.20000000000005</v>
      </c>
    </row>
    <row r="27" spans="1:18" ht="21.75" customHeight="1" x14ac:dyDescent="0.35">
      <c r="B27" s="3" t="s">
        <v>76</v>
      </c>
      <c r="C27" s="3"/>
      <c r="E27" s="12" t="s">
        <v>7</v>
      </c>
      <c r="F27" s="3"/>
      <c r="G27" s="3"/>
      <c r="H27" s="17">
        <f>H15</f>
        <v>10</v>
      </c>
      <c r="I27" s="12">
        <v>50</v>
      </c>
      <c r="Q27">
        <f>SUM(Q17:Q22)</f>
        <v>224.5</v>
      </c>
    </row>
    <row r="28" spans="1:18" x14ac:dyDescent="0.2">
      <c r="H28" s="17">
        <f>H16</f>
        <v>10</v>
      </c>
    </row>
    <row r="29" spans="1:18" x14ac:dyDescent="0.2">
      <c r="H29" s="17">
        <f>H20</f>
        <v>10</v>
      </c>
    </row>
    <row r="30" spans="1:18" ht="30" x14ac:dyDescent="0.25">
      <c r="A30" s="11" t="s">
        <v>8</v>
      </c>
      <c r="B30" s="4"/>
      <c r="C30" s="4"/>
      <c r="D30" s="4" t="s">
        <v>9</v>
      </c>
      <c r="E30" s="4" t="s">
        <v>49</v>
      </c>
      <c r="F30" s="10" t="s">
        <v>10</v>
      </c>
      <c r="G30" s="10"/>
      <c r="H30" s="17">
        <f>H21</f>
        <v>10</v>
      </c>
      <c r="I30" s="8" t="s">
        <v>11</v>
      </c>
      <c r="J30" s="9" t="s">
        <v>12</v>
      </c>
    </row>
    <row r="31" spans="1:18" ht="15" x14ac:dyDescent="0.25">
      <c r="B31" s="4"/>
      <c r="C31" s="4"/>
      <c r="H31" s="17">
        <f>H22</f>
        <v>10</v>
      </c>
    </row>
    <row r="32" spans="1:18" s="24" customFormat="1" ht="15" x14ac:dyDescent="0.25">
      <c r="A32" s="72">
        <v>1</v>
      </c>
      <c r="B32" s="71" t="s">
        <v>118</v>
      </c>
      <c r="C32" s="71"/>
      <c r="D32" s="72"/>
      <c r="E32" s="236">
        <v>16</v>
      </c>
      <c r="F32" s="237">
        <v>19</v>
      </c>
      <c r="G32" s="237"/>
      <c r="H32" s="237">
        <f>H27</f>
        <v>10</v>
      </c>
      <c r="I32" s="237"/>
      <c r="J32" s="78">
        <f>(H32*E32)-I32-F32</f>
        <v>141</v>
      </c>
      <c r="K32" s="177" t="s">
        <v>429</v>
      </c>
      <c r="L32" s="72"/>
      <c r="M32" s="72"/>
      <c r="N32" s="241"/>
      <c r="O32" s="241"/>
      <c r="P32" s="72">
        <v>40</v>
      </c>
      <c r="Q32" s="72">
        <f t="shared" ref="Q32:Q37" si="2">P32*E32</f>
        <v>640</v>
      </c>
      <c r="R32" s="72">
        <f>P32*G32</f>
        <v>0</v>
      </c>
    </row>
    <row r="33" spans="1:18" s="24" customFormat="1" ht="15" x14ac:dyDescent="0.25">
      <c r="D33" s="24" t="s">
        <v>85</v>
      </c>
      <c r="E33" s="157">
        <v>100</v>
      </c>
      <c r="F33" s="54"/>
      <c r="G33" s="54"/>
      <c r="H33" s="54">
        <f>H28</f>
        <v>10</v>
      </c>
      <c r="I33" s="54"/>
      <c r="J33" s="158">
        <f>(H33*E33)-I33-F33</f>
        <v>1000</v>
      </c>
      <c r="K33" s="24" t="s">
        <v>138</v>
      </c>
      <c r="P33" s="24">
        <v>0.12</v>
      </c>
      <c r="Q33" s="24">
        <f t="shared" si="2"/>
        <v>12</v>
      </c>
      <c r="R33" s="49"/>
    </row>
    <row r="34" spans="1:18" s="24" customFormat="1" ht="15" x14ac:dyDescent="0.25">
      <c r="A34" s="72">
        <v>2</v>
      </c>
      <c r="B34" s="71" t="s">
        <v>81</v>
      </c>
      <c r="C34" s="71"/>
      <c r="D34" s="72"/>
      <c r="E34" s="240">
        <v>1</v>
      </c>
      <c r="F34" s="237">
        <v>12</v>
      </c>
      <c r="G34" s="237"/>
      <c r="H34" s="237">
        <f>H30</f>
        <v>10</v>
      </c>
      <c r="I34" s="237"/>
      <c r="J34" s="78">
        <f t="shared" ref="J34:J74" si="3">(H34*E34)-I34-F34</f>
        <v>-2</v>
      </c>
      <c r="K34" s="177" t="s">
        <v>429</v>
      </c>
      <c r="L34" s="72"/>
      <c r="M34" s="72"/>
      <c r="N34" s="241"/>
      <c r="O34" s="241"/>
      <c r="P34" s="72">
        <v>50</v>
      </c>
      <c r="Q34" s="72">
        <f t="shared" si="2"/>
        <v>50</v>
      </c>
      <c r="R34" s="72">
        <f>P34*G34</f>
        <v>0</v>
      </c>
    </row>
    <row r="35" spans="1:18" s="24" customFormat="1" ht="15" x14ac:dyDescent="0.25">
      <c r="A35" s="72"/>
      <c r="B35" s="71" t="s">
        <v>82</v>
      </c>
      <c r="C35" s="71"/>
      <c r="D35" s="72"/>
      <c r="E35" s="240">
        <v>1</v>
      </c>
      <c r="F35" s="237">
        <v>11</v>
      </c>
      <c r="G35" s="237"/>
      <c r="H35" s="237">
        <f>H34</f>
        <v>10</v>
      </c>
      <c r="I35" s="237"/>
      <c r="J35" s="78">
        <f>(H35*E35)-I35-F35</f>
        <v>-1</v>
      </c>
      <c r="K35" s="177" t="s">
        <v>429</v>
      </c>
      <c r="L35" s="72"/>
      <c r="M35" s="72"/>
      <c r="N35" s="241"/>
      <c r="O35" s="241"/>
      <c r="P35" s="72">
        <v>50</v>
      </c>
      <c r="Q35" s="72">
        <f t="shared" si="2"/>
        <v>50</v>
      </c>
      <c r="R35" s="72">
        <f t="shared" ref="R35:R37" si="4">P35*G35</f>
        <v>0</v>
      </c>
    </row>
    <row r="36" spans="1:18" s="24" customFormat="1" ht="15" x14ac:dyDescent="0.25">
      <c r="A36" s="72"/>
      <c r="B36" s="71" t="s">
        <v>87</v>
      </c>
      <c r="C36" s="71"/>
      <c r="D36" s="235"/>
      <c r="E36" s="240">
        <v>1</v>
      </c>
      <c r="F36" s="237">
        <v>9</v>
      </c>
      <c r="G36" s="237"/>
      <c r="H36" s="237">
        <f>H35</f>
        <v>10</v>
      </c>
      <c r="I36" s="237"/>
      <c r="J36" s="78">
        <f>(H36*E36)-I36-F36</f>
        <v>1</v>
      </c>
      <c r="K36" s="177" t="s">
        <v>429</v>
      </c>
      <c r="L36" s="72"/>
      <c r="M36" s="72"/>
      <c r="N36" s="241"/>
      <c r="O36" s="241"/>
      <c r="P36" s="72">
        <v>50</v>
      </c>
      <c r="Q36" s="72">
        <f t="shared" si="2"/>
        <v>50</v>
      </c>
      <c r="R36" s="72">
        <f t="shared" si="4"/>
        <v>0</v>
      </c>
    </row>
    <row r="37" spans="1:18" s="24" customFormat="1" ht="15" x14ac:dyDescent="0.25">
      <c r="A37" s="72"/>
      <c r="B37" s="71" t="s">
        <v>86</v>
      </c>
      <c r="C37" s="71"/>
      <c r="D37" s="235"/>
      <c r="E37" s="240">
        <v>1</v>
      </c>
      <c r="F37" s="237">
        <v>43</v>
      </c>
      <c r="G37" s="237"/>
      <c r="H37" s="237">
        <f>H36</f>
        <v>10</v>
      </c>
      <c r="I37" s="237"/>
      <c r="J37" s="78">
        <f>(H37*E37)-I37-F37</f>
        <v>-33</v>
      </c>
      <c r="K37" s="177" t="s">
        <v>429</v>
      </c>
      <c r="L37" s="72"/>
      <c r="M37" s="72"/>
      <c r="N37" s="241"/>
      <c r="O37" s="241"/>
      <c r="P37" s="72">
        <v>50</v>
      </c>
      <c r="Q37" s="72">
        <f t="shared" si="2"/>
        <v>50</v>
      </c>
      <c r="R37" s="72">
        <f t="shared" si="4"/>
        <v>0</v>
      </c>
    </row>
    <row r="38" spans="1:18" ht="15" x14ac:dyDescent="0.25">
      <c r="A38" s="40"/>
      <c r="B38" s="13" t="s">
        <v>263</v>
      </c>
      <c r="C38" s="13"/>
      <c r="D38" s="7"/>
      <c r="E38" s="10"/>
      <c r="F38" s="134"/>
      <c r="G38" s="134"/>
      <c r="H38" s="134">
        <f t="shared" ref="H38:H74" si="5">H37</f>
        <v>10</v>
      </c>
      <c r="I38" s="134"/>
      <c r="J38" s="6"/>
      <c r="N38" s="20"/>
      <c r="O38" s="20"/>
      <c r="P38" s="24"/>
      <c r="Q38" s="24"/>
    </row>
    <row r="39" spans="1:18" s="24" customFormat="1" ht="15" x14ac:dyDescent="0.25">
      <c r="D39" s="24" t="s">
        <v>209</v>
      </c>
      <c r="E39" s="157">
        <v>12</v>
      </c>
      <c r="F39" s="54">
        <v>0</v>
      </c>
      <c r="G39" s="54"/>
      <c r="H39" s="54">
        <f t="shared" si="5"/>
        <v>10</v>
      </c>
      <c r="I39" s="54"/>
      <c r="J39" s="158">
        <f>(H39*E39)-I39-F39</f>
        <v>120</v>
      </c>
      <c r="K39" s="162" t="s">
        <v>433</v>
      </c>
      <c r="P39" s="24">
        <v>7</v>
      </c>
      <c r="Q39" s="24">
        <f t="shared" ref="Q39:Q44" si="6">P39*E39</f>
        <v>84</v>
      </c>
      <c r="R39" s="49"/>
    </row>
    <row r="40" spans="1:18" s="24" customFormat="1" ht="15" x14ac:dyDescent="0.25">
      <c r="D40" s="46" t="s">
        <v>83</v>
      </c>
      <c r="E40" s="157">
        <v>4</v>
      </c>
      <c r="F40" s="54">
        <v>0</v>
      </c>
      <c r="G40" s="54"/>
      <c r="H40" s="54">
        <f t="shared" si="5"/>
        <v>10</v>
      </c>
      <c r="I40" s="54"/>
      <c r="J40" s="158">
        <f t="shared" si="3"/>
        <v>40</v>
      </c>
      <c r="K40" s="162" t="s">
        <v>433</v>
      </c>
      <c r="P40" s="24">
        <v>7</v>
      </c>
      <c r="Q40" s="24">
        <f t="shared" si="6"/>
        <v>28</v>
      </c>
      <c r="R40" s="49"/>
    </row>
    <row r="41" spans="1:18" ht="15" x14ac:dyDescent="0.25">
      <c r="D41" t="s">
        <v>117</v>
      </c>
      <c r="E41" s="5">
        <v>36</v>
      </c>
      <c r="F41" s="134"/>
      <c r="G41" s="134"/>
      <c r="H41" s="134">
        <f t="shared" si="5"/>
        <v>10</v>
      </c>
      <c r="I41" s="134"/>
      <c r="J41" s="6">
        <f t="shared" si="3"/>
        <v>360</v>
      </c>
      <c r="K41" t="s">
        <v>432</v>
      </c>
      <c r="P41">
        <v>0.25</v>
      </c>
      <c r="Q41">
        <f t="shared" si="6"/>
        <v>9</v>
      </c>
      <c r="R41" s="49"/>
    </row>
    <row r="42" spans="1:18" ht="15" x14ac:dyDescent="0.25">
      <c r="D42" t="s">
        <v>84</v>
      </c>
      <c r="E42" s="5">
        <v>12</v>
      </c>
      <c r="F42" s="134"/>
      <c r="G42" s="134"/>
      <c r="H42" s="134">
        <f t="shared" si="5"/>
        <v>10</v>
      </c>
      <c r="I42" s="134"/>
      <c r="J42" s="6">
        <f t="shared" si="3"/>
        <v>120</v>
      </c>
      <c r="K42" t="s">
        <v>431</v>
      </c>
      <c r="P42">
        <v>0.3</v>
      </c>
      <c r="Q42">
        <f t="shared" si="6"/>
        <v>3.5999999999999996</v>
      </c>
      <c r="R42" s="49"/>
    </row>
    <row r="43" spans="1:18" ht="15" x14ac:dyDescent="0.25">
      <c r="A43" s="40"/>
      <c r="D43" s="14" t="s">
        <v>88</v>
      </c>
      <c r="E43" s="5">
        <v>4</v>
      </c>
      <c r="F43" s="17">
        <v>30</v>
      </c>
      <c r="G43" s="17"/>
      <c r="H43" s="17">
        <f t="shared" si="5"/>
        <v>10</v>
      </c>
      <c r="I43" s="17"/>
      <c r="J43" s="6">
        <f t="shared" si="3"/>
        <v>10</v>
      </c>
      <c r="K43" t="s">
        <v>429</v>
      </c>
      <c r="P43">
        <f>'Laser Cutting'!H20</f>
        <v>2.2999999999999998</v>
      </c>
      <c r="Q43">
        <f t="shared" si="6"/>
        <v>9.1999999999999993</v>
      </c>
      <c r="R43" s="49">
        <f>G43</f>
        <v>0</v>
      </c>
    </row>
    <row r="44" spans="1:18" ht="15" x14ac:dyDescent="0.25">
      <c r="A44" s="72"/>
      <c r="B44" s="71" t="s">
        <v>119</v>
      </c>
      <c r="C44" s="71"/>
      <c r="D44" s="81"/>
      <c r="E44" s="240">
        <v>4</v>
      </c>
      <c r="F44" s="237">
        <v>8</v>
      </c>
      <c r="G44" s="237">
        <v>20</v>
      </c>
      <c r="H44" s="237">
        <f t="shared" si="5"/>
        <v>10</v>
      </c>
      <c r="I44" s="239"/>
      <c r="J44" s="78">
        <f t="shared" si="3"/>
        <v>32</v>
      </c>
      <c r="K44" s="72"/>
      <c r="L44" s="72"/>
      <c r="M44" s="72"/>
      <c r="N44" s="72"/>
      <c r="O44" s="72"/>
      <c r="P44" s="72">
        <f>SUM(P45:P47)</f>
        <v>49.04</v>
      </c>
      <c r="Q44" s="72">
        <f t="shared" si="6"/>
        <v>196.16</v>
      </c>
      <c r="R44" s="72">
        <f>P44*G44</f>
        <v>980.8</v>
      </c>
    </row>
    <row r="45" spans="1:18" ht="15" x14ac:dyDescent="0.25">
      <c r="C45" s="14" t="s">
        <v>240</v>
      </c>
      <c r="D45" s="14" t="s">
        <v>145</v>
      </c>
      <c r="E45" s="5">
        <v>4</v>
      </c>
      <c r="F45" s="17">
        <v>0</v>
      </c>
      <c r="G45" s="17"/>
      <c r="H45" s="17">
        <f t="shared" si="5"/>
        <v>10</v>
      </c>
      <c r="I45" s="17"/>
      <c r="J45" s="6">
        <f t="shared" si="3"/>
        <v>40</v>
      </c>
      <c r="K45" s="14" t="s">
        <v>137</v>
      </c>
      <c r="L45" s="14" t="s">
        <v>144</v>
      </c>
      <c r="M45">
        <v>3</v>
      </c>
      <c r="N45" s="20">
        <f>E45/M45</f>
        <v>1.3333333333333333</v>
      </c>
      <c r="O45" s="52">
        <f>J45/M45</f>
        <v>13.333333333333334</v>
      </c>
      <c r="P45" s="24">
        <f>Steel!T32</f>
        <v>24.02</v>
      </c>
      <c r="Q45" s="24">
        <f>P45*N45</f>
        <v>32.026666666666664</v>
      </c>
      <c r="R45">
        <f>P45*G45</f>
        <v>0</v>
      </c>
    </row>
    <row r="46" spans="1:18" ht="15" x14ac:dyDescent="0.25">
      <c r="C46" s="14"/>
      <c r="D46" s="14" t="s">
        <v>120</v>
      </c>
      <c r="E46" s="5">
        <v>8</v>
      </c>
      <c r="F46" s="17">
        <v>0</v>
      </c>
      <c r="G46" s="17"/>
      <c r="H46" s="17">
        <f t="shared" si="5"/>
        <v>10</v>
      </c>
      <c r="I46" s="18"/>
      <c r="J46" s="6">
        <f t="shared" si="3"/>
        <v>80</v>
      </c>
      <c r="K46" s="14" t="s">
        <v>137</v>
      </c>
      <c r="L46" s="14" t="s">
        <v>144</v>
      </c>
      <c r="M46">
        <v>2</v>
      </c>
      <c r="N46" s="20">
        <f>E46/M46</f>
        <v>4</v>
      </c>
      <c r="O46" s="52">
        <f>J46/M46</f>
        <v>40</v>
      </c>
      <c r="P46" s="24">
        <f>Steel!T32</f>
        <v>24.02</v>
      </c>
      <c r="Q46" s="24">
        <f>P46*N46</f>
        <v>96.08</v>
      </c>
      <c r="R46">
        <f t="shared" ref="R46:R49" si="7">P46*G46</f>
        <v>0</v>
      </c>
    </row>
    <row r="47" spans="1:18" ht="15" x14ac:dyDescent="0.25">
      <c r="C47" s="14" t="s">
        <v>240</v>
      </c>
      <c r="D47" s="14" t="s">
        <v>227</v>
      </c>
      <c r="E47" s="5">
        <v>4</v>
      </c>
      <c r="F47" s="17">
        <v>0</v>
      </c>
      <c r="G47" s="17"/>
      <c r="H47" s="17">
        <f t="shared" si="5"/>
        <v>10</v>
      </c>
      <c r="I47" s="17"/>
      <c r="J47" s="6">
        <f t="shared" si="3"/>
        <v>40</v>
      </c>
      <c r="K47" s="14" t="s">
        <v>137</v>
      </c>
      <c r="P47" s="24">
        <v>1</v>
      </c>
      <c r="Q47" s="24">
        <f>P47*E47</f>
        <v>4</v>
      </c>
      <c r="R47">
        <f t="shared" si="7"/>
        <v>0</v>
      </c>
    </row>
    <row r="48" spans="1:18" ht="15" x14ac:dyDescent="0.25">
      <c r="A48" s="72"/>
      <c r="B48" s="71" t="s">
        <v>89</v>
      </c>
      <c r="C48" s="71"/>
      <c r="D48" s="72"/>
      <c r="E48" s="240">
        <v>4</v>
      </c>
      <c r="F48" s="237">
        <v>0</v>
      </c>
      <c r="G48" s="237"/>
      <c r="H48" s="237">
        <f t="shared" si="5"/>
        <v>10</v>
      </c>
      <c r="I48" s="237"/>
      <c r="J48" s="78">
        <f t="shared" si="3"/>
        <v>40</v>
      </c>
      <c r="K48" s="72"/>
      <c r="L48" s="72"/>
      <c r="M48" s="72"/>
      <c r="N48" s="72"/>
      <c r="O48" s="72"/>
      <c r="P48" s="72"/>
      <c r="Q48" s="72"/>
      <c r="R48" s="72"/>
    </row>
    <row r="49" spans="1:18" ht="15" x14ac:dyDescent="0.25">
      <c r="A49" s="40"/>
      <c r="C49" s="14" t="s">
        <v>240</v>
      </c>
      <c r="D49" s="14" t="s">
        <v>125</v>
      </c>
      <c r="E49" s="5">
        <v>4</v>
      </c>
      <c r="F49" s="17">
        <v>0</v>
      </c>
      <c r="G49" s="17">
        <v>10</v>
      </c>
      <c r="H49" s="17">
        <f t="shared" si="5"/>
        <v>10</v>
      </c>
      <c r="I49" s="17"/>
      <c r="J49" s="6">
        <f t="shared" si="3"/>
        <v>40</v>
      </c>
      <c r="K49" s="14" t="s">
        <v>137</v>
      </c>
      <c r="L49" s="14" t="s">
        <v>146</v>
      </c>
      <c r="M49">
        <v>2</v>
      </c>
      <c r="N49" s="20">
        <f>E49/M49</f>
        <v>2</v>
      </c>
      <c r="O49" s="52">
        <f>J49/M49</f>
        <v>20</v>
      </c>
      <c r="P49" s="24">
        <f>Steel!T30</f>
        <v>10.06</v>
      </c>
      <c r="Q49" s="24">
        <f>P49*N49</f>
        <v>20.12</v>
      </c>
      <c r="R49">
        <f t="shared" si="7"/>
        <v>100.60000000000001</v>
      </c>
    </row>
    <row r="50" spans="1:18" ht="15" x14ac:dyDescent="0.25">
      <c r="D50" s="14" t="s">
        <v>84</v>
      </c>
      <c r="E50" s="5">
        <v>2</v>
      </c>
      <c r="F50" s="134"/>
      <c r="G50" s="134"/>
      <c r="H50" s="134">
        <f t="shared" si="5"/>
        <v>10</v>
      </c>
      <c r="I50" s="135"/>
      <c r="J50" s="6">
        <f t="shared" si="3"/>
        <v>20</v>
      </c>
      <c r="K50" s="138" t="s">
        <v>431</v>
      </c>
      <c r="P50" s="24">
        <v>0.3</v>
      </c>
      <c r="Q50" s="24">
        <f>P50*E50</f>
        <v>0.6</v>
      </c>
      <c r="R50" s="49"/>
    </row>
    <row r="51" spans="1:18" ht="15" x14ac:dyDescent="0.25">
      <c r="D51" s="14" t="s">
        <v>124</v>
      </c>
      <c r="E51" s="5">
        <v>1</v>
      </c>
      <c r="F51" s="134"/>
      <c r="G51" s="134"/>
      <c r="H51" s="134">
        <f t="shared" si="5"/>
        <v>10</v>
      </c>
      <c r="I51" s="134"/>
      <c r="J51" s="6">
        <f t="shared" si="3"/>
        <v>10</v>
      </c>
      <c r="K51" s="138" t="s">
        <v>417</v>
      </c>
      <c r="P51" s="24">
        <v>2</v>
      </c>
      <c r="Q51" s="24">
        <f>P51*E51</f>
        <v>2</v>
      </c>
      <c r="R51" s="49"/>
    </row>
    <row r="52" spans="1:18" ht="15" x14ac:dyDescent="0.25">
      <c r="D52" s="14" t="s">
        <v>127</v>
      </c>
      <c r="E52" s="5">
        <v>1</v>
      </c>
      <c r="F52" s="134"/>
      <c r="G52" s="134"/>
      <c r="H52" s="134">
        <f t="shared" si="5"/>
        <v>10</v>
      </c>
      <c r="I52" s="134"/>
      <c r="J52" s="6">
        <f t="shared" si="3"/>
        <v>10</v>
      </c>
      <c r="K52" s="138" t="s">
        <v>417</v>
      </c>
      <c r="P52" s="24">
        <v>0.5</v>
      </c>
      <c r="Q52" s="24">
        <f>P52*E52</f>
        <v>0.5</v>
      </c>
      <c r="R52" s="49"/>
    </row>
    <row r="53" spans="1:18" ht="15" x14ac:dyDescent="0.25">
      <c r="A53" s="72"/>
      <c r="B53" s="71" t="s">
        <v>122</v>
      </c>
      <c r="C53" s="71"/>
      <c r="D53" s="72"/>
      <c r="E53" s="236">
        <v>4</v>
      </c>
      <c r="F53" s="237">
        <v>20</v>
      </c>
      <c r="G53" s="237"/>
      <c r="H53" s="237">
        <f t="shared" si="5"/>
        <v>10</v>
      </c>
      <c r="I53" s="237"/>
      <c r="J53" s="78">
        <f t="shared" si="3"/>
        <v>20</v>
      </c>
      <c r="K53" s="72"/>
      <c r="L53" s="72"/>
      <c r="M53" s="72"/>
      <c r="N53" s="72"/>
      <c r="O53" s="72"/>
      <c r="P53" s="72"/>
      <c r="Q53" s="72"/>
      <c r="R53" s="72"/>
    </row>
    <row r="54" spans="1:18" ht="15" x14ac:dyDescent="0.25">
      <c r="A54" s="40"/>
      <c r="B54" s="13"/>
      <c r="C54" s="13"/>
      <c r="D54" t="s">
        <v>126</v>
      </c>
      <c r="E54" s="5">
        <v>1</v>
      </c>
      <c r="F54" s="134"/>
      <c r="G54" s="134"/>
      <c r="H54" s="134">
        <f t="shared" si="5"/>
        <v>10</v>
      </c>
      <c r="I54" s="134"/>
      <c r="J54" s="6">
        <f t="shared" si="3"/>
        <v>10</v>
      </c>
      <c r="K54" s="14" t="s">
        <v>137</v>
      </c>
      <c r="L54" s="14" t="s">
        <v>151</v>
      </c>
      <c r="M54">
        <v>53</v>
      </c>
      <c r="N54" s="20">
        <f>E54/M54</f>
        <v>1.8867924528301886E-2</v>
      </c>
      <c r="O54" s="52">
        <f>J54/M54</f>
        <v>0.18867924528301888</v>
      </c>
      <c r="P54" s="24">
        <f>Steel!T31</f>
        <v>12.49</v>
      </c>
      <c r="Q54" s="24">
        <f>P54*N54</f>
        <v>0.23566037735849057</v>
      </c>
      <c r="R54">
        <f t="shared" ref="R54:R55" si="8">P54*G54</f>
        <v>0</v>
      </c>
    </row>
    <row r="55" spans="1:18" ht="15" x14ac:dyDescent="0.25">
      <c r="A55" s="40"/>
      <c r="D55" s="14" t="s">
        <v>218</v>
      </c>
      <c r="E55" s="5">
        <v>2</v>
      </c>
      <c r="F55" s="134"/>
      <c r="G55" s="134"/>
      <c r="H55" s="134">
        <f t="shared" si="5"/>
        <v>10</v>
      </c>
      <c r="I55" s="135"/>
      <c r="J55" s="6">
        <f t="shared" si="3"/>
        <v>20</v>
      </c>
      <c r="K55" s="14" t="s">
        <v>137</v>
      </c>
      <c r="L55" t="s">
        <v>219</v>
      </c>
      <c r="P55" s="24">
        <v>2</v>
      </c>
      <c r="Q55" s="24">
        <f>P55*E55</f>
        <v>4</v>
      </c>
      <c r="R55">
        <f t="shared" si="8"/>
        <v>0</v>
      </c>
    </row>
    <row r="56" spans="1:18" ht="15" x14ac:dyDescent="0.25">
      <c r="A56" s="72"/>
      <c r="B56" s="71" t="s">
        <v>90</v>
      </c>
      <c r="C56" s="71"/>
      <c r="D56" s="72"/>
      <c r="E56" s="236">
        <v>0</v>
      </c>
      <c r="F56" s="237">
        <v>0</v>
      </c>
      <c r="G56" s="237"/>
      <c r="H56" s="237">
        <f t="shared" si="5"/>
        <v>10</v>
      </c>
      <c r="I56" s="239"/>
      <c r="J56" s="78">
        <f>(H56*E56)-I56-F56</f>
        <v>0</v>
      </c>
      <c r="K56" s="72"/>
      <c r="L56" s="72"/>
      <c r="M56" s="72"/>
      <c r="N56" s="72"/>
      <c r="O56" s="72"/>
      <c r="P56" s="72"/>
      <c r="Q56" s="72"/>
      <c r="R56" s="72"/>
    </row>
    <row r="57" spans="1:18" s="24" customFormat="1" ht="15" x14ac:dyDescent="0.25">
      <c r="B57" s="160"/>
      <c r="C57" s="160"/>
      <c r="D57" s="24" t="s">
        <v>90</v>
      </c>
      <c r="E57" s="157">
        <v>1</v>
      </c>
      <c r="F57" s="54">
        <v>3</v>
      </c>
      <c r="G57" s="54">
        <v>10</v>
      </c>
      <c r="H57" s="54">
        <f t="shared" si="5"/>
        <v>10</v>
      </c>
      <c r="I57" s="161"/>
      <c r="J57" s="158">
        <f>(H57*E57)-I57-F57</f>
        <v>7</v>
      </c>
      <c r="K57" s="24" t="s">
        <v>139</v>
      </c>
      <c r="P57" s="24">
        <v>49.76</v>
      </c>
      <c r="Q57" s="24">
        <f>P57*E57</f>
        <v>49.76</v>
      </c>
      <c r="R57" s="24">
        <f>P57*G57</f>
        <v>497.59999999999997</v>
      </c>
    </row>
    <row r="58" spans="1:18" s="24" customFormat="1" ht="15" x14ac:dyDescent="0.25">
      <c r="D58" s="46" t="s">
        <v>269</v>
      </c>
      <c r="E58" s="157">
        <v>1</v>
      </c>
      <c r="F58" s="54">
        <v>3</v>
      </c>
      <c r="G58" s="54">
        <v>10</v>
      </c>
      <c r="H58" s="54">
        <f t="shared" si="5"/>
        <v>10</v>
      </c>
      <c r="I58" s="161"/>
      <c r="J58" s="158">
        <f>(H58*E58)-I58-F58</f>
        <v>7</v>
      </c>
      <c r="K58" s="46" t="s">
        <v>139</v>
      </c>
      <c r="P58" s="24">
        <v>50.6</v>
      </c>
      <c r="Q58" s="24">
        <f>P58*E58</f>
        <v>50.6</v>
      </c>
      <c r="R58" s="24">
        <f>P58*G58</f>
        <v>506</v>
      </c>
    </row>
    <row r="59" spans="1:18" ht="15" x14ac:dyDescent="0.25">
      <c r="D59" s="14" t="s">
        <v>121</v>
      </c>
      <c r="E59" s="5">
        <v>1</v>
      </c>
      <c r="F59" s="17">
        <v>1</v>
      </c>
      <c r="G59" s="17"/>
      <c r="H59" s="17">
        <f t="shared" si="5"/>
        <v>10</v>
      </c>
      <c r="I59" s="18"/>
      <c r="J59" s="6">
        <f t="shared" si="3"/>
        <v>9</v>
      </c>
      <c r="K59" s="138" t="s">
        <v>433</v>
      </c>
      <c r="P59" s="24">
        <v>7</v>
      </c>
      <c r="Q59" s="24">
        <f>P59*E59</f>
        <v>7</v>
      </c>
      <c r="R59" s="49"/>
    </row>
    <row r="60" spans="1:18" ht="15" x14ac:dyDescent="0.25">
      <c r="D60" s="138" t="s">
        <v>434</v>
      </c>
      <c r="E60" s="5">
        <v>1</v>
      </c>
      <c r="F60" s="17">
        <v>1</v>
      </c>
      <c r="G60" s="17">
        <v>3</v>
      </c>
      <c r="H60" s="17">
        <f t="shared" si="5"/>
        <v>10</v>
      </c>
      <c r="I60" s="18"/>
      <c r="J60" s="6">
        <f>(H60*E60)-I60-F60</f>
        <v>9</v>
      </c>
      <c r="K60" s="138"/>
      <c r="P60" s="24">
        <v>14</v>
      </c>
      <c r="Q60" s="24">
        <f>P60*E60</f>
        <v>14</v>
      </c>
      <c r="R60" s="24">
        <f>P60*G60</f>
        <v>42</v>
      </c>
    </row>
    <row r="61" spans="1:18" ht="15" x14ac:dyDescent="0.25">
      <c r="A61" s="72"/>
      <c r="B61" s="71" t="s">
        <v>148</v>
      </c>
      <c r="C61" s="71"/>
      <c r="D61" s="72"/>
      <c r="E61" s="236">
        <v>1</v>
      </c>
      <c r="F61" s="237">
        <v>40</v>
      </c>
      <c r="G61" s="237"/>
      <c r="H61" s="237">
        <f>H59</f>
        <v>10</v>
      </c>
      <c r="I61" s="237"/>
      <c r="J61" s="78">
        <f t="shared" si="3"/>
        <v>-30</v>
      </c>
      <c r="K61" s="72"/>
      <c r="L61" s="72"/>
      <c r="M61" s="72"/>
      <c r="N61" s="72"/>
      <c r="O61" s="72"/>
      <c r="P61" s="72"/>
      <c r="Q61" s="72"/>
      <c r="R61" s="72"/>
    </row>
    <row r="62" spans="1:18" ht="15" x14ac:dyDescent="0.25">
      <c r="B62" s="16"/>
      <c r="C62" s="16"/>
      <c r="D62" s="16" t="s">
        <v>91</v>
      </c>
      <c r="E62" s="5">
        <v>1</v>
      </c>
      <c r="F62" s="134">
        <v>40</v>
      </c>
      <c r="G62" s="134"/>
      <c r="H62" s="134">
        <f t="shared" si="5"/>
        <v>10</v>
      </c>
      <c r="I62" s="134"/>
      <c r="J62" s="6">
        <f t="shared" si="3"/>
        <v>-30</v>
      </c>
      <c r="K62" s="14" t="s">
        <v>137</v>
      </c>
      <c r="P62" s="24">
        <v>2</v>
      </c>
      <c r="Q62" s="24">
        <f>P62*E62</f>
        <v>2</v>
      </c>
      <c r="R62" s="49"/>
    </row>
    <row r="63" spans="1:18" ht="15" x14ac:dyDescent="0.25">
      <c r="B63" s="16"/>
      <c r="C63" s="16"/>
      <c r="D63" s="16" t="s">
        <v>92</v>
      </c>
      <c r="E63" s="5">
        <v>1</v>
      </c>
      <c r="F63" s="134"/>
      <c r="G63" s="134"/>
      <c r="H63" s="134">
        <f t="shared" si="5"/>
        <v>10</v>
      </c>
      <c r="I63" s="135"/>
      <c r="J63" s="6">
        <f t="shared" si="3"/>
        <v>10</v>
      </c>
      <c r="K63" s="138" t="s">
        <v>417</v>
      </c>
      <c r="P63" s="24">
        <v>0.5</v>
      </c>
      <c r="Q63" s="24">
        <f>P63*E63</f>
        <v>0.5</v>
      </c>
      <c r="R63" s="49"/>
    </row>
    <row r="64" spans="1:18" ht="15" x14ac:dyDescent="0.25">
      <c r="A64" s="40"/>
      <c r="B64" s="16"/>
      <c r="C64" s="16" t="s">
        <v>240</v>
      </c>
      <c r="D64" s="16" t="s">
        <v>149</v>
      </c>
      <c r="E64" s="5">
        <v>1</v>
      </c>
      <c r="F64" s="54"/>
      <c r="G64" s="54"/>
      <c r="H64" s="54">
        <f t="shared" si="5"/>
        <v>10</v>
      </c>
      <c r="I64" s="54"/>
      <c r="J64" s="6">
        <f t="shared" si="3"/>
        <v>10</v>
      </c>
      <c r="K64" s="14" t="s">
        <v>137</v>
      </c>
      <c r="L64" s="14" t="s">
        <v>146</v>
      </c>
      <c r="M64">
        <v>2</v>
      </c>
      <c r="N64" s="20">
        <f>E64/M64</f>
        <v>0.5</v>
      </c>
      <c r="O64" s="52">
        <f>J64/M64</f>
        <v>5</v>
      </c>
      <c r="P64" s="24">
        <f>Steel!T30</f>
        <v>10.06</v>
      </c>
      <c r="Q64" s="24">
        <f>P64*N64</f>
        <v>5.03</v>
      </c>
      <c r="R64" s="24"/>
    </row>
    <row r="65" spans="1:18" ht="15" x14ac:dyDescent="0.25">
      <c r="A65" s="40"/>
      <c r="B65" s="16"/>
      <c r="C65" s="16" t="s">
        <v>240</v>
      </c>
      <c r="D65" s="16" t="s">
        <v>150</v>
      </c>
      <c r="E65" s="5">
        <v>1</v>
      </c>
      <c r="F65" s="54"/>
      <c r="G65" s="54"/>
      <c r="H65" s="54">
        <f t="shared" si="5"/>
        <v>10</v>
      </c>
      <c r="I65" s="54"/>
      <c r="J65" s="6">
        <f t="shared" si="3"/>
        <v>10</v>
      </c>
      <c r="K65" s="14" t="s">
        <v>137</v>
      </c>
      <c r="L65" s="14" t="s">
        <v>146</v>
      </c>
      <c r="M65">
        <v>2</v>
      </c>
      <c r="N65" s="20">
        <f>E65/M65</f>
        <v>0.5</v>
      </c>
      <c r="O65" s="52">
        <f>J65/M65</f>
        <v>5</v>
      </c>
      <c r="P65" s="24">
        <f>Steel!T30</f>
        <v>10.06</v>
      </c>
      <c r="Q65" s="24">
        <f>P65*N65</f>
        <v>5.03</v>
      </c>
      <c r="R65" s="24"/>
    </row>
    <row r="66" spans="1:18" ht="15" x14ac:dyDescent="0.25">
      <c r="A66" s="72"/>
      <c r="B66" s="71" t="s">
        <v>147</v>
      </c>
      <c r="C66" s="71"/>
      <c r="D66" s="72"/>
      <c r="E66" s="236">
        <v>1</v>
      </c>
      <c r="F66" s="237">
        <v>100</v>
      </c>
      <c r="G66" s="237"/>
      <c r="H66" s="237">
        <f t="shared" si="5"/>
        <v>10</v>
      </c>
      <c r="I66" s="239"/>
      <c r="J66" s="78">
        <f t="shared" si="3"/>
        <v>-90</v>
      </c>
      <c r="K66" s="72"/>
      <c r="L66" s="72"/>
      <c r="M66" s="72"/>
      <c r="N66" s="72"/>
      <c r="O66" s="72"/>
      <c r="P66" s="72"/>
      <c r="Q66" s="72"/>
      <c r="R66" s="72"/>
    </row>
    <row r="67" spans="1:18" ht="15" x14ac:dyDescent="0.25">
      <c r="A67" s="40"/>
      <c r="D67" s="14" t="s">
        <v>93</v>
      </c>
      <c r="E67" s="5">
        <v>1</v>
      </c>
      <c r="F67" s="134"/>
      <c r="G67" s="134"/>
      <c r="H67" s="134">
        <f t="shared" si="5"/>
        <v>10</v>
      </c>
      <c r="I67" s="134"/>
      <c r="J67" s="6">
        <f t="shared" si="3"/>
        <v>10</v>
      </c>
      <c r="K67" s="14" t="s">
        <v>137</v>
      </c>
      <c r="L67" s="14" t="s">
        <v>146</v>
      </c>
      <c r="N67" s="20"/>
      <c r="O67" s="20"/>
      <c r="P67" s="24">
        <f>Steel!T30</f>
        <v>10.06</v>
      </c>
      <c r="Q67" s="24">
        <f>P67*N67</f>
        <v>0</v>
      </c>
      <c r="R67" s="49"/>
    </row>
    <row r="68" spans="1:18" ht="15" x14ac:dyDescent="0.25">
      <c r="A68" s="40"/>
      <c r="D68" s="14" t="s">
        <v>94</v>
      </c>
      <c r="E68" s="5">
        <v>1</v>
      </c>
      <c r="F68" s="134"/>
      <c r="G68" s="134"/>
      <c r="H68" s="134">
        <f t="shared" si="5"/>
        <v>10</v>
      </c>
      <c r="I68" s="134"/>
      <c r="J68" s="6">
        <f t="shared" si="3"/>
        <v>10</v>
      </c>
      <c r="K68" s="14" t="s">
        <v>137</v>
      </c>
      <c r="L68" s="14" t="s">
        <v>146</v>
      </c>
      <c r="N68" s="20"/>
      <c r="O68" s="20"/>
      <c r="P68" s="24">
        <f>Steel!T30</f>
        <v>10.06</v>
      </c>
      <c r="Q68" s="24">
        <f>P68*N68</f>
        <v>0</v>
      </c>
      <c r="R68" s="49"/>
    </row>
    <row r="69" spans="1:18" ht="15" x14ac:dyDescent="0.25">
      <c r="A69" s="40"/>
      <c r="D69" s="14" t="s">
        <v>95</v>
      </c>
      <c r="E69" s="5">
        <v>1</v>
      </c>
      <c r="F69" s="134"/>
      <c r="G69" s="134"/>
      <c r="H69" s="134">
        <f t="shared" si="5"/>
        <v>10</v>
      </c>
      <c r="I69" s="135"/>
      <c r="J69" s="6">
        <f t="shared" si="3"/>
        <v>10</v>
      </c>
      <c r="K69" s="14" t="s">
        <v>137</v>
      </c>
      <c r="L69" s="14" t="s">
        <v>146</v>
      </c>
      <c r="N69" s="20"/>
      <c r="O69" s="20"/>
      <c r="P69" s="24">
        <f>Steel!T30</f>
        <v>10.06</v>
      </c>
      <c r="Q69" s="24">
        <f>P69*N69</f>
        <v>0</v>
      </c>
      <c r="R69" s="49"/>
    </row>
    <row r="70" spans="1:18" ht="15" x14ac:dyDescent="0.25">
      <c r="A70" s="40"/>
      <c r="D70" s="14" t="s">
        <v>96</v>
      </c>
      <c r="E70" s="5">
        <v>1</v>
      </c>
      <c r="F70" s="134"/>
      <c r="G70" s="134"/>
      <c r="H70" s="134">
        <f t="shared" si="5"/>
        <v>10</v>
      </c>
      <c r="I70" s="134"/>
      <c r="J70" s="6">
        <f t="shared" si="3"/>
        <v>10</v>
      </c>
      <c r="K70" s="14" t="s">
        <v>137</v>
      </c>
      <c r="P70" s="24">
        <v>1</v>
      </c>
      <c r="Q70" s="24">
        <f>P70*E70</f>
        <v>1</v>
      </c>
      <c r="R70" s="49"/>
    </row>
    <row r="71" spans="1:18" ht="15" x14ac:dyDescent="0.25">
      <c r="A71" s="72"/>
      <c r="B71" s="71" t="s">
        <v>123</v>
      </c>
      <c r="C71" s="71"/>
      <c r="D71" s="72"/>
      <c r="E71" s="236"/>
      <c r="F71" s="237"/>
      <c r="G71" s="237"/>
      <c r="H71" s="237">
        <f t="shared" si="5"/>
        <v>10</v>
      </c>
      <c r="I71" s="237"/>
      <c r="J71" s="78">
        <f t="shared" si="3"/>
        <v>0</v>
      </c>
      <c r="K71" s="72"/>
      <c r="L71" s="72"/>
      <c r="M71" s="72"/>
      <c r="N71" s="72"/>
      <c r="O71" s="72"/>
      <c r="P71" s="72"/>
      <c r="Q71" s="72"/>
      <c r="R71" s="72"/>
    </row>
    <row r="72" spans="1:18" ht="15" x14ac:dyDescent="0.25">
      <c r="A72" s="40"/>
      <c r="D72" s="14" t="s">
        <v>97</v>
      </c>
      <c r="E72" s="5">
        <v>1</v>
      </c>
      <c r="F72" s="134"/>
      <c r="G72" s="134"/>
      <c r="H72" s="134">
        <f t="shared" si="5"/>
        <v>10</v>
      </c>
      <c r="I72" s="135"/>
      <c r="J72" s="6">
        <f t="shared" si="3"/>
        <v>10</v>
      </c>
      <c r="K72" s="14" t="s">
        <v>137</v>
      </c>
      <c r="L72" s="14" t="s">
        <v>151</v>
      </c>
      <c r="M72" s="14">
        <v>53</v>
      </c>
      <c r="N72" s="20">
        <f>E72/M72</f>
        <v>1.8867924528301886E-2</v>
      </c>
      <c r="O72" s="52">
        <f>J72/M72</f>
        <v>0.18867924528301888</v>
      </c>
      <c r="P72" s="24">
        <f>Steel!T31</f>
        <v>12.49</v>
      </c>
      <c r="Q72" s="24">
        <f>P72*N72</f>
        <v>0.23566037735849057</v>
      </c>
      <c r="R72" s="49"/>
    </row>
    <row r="73" spans="1:18" ht="15" x14ac:dyDescent="0.25">
      <c r="A73" s="40"/>
      <c r="D73" s="14" t="s">
        <v>98</v>
      </c>
      <c r="E73" s="5">
        <v>1</v>
      </c>
      <c r="F73" s="134"/>
      <c r="G73" s="134"/>
      <c r="H73" s="134">
        <f t="shared" si="5"/>
        <v>10</v>
      </c>
      <c r="I73" s="134"/>
      <c r="J73" s="6">
        <f t="shared" si="3"/>
        <v>10</v>
      </c>
      <c r="K73" s="14" t="s">
        <v>137</v>
      </c>
      <c r="L73" s="14" t="s">
        <v>225</v>
      </c>
      <c r="P73" s="49"/>
      <c r="Q73" s="49"/>
      <c r="R73" s="49"/>
    </row>
    <row r="74" spans="1:18" ht="15" x14ac:dyDescent="0.25">
      <c r="D74" s="14" t="s">
        <v>220</v>
      </c>
      <c r="E74" s="5">
        <v>1</v>
      </c>
      <c r="F74" s="134"/>
      <c r="G74" s="134"/>
      <c r="H74" s="134">
        <f t="shared" si="5"/>
        <v>10</v>
      </c>
      <c r="I74" s="134"/>
      <c r="J74" s="6">
        <f t="shared" si="3"/>
        <v>10</v>
      </c>
      <c r="K74" s="14" t="s">
        <v>221</v>
      </c>
      <c r="P74" s="49"/>
      <c r="Q74" s="49"/>
      <c r="R74" s="49"/>
    </row>
    <row r="75" spans="1:18" x14ac:dyDescent="0.2">
      <c r="H75" s="17">
        <f>H70</f>
        <v>10</v>
      </c>
      <c r="P75">
        <f>SUM(P4:P74)</f>
        <v>7078.9600000000028</v>
      </c>
      <c r="Q75">
        <f>SUM(Q4:Q74)</f>
        <v>3449.8711124213833</v>
      </c>
      <c r="R75">
        <f>SUM(R4:R74)</f>
        <v>3132.6131249999999</v>
      </c>
    </row>
    <row r="76" spans="1:18" x14ac:dyDescent="0.2">
      <c r="A76" t="s">
        <v>189</v>
      </c>
      <c r="H76" s="17">
        <f>H71</f>
        <v>10</v>
      </c>
    </row>
    <row r="77" spans="1:18" ht="40.5" x14ac:dyDescent="0.35">
      <c r="B77" s="3" t="s">
        <v>226</v>
      </c>
      <c r="C77" s="3"/>
      <c r="E77" s="41" t="s">
        <v>191</v>
      </c>
      <c r="F77" s="41" t="s">
        <v>192</v>
      </c>
      <c r="G77" s="41"/>
      <c r="H77">
        <f>H76</f>
        <v>10</v>
      </c>
      <c r="I77" s="5" t="s">
        <v>11</v>
      </c>
      <c r="J77" s="44" t="s">
        <v>193</v>
      </c>
      <c r="L77" s="23" t="s">
        <v>194</v>
      </c>
      <c r="M77" t="s">
        <v>77</v>
      </c>
    </row>
    <row r="78" spans="1:18" ht="15" customHeight="1" x14ac:dyDescent="0.35">
      <c r="B78" s="3"/>
      <c r="C78" s="13" t="s">
        <v>186</v>
      </c>
      <c r="E78" s="41"/>
      <c r="F78" s="41"/>
      <c r="G78" s="41"/>
      <c r="I78" s="5"/>
      <c r="J78" s="44"/>
      <c r="L78" s="23"/>
    </row>
    <row r="79" spans="1:18" ht="15" x14ac:dyDescent="0.25">
      <c r="D79" s="14" t="s">
        <v>273</v>
      </c>
      <c r="E79" s="5">
        <v>0.6</v>
      </c>
      <c r="F79" s="17">
        <v>0</v>
      </c>
      <c r="G79" s="17"/>
      <c r="H79" s="17">
        <f>H77</f>
        <v>10</v>
      </c>
      <c r="I79" s="17"/>
      <c r="J79" s="6">
        <f>O12</f>
        <v>5.4</v>
      </c>
      <c r="M79">
        <v>1450</v>
      </c>
      <c r="N79">
        <f>M79*J79</f>
        <v>7830.0000000000009</v>
      </c>
    </row>
    <row r="80" spans="1:18" ht="15" x14ac:dyDescent="0.25">
      <c r="D80" t="s">
        <v>222</v>
      </c>
      <c r="E80" s="5">
        <v>0.183</v>
      </c>
      <c r="F80" s="17"/>
      <c r="G80" s="17"/>
      <c r="H80" s="17">
        <f>H74</f>
        <v>10</v>
      </c>
      <c r="I80" s="17"/>
      <c r="J80" s="6">
        <f>O15</f>
        <v>1.83</v>
      </c>
      <c r="L80">
        <v>1</v>
      </c>
      <c r="M80">
        <v>1450</v>
      </c>
      <c r="N80">
        <f>M80*J80</f>
        <v>2653.5</v>
      </c>
    </row>
    <row r="81" spans="3:17" ht="15" x14ac:dyDescent="0.25">
      <c r="D81" t="s">
        <v>223</v>
      </c>
      <c r="E81" s="5">
        <v>0.13800000000000001</v>
      </c>
      <c r="F81" s="17"/>
      <c r="G81" s="17"/>
      <c r="H81" s="17">
        <f>H75</f>
        <v>10</v>
      </c>
      <c r="I81" s="17"/>
      <c r="J81" s="6">
        <f>O16</f>
        <v>1.3800000000000001</v>
      </c>
      <c r="L81">
        <v>1</v>
      </c>
      <c r="M81">
        <v>1450</v>
      </c>
      <c r="N81">
        <f>M81*J81</f>
        <v>2001.0000000000002</v>
      </c>
    </row>
    <row r="82" spans="3:17" ht="15" x14ac:dyDescent="0.25">
      <c r="C82" s="13" t="s">
        <v>270</v>
      </c>
      <c r="E82" s="5"/>
      <c r="F82" s="17"/>
      <c r="G82" s="17"/>
      <c r="H82" s="17"/>
      <c r="I82" s="17"/>
      <c r="J82" s="6"/>
    </row>
    <row r="83" spans="3:17" ht="15" x14ac:dyDescent="0.25">
      <c r="D83" s="14" t="s">
        <v>146</v>
      </c>
      <c r="E83" s="5">
        <f>N49+N64+N65</f>
        <v>3</v>
      </c>
      <c r="F83" s="17">
        <v>0</v>
      </c>
      <c r="G83" s="17"/>
      <c r="H83" s="17">
        <f>H80</f>
        <v>10</v>
      </c>
      <c r="I83" s="17"/>
      <c r="J83" s="6">
        <f>O49+O64+O65</f>
        <v>30</v>
      </c>
      <c r="N83">
        <f>M83*J83</f>
        <v>0</v>
      </c>
    </row>
    <row r="84" spans="3:17" ht="15" x14ac:dyDescent="0.25">
      <c r="D84" s="14" t="s">
        <v>151</v>
      </c>
      <c r="E84" s="5">
        <f>N72+N54</f>
        <v>3.7735849056603772E-2</v>
      </c>
      <c r="F84" s="17">
        <v>20</v>
      </c>
      <c r="G84" s="17"/>
      <c r="H84" s="17">
        <f>H81</f>
        <v>10</v>
      </c>
      <c r="I84" s="17"/>
      <c r="J84" s="6">
        <f>O72+O54</f>
        <v>0.37735849056603776</v>
      </c>
      <c r="N84">
        <f>M84*J84</f>
        <v>0</v>
      </c>
    </row>
    <row r="85" spans="3:17" ht="15" x14ac:dyDescent="0.25">
      <c r="D85" s="14" t="s">
        <v>144</v>
      </c>
      <c r="E85" s="5">
        <f>N45+N46</f>
        <v>5.333333333333333</v>
      </c>
      <c r="F85" s="17">
        <v>65</v>
      </c>
      <c r="G85" s="17"/>
      <c r="H85" s="17">
        <f>H87</f>
        <v>10</v>
      </c>
      <c r="I85" s="17"/>
      <c r="J85" s="6">
        <f>O45+O46</f>
        <v>53.333333333333336</v>
      </c>
      <c r="L85">
        <v>1</v>
      </c>
      <c r="M85">
        <v>26.95</v>
      </c>
      <c r="N85">
        <f>M85*J85</f>
        <v>1437.3333333333333</v>
      </c>
    </row>
    <row r="86" spans="3:17" x14ac:dyDescent="0.2">
      <c r="C86" s="13" t="s">
        <v>272</v>
      </c>
      <c r="E86" s="5"/>
      <c r="N86">
        <f>SUM(N80:N84)</f>
        <v>4654.5</v>
      </c>
      <c r="Q86">
        <f>N86/I1</f>
        <v>465.45</v>
      </c>
    </row>
    <row r="87" spans="3:17" ht="15" x14ac:dyDescent="0.25">
      <c r="D87" t="s">
        <v>224</v>
      </c>
      <c r="E87" s="5">
        <f>N4+N5</f>
        <v>0.5625</v>
      </c>
      <c r="F87" s="17"/>
      <c r="G87" s="17"/>
      <c r="H87" s="17">
        <f>H73</f>
        <v>10</v>
      </c>
      <c r="I87" s="17"/>
      <c r="J87" s="6">
        <f>O4+O5</f>
        <v>5.0625</v>
      </c>
      <c r="L87">
        <v>1</v>
      </c>
      <c r="M87">
        <v>123.56</v>
      </c>
      <c r="N87">
        <f>M87*J87</f>
        <v>625.52250000000004</v>
      </c>
    </row>
  </sheetData>
  <hyperlinks>
    <hyperlink ref="L13" r:id="rId1" display="javascript:void(0)"/>
  </hyperlinks>
  <pageMargins left="0.11811023622047245" right="0.11811023622047245" top="0.35433070866141736" bottom="0.35433070866141736" header="0.31496062992125984" footer="0.31496062992125984"/>
  <pageSetup scale="94" fitToHeight="2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opLeftCell="A7" workbookViewId="0">
      <selection activeCell="C27" sqref="C27"/>
    </sheetView>
  </sheetViews>
  <sheetFormatPr defaultRowHeight="12.75" x14ac:dyDescent="0.2"/>
  <cols>
    <col min="1" max="1" width="4.5703125" customWidth="1"/>
    <col min="2" max="3" width="3.28515625" customWidth="1"/>
    <col min="4" max="4" width="44.85546875" customWidth="1"/>
    <col min="5" max="5" width="7" customWidth="1"/>
    <col min="6" max="6" width="7.5703125" customWidth="1"/>
    <col min="7" max="7" width="6.85546875" customWidth="1"/>
    <col min="8" max="8" width="5.42578125" customWidth="1"/>
    <col min="9" max="9" width="7.5703125" customWidth="1"/>
    <col min="10" max="10" width="10" customWidth="1"/>
    <col min="11" max="11" width="19.85546875" customWidth="1"/>
    <col min="12" max="12" width="21.140625" customWidth="1"/>
    <col min="17" max="17" width="11.140625" customWidth="1"/>
    <col min="18" max="18" width="10.140625" bestFit="1" customWidth="1"/>
  </cols>
  <sheetData>
    <row r="1" spans="1:20" ht="23.25" x14ac:dyDescent="0.35">
      <c r="B1" s="3" t="s">
        <v>6</v>
      </c>
      <c r="C1" s="3"/>
      <c r="E1" s="12" t="s">
        <v>7</v>
      </c>
      <c r="F1" s="3"/>
      <c r="G1" s="3"/>
      <c r="H1">
        <f>I1</f>
        <v>40</v>
      </c>
      <c r="I1" s="12">
        <v>40</v>
      </c>
      <c r="S1" s="232" t="s">
        <v>486</v>
      </c>
      <c r="T1" s="234">
        <v>42115</v>
      </c>
    </row>
    <row r="2" spans="1:20" ht="64.5" x14ac:dyDescent="0.25">
      <c r="A2" s="11" t="s">
        <v>8</v>
      </c>
      <c r="B2" s="4"/>
      <c r="C2" s="4"/>
      <c r="D2" s="4" t="s">
        <v>9</v>
      </c>
      <c r="E2" s="174" t="s">
        <v>49</v>
      </c>
      <c r="F2" s="11" t="s">
        <v>372</v>
      </c>
      <c r="G2" s="11" t="s">
        <v>373</v>
      </c>
      <c r="H2" s="8">
        <f>H1</f>
        <v>40</v>
      </c>
      <c r="I2" s="9" t="s">
        <v>11</v>
      </c>
      <c r="J2" s="9" t="s">
        <v>12</v>
      </c>
      <c r="K2" s="4" t="s">
        <v>13</v>
      </c>
      <c r="M2" s="164" t="s">
        <v>266</v>
      </c>
      <c r="N2" s="164" t="s">
        <v>267</v>
      </c>
      <c r="O2" s="164" t="s">
        <v>451</v>
      </c>
      <c r="P2" s="11" t="s">
        <v>251</v>
      </c>
      <c r="Q2" s="11" t="s">
        <v>253</v>
      </c>
      <c r="R2" s="11" t="s">
        <v>420</v>
      </c>
      <c r="S2" s="231" t="s">
        <v>484</v>
      </c>
    </row>
    <row r="3" spans="1:20" s="50" customFormat="1" ht="15" x14ac:dyDescent="0.25">
      <c r="B3" s="152" t="s">
        <v>14</v>
      </c>
      <c r="C3" s="152"/>
      <c r="H3" s="153">
        <f>H2</f>
        <v>40</v>
      </c>
    </row>
    <row r="4" spans="1:20" ht="15" x14ac:dyDescent="0.25">
      <c r="A4">
        <v>1</v>
      </c>
      <c r="C4" t="s">
        <v>15</v>
      </c>
      <c r="E4" s="5">
        <v>1</v>
      </c>
      <c r="F4" s="17"/>
      <c r="G4" s="17">
        <v>24</v>
      </c>
      <c r="H4" s="17">
        <f>H3</f>
        <v>40</v>
      </c>
      <c r="I4" s="17"/>
      <c r="J4" s="6">
        <f t="shared" ref="J4:J46" si="0">(H4*E4)-I4-F4</f>
        <v>40</v>
      </c>
      <c r="K4" t="s">
        <v>16</v>
      </c>
      <c r="P4">
        <v>80</v>
      </c>
      <c r="Q4">
        <f t="shared" ref="Q4:Q9" si="1">P4*E4</f>
        <v>80</v>
      </c>
      <c r="R4" s="151">
        <v>42109</v>
      </c>
      <c r="S4">
        <f>P4*G4</f>
        <v>1920</v>
      </c>
    </row>
    <row r="5" spans="1:20" ht="15" x14ac:dyDescent="0.25">
      <c r="A5">
        <v>2</v>
      </c>
      <c r="C5" t="s">
        <v>17</v>
      </c>
      <c r="E5" s="5">
        <v>1</v>
      </c>
      <c r="F5" s="17"/>
      <c r="G5" s="17"/>
      <c r="H5" s="17">
        <f>H4</f>
        <v>40</v>
      </c>
      <c r="I5" s="17"/>
      <c r="J5" s="6">
        <f t="shared" si="0"/>
        <v>40</v>
      </c>
      <c r="K5" t="s">
        <v>18</v>
      </c>
      <c r="P5">
        <v>427</v>
      </c>
      <c r="Q5">
        <f t="shared" si="1"/>
        <v>427</v>
      </c>
      <c r="R5" s="151">
        <v>42109</v>
      </c>
      <c r="S5">
        <f t="shared" ref="S5:S6" si="2">P5*G5</f>
        <v>0</v>
      </c>
    </row>
    <row r="6" spans="1:20" ht="15" x14ac:dyDescent="0.25">
      <c r="A6">
        <v>3</v>
      </c>
      <c r="C6" t="s">
        <v>19</v>
      </c>
      <c r="E6" s="5">
        <v>1</v>
      </c>
      <c r="F6" s="17"/>
      <c r="G6" s="17"/>
      <c r="H6" s="17">
        <f t="shared" ref="H6:H43" si="3">H2</f>
        <v>40</v>
      </c>
      <c r="I6" s="17"/>
      <c r="J6" s="6">
        <f t="shared" si="0"/>
        <v>40</v>
      </c>
      <c r="K6" t="s">
        <v>20</v>
      </c>
      <c r="P6">
        <v>297</v>
      </c>
      <c r="Q6">
        <f t="shared" si="1"/>
        <v>297</v>
      </c>
      <c r="R6" s="151">
        <v>42109</v>
      </c>
      <c r="S6">
        <f t="shared" si="2"/>
        <v>0</v>
      </c>
    </row>
    <row r="7" spans="1:20" ht="13.5" customHeight="1" x14ac:dyDescent="0.25">
      <c r="A7">
        <v>4</v>
      </c>
      <c r="C7" t="s">
        <v>74</v>
      </c>
      <c r="E7" s="5">
        <v>1</v>
      </c>
      <c r="F7" s="17"/>
      <c r="G7" s="17"/>
      <c r="H7" s="17">
        <f t="shared" si="3"/>
        <v>40</v>
      </c>
      <c r="I7" s="17"/>
      <c r="J7" s="6">
        <f t="shared" si="0"/>
        <v>40</v>
      </c>
      <c r="K7" t="s">
        <v>21</v>
      </c>
      <c r="P7">
        <f>'Laser Cutting'!H4</f>
        <v>1.39</v>
      </c>
      <c r="Q7">
        <f t="shared" si="1"/>
        <v>1.39</v>
      </c>
      <c r="R7" s="151" t="s">
        <v>427</v>
      </c>
      <c r="S7" s="49"/>
    </row>
    <row r="8" spans="1:20" ht="15" x14ac:dyDescent="0.25">
      <c r="A8">
        <v>5</v>
      </c>
      <c r="C8" t="s">
        <v>426</v>
      </c>
      <c r="E8" s="5">
        <v>1</v>
      </c>
      <c r="F8" s="17"/>
      <c r="G8" s="17"/>
      <c r="H8" s="17">
        <f t="shared" si="3"/>
        <v>40</v>
      </c>
      <c r="I8" s="17"/>
      <c r="J8" s="6">
        <f t="shared" si="0"/>
        <v>40</v>
      </c>
      <c r="K8" t="s">
        <v>21</v>
      </c>
      <c r="P8">
        <f>'Laser Cutting'!H6</f>
        <v>13.05</v>
      </c>
      <c r="Q8">
        <f t="shared" si="1"/>
        <v>13.05</v>
      </c>
      <c r="R8" t="s">
        <v>427</v>
      </c>
      <c r="S8" s="49"/>
    </row>
    <row r="9" spans="1:20" ht="15" x14ac:dyDescent="0.25">
      <c r="A9">
        <v>6</v>
      </c>
      <c r="C9" t="s">
        <v>22</v>
      </c>
      <c r="E9" s="5">
        <v>1</v>
      </c>
      <c r="F9" s="17"/>
      <c r="G9" s="17"/>
      <c r="H9" s="17">
        <f t="shared" si="3"/>
        <v>40</v>
      </c>
      <c r="I9" s="17"/>
      <c r="J9" s="6">
        <f t="shared" si="0"/>
        <v>40</v>
      </c>
      <c r="K9" t="s">
        <v>21</v>
      </c>
      <c r="P9">
        <f>'Laser Cutting'!H3</f>
        <v>20.97</v>
      </c>
      <c r="Q9">
        <f t="shared" si="1"/>
        <v>20.97</v>
      </c>
      <c r="R9" t="s">
        <v>427</v>
      </c>
      <c r="S9" s="49"/>
    </row>
    <row r="10" spans="1:20" ht="15" x14ac:dyDescent="0.25">
      <c r="A10">
        <v>7</v>
      </c>
      <c r="C10" t="s">
        <v>424</v>
      </c>
      <c r="D10" s="7"/>
      <c r="E10" s="5">
        <v>1</v>
      </c>
      <c r="F10" s="17"/>
      <c r="G10" s="17">
        <v>0</v>
      </c>
      <c r="H10" s="17">
        <f t="shared" si="3"/>
        <v>40</v>
      </c>
      <c r="I10" s="134"/>
      <c r="J10" s="6">
        <f t="shared" si="0"/>
        <v>40</v>
      </c>
      <c r="K10" t="s">
        <v>137</v>
      </c>
      <c r="L10" t="s">
        <v>425</v>
      </c>
      <c r="M10">
        <v>8</v>
      </c>
      <c r="N10">
        <f>E10/M10</f>
        <v>0.125</v>
      </c>
      <c r="O10">
        <f>J10/M10</f>
        <v>5</v>
      </c>
      <c r="P10" s="24">
        <f>Steel!T20</f>
        <v>31.83</v>
      </c>
      <c r="Q10" s="24">
        <f>P10*N10</f>
        <v>3.9787499999999998</v>
      </c>
      <c r="S10">
        <f>P10*N10*G10</f>
        <v>0</v>
      </c>
    </row>
    <row r="11" spans="1:20" ht="15" x14ac:dyDescent="0.25">
      <c r="A11">
        <v>8</v>
      </c>
      <c r="C11" t="s">
        <v>23</v>
      </c>
      <c r="E11" s="5">
        <v>2</v>
      </c>
      <c r="F11" s="17"/>
      <c r="G11" s="17"/>
      <c r="H11" s="17">
        <f t="shared" si="3"/>
        <v>40</v>
      </c>
      <c r="I11" s="134"/>
      <c r="J11" s="6">
        <f t="shared" si="0"/>
        <v>80</v>
      </c>
      <c r="K11" t="s">
        <v>137</v>
      </c>
      <c r="L11" t="s">
        <v>183</v>
      </c>
      <c r="M11">
        <v>8</v>
      </c>
      <c r="N11">
        <f>E11/M11</f>
        <v>0.25</v>
      </c>
      <c r="O11">
        <f>J11/M11</f>
        <v>10</v>
      </c>
      <c r="P11" s="24">
        <f>Steel!T22</f>
        <v>42</v>
      </c>
      <c r="Q11" s="24">
        <f t="shared" ref="Q11:Q12" si="4">P11*N11</f>
        <v>10.5</v>
      </c>
      <c r="S11">
        <f t="shared" ref="S11:S12" si="5">P11*N11*G11</f>
        <v>0</v>
      </c>
    </row>
    <row r="12" spans="1:20" ht="15" x14ac:dyDescent="0.25">
      <c r="A12">
        <v>9</v>
      </c>
      <c r="C12" t="s">
        <v>247</v>
      </c>
      <c r="E12" s="5">
        <v>1</v>
      </c>
      <c r="F12" s="17"/>
      <c r="G12" s="17"/>
      <c r="H12" s="17">
        <f t="shared" si="3"/>
        <v>40</v>
      </c>
      <c r="I12" s="134"/>
      <c r="J12" s="6">
        <f t="shared" si="0"/>
        <v>40</v>
      </c>
      <c r="K12" t="s">
        <v>137</v>
      </c>
      <c r="L12" t="s">
        <v>248</v>
      </c>
      <c r="M12">
        <v>30</v>
      </c>
      <c r="N12">
        <f>E12/M12</f>
        <v>3.3333333333333333E-2</v>
      </c>
      <c r="O12">
        <f>J12/M12</f>
        <v>1.3333333333333333</v>
      </c>
      <c r="P12" s="24">
        <f>Steel!T46</f>
        <v>154.09</v>
      </c>
      <c r="Q12" s="24">
        <f t="shared" si="4"/>
        <v>5.136333333333333</v>
      </c>
      <c r="S12">
        <f t="shared" si="5"/>
        <v>0</v>
      </c>
    </row>
    <row r="13" spans="1:20" ht="15" x14ac:dyDescent="0.25">
      <c r="A13">
        <v>11</v>
      </c>
      <c r="C13" t="s">
        <v>419</v>
      </c>
      <c r="E13" s="5">
        <v>1</v>
      </c>
      <c r="F13" s="17"/>
      <c r="G13" s="17"/>
      <c r="H13" s="17">
        <f t="shared" si="3"/>
        <v>40</v>
      </c>
      <c r="I13" s="17"/>
      <c r="J13" s="6">
        <f t="shared" si="0"/>
        <v>40</v>
      </c>
      <c r="K13" t="s">
        <v>75</v>
      </c>
      <c r="L13" s="49"/>
      <c r="M13" s="49"/>
      <c r="N13" s="49"/>
      <c r="O13" s="49"/>
      <c r="P13">
        <f>Bearings!I2</f>
        <v>6.75</v>
      </c>
      <c r="Q13">
        <f>Bearings!I2</f>
        <v>6.75</v>
      </c>
      <c r="R13" t="s">
        <v>427</v>
      </c>
      <c r="S13" s="49"/>
    </row>
    <row r="14" spans="1:20" ht="15" x14ac:dyDescent="0.25">
      <c r="A14">
        <v>12</v>
      </c>
      <c r="C14" t="s">
        <v>25</v>
      </c>
      <c r="E14" s="5">
        <v>1</v>
      </c>
      <c r="F14" s="17"/>
      <c r="G14" s="17"/>
      <c r="H14" s="17">
        <f t="shared" si="3"/>
        <v>40</v>
      </c>
      <c r="I14" s="17"/>
      <c r="J14" s="6">
        <f t="shared" si="0"/>
        <v>40</v>
      </c>
      <c r="K14" t="s">
        <v>75</v>
      </c>
      <c r="L14" s="49"/>
      <c r="M14" s="49"/>
      <c r="N14" s="49"/>
      <c r="O14" s="49"/>
      <c r="P14">
        <f>Bearings!I3</f>
        <v>6.75</v>
      </c>
      <c r="Q14">
        <f>Bearings!I3</f>
        <v>6.75</v>
      </c>
      <c r="R14" t="s">
        <v>427</v>
      </c>
      <c r="S14" s="49"/>
    </row>
    <row r="15" spans="1:20" ht="15" x14ac:dyDescent="0.25">
      <c r="A15">
        <v>13</v>
      </c>
      <c r="C15" t="s">
        <v>26</v>
      </c>
      <c r="E15" s="5">
        <v>2</v>
      </c>
      <c r="F15" s="17"/>
      <c r="G15" s="17"/>
      <c r="H15" s="17">
        <f t="shared" si="3"/>
        <v>40</v>
      </c>
      <c r="I15" s="17"/>
      <c r="J15" s="6">
        <f t="shared" si="0"/>
        <v>80</v>
      </c>
      <c r="K15" t="s">
        <v>75</v>
      </c>
      <c r="L15" s="49"/>
      <c r="M15" s="49"/>
      <c r="N15" s="49"/>
      <c r="O15" s="49"/>
      <c r="P15">
        <f>Bearings!I4</f>
        <v>7.95</v>
      </c>
      <c r="Q15">
        <f>Bearings!I4</f>
        <v>7.95</v>
      </c>
      <c r="R15" t="s">
        <v>427</v>
      </c>
      <c r="S15" s="49"/>
    </row>
    <row r="16" spans="1:20" ht="15" x14ac:dyDescent="0.25">
      <c r="A16">
        <v>14</v>
      </c>
      <c r="C16" t="s">
        <v>27</v>
      </c>
      <c r="E16" s="5">
        <v>2</v>
      </c>
      <c r="F16" s="17"/>
      <c r="G16" s="17"/>
      <c r="H16" s="17">
        <f t="shared" si="3"/>
        <v>40</v>
      </c>
      <c r="I16" s="17"/>
      <c r="J16" s="6">
        <f t="shared" si="0"/>
        <v>80</v>
      </c>
      <c r="K16" t="s">
        <v>75</v>
      </c>
      <c r="L16" s="49"/>
      <c r="M16" s="49"/>
      <c r="N16" s="49"/>
      <c r="O16" s="49"/>
      <c r="P16">
        <v>3.65</v>
      </c>
      <c r="Q16">
        <f>Bearings!I5</f>
        <v>4</v>
      </c>
      <c r="R16" t="s">
        <v>427</v>
      </c>
      <c r="S16" s="49"/>
    </row>
    <row r="17" spans="1:19" ht="15" x14ac:dyDescent="0.25">
      <c r="C17" t="s">
        <v>99</v>
      </c>
      <c r="E17" s="5">
        <v>0.5</v>
      </c>
      <c r="F17" s="17"/>
      <c r="G17" s="17"/>
      <c r="H17" s="17">
        <f>H20</f>
        <v>40</v>
      </c>
      <c r="I17" s="17"/>
      <c r="J17" s="6">
        <f t="shared" si="0"/>
        <v>20</v>
      </c>
      <c r="K17" s="14" t="s">
        <v>361</v>
      </c>
      <c r="P17">
        <v>8</v>
      </c>
      <c r="Q17">
        <f t="shared" ref="Q17:Q34" si="6">P17*E17</f>
        <v>4</v>
      </c>
      <c r="S17" s="49"/>
    </row>
    <row r="18" spans="1:19" ht="15" x14ac:dyDescent="0.25">
      <c r="A18">
        <v>15</v>
      </c>
      <c r="C18" t="s">
        <v>28</v>
      </c>
      <c r="E18" s="5">
        <v>4</v>
      </c>
      <c r="F18" s="134"/>
      <c r="G18" s="134"/>
      <c r="H18" s="17">
        <f>H13</f>
        <v>40</v>
      </c>
      <c r="I18" s="134"/>
      <c r="J18" s="6">
        <f t="shared" si="0"/>
        <v>160</v>
      </c>
      <c r="K18" s="138" t="s">
        <v>417</v>
      </c>
      <c r="P18">
        <v>1</v>
      </c>
      <c r="Q18">
        <f t="shared" si="6"/>
        <v>4</v>
      </c>
      <c r="S18" s="49"/>
    </row>
    <row r="19" spans="1:19" ht="15" x14ac:dyDescent="0.25">
      <c r="A19">
        <v>16</v>
      </c>
      <c r="C19" t="s">
        <v>29</v>
      </c>
      <c r="E19" s="5">
        <v>2</v>
      </c>
      <c r="F19" s="134"/>
      <c r="G19" s="134"/>
      <c r="H19" s="17">
        <f>H14</f>
        <v>40</v>
      </c>
      <c r="I19" s="134"/>
      <c r="J19" s="6">
        <f t="shared" si="0"/>
        <v>80</v>
      </c>
      <c r="K19" s="138" t="s">
        <v>417</v>
      </c>
      <c r="P19">
        <v>1</v>
      </c>
      <c r="Q19">
        <f t="shared" si="6"/>
        <v>2</v>
      </c>
      <c r="S19" s="49"/>
    </row>
    <row r="20" spans="1:19" ht="15" x14ac:dyDescent="0.25">
      <c r="A20">
        <v>17</v>
      </c>
      <c r="D20" t="s">
        <v>30</v>
      </c>
      <c r="E20" s="5">
        <v>4</v>
      </c>
      <c r="F20" s="134"/>
      <c r="G20" s="134"/>
      <c r="H20" s="17">
        <f>H15</f>
        <v>40</v>
      </c>
      <c r="I20" s="134"/>
      <c r="J20" s="6">
        <f t="shared" si="0"/>
        <v>160</v>
      </c>
      <c r="K20" s="138" t="s">
        <v>417</v>
      </c>
      <c r="P20">
        <v>1</v>
      </c>
      <c r="Q20">
        <f t="shared" si="6"/>
        <v>4</v>
      </c>
      <c r="S20" s="49"/>
    </row>
    <row r="21" spans="1:19" ht="15" x14ac:dyDescent="0.25">
      <c r="A21">
        <v>18</v>
      </c>
      <c r="D21" t="s">
        <v>31</v>
      </c>
      <c r="E21" s="5">
        <v>10</v>
      </c>
      <c r="F21" s="134"/>
      <c r="G21" s="134"/>
      <c r="H21" s="17">
        <f>H16</f>
        <v>40</v>
      </c>
      <c r="I21" s="134"/>
      <c r="J21" s="6">
        <f t="shared" si="0"/>
        <v>400</v>
      </c>
      <c r="K21" s="138" t="s">
        <v>417</v>
      </c>
      <c r="P21">
        <v>1</v>
      </c>
      <c r="Q21">
        <f t="shared" si="6"/>
        <v>10</v>
      </c>
      <c r="S21" s="49"/>
    </row>
    <row r="22" spans="1:19" ht="15" x14ac:dyDescent="0.25">
      <c r="A22">
        <v>19</v>
      </c>
      <c r="D22" t="s">
        <v>32</v>
      </c>
      <c r="E22" s="5">
        <v>2</v>
      </c>
      <c r="F22" s="134"/>
      <c r="G22" s="134"/>
      <c r="H22" s="17">
        <f t="shared" si="3"/>
        <v>40</v>
      </c>
      <c r="I22" s="134"/>
      <c r="J22" s="6">
        <f t="shared" si="0"/>
        <v>80</v>
      </c>
      <c r="K22" s="138" t="s">
        <v>417</v>
      </c>
      <c r="P22">
        <v>1</v>
      </c>
      <c r="Q22">
        <f t="shared" si="6"/>
        <v>2</v>
      </c>
      <c r="S22" s="49"/>
    </row>
    <row r="23" spans="1:19" ht="15" x14ac:dyDescent="0.25">
      <c r="A23">
        <v>20</v>
      </c>
      <c r="D23" t="s">
        <v>33</v>
      </c>
      <c r="E23" s="5">
        <v>4</v>
      </c>
      <c r="F23" s="134"/>
      <c r="G23" s="134"/>
      <c r="H23" s="17">
        <f t="shared" si="3"/>
        <v>40</v>
      </c>
      <c r="I23" s="134"/>
      <c r="J23" s="6">
        <f t="shared" si="0"/>
        <v>160</v>
      </c>
      <c r="K23" s="138" t="s">
        <v>417</v>
      </c>
      <c r="P23">
        <v>1</v>
      </c>
      <c r="Q23">
        <f t="shared" si="6"/>
        <v>4</v>
      </c>
      <c r="S23" s="49"/>
    </row>
    <row r="24" spans="1:19" s="50" customFormat="1" ht="15" x14ac:dyDescent="0.25">
      <c r="B24" s="152" t="s">
        <v>34</v>
      </c>
      <c r="C24" s="152"/>
      <c r="H24" s="153">
        <f>H21</f>
        <v>40</v>
      </c>
      <c r="J24" s="50">
        <f t="shared" si="0"/>
        <v>0</v>
      </c>
      <c r="Q24" s="50">
        <f t="shared" si="6"/>
        <v>0</v>
      </c>
    </row>
    <row r="25" spans="1:19" ht="13.5" customHeight="1" x14ac:dyDescent="0.25">
      <c r="A25">
        <v>21</v>
      </c>
      <c r="C25" t="s">
        <v>35</v>
      </c>
      <c r="E25" s="5">
        <v>4</v>
      </c>
      <c r="F25" s="17"/>
      <c r="G25" s="17"/>
      <c r="H25" s="17">
        <f>H22</f>
        <v>40</v>
      </c>
      <c r="I25" s="17"/>
      <c r="J25" s="6">
        <f t="shared" si="0"/>
        <v>160</v>
      </c>
      <c r="K25" t="s">
        <v>21</v>
      </c>
      <c r="P25">
        <f>'Laser Cutting'!H5</f>
        <v>2.37</v>
      </c>
      <c r="Q25">
        <f t="shared" si="6"/>
        <v>9.48</v>
      </c>
      <c r="R25" t="s">
        <v>427</v>
      </c>
      <c r="S25" s="49"/>
    </row>
    <row r="26" spans="1:19" ht="13.5" customHeight="1" x14ac:dyDescent="0.25">
      <c r="A26">
        <v>22</v>
      </c>
      <c r="C26" t="s">
        <v>36</v>
      </c>
      <c r="E26" s="5">
        <v>1</v>
      </c>
      <c r="F26" s="17"/>
      <c r="G26" s="17"/>
      <c r="H26" s="17">
        <f>H23</f>
        <v>40</v>
      </c>
      <c r="I26" s="17"/>
      <c r="J26" s="6">
        <f t="shared" si="0"/>
        <v>40</v>
      </c>
      <c r="K26" t="s">
        <v>252</v>
      </c>
      <c r="P26">
        <v>5.5</v>
      </c>
      <c r="Q26">
        <f t="shared" si="6"/>
        <v>5.5</v>
      </c>
      <c r="S26" s="49"/>
    </row>
    <row r="27" spans="1:19" ht="13.5" customHeight="1" x14ac:dyDescent="0.25">
      <c r="A27">
        <v>23</v>
      </c>
      <c r="C27" t="s">
        <v>37</v>
      </c>
      <c r="E27" s="5">
        <v>1</v>
      </c>
      <c r="F27" s="17"/>
      <c r="G27" s="17"/>
      <c r="H27" s="17">
        <f>H17</f>
        <v>40</v>
      </c>
      <c r="I27" s="17"/>
      <c r="J27" s="6">
        <f t="shared" si="0"/>
        <v>40</v>
      </c>
      <c r="K27" t="s">
        <v>48</v>
      </c>
      <c r="P27">
        <v>25.39</v>
      </c>
      <c r="Q27">
        <f t="shared" si="6"/>
        <v>25.39</v>
      </c>
      <c r="R27" s="151">
        <v>42109</v>
      </c>
      <c r="S27" s="49"/>
    </row>
    <row r="28" spans="1:19" ht="13.5" customHeight="1" x14ac:dyDescent="0.25">
      <c r="A28">
        <v>24</v>
      </c>
      <c r="C28" t="s">
        <v>38</v>
      </c>
      <c r="E28" s="5">
        <v>2</v>
      </c>
      <c r="F28" s="17"/>
      <c r="G28" s="17">
        <v>45</v>
      </c>
      <c r="H28" s="17">
        <f t="shared" si="3"/>
        <v>40</v>
      </c>
      <c r="I28" s="17"/>
      <c r="J28" s="6">
        <f t="shared" si="0"/>
        <v>80</v>
      </c>
      <c r="K28" t="s">
        <v>39</v>
      </c>
      <c r="L28" t="s">
        <v>421</v>
      </c>
      <c r="P28">
        <f>32.8*3</f>
        <v>98.399999999999991</v>
      </c>
      <c r="Q28">
        <f t="shared" si="6"/>
        <v>196.79999999999998</v>
      </c>
      <c r="R28" s="151">
        <v>41599</v>
      </c>
      <c r="S28">
        <f>P28*G28</f>
        <v>4428</v>
      </c>
    </row>
    <row r="29" spans="1:19" ht="13.5" customHeight="1" x14ac:dyDescent="0.25">
      <c r="A29">
        <v>25</v>
      </c>
      <c r="C29" t="s">
        <v>40</v>
      </c>
      <c r="E29" s="5">
        <v>3</v>
      </c>
      <c r="F29" s="17"/>
      <c r="G29" s="17">
        <v>80</v>
      </c>
      <c r="H29" s="17">
        <f t="shared" si="3"/>
        <v>40</v>
      </c>
      <c r="I29" s="17"/>
      <c r="J29" s="6">
        <f t="shared" si="0"/>
        <v>120</v>
      </c>
      <c r="K29" t="s">
        <v>41</v>
      </c>
      <c r="L29" t="s">
        <v>422</v>
      </c>
      <c r="P29">
        <v>29.5</v>
      </c>
      <c r="Q29">
        <f t="shared" si="6"/>
        <v>88.5</v>
      </c>
      <c r="R29" s="151">
        <v>42089</v>
      </c>
      <c r="S29">
        <f>P29*G29</f>
        <v>2360</v>
      </c>
    </row>
    <row r="30" spans="1:19" ht="13.5" customHeight="1" x14ac:dyDescent="0.25">
      <c r="A30">
        <v>26</v>
      </c>
      <c r="C30" t="s">
        <v>42</v>
      </c>
      <c r="E30" s="5">
        <v>1</v>
      </c>
      <c r="F30" s="17"/>
      <c r="G30" s="17">
        <v>6</v>
      </c>
      <c r="H30" s="17">
        <f t="shared" si="3"/>
        <v>40</v>
      </c>
      <c r="I30" s="17"/>
      <c r="J30" s="6">
        <f t="shared" si="0"/>
        <v>40</v>
      </c>
      <c r="K30" t="s">
        <v>423</v>
      </c>
      <c r="L30" t="s">
        <v>243</v>
      </c>
      <c r="M30">
        <v>12</v>
      </c>
      <c r="N30">
        <v>1</v>
      </c>
      <c r="O30">
        <f>J30</f>
        <v>40</v>
      </c>
      <c r="P30">
        <v>201.35</v>
      </c>
      <c r="Q30">
        <f t="shared" si="6"/>
        <v>201.35</v>
      </c>
      <c r="S30">
        <f>P30*G30</f>
        <v>1208.0999999999999</v>
      </c>
    </row>
    <row r="31" spans="1:19" s="50" customFormat="1" ht="15" x14ac:dyDescent="0.25">
      <c r="B31" s="152" t="s">
        <v>43</v>
      </c>
      <c r="C31" s="152"/>
      <c r="H31" s="153">
        <f t="shared" si="3"/>
        <v>40</v>
      </c>
      <c r="J31" s="50">
        <f t="shared" si="0"/>
        <v>0</v>
      </c>
      <c r="Q31" s="50">
        <f t="shared" si="6"/>
        <v>0</v>
      </c>
    </row>
    <row r="32" spans="1:19" ht="13.5" customHeight="1" x14ac:dyDescent="0.25">
      <c r="A32">
        <v>27</v>
      </c>
      <c r="C32" t="s">
        <v>428</v>
      </c>
      <c r="E32" s="5">
        <v>2</v>
      </c>
      <c r="F32" s="17"/>
      <c r="G32" s="17"/>
      <c r="H32" s="17">
        <f t="shared" si="3"/>
        <v>40</v>
      </c>
      <c r="I32" s="17"/>
      <c r="J32" s="6">
        <f t="shared" si="0"/>
        <v>80</v>
      </c>
      <c r="K32" t="s">
        <v>75</v>
      </c>
      <c r="P32">
        <f>Bearings!I2</f>
        <v>6.75</v>
      </c>
      <c r="Q32">
        <f t="shared" si="6"/>
        <v>13.5</v>
      </c>
      <c r="R32" t="s">
        <v>427</v>
      </c>
      <c r="S32" s="49"/>
    </row>
    <row r="33" spans="1:19" ht="13.5" customHeight="1" x14ac:dyDescent="0.25">
      <c r="A33">
        <v>13</v>
      </c>
      <c r="C33" t="s">
        <v>26</v>
      </c>
      <c r="E33" s="5">
        <v>2</v>
      </c>
      <c r="F33" s="17"/>
      <c r="G33" s="17"/>
      <c r="H33" s="17">
        <f t="shared" si="3"/>
        <v>40</v>
      </c>
      <c r="I33" s="17"/>
      <c r="J33" s="6">
        <f t="shared" si="0"/>
        <v>80</v>
      </c>
      <c r="K33" t="s">
        <v>75</v>
      </c>
      <c r="P33">
        <f>Bearings!I4</f>
        <v>7.95</v>
      </c>
      <c r="Q33">
        <f t="shared" si="6"/>
        <v>15.9</v>
      </c>
      <c r="R33" t="s">
        <v>427</v>
      </c>
      <c r="S33" s="49"/>
    </row>
    <row r="34" spans="1:19" ht="13.5" customHeight="1" x14ac:dyDescent="0.25">
      <c r="A34">
        <v>14</v>
      </c>
      <c r="C34" t="s">
        <v>27</v>
      </c>
      <c r="E34" s="5">
        <v>2</v>
      </c>
      <c r="F34" s="17"/>
      <c r="G34" s="17"/>
      <c r="H34" s="17">
        <f t="shared" si="3"/>
        <v>40</v>
      </c>
      <c r="I34" s="17"/>
      <c r="J34" s="6">
        <f t="shared" si="0"/>
        <v>80</v>
      </c>
      <c r="K34" t="s">
        <v>75</v>
      </c>
      <c r="P34">
        <f>Bearings!I5</f>
        <v>4</v>
      </c>
      <c r="Q34">
        <f t="shared" si="6"/>
        <v>8</v>
      </c>
      <c r="R34" t="s">
        <v>427</v>
      </c>
      <c r="S34" s="49"/>
    </row>
    <row r="35" spans="1:19" ht="13.5" customHeight="1" x14ac:dyDescent="0.25">
      <c r="A35">
        <v>28</v>
      </c>
      <c r="C35" t="s">
        <v>44</v>
      </c>
      <c r="E35" s="5">
        <v>1</v>
      </c>
      <c r="F35" s="17"/>
      <c r="G35" s="17"/>
      <c r="H35" s="17">
        <f t="shared" si="3"/>
        <v>40</v>
      </c>
      <c r="I35" s="17"/>
      <c r="J35" s="6">
        <f t="shared" si="0"/>
        <v>40</v>
      </c>
      <c r="K35" t="s">
        <v>48</v>
      </c>
      <c r="Q35">
        <v>550</v>
      </c>
      <c r="R35">
        <v>693.16</v>
      </c>
      <c r="S35" t="s">
        <v>418</v>
      </c>
    </row>
    <row r="36" spans="1:19" ht="13.5" customHeight="1" x14ac:dyDescent="0.25">
      <c r="A36">
        <v>29</v>
      </c>
      <c r="C36" t="s">
        <v>45</v>
      </c>
      <c r="E36" s="5">
        <v>1</v>
      </c>
      <c r="F36" s="17"/>
      <c r="G36" s="17"/>
      <c r="H36" s="17">
        <f t="shared" si="3"/>
        <v>40</v>
      </c>
      <c r="I36" s="17"/>
      <c r="J36" s="6">
        <f t="shared" si="0"/>
        <v>40</v>
      </c>
      <c r="K36" t="s">
        <v>48</v>
      </c>
      <c r="R36">
        <v>229.25</v>
      </c>
      <c r="S36" t="s">
        <v>418</v>
      </c>
    </row>
    <row r="37" spans="1:19" ht="13.5" customHeight="1" x14ac:dyDescent="0.25">
      <c r="A37">
        <v>30</v>
      </c>
      <c r="C37" t="s">
        <v>46</v>
      </c>
      <c r="E37" s="5">
        <v>1</v>
      </c>
      <c r="F37" s="17"/>
      <c r="G37" s="17">
        <v>2</v>
      </c>
      <c r="H37" s="17">
        <f t="shared" si="3"/>
        <v>40</v>
      </c>
      <c r="I37" s="17"/>
      <c r="J37" s="6">
        <f t="shared" si="0"/>
        <v>40</v>
      </c>
      <c r="K37" t="s">
        <v>48</v>
      </c>
      <c r="M37">
        <v>3</v>
      </c>
      <c r="P37">
        <f>258.77/M37</f>
        <v>86.256666666666661</v>
      </c>
      <c r="Q37">
        <f t="shared" ref="Q37:Q46" si="7">P37*E37</f>
        <v>86.256666666666661</v>
      </c>
      <c r="R37" s="151">
        <v>41523</v>
      </c>
      <c r="S37" s="49"/>
    </row>
    <row r="38" spans="1:19" ht="13.5" customHeight="1" x14ac:dyDescent="0.25">
      <c r="A38">
        <v>31</v>
      </c>
      <c r="C38" t="s">
        <v>47</v>
      </c>
      <c r="E38" s="5">
        <v>2</v>
      </c>
      <c r="F38" s="17"/>
      <c r="G38" s="17"/>
      <c r="H38" s="17">
        <f t="shared" si="3"/>
        <v>40</v>
      </c>
      <c r="I38" s="17"/>
      <c r="J38" s="6">
        <f t="shared" si="0"/>
        <v>80</v>
      </c>
      <c r="K38" t="s">
        <v>21</v>
      </c>
      <c r="P38">
        <f>'Laser Cutting'!H12</f>
        <v>8.27</v>
      </c>
      <c r="Q38">
        <f t="shared" si="7"/>
        <v>16.54</v>
      </c>
      <c r="R38" t="s">
        <v>427</v>
      </c>
      <c r="S38" s="49"/>
    </row>
    <row r="39" spans="1:19" ht="15" x14ac:dyDescent="0.25">
      <c r="A39">
        <v>32</v>
      </c>
      <c r="C39" s="14" t="s">
        <v>244</v>
      </c>
      <c r="E39" s="5">
        <v>2</v>
      </c>
      <c r="F39" s="17"/>
      <c r="G39" s="17">
        <v>10</v>
      </c>
      <c r="H39" s="17">
        <f t="shared" si="3"/>
        <v>40</v>
      </c>
      <c r="I39" s="17"/>
      <c r="J39" s="6">
        <f t="shared" si="0"/>
        <v>80</v>
      </c>
      <c r="K39" t="s">
        <v>137</v>
      </c>
      <c r="L39" s="14" t="s">
        <v>246</v>
      </c>
      <c r="M39">
        <f>8000/2800</f>
        <v>2.8571428571428572</v>
      </c>
      <c r="N39">
        <f>E39/M39</f>
        <v>0.7</v>
      </c>
      <c r="O39">
        <f>J39/M39</f>
        <v>28</v>
      </c>
      <c r="P39" s="24">
        <f>Steel!T38</f>
        <v>97.17</v>
      </c>
      <c r="Q39" s="24">
        <f>P39*N39</f>
        <v>68.018999999999991</v>
      </c>
      <c r="S39">
        <f>P39*N39*G39</f>
        <v>680.18999999999994</v>
      </c>
    </row>
    <row r="40" spans="1:19" ht="15" x14ac:dyDescent="0.25">
      <c r="A40">
        <v>33</v>
      </c>
      <c r="C40" s="14" t="s">
        <v>245</v>
      </c>
      <c r="E40" s="5">
        <v>2</v>
      </c>
      <c r="F40" s="17"/>
      <c r="G40" s="17"/>
      <c r="H40" s="17">
        <f t="shared" si="3"/>
        <v>40</v>
      </c>
      <c r="I40" s="17"/>
      <c r="J40" s="6">
        <f t="shared" si="0"/>
        <v>80</v>
      </c>
      <c r="K40" t="s">
        <v>137</v>
      </c>
      <c r="L40" s="14" t="s">
        <v>246</v>
      </c>
      <c r="M40">
        <f>8000/700</f>
        <v>11.428571428571429</v>
      </c>
      <c r="N40">
        <f>E40/M40</f>
        <v>0.17499999999999999</v>
      </c>
      <c r="O40">
        <f>J40/M40</f>
        <v>7</v>
      </c>
      <c r="P40" s="24">
        <f>Steel!T38</f>
        <v>97.17</v>
      </c>
      <c r="Q40" s="24">
        <f t="shared" ref="Q40:Q42" si="8">P40*N40</f>
        <v>17.004749999999998</v>
      </c>
      <c r="S40">
        <f t="shared" ref="S40:S42" si="9">P40*N40*G40</f>
        <v>0</v>
      </c>
    </row>
    <row r="41" spans="1:19" ht="15" x14ac:dyDescent="0.25">
      <c r="A41">
        <v>34</v>
      </c>
      <c r="C41" s="14" t="s">
        <v>182</v>
      </c>
      <c r="E41" s="5">
        <v>2</v>
      </c>
      <c r="F41" s="17"/>
      <c r="G41" s="17"/>
      <c r="H41" s="17">
        <f t="shared" si="3"/>
        <v>40</v>
      </c>
      <c r="I41" s="17"/>
      <c r="J41" s="6">
        <f t="shared" si="0"/>
        <v>80</v>
      </c>
      <c r="K41" t="s">
        <v>137</v>
      </c>
      <c r="L41" s="14" t="s">
        <v>184</v>
      </c>
      <c r="M41">
        <f>6000/100</f>
        <v>60</v>
      </c>
      <c r="N41">
        <f>E41/M41</f>
        <v>3.3333333333333333E-2</v>
      </c>
      <c r="O41">
        <f>J41/M41</f>
        <v>1.3333333333333333</v>
      </c>
      <c r="P41" s="24">
        <f>Steel!T44</f>
        <v>38.19</v>
      </c>
      <c r="Q41" s="24">
        <f t="shared" si="8"/>
        <v>1.2729999999999999</v>
      </c>
      <c r="S41">
        <f t="shared" si="9"/>
        <v>0</v>
      </c>
    </row>
    <row r="42" spans="1:19" ht="15" x14ac:dyDescent="0.25">
      <c r="A42">
        <v>35</v>
      </c>
      <c r="C42" s="14" t="s">
        <v>362</v>
      </c>
      <c r="E42" s="5">
        <v>1</v>
      </c>
      <c r="F42" s="134">
        <v>0</v>
      </c>
      <c r="G42" s="134"/>
      <c r="H42" s="17">
        <f t="shared" si="3"/>
        <v>40</v>
      </c>
      <c r="I42" s="17"/>
      <c r="J42" s="6">
        <f t="shared" si="0"/>
        <v>40</v>
      </c>
      <c r="K42" t="s">
        <v>137</v>
      </c>
      <c r="L42" t="s">
        <v>136</v>
      </c>
      <c r="M42">
        <v>20</v>
      </c>
      <c r="N42">
        <f>E42/M42</f>
        <v>0.05</v>
      </c>
      <c r="O42">
        <f>J42/M42</f>
        <v>2</v>
      </c>
      <c r="P42" s="24">
        <f>Steel!T34</f>
        <v>124.29</v>
      </c>
      <c r="Q42" s="24">
        <f t="shared" si="8"/>
        <v>6.214500000000001</v>
      </c>
      <c r="S42">
        <f t="shared" si="9"/>
        <v>0</v>
      </c>
    </row>
    <row r="43" spans="1:19" ht="15" x14ac:dyDescent="0.25">
      <c r="A43">
        <v>36</v>
      </c>
      <c r="C43" t="s">
        <v>28</v>
      </c>
      <c r="E43" s="5">
        <v>8</v>
      </c>
      <c r="F43" s="134"/>
      <c r="G43" s="134"/>
      <c r="H43" s="17">
        <f t="shared" si="3"/>
        <v>40</v>
      </c>
      <c r="I43" s="134"/>
      <c r="J43" s="6">
        <f t="shared" si="0"/>
        <v>320</v>
      </c>
      <c r="K43" s="138" t="s">
        <v>417</v>
      </c>
      <c r="P43">
        <v>1</v>
      </c>
      <c r="Q43">
        <f t="shared" si="7"/>
        <v>8</v>
      </c>
      <c r="S43" s="49"/>
    </row>
    <row r="44" spans="1:19" ht="15" x14ac:dyDescent="0.25">
      <c r="A44">
        <v>37</v>
      </c>
      <c r="D44" t="s">
        <v>30</v>
      </c>
      <c r="E44" s="5">
        <v>8</v>
      </c>
      <c r="F44" s="134"/>
      <c r="G44" s="134"/>
      <c r="H44" s="17">
        <f>H42</f>
        <v>40</v>
      </c>
      <c r="I44" s="134"/>
      <c r="J44" s="6">
        <f t="shared" si="0"/>
        <v>320</v>
      </c>
      <c r="K44" s="138" t="s">
        <v>417</v>
      </c>
      <c r="P44">
        <v>1</v>
      </c>
      <c r="Q44">
        <f t="shared" si="7"/>
        <v>8</v>
      </c>
      <c r="S44" s="49"/>
    </row>
    <row r="45" spans="1:19" ht="15" x14ac:dyDescent="0.25">
      <c r="A45">
        <v>38</v>
      </c>
      <c r="D45" t="s">
        <v>31</v>
      </c>
      <c r="E45" s="5">
        <v>8</v>
      </c>
      <c r="F45" s="134"/>
      <c r="G45" s="134"/>
      <c r="H45" s="17">
        <f>H42</f>
        <v>40</v>
      </c>
      <c r="I45" s="134"/>
      <c r="J45" s="6">
        <f t="shared" si="0"/>
        <v>320</v>
      </c>
      <c r="K45" s="138" t="s">
        <v>417</v>
      </c>
      <c r="P45">
        <v>1</v>
      </c>
      <c r="Q45">
        <f t="shared" si="7"/>
        <v>8</v>
      </c>
      <c r="S45" s="49"/>
    </row>
    <row r="46" spans="1:19" ht="15" x14ac:dyDescent="0.25">
      <c r="A46">
        <v>39</v>
      </c>
      <c r="D46" t="s">
        <v>33</v>
      </c>
      <c r="E46" s="5">
        <v>8</v>
      </c>
      <c r="F46" s="134"/>
      <c r="G46" s="134"/>
      <c r="H46" s="17">
        <f t="shared" ref="H46:H48" si="10">H44</f>
        <v>40</v>
      </c>
      <c r="I46" s="134"/>
      <c r="J46" s="6">
        <f t="shared" si="0"/>
        <v>320</v>
      </c>
      <c r="K46" s="138" t="s">
        <v>417</v>
      </c>
      <c r="P46">
        <v>1</v>
      </c>
      <c r="Q46">
        <f t="shared" si="7"/>
        <v>8</v>
      </c>
      <c r="S46" s="49"/>
    </row>
    <row r="47" spans="1:19" ht="15" x14ac:dyDescent="0.25">
      <c r="E47" s="5"/>
      <c r="F47" s="5"/>
      <c r="G47" s="5"/>
      <c r="H47" s="17">
        <f t="shared" si="10"/>
        <v>40</v>
      </c>
      <c r="I47" s="5"/>
      <c r="J47" s="6"/>
      <c r="K47" s="138" t="s">
        <v>417</v>
      </c>
      <c r="Q47" s="13">
        <f>SUM(Q4:Q46)</f>
        <v>2256.203</v>
      </c>
      <c r="S47" s="13">
        <f>SUM(S4:S46)</f>
        <v>10596.29</v>
      </c>
    </row>
    <row r="48" spans="1:19" ht="15" x14ac:dyDescent="0.25">
      <c r="E48" s="5"/>
      <c r="F48" s="5"/>
      <c r="G48" s="5"/>
      <c r="H48" s="17">
        <f t="shared" si="10"/>
        <v>40</v>
      </c>
      <c r="I48" s="5"/>
      <c r="J48" s="6"/>
    </row>
    <row r="49" spans="1:18" ht="40.5" x14ac:dyDescent="0.35">
      <c r="A49" s="3" t="s">
        <v>135</v>
      </c>
      <c r="E49" s="41" t="s">
        <v>191</v>
      </c>
      <c r="F49" s="41" t="s">
        <v>192</v>
      </c>
      <c r="G49" s="41"/>
      <c r="H49">
        <f>H48</f>
        <v>40</v>
      </c>
      <c r="I49" s="5" t="s">
        <v>11</v>
      </c>
      <c r="J49" s="44" t="s">
        <v>193</v>
      </c>
      <c r="L49" s="23"/>
    </row>
    <row r="50" spans="1:18" ht="15" customHeight="1" x14ac:dyDescent="0.35">
      <c r="A50" s="3"/>
      <c r="B50" s="13" t="s">
        <v>270</v>
      </c>
      <c r="C50" s="13"/>
      <c r="E50" s="41"/>
      <c r="F50" s="41"/>
      <c r="G50" s="41"/>
      <c r="I50" s="5"/>
      <c r="J50" s="44"/>
      <c r="L50" s="23"/>
    </row>
    <row r="51" spans="1:18" ht="15" x14ac:dyDescent="0.25">
      <c r="D51" s="14" t="s">
        <v>246</v>
      </c>
      <c r="E51" s="5">
        <f>N39+N40</f>
        <v>0.875</v>
      </c>
      <c r="F51" s="5"/>
      <c r="G51" s="5"/>
      <c r="H51" s="17">
        <f>H56</f>
        <v>40</v>
      </c>
      <c r="I51" s="5">
        <v>0</v>
      </c>
      <c r="J51" s="6">
        <f>O39+O40</f>
        <v>35</v>
      </c>
    </row>
    <row r="52" spans="1:18" ht="15" x14ac:dyDescent="0.25">
      <c r="B52" s="13" t="s">
        <v>188</v>
      </c>
      <c r="C52" s="13"/>
      <c r="D52" s="14"/>
      <c r="E52" s="5"/>
      <c r="F52" s="5"/>
      <c r="G52" s="5"/>
      <c r="H52" s="17"/>
      <c r="I52" s="5"/>
      <c r="J52" s="6"/>
    </row>
    <row r="53" spans="1:18" ht="15" x14ac:dyDescent="0.25">
      <c r="D53" t="s">
        <v>243</v>
      </c>
      <c r="E53" s="5">
        <v>1</v>
      </c>
      <c r="F53" s="5"/>
      <c r="G53" s="5"/>
      <c r="H53" s="17">
        <f>H51</f>
        <v>40</v>
      </c>
      <c r="I53" s="5">
        <v>0</v>
      </c>
      <c r="J53" s="6">
        <f>O30</f>
        <v>40</v>
      </c>
    </row>
    <row r="54" spans="1:18" ht="15" x14ac:dyDescent="0.25">
      <c r="B54" s="13" t="s">
        <v>187</v>
      </c>
      <c r="C54" s="13"/>
      <c r="E54" s="5"/>
      <c r="F54" s="5"/>
      <c r="G54" s="5"/>
      <c r="H54" s="17"/>
      <c r="I54" s="5"/>
      <c r="J54" s="6"/>
    </row>
    <row r="55" spans="1:18" ht="15" x14ac:dyDescent="0.25">
      <c r="D55" t="s">
        <v>425</v>
      </c>
      <c r="E55" s="5">
        <f>N10</f>
        <v>0.125</v>
      </c>
      <c r="F55" s="5"/>
      <c r="G55" s="5"/>
      <c r="H55" s="17">
        <f>H48</f>
        <v>40</v>
      </c>
      <c r="I55" s="5">
        <v>0</v>
      </c>
      <c r="J55" s="6">
        <f>O10</f>
        <v>5</v>
      </c>
    </row>
    <row r="56" spans="1:18" ht="15" x14ac:dyDescent="0.25">
      <c r="D56" t="s">
        <v>183</v>
      </c>
      <c r="E56" s="5">
        <f>N11</f>
        <v>0.25</v>
      </c>
      <c r="F56" s="5"/>
      <c r="G56" s="5"/>
      <c r="H56" s="17">
        <f>H49</f>
        <v>40</v>
      </c>
      <c r="I56" s="5">
        <v>0</v>
      </c>
      <c r="J56" s="6">
        <f>O11</f>
        <v>10</v>
      </c>
    </row>
    <row r="57" spans="1:18" ht="15" x14ac:dyDescent="0.25">
      <c r="D57" s="14" t="s">
        <v>184</v>
      </c>
      <c r="E57" s="5">
        <f>N41</f>
        <v>3.3333333333333333E-2</v>
      </c>
      <c r="F57" s="5"/>
      <c r="G57" s="5"/>
      <c r="H57" s="17">
        <f>H59</f>
        <v>40</v>
      </c>
      <c r="I57" s="5">
        <v>0</v>
      </c>
      <c r="J57" s="6">
        <f>O41</f>
        <v>1.3333333333333333</v>
      </c>
    </row>
    <row r="58" spans="1:18" ht="15" x14ac:dyDescent="0.25">
      <c r="B58" s="13" t="s">
        <v>274</v>
      </c>
      <c r="C58" s="13"/>
      <c r="E58" s="5"/>
      <c r="F58" s="5"/>
      <c r="G58" s="5"/>
      <c r="H58" s="17"/>
      <c r="I58" s="5"/>
      <c r="J58" s="6"/>
    </row>
    <row r="59" spans="1:18" ht="15" x14ac:dyDescent="0.25">
      <c r="D59" t="s">
        <v>249</v>
      </c>
      <c r="E59" s="5">
        <f>N12+N42</f>
        <v>8.3333333333333343E-2</v>
      </c>
      <c r="F59" s="5"/>
      <c r="G59" s="5"/>
      <c r="H59" s="17">
        <f>H55</f>
        <v>40</v>
      </c>
      <c r="I59" s="5">
        <v>0</v>
      </c>
      <c r="J59" s="6">
        <f>O12+O42</f>
        <v>3.333333333333333</v>
      </c>
    </row>
    <row r="63" spans="1:18" x14ac:dyDescent="0.2">
      <c r="P63" t="s">
        <v>389</v>
      </c>
      <c r="Q63" s="47">
        <f>Q47+Q60</f>
        <v>2256.203</v>
      </c>
      <c r="R63" s="13" t="s">
        <v>254</v>
      </c>
    </row>
    <row r="64" spans="1:18" x14ac:dyDescent="0.2">
      <c r="P64" t="s">
        <v>390</v>
      </c>
      <c r="Q64">
        <f>12*35</f>
        <v>420</v>
      </c>
    </row>
    <row r="65" spans="16:17" x14ac:dyDescent="0.2">
      <c r="Q65" s="140">
        <f>Q63+Q64</f>
        <v>2676.203</v>
      </c>
    </row>
    <row r="66" spans="16:17" x14ac:dyDescent="0.2">
      <c r="P66" s="138" t="s">
        <v>391</v>
      </c>
      <c r="Q66" s="141">
        <v>1.6</v>
      </c>
    </row>
    <row r="67" spans="16:17" x14ac:dyDescent="0.2">
      <c r="Q67" s="142">
        <f>Q65*Q66</f>
        <v>4281.9247999999998</v>
      </c>
    </row>
  </sheetData>
  <pageMargins left="0" right="0" top="0.55118110236220474" bottom="0.15748031496062992" header="0" footer="0"/>
  <pageSetup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D57"/>
  <sheetViews>
    <sheetView tabSelected="1" topLeftCell="H1" zoomScale="80" zoomScaleNormal="80" workbookViewId="0">
      <selection activeCell="AF18" sqref="AF18"/>
    </sheetView>
  </sheetViews>
  <sheetFormatPr defaultRowHeight="12.75" x14ac:dyDescent="0.2"/>
  <cols>
    <col min="1" max="1" width="3.7109375" customWidth="1"/>
    <col min="2" max="2" width="30.28515625" customWidth="1"/>
    <col min="3" max="3" width="8.7109375" customWidth="1"/>
    <col min="4" max="4" width="5.7109375" customWidth="1"/>
    <col min="5" max="5" width="7.28515625" customWidth="1"/>
    <col min="6" max="6" width="9.140625" customWidth="1"/>
    <col min="7" max="7" width="9.42578125" customWidth="1"/>
    <col min="8" max="8" width="8.85546875" customWidth="1"/>
    <col min="9" max="10" width="8" customWidth="1"/>
    <col min="11" max="11" width="7.140625" customWidth="1"/>
    <col min="12" max="12" width="11" style="59" customWidth="1"/>
    <col min="13" max="13" width="7.140625" customWidth="1"/>
    <col min="14" max="14" width="9.140625" customWidth="1"/>
    <col min="15" max="18" width="0" hidden="1" customWidth="1"/>
    <col min="23" max="23" width="10.7109375" customWidth="1"/>
    <col min="24" max="24" width="11.140625" customWidth="1"/>
    <col min="25" max="25" width="10.5703125" customWidth="1"/>
    <col min="26" max="26" width="12.140625" customWidth="1"/>
    <col min="27" max="27" width="11.7109375" customWidth="1"/>
    <col min="28" max="28" width="10.7109375" customWidth="1"/>
    <col min="29" max="30" width="10.5703125" customWidth="1"/>
  </cols>
  <sheetData>
    <row r="2" spans="1:30" ht="25.5" x14ac:dyDescent="0.2">
      <c r="F2" s="11" t="s">
        <v>64</v>
      </c>
      <c r="G2" s="11" t="s">
        <v>56</v>
      </c>
      <c r="H2" s="11" t="s">
        <v>275</v>
      </c>
      <c r="I2" s="11" t="s">
        <v>478</v>
      </c>
      <c r="J2" s="11"/>
      <c r="S2" s="14"/>
    </row>
    <row r="3" spans="1:30" ht="41.25" customHeight="1" x14ac:dyDescent="0.35">
      <c r="A3" s="3" t="s">
        <v>135</v>
      </c>
      <c r="C3" s="11" t="s">
        <v>465</v>
      </c>
      <c r="D3" s="11" t="s">
        <v>464</v>
      </c>
      <c r="E3" s="11" t="s">
        <v>276</v>
      </c>
      <c r="F3" s="186" t="s">
        <v>193</v>
      </c>
      <c r="G3" s="186" t="s">
        <v>193</v>
      </c>
      <c r="H3" s="186" t="s">
        <v>193</v>
      </c>
      <c r="I3" s="169" t="s">
        <v>281</v>
      </c>
      <c r="J3" s="169" t="s">
        <v>462</v>
      </c>
      <c r="K3" s="188" t="s">
        <v>11</v>
      </c>
      <c r="L3" s="189" t="s">
        <v>282</v>
      </c>
      <c r="M3" s="188" t="s">
        <v>435</v>
      </c>
      <c r="N3" s="188" t="s">
        <v>77</v>
      </c>
      <c r="O3" s="188" t="s">
        <v>436</v>
      </c>
      <c r="P3" s="188" t="s">
        <v>437</v>
      </c>
      <c r="Q3" s="188" t="s">
        <v>438</v>
      </c>
      <c r="R3" s="202" t="s">
        <v>194</v>
      </c>
      <c r="S3" s="187" t="s">
        <v>466</v>
      </c>
      <c r="T3" s="187" t="s">
        <v>467</v>
      </c>
      <c r="U3" s="186" t="s">
        <v>468</v>
      </c>
      <c r="V3" t="s">
        <v>464</v>
      </c>
      <c r="W3" s="138" t="s">
        <v>483</v>
      </c>
      <c r="X3" s="55" t="s">
        <v>494</v>
      </c>
      <c r="Y3" s="55" t="s">
        <v>499</v>
      </c>
      <c r="Z3" s="55" t="s">
        <v>501</v>
      </c>
      <c r="AA3" s="55" t="s">
        <v>502</v>
      </c>
      <c r="AB3" s="55" t="s">
        <v>506</v>
      </c>
      <c r="AC3" s="55" t="s">
        <v>507</v>
      </c>
      <c r="AD3" s="55" t="s">
        <v>509</v>
      </c>
    </row>
    <row r="4" spans="1:30" ht="18" customHeight="1" x14ac:dyDescent="0.25">
      <c r="A4" s="58" t="s">
        <v>64</v>
      </c>
      <c r="C4" s="41"/>
      <c r="D4" s="41"/>
      <c r="E4" s="10">
        <v>1</v>
      </c>
      <c r="F4" s="190"/>
      <c r="G4" s="190"/>
      <c r="H4" s="190"/>
      <c r="I4" s="70"/>
      <c r="J4" s="70"/>
      <c r="K4" s="70"/>
      <c r="M4" s="70"/>
      <c r="N4" s="70"/>
      <c r="R4" s="203"/>
    </row>
    <row r="5" spans="1:30" s="72" customFormat="1" ht="15" x14ac:dyDescent="0.25">
      <c r="A5" s="71" t="s">
        <v>270</v>
      </c>
      <c r="C5" s="73"/>
      <c r="D5" s="73"/>
      <c r="E5" s="73"/>
      <c r="F5" s="191"/>
      <c r="G5" s="192"/>
      <c r="H5" s="191"/>
      <c r="I5" s="74"/>
      <c r="J5" s="74"/>
      <c r="K5" s="75"/>
      <c r="L5" s="77"/>
      <c r="M5" s="75"/>
      <c r="N5" s="75"/>
      <c r="R5" s="204"/>
    </row>
    <row r="6" spans="1:30" ht="15" x14ac:dyDescent="0.25">
      <c r="B6" s="14" t="s">
        <v>157</v>
      </c>
      <c r="C6" s="57">
        <f>Base!D59</f>
        <v>1.5833333333333335</v>
      </c>
      <c r="D6" s="57"/>
      <c r="E6" s="59">
        <f>E4</f>
        <v>1</v>
      </c>
      <c r="F6" s="193">
        <f>Base!I59</f>
        <v>6.3333333333333339</v>
      </c>
      <c r="G6" s="194"/>
      <c r="H6" s="193"/>
      <c r="I6" s="83">
        <v>1</v>
      </c>
      <c r="J6" s="218">
        <f>T6*I6</f>
        <v>163.32</v>
      </c>
      <c r="K6" s="70"/>
      <c r="L6" s="178">
        <f t="shared" ref="L6:L13" si="0">F6+G6+H6-I6</f>
        <v>5.3333333333333339</v>
      </c>
      <c r="M6" s="14">
        <v>24</v>
      </c>
      <c r="N6" s="14">
        <f>T6*M6</f>
        <v>3919.68</v>
      </c>
      <c r="P6">
        <v>24</v>
      </c>
      <c r="Q6">
        <v>24</v>
      </c>
      <c r="R6" s="203">
        <v>24</v>
      </c>
      <c r="S6" s="14">
        <v>13.61</v>
      </c>
      <c r="T6" s="138">
        <f>S6*12</f>
        <v>163.32</v>
      </c>
      <c r="V6">
        <f>C6*T6</f>
        <v>258.59000000000003</v>
      </c>
    </row>
    <row r="7" spans="1:30" ht="15" x14ac:dyDescent="0.25">
      <c r="A7" s="4"/>
      <c r="B7" s="138" t="s">
        <v>158</v>
      </c>
      <c r="C7" s="57">
        <f>Base!D60</f>
        <v>4.125</v>
      </c>
      <c r="D7" s="57"/>
      <c r="E7" s="59">
        <f t="shared" ref="E7:E13" si="1">E6</f>
        <v>1</v>
      </c>
      <c r="F7" s="193">
        <f>Base!I60</f>
        <v>28.875</v>
      </c>
      <c r="G7" s="194"/>
      <c r="H7" s="193"/>
      <c r="I7" s="83">
        <v>13</v>
      </c>
      <c r="J7" s="218">
        <f t="shared" ref="J7:J23" si="2">T7*I7</f>
        <v>1131.6499999999999</v>
      </c>
      <c r="K7" s="70"/>
      <c r="L7" s="178">
        <f t="shared" si="0"/>
        <v>15.875</v>
      </c>
      <c r="M7" s="14">
        <v>16</v>
      </c>
      <c r="N7" s="14">
        <f>T7*M7</f>
        <v>1392.8</v>
      </c>
      <c r="O7" s="14">
        <v>48</v>
      </c>
      <c r="P7">
        <v>48</v>
      </c>
      <c r="Q7">
        <v>48</v>
      </c>
      <c r="R7" s="203">
        <v>42</v>
      </c>
      <c r="S7" s="14"/>
      <c r="T7">
        <v>87.05</v>
      </c>
      <c r="U7">
        <v>2970.24</v>
      </c>
      <c r="V7">
        <f t="shared" ref="V7:V13" si="3">C7*T7</f>
        <v>359.08125000000001</v>
      </c>
    </row>
    <row r="8" spans="1:30" ht="15" x14ac:dyDescent="0.25">
      <c r="B8" s="138" t="s">
        <v>354</v>
      </c>
      <c r="C8" s="57">
        <f>Base!D61</f>
        <v>5.5</v>
      </c>
      <c r="D8" s="57"/>
      <c r="E8" s="59">
        <f t="shared" si="1"/>
        <v>1</v>
      </c>
      <c r="F8" s="193">
        <f>Base!I61</f>
        <v>49.5</v>
      </c>
      <c r="G8" s="194"/>
      <c r="H8" s="193"/>
      <c r="I8" s="83">
        <v>22</v>
      </c>
      <c r="J8" s="218">
        <f t="shared" si="2"/>
        <v>873.40000000000009</v>
      </c>
      <c r="K8" s="70"/>
      <c r="L8" s="178">
        <f t="shared" si="0"/>
        <v>27.5</v>
      </c>
      <c r="M8" s="138">
        <v>28</v>
      </c>
      <c r="N8" s="14">
        <f>T8*M8</f>
        <v>1111.6000000000001</v>
      </c>
      <c r="O8" s="14">
        <v>98</v>
      </c>
      <c r="P8">
        <v>98</v>
      </c>
      <c r="Q8">
        <v>49</v>
      </c>
      <c r="R8" s="203">
        <v>49</v>
      </c>
      <c r="S8" s="14"/>
      <c r="T8" s="138">
        <v>39.700000000000003</v>
      </c>
      <c r="U8" s="138">
        <f>T8*49</f>
        <v>1945.3000000000002</v>
      </c>
      <c r="V8">
        <f t="shared" si="3"/>
        <v>218.35000000000002</v>
      </c>
    </row>
    <row r="9" spans="1:30" ht="15" x14ac:dyDescent="0.25">
      <c r="B9" s="14" t="s">
        <v>163</v>
      </c>
      <c r="C9" s="57">
        <f>Base!D62</f>
        <v>0.55460992907801421</v>
      </c>
      <c r="D9" s="57"/>
      <c r="E9" s="59">
        <f t="shared" si="1"/>
        <v>1</v>
      </c>
      <c r="F9" s="193">
        <f>Base!I62</f>
        <v>-4.7141843971631205</v>
      </c>
      <c r="G9" s="194"/>
      <c r="H9" s="193"/>
      <c r="I9" s="83">
        <v>0</v>
      </c>
      <c r="J9" s="218">
        <f t="shared" si="2"/>
        <v>0</v>
      </c>
      <c r="K9" s="70"/>
      <c r="L9" s="178">
        <f t="shared" si="0"/>
        <v>-4.7141843971631205</v>
      </c>
      <c r="M9" s="138"/>
      <c r="N9" s="138"/>
      <c r="O9">
        <v>10</v>
      </c>
      <c r="R9" s="203"/>
      <c r="T9">
        <v>130.58000000000001</v>
      </c>
      <c r="V9">
        <f t="shared" si="3"/>
        <v>72.420964539007102</v>
      </c>
    </row>
    <row r="10" spans="1:30" ht="15" x14ac:dyDescent="0.25">
      <c r="B10" s="138" t="s">
        <v>442</v>
      </c>
      <c r="C10" s="57">
        <f>Base!D63</f>
        <v>9.0909090909090912E-2</v>
      </c>
      <c r="D10" s="57"/>
      <c r="E10" s="59">
        <f t="shared" si="1"/>
        <v>1</v>
      </c>
      <c r="F10" s="193">
        <f>Base!I63</f>
        <v>0.90909090909090917</v>
      </c>
      <c r="G10" s="194"/>
      <c r="H10" s="193"/>
      <c r="I10" s="83">
        <v>2</v>
      </c>
      <c r="J10" s="218">
        <f t="shared" si="2"/>
        <v>394.44</v>
      </c>
      <c r="K10" s="70"/>
      <c r="L10" s="178">
        <f t="shared" si="0"/>
        <v>-1.0909090909090908</v>
      </c>
      <c r="M10" s="138">
        <v>0</v>
      </c>
      <c r="N10" s="138"/>
      <c r="R10" s="203"/>
      <c r="T10">
        <v>197.22</v>
      </c>
      <c r="V10">
        <f t="shared" si="3"/>
        <v>17.92909090909091</v>
      </c>
    </row>
    <row r="11" spans="1:30" ht="15" x14ac:dyDescent="0.25">
      <c r="B11" s="14" t="s">
        <v>166</v>
      </c>
      <c r="C11" s="57">
        <f>Base!D64</f>
        <v>0.17</v>
      </c>
      <c r="D11" s="57"/>
      <c r="E11" s="59">
        <f t="shared" si="1"/>
        <v>1</v>
      </c>
      <c r="F11" s="193">
        <f>Base!I64</f>
        <v>-2.21</v>
      </c>
      <c r="G11" s="194"/>
      <c r="H11" s="193"/>
      <c r="I11" s="83">
        <v>3</v>
      </c>
      <c r="J11" s="218">
        <f t="shared" si="2"/>
        <v>482.97</v>
      </c>
      <c r="K11" s="70"/>
      <c r="L11" s="178">
        <f t="shared" si="0"/>
        <v>-5.21</v>
      </c>
      <c r="M11" s="138">
        <v>0</v>
      </c>
      <c r="N11" s="138"/>
      <c r="R11" s="203"/>
      <c r="T11">
        <v>160.99</v>
      </c>
      <c r="V11">
        <f t="shared" si="3"/>
        <v>27.368300000000005</v>
      </c>
    </row>
    <row r="12" spans="1:30" ht="15" x14ac:dyDescent="0.25">
      <c r="B12" s="138" t="s">
        <v>440</v>
      </c>
      <c r="C12" s="57">
        <f>Base!D65</f>
        <v>0.125</v>
      </c>
      <c r="D12" s="57"/>
      <c r="E12" s="59">
        <f t="shared" si="1"/>
        <v>1</v>
      </c>
      <c r="F12" s="193">
        <f>Base!I65</f>
        <v>1.25</v>
      </c>
      <c r="G12" s="194"/>
      <c r="H12" s="193"/>
      <c r="I12" s="83">
        <v>0</v>
      </c>
      <c r="J12" s="218">
        <f t="shared" si="2"/>
        <v>0</v>
      </c>
      <c r="K12" s="70">
        <v>0</v>
      </c>
      <c r="L12" s="178">
        <f t="shared" si="0"/>
        <v>1.25</v>
      </c>
      <c r="M12" s="138"/>
      <c r="N12" s="138"/>
      <c r="R12" s="203"/>
      <c r="T12">
        <v>112.02</v>
      </c>
      <c r="V12">
        <f t="shared" si="3"/>
        <v>14.0025</v>
      </c>
    </row>
    <row r="13" spans="1:30" ht="15" x14ac:dyDescent="0.25">
      <c r="B13" s="138" t="s">
        <v>441</v>
      </c>
      <c r="C13" s="57">
        <f>Base!D66</f>
        <v>0.5</v>
      </c>
      <c r="D13" s="57"/>
      <c r="E13" s="59">
        <f t="shared" si="1"/>
        <v>1</v>
      </c>
      <c r="F13" s="193">
        <f>Base!I66</f>
        <v>5</v>
      </c>
      <c r="G13" s="194"/>
      <c r="H13" s="193"/>
      <c r="I13" s="83">
        <v>5</v>
      </c>
      <c r="J13" s="218">
        <f t="shared" si="2"/>
        <v>655.6</v>
      </c>
      <c r="K13" s="70">
        <v>0</v>
      </c>
      <c r="L13" s="178">
        <f t="shared" si="0"/>
        <v>0</v>
      </c>
      <c r="M13" s="138"/>
      <c r="N13" s="138"/>
      <c r="R13" s="203"/>
      <c r="T13">
        <v>131.12</v>
      </c>
      <c r="V13">
        <f t="shared" si="3"/>
        <v>65.56</v>
      </c>
    </row>
    <row r="14" spans="1:30" s="72" customFormat="1" ht="15" x14ac:dyDescent="0.25">
      <c r="A14" s="71" t="s">
        <v>188</v>
      </c>
      <c r="C14" s="76"/>
      <c r="D14" s="76"/>
      <c r="E14" s="77"/>
      <c r="F14" s="195"/>
      <c r="G14" s="196"/>
      <c r="H14" s="195"/>
      <c r="I14" s="78"/>
      <c r="J14" s="78"/>
      <c r="K14" s="75"/>
      <c r="L14" s="180"/>
      <c r="M14" s="75"/>
      <c r="N14" s="75"/>
      <c r="R14" s="204"/>
    </row>
    <row r="15" spans="1:30" s="24" customFormat="1" ht="15" x14ac:dyDescent="0.25">
      <c r="A15" s="160"/>
      <c r="B15" s="162" t="s">
        <v>446</v>
      </c>
      <c r="C15" s="168"/>
      <c r="D15" s="168"/>
      <c r="E15" s="165"/>
      <c r="F15" s="197"/>
      <c r="G15" s="198"/>
      <c r="H15" s="197"/>
      <c r="I15" s="158">
        <v>40</v>
      </c>
      <c r="J15" s="218">
        <f t="shared" si="2"/>
        <v>1031.5999999999999</v>
      </c>
      <c r="K15" s="166"/>
      <c r="L15" s="179"/>
      <c r="M15" s="166"/>
      <c r="N15" s="166"/>
      <c r="R15" s="205"/>
      <c r="T15" s="24">
        <v>25.79</v>
      </c>
      <c r="V15">
        <f>C15*T15</f>
        <v>0</v>
      </c>
    </row>
    <row r="16" spans="1:30" ht="15" x14ac:dyDescent="0.25">
      <c r="B16" s="138" t="s">
        <v>445</v>
      </c>
      <c r="C16" s="57">
        <f>Base!D68</f>
        <v>8</v>
      </c>
      <c r="D16" s="57"/>
      <c r="E16" s="59">
        <f>E12</f>
        <v>1</v>
      </c>
      <c r="F16" s="193">
        <f>Base!I68</f>
        <v>-42</v>
      </c>
      <c r="G16" s="194"/>
      <c r="H16" s="193"/>
      <c r="I16" s="83">
        <v>40</v>
      </c>
      <c r="J16" s="218">
        <f t="shared" si="2"/>
        <v>1264.8</v>
      </c>
      <c r="K16" s="70"/>
      <c r="L16" s="178">
        <f>C16*E16-I16-K16</f>
        <v>-32</v>
      </c>
      <c r="M16" s="137">
        <v>0</v>
      </c>
      <c r="N16" s="137"/>
      <c r="O16" s="14">
        <v>61</v>
      </c>
      <c r="P16">
        <v>122</v>
      </c>
      <c r="Q16">
        <v>61</v>
      </c>
      <c r="R16" s="203">
        <v>61</v>
      </c>
      <c r="S16" s="14"/>
      <c r="T16" s="162">
        <v>31.62</v>
      </c>
      <c r="V16">
        <f t="shared" ref="V16:V17" si="4">C16*T16</f>
        <v>252.96</v>
      </c>
      <c r="AB16" t="s">
        <v>504</v>
      </c>
    </row>
    <row r="17" spans="1:29" ht="15" x14ac:dyDescent="0.25">
      <c r="B17" s="138" t="s">
        <v>444</v>
      </c>
      <c r="C17" s="57">
        <f>Base!D69</f>
        <v>1</v>
      </c>
      <c r="D17" s="57"/>
      <c r="E17" s="59">
        <f>E16</f>
        <v>1</v>
      </c>
      <c r="F17" s="193">
        <f>Base!I69</f>
        <v>10</v>
      </c>
      <c r="G17" s="194"/>
      <c r="H17" s="193"/>
      <c r="I17" s="83">
        <v>40</v>
      </c>
      <c r="J17" s="218">
        <f t="shared" si="2"/>
        <v>1452</v>
      </c>
      <c r="K17" s="70">
        <v>0</v>
      </c>
      <c r="L17" s="178">
        <f>C17*E17-I17-K17</f>
        <v>-39</v>
      </c>
      <c r="M17" s="137">
        <v>20</v>
      </c>
      <c r="N17" s="137"/>
      <c r="O17">
        <v>10</v>
      </c>
      <c r="P17">
        <v>10</v>
      </c>
      <c r="Q17">
        <v>20</v>
      </c>
      <c r="R17" s="203">
        <v>37</v>
      </c>
      <c r="S17" s="14"/>
      <c r="T17" s="162">
        <v>36.299999999999997</v>
      </c>
      <c r="V17">
        <f t="shared" si="4"/>
        <v>36.299999999999997</v>
      </c>
      <c r="AC17" t="s">
        <v>505</v>
      </c>
    </row>
    <row r="18" spans="1:29" s="72" customFormat="1" ht="15" x14ac:dyDescent="0.25">
      <c r="A18" s="71" t="s">
        <v>187</v>
      </c>
      <c r="C18" s="76"/>
      <c r="D18" s="76"/>
      <c r="E18" s="77"/>
      <c r="F18" s="195"/>
      <c r="G18" s="196"/>
      <c r="H18" s="195"/>
      <c r="I18" s="78"/>
      <c r="J18" s="78"/>
      <c r="K18" s="75"/>
      <c r="L18" s="180"/>
      <c r="M18" s="176"/>
      <c r="N18" s="176"/>
      <c r="R18" s="204"/>
    </row>
    <row r="19" spans="1:29" ht="15" x14ac:dyDescent="0.25">
      <c r="B19" s="14" t="s">
        <v>181</v>
      </c>
      <c r="C19" s="57">
        <f>Base!D71</f>
        <v>6.6666666666666666E-2</v>
      </c>
      <c r="D19" s="57"/>
      <c r="E19" s="59">
        <f>E17</f>
        <v>1</v>
      </c>
      <c r="F19" s="193">
        <f>Base!I71</f>
        <v>0.4</v>
      </c>
      <c r="G19" s="194"/>
      <c r="H19" s="193"/>
      <c r="I19" s="83"/>
      <c r="J19" s="218">
        <f t="shared" si="2"/>
        <v>0</v>
      </c>
      <c r="K19" s="70">
        <v>0</v>
      </c>
      <c r="L19" s="178">
        <f>C19*E19-I19-K19</f>
        <v>6.6666666666666666E-2</v>
      </c>
      <c r="M19" s="137"/>
      <c r="N19" s="137"/>
      <c r="R19" s="203"/>
      <c r="T19" s="162">
        <v>13.11</v>
      </c>
      <c r="V19">
        <f>C19*T19</f>
        <v>0.874</v>
      </c>
    </row>
    <row r="20" spans="1:29" ht="15" x14ac:dyDescent="0.25">
      <c r="A20" s="69"/>
      <c r="B20" s="138" t="s">
        <v>448</v>
      </c>
      <c r="C20" s="57">
        <f>Base!D72</f>
        <v>6.3333333333333325E-2</v>
      </c>
      <c r="D20" s="57"/>
      <c r="E20" s="59">
        <f>E19</f>
        <v>1</v>
      </c>
      <c r="F20" s="193">
        <f>Base!I72</f>
        <v>-5.6666666666666643E-2</v>
      </c>
      <c r="G20" s="194"/>
      <c r="H20" s="193"/>
      <c r="I20" s="83"/>
      <c r="J20" s="218">
        <f t="shared" si="2"/>
        <v>0</v>
      </c>
      <c r="K20" s="70">
        <v>0</v>
      </c>
      <c r="L20" s="178">
        <f>C20*E20-I20-K20</f>
        <v>6.3333333333333325E-2</v>
      </c>
      <c r="M20" s="137"/>
      <c r="N20" s="137"/>
      <c r="R20" s="203"/>
      <c r="T20" s="162">
        <v>31.83</v>
      </c>
      <c r="V20">
        <f t="shared" ref="V20:V21" si="5">C20*T20</f>
        <v>2.0158999999999998</v>
      </c>
      <c r="X20" t="s">
        <v>496</v>
      </c>
    </row>
    <row r="21" spans="1:29" ht="15" x14ac:dyDescent="0.25">
      <c r="A21" s="68"/>
      <c r="B21" s="14" t="s">
        <v>185</v>
      </c>
      <c r="C21" s="57">
        <f>Base!D73</f>
        <v>0.12121212121212122</v>
      </c>
      <c r="D21" s="57"/>
      <c r="E21" s="59">
        <f>E19</f>
        <v>1</v>
      </c>
      <c r="F21" s="193">
        <f>Base!I73</f>
        <v>0.60606060606060608</v>
      </c>
      <c r="G21" s="194"/>
      <c r="H21" s="193"/>
      <c r="I21" s="83"/>
      <c r="J21" s="218">
        <f t="shared" si="2"/>
        <v>0</v>
      </c>
      <c r="K21" s="70">
        <v>0</v>
      </c>
      <c r="L21" s="178">
        <f>C21*E21-I21-K21</f>
        <v>0.12121212121212122</v>
      </c>
      <c r="M21" s="137"/>
      <c r="N21" s="137"/>
      <c r="R21" s="203"/>
      <c r="T21" s="162">
        <v>38.19</v>
      </c>
      <c r="V21">
        <f t="shared" si="5"/>
        <v>4.6290909090909089</v>
      </c>
      <c r="X21" t="s">
        <v>497</v>
      </c>
    </row>
    <row r="22" spans="1:29" ht="15" x14ac:dyDescent="0.25">
      <c r="A22" s="68"/>
      <c r="B22" s="138" t="s">
        <v>482</v>
      </c>
      <c r="C22" s="57"/>
      <c r="D22" s="57"/>
      <c r="E22" s="59"/>
      <c r="F22" s="193"/>
      <c r="G22" s="194"/>
      <c r="H22" s="193"/>
      <c r="I22" s="83"/>
      <c r="J22" s="218">
        <f t="shared" si="2"/>
        <v>0</v>
      </c>
      <c r="K22" s="70"/>
      <c r="L22" s="178"/>
      <c r="M22" s="137"/>
      <c r="N22" s="137"/>
      <c r="R22" s="203"/>
      <c r="T22" s="162">
        <v>42</v>
      </c>
      <c r="X22" t="s">
        <v>496</v>
      </c>
    </row>
    <row r="23" spans="1:29" ht="15" x14ac:dyDescent="0.25">
      <c r="B23" s="14" t="s">
        <v>169</v>
      </c>
      <c r="C23" s="57">
        <f>Base!D74</f>
        <v>3.2258064516129031E-2</v>
      </c>
      <c r="D23" s="57"/>
      <c r="E23" s="59">
        <f>E20</f>
        <v>1</v>
      </c>
      <c r="F23" s="193">
        <f>Base!I74</f>
        <v>-0.41935483870967744</v>
      </c>
      <c r="G23" s="194"/>
      <c r="H23" s="193"/>
      <c r="I23" s="83">
        <v>1</v>
      </c>
      <c r="J23" s="218">
        <f t="shared" si="2"/>
        <v>101.84</v>
      </c>
      <c r="K23" s="70">
        <v>0</v>
      </c>
      <c r="L23" s="178">
        <f>C23*E23-I23-K23</f>
        <v>-0.967741935483871</v>
      </c>
      <c r="M23" s="137">
        <v>0</v>
      </c>
      <c r="N23" s="137"/>
      <c r="R23" s="203"/>
      <c r="T23" s="162">
        <v>101.84</v>
      </c>
      <c r="V23">
        <f>C23*T23</f>
        <v>3.2851612903225806</v>
      </c>
      <c r="X23" t="s">
        <v>498</v>
      </c>
    </row>
    <row r="24" spans="1:29" ht="15.75" x14ac:dyDescent="0.25">
      <c r="A24" s="58" t="s">
        <v>56</v>
      </c>
      <c r="C24" s="48"/>
      <c r="D24" s="48"/>
      <c r="E24" s="60"/>
      <c r="F24" s="194"/>
      <c r="G24" s="194"/>
      <c r="H24" s="194"/>
      <c r="I24" s="70"/>
      <c r="J24" s="70"/>
      <c r="K24" s="70"/>
      <c r="L24" s="178">
        <f>C24*E24-I24-K24</f>
        <v>0</v>
      </c>
      <c r="M24" s="137"/>
      <c r="N24" s="137"/>
      <c r="R24" s="203"/>
    </row>
    <row r="25" spans="1:29" s="72" customFormat="1" ht="15" x14ac:dyDescent="0.25">
      <c r="A25" s="71" t="s">
        <v>186</v>
      </c>
      <c r="C25" s="79"/>
      <c r="D25" s="79"/>
      <c r="E25" s="80"/>
      <c r="F25" s="196"/>
      <c r="G25" s="195"/>
      <c r="H25" s="199"/>
      <c r="I25" s="75"/>
      <c r="J25" s="75"/>
      <c r="K25" s="75"/>
      <c r="L25" s="180"/>
      <c r="M25" s="176"/>
      <c r="N25" s="176"/>
      <c r="R25" s="204"/>
    </row>
    <row r="26" spans="1:29" ht="15" x14ac:dyDescent="0.25">
      <c r="B26" s="14" t="s">
        <v>273</v>
      </c>
      <c r="C26" s="57">
        <f>'Cone Wall Top1'!E79</f>
        <v>0.6</v>
      </c>
      <c r="D26" s="57"/>
      <c r="E26" s="59">
        <v>1</v>
      </c>
      <c r="F26" s="193"/>
      <c r="G26" s="193">
        <f>'Cone Wall Top1'!J79</f>
        <v>5.4</v>
      </c>
      <c r="H26" s="200"/>
      <c r="I26" s="175">
        <v>0</v>
      </c>
      <c r="J26" s="218">
        <f t="shared" ref="J26:J28" si="6">T26*I26</f>
        <v>0</v>
      </c>
      <c r="K26" s="70"/>
      <c r="L26" s="178">
        <f>C26*E26-I26-K26</f>
        <v>0.6</v>
      </c>
      <c r="M26" s="137">
        <v>6</v>
      </c>
      <c r="N26" s="137">
        <f>T26*M26</f>
        <v>8760</v>
      </c>
      <c r="R26" s="203"/>
      <c r="T26">
        <v>1460</v>
      </c>
      <c r="V26">
        <f>C26*T26</f>
        <v>876</v>
      </c>
      <c r="Z26" t="s">
        <v>500</v>
      </c>
      <c r="AA26" t="s">
        <v>503</v>
      </c>
    </row>
    <row r="27" spans="1:29" ht="15" x14ac:dyDescent="0.25">
      <c r="B27" t="s">
        <v>222</v>
      </c>
      <c r="C27" s="57">
        <f>'Cone Wall Top1'!E80</f>
        <v>0.183</v>
      </c>
      <c r="D27" s="57"/>
      <c r="E27" s="59">
        <f t="shared" ref="E27:E32" si="7">E26</f>
        <v>1</v>
      </c>
      <c r="F27" s="193"/>
      <c r="G27" s="193">
        <f>'Cone Wall Top1'!J80</f>
        <v>1.83</v>
      </c>
      <c r="H27" s="200"/>
      <c r="I27" s="175">
        <v>2</v>
      </c>
      <c r="J27" s="218">
        <f t="shared" si="6"/>
        <v>3020</v>
      </c>
      <c r="K27" s="70"/>
      <c r="L27" s="178">
        <f>C27*E27-I27-K27</f>
        <v>-1.8169999999999999</v>
      </c>
      <c r="M27" s="137">
        <v>0</v>
      </c>
      <c r="N27" s="137"/>
      <c r="R27" s="203"/>
      <c r="T27">
        <v>1510</v>
      </c>
      <c r="V27">
        <f t="shared" ref="V27:V28" si="8">C27*T27</f>
        <v>276.33</v>
      </c>
      <c r="Y27" t="s">
        <v>495</v>
      </c>
    </row>
    <row r="28" spans="1:29" ht="15" x14ac:dyDescent="0.25">
      <c r="B28" t="s">
        <v>223</v>
      </c>
      <c r="C28" s="57">
        <f>'Cone Wall Top1'!E81</f>
        <v>0.13800000000000001</v>
      </c>
      <c r="D28" s="57"/>
      <c r="E28" s="59">
        <f t="shared" si="7"/>
        <v>1</v>
      </c>
      <c r="F28" s="193"/>
      <c r="G28" s="193">
        <f>'Cone Wall Top1'!J81</f>
        <v>1.3800000000000001</v>
      </c>
      <c r="H28" s="200"/>
      <c r="I28" s="175">
        <v>1.5</v>
      </c>
      <c r="J28" s="218">
        <f t="shared" si="6"/>
        <v>2265</v>
      </c>
      <c r="K28" s="70"/>
      <c r="L28" s="178">
        <f>C28*E28-I28-K28</f>
        <v>-1.3620000000000001</v>
      </c>
      <c r="M28" s="137">
        <v>0</v>
      </c>
      <c r="N28" s="137"/>
      <c r="R28" s="203"/>
      <c r="T28">
        <v>1510</v>
      </c>
      <c r="V28">
        <f t="shared" si="8"/>
        <v>208.38000000000002</v>
      </c>
      <c r="AA28" t="s">
        <v>500</v>
      </c>
    </row>
    <row r="29" spans="1:29" s="72" customFormat="1" ht="15" x14ac:dyDescent="0.25">
      <c r="A29" s="71" t="s">
        <v>270</v>
      </c>
      <c r="C29" s="76">
        <f>'Cone Wall Top1'!E82</f>
        <v>0</v>
      </c>
      <c r="D29" s="76"/>
      <c r="E29" s="77">
        <f t="shared" si="7"/>
        <v>1</v>
      </c>
      <c r="F29" s="195"/>
      <c r="G29" s="195"/>
      <c r="H29" s="201"/>
      <c r="I29" s="75"/>
      <c r="J29" s="75"/>
      <c r="K29" s="75"/>
      <c r="L29" s="180"/>
      <c r="M29" s="176"/>
      <c r="N29" s="176"/>
      <c r="R29" s="204"/>
    </row>
    <row r="30" spans="1:29" ht="15" x14ac:dyDescent="0.25">
      <c r="B30" s="14" t="s">
        <v>146</v>
      </c>
      <c r="C30" s="57">
        <f>'Cone Wall Top1'!E83</f>
        <v>3</v>
      </c>
      <c r="D30" s="57"/>
      <c r="E30" s="59">
        <f t="shared" si="7"/>
        <v>1</v>
      </c>
      <c r="F30" s="193"/>
      <c r="G30" s="193">
        <f>'Cone Wall Top1'!J83</f>
        <v>30</v>
      </c>
      <c r="H30" s="200"/>
      <c r="I30" s="139">
        <v>0</v>
      </c>
      <c r="J30" s="218">
        <f t="shared" ref="J30:J34" si="9">T30*I30</f>
        <v>0</v>
      </c>
      <c r="K30" s="70">
        <v>0</v>
      </c>
      <c r="L30" s="178">
        <f>C30*E30-I30-K30</f>
        <v>3</v>
      </c>
      <c r="M30" s="137">
        <v>100</v>
      </c>
      <c r="N30" s="137"/>
      <c r="O30" s="137">
        <v>100</v>
      </c>
      <c r="P30" s="138"/>
      <c r="Q30" s="138"/>
      <c r="R30" s="203">
        <v>100</v>
      </c>
      <c r="T30">
        <v>10.06</v>
      </c>
      <c r="V30">
        <f>C30*T30</f>
        <v>30.18</v>
      </c>
    </row>
    <row r="31" spans="1:29" ht="15" x14ac:dyDescent="0.25">
      <c r="B31" s="14" t="s">
        <v>151</v>
      </c>
      <c r="C31" s="57">
        <f>'Cone Wall Top1'!E84</f>
        <v>3.7735849056603772E-2</v>
      </c>
      <c r="D31" s="57"/>
      <c r="E31" s="59">
        <f t="shared" si="7"/>
        <v>1</v>
      </c>
      <c r="F31" s="193"/>
      <c r="G31" s="193">
        <f>'Cone Wall Top1'!J84</f>
        <v>0.37735849056603776</v>
      </c>
      <c r="H31" s="200"/>
      <c r="I31" s="139">
        <v>0</v>
      </c>
      <c r="J31" s="218">
        <f t="shared" si="9"/>
        <v>0</v>
      </c>
      <c r="K31" s="70"/>
      <c r="L31" s="178">
        <f>C31*E31-I31-K31</f>
        <v>3.7735849056603772E-2</v>
      </c>
      <c r="M31" s="137"/>
      <c r="N31" s="137"/>
      <c r="O31" s="138"/>
      <c r="P31" s="138"/>
      <c r="Q31" s="138"/>
      <c r="R31" s="203">
        <v>100</v>
      </c>
      <c r="T31">
        <v>12.49</v>
      </c>
      <c r="V31">
        <f t="shared" ref="V31:V34" si="10">C31*T31</f>
        <v>0.47132075471698115</v>
      </c>
    </row>
    <row r="32" spans="1:29" ht="15" x14ac:dyDescent="0.25">
      <c r="B32" s="14" t="s">
        <v>144</v>
      </c>
      <c r="C32" s="57">
        <f>'Cone Wall Top1'!E85</f>
        <v>5.333333333333333</v>
      </c>
      <c r="D32" s="57"/>
      <c r="E32" s="59">
        <f t="shared" si="7"/>
        <v>1</v>
      </c>
      <c r="F32" s="193"/>
      <c r="G32" s="193">
        <f>'Cone Wall Top1'!J85</f>
        <v>53.333333333333336</v>
      </c>
      <c r="H32" s="200"/>
      <c r="I32" s="139">
        <v>15</v>
      </c>
      <c r="J32" s="218">
        <f t="shared" si="9"/>
        <v>360.3</v>
      </c>
      <c r="K32" s="70"/>
      <c r="L32" s="178">
        <f>C32*E32-I32-K32</f>
        <v>-9.6666666666666679</v>
      </c>
      <c r="M32" s="137">
        <f>96*2</f>
        <v>192</v>
      </c>
      <c r="N32" s="137"/>
      <c r="O32" s="138"/>
      <c r="P32" s="138"/>
      <c r="Q32" s="138"/>
      <c r="R32" s="203">
        <v>96</v>
      </c>
      <c r="T32">
        <v>24.02</v>
      </c>
      <c r="V32">
        <f t="shared" si="10"/>
        <v>128.10666666666665</v>
      </c>
    </row>
    <row r="33" spans="1:30" s="72" customFormat="1" x14ac:dyDescent="0.2">
      <c r="A33" s="71" t="s">
        <v>272</v>
      </c>
      <c r="C33" s="76"/>
      <c r="D33" s="76"/>
      <c r="E33" s="77"/>
      <c r="F33" s="196"/>
      <c r="G33" s="195"/>
      <c r="H33" s="196"/>
      <c r="I33" s="75"/>
      <c r="J33" s="75"/>
      <c r="K33" s="75"/>
      <c r="L33" s="180"/>
      <c r="M33" s="176"/>
      <c r="N33" s="176"/>
      <c r="O33" s="177"/>
      <c r="P33" s="177"/>
      <c r="Q33" s="177"/>
      <c r="R33" s="204"/>
    </row>
    <row r="34" spans="1:30" ht="15" x14ac:dyDescent="0.25">
      <c r="B34" t="s">
        <v>224</v>
      </c>
      <c r="C34" s="57">
        <f>'Cone Wall Top1'!E87</f>
        <v>0.5625</v>
      </c>
      <c r="D34" s="57"/>
      <c r="E34" s="59">
        <f>E32</f>
        <v>1</v>
      </c>
      <c r="F34" s="193"/>
      <c r="G34" s="193">
        <f>'Cone Wall Top1'!J87</f>
        <v>5.0625</v>
      </c>
      <c r="H34" s="200"/>
      <c r="I34" s="139">
        <v>5</v>
      </c>
      <c r="J34" s="218">
        <f t="shared" si="9"/>
        <v>621.45000000000005</v>
      </c>
      <c r="K34" s="70">
        <v>0</v>
      </c>
      <c r="L34" s="178">
        <f>C34*E34-I34-K34</f>
        <v>-4.4375</v>
      </c>
      <c r="M34" s="137">
        <v>5</v>
      </c>
      <c r="N34" s="137"/>
      <c r="O34" s="138"/>
      <c r="P34" s="138"/>
      <c r="Q34" s="138"/>
      <c r="R34" s="203">
        <v>1</v>
      </c>
      <c r="T34">
        <v>124.29</v>
      </c>
      <c r="V34">
        <f t="shared" si="10"/>
        <v>69.913125000000008</v>
      </c>
    </row>
    <row r="35" spans="1:30" ht="15" x14ac:dyDescent="0.25">
      <c r="C35" s="57"/>
      <c r="D35" s="57"/>
      <c r="E35" s="59"/>
      <c r="F35" s="193"/>
      <c r="G35" s="193"/>
      <c r="H35" s="200"/>
      <c r="I35" s="70"/>
      <c r="J35" s="70"/>
      <c r="K35" s="70"/>
      <c r="L35" s="178"/>
      <c r="M35" s="137"/>
      <c r="N35" s="137"/>
      <c r="O35" s="138"/>
      <c r="P35" s="138"/>
      <c r="Q35" s="138"/>
      <c r="R35" s="203"/>
    </row>
    <row r="36" spans="1:30" ht="15.75" x14ac:dyDescent="0.25">
      <c r="A36" s="58" t="s">
        <v>275</v>
      </c>
      <c r="C36" s="48"/>
      <c r="D36" s="48"/>
      <c r="E36" s="59">
        <v>1</v>
      </c>
      <c r="F36" s="194"/>
      <c r="G36" s="193"/>
      <c r="H36" s="194"/>
      <c r="I36" s="70"/>
      <c r="J36" s="70"/>
      <c r="K36" s="70"/>
      <c r="L36" s="178"/>
      <c r="M36" s="137"/>
      <c r="N36" s="137"/>
      <c r="O36" s="138"/>
      <c r="P36" s="138"/>
      <c r="Q36" s="138"/>
      <c r="R36" s="203"/>
    </row>
    <row r="37" spans="1:30" s="72" customFormat="1" ht="15" x14ac:dyDescent="0.25">
      <c r="A37" s="71" t="s">
        <v>270</v>
      </c>
      <c r="C37" s="79"/>
      <c r="D37" s="79"/>
      <c r="E37" s="80"/>
      <c r="F37" s="196"/>
      <c r="G37" s="195"/>
      <c r="H37" s="199"/>
      <c r="I37" s="75"/>
      <c r="J37" s="75"/>
      <c r="K37" s="75"/>
      <c r="L37" s="180"/>
      <c r="M37" s="176"/>
      <c r="N37" s="176"/>
      <c r="O37" s="177"/>
      <c r="P37" s="177"/>
      <c r="Q37" s="177"/>
      <c r="R37" s="204"/>
    </row>
    <row r="38" spans="1:30" ht="15" x14ac:dyDescent="0.25">
      <c r="B38" s="14" t="s">
        <v>246</v>
      </c>
      <c r="C38" s="57">
        <f>Auger!E51</f>
        <v>0.875</v>
      </c>
      <c r="D38" s="57"/>
      <c r="E38" s="59">
        <f>E36</f>
        <v>1</v>
      </c>
      <c r="F38" s="193"/>
      <c r="G38" s="193"/>
      <c r="H38" s="200">
        <f>Auger!J51</f>
        <v>35</v>
      </c>
      <c r="I38" s="139"/>
      <c r="J38" s="218">
        <f t="shared" ref="J38:J44" si="11">T38*I38</f>
        <v>0</v>
      </c>
      <c r="K38" s="70">
        <v>0</v>
      </c>
      <c r="L38" s="178">
        <f>C38*E38-I38-K38</f>
        <v>0.875</v>
      </c>
      <c r="M38" s="137">
        <v>40</v>
      </c>
      <c r="N38" s="137"/>
      <c r="O38" s="138"/>
      <c r="P38" s="138"/>
      <c r="Q38" s="138"/>
      <c r="R38" s="203"/>
      <c r="T38">
        <v>97.17</v>
      </c>
      <c r="V38">
        <f t="shared" ref="V38" si="12">C38*T38</f>
        <v>85.023750000000007</v>
      </c>
    </row>
    <row r="39" spans="1:30" s="72" customFormat="1" ht="15" x14ac:dyDescent="0.25">
      <c r="A39" s="71" t="s">
        <v>188</v>
      </c>
      <c r="B39" s="81"/>
      <c r="C39" s="76"/>
      <c r="D39" s="76"/>
      <c r="E39" s="77"/>
      <c r="F39" s="195"/>
      <c r="G39" s="195"/>
      <c r="H39" s="201"/>
      <c r="I39" s="75"/>
      <c r="J39" s="75"/>
      <c r="K39" s="75"/>
      <c r="L39" s="180"/>
      <c r="M39" s="176"/>
      <c r="N39" s="176"/>
      <c r="O39" s="177"/>
      <c r="P39" s="177"/>
      <c r="Q39" s="177"/>
      <c r="R39" s="204"/>
    </row>
    <row r="40" spans="1:30" ht="15" x14ac:dyDescent="0.25">
      <c r="B40" t="s">
        <v>243</v>
      </c>
      <c r="C40" s="57">
        <f>Auger!E53</f>
        <v>1</v>
      </c>
      <c r="D40" s="57"/>
      <c r="E40" s="59">
        <f>E38</f>
        <v>1</v>
      </c>
      <c r="F40" s="193"/>
      <c r="G40" s="193"/>
      <c r="H40" s="200">
        <f>Auger!J53</f>
        <v>40</v>
      </c>
      <c r="I40" s="139"/>
      <c r="J40" s="218">
        <f t="shared" si="11"/>
        <v>0</v>
      </c>
      <c r="K40" s="70">
        <v>0</v>
      </c>
      <c r="L40" s="178">
        <f>C40*E40-I40-K40</f>
        <v>1</v>
      </c>
      <c r="M40" s="137">
        <v>10</v>
      </c>
      <c r="N40" s="137"/>
      <c r="O40" s="138">
        <v>10</v>
      </c>
      <c r="P40" s="137">
        <v>10</v>
      </c>
      <c r="Q40" s="137">
        <v>10</v>
      </c>
      <c r="R40" s="206"/>
      <c r="S40" s="14"/>
      <c r="T40">
        <v>201.35</v>
      </c>
      <c r="V40">
        <f t="shared" ref="V40" si="13">C40*T40</f>
        <v>201.35</v>
      </c>
    </row>
    <row r="41" spans="1:30" s="72" customFormat="1" ht="15" x14ac:dyDescent="0.25">
      <c r="A41" s="71" t="s">
        <v>187</v>
      </c>
      <c r="C41" s="76"/>
      <c r="D41" s="76"/>
      <c r="E41" s="77"/>
      <c r="F41" s="195"/>
      <c r="G41" s="195"/>
      <c r="H41" s="201"/>
      <c r="I41" s="75"/>
      <c r="J41" s="75"/>
      <c r="K41" s="75"/>
      <c r="L41" s="180"/>
      <c r="M41" s="176"/>
      <c r="N41" s="176"/>
      <c r="R41" s="204"/>
    </row>
    <row r="42" spans="1:30" ht="15" x14ac:dyDescent="0.25">
      <c r="A42" s="69"/>
      <c r="B42" s="138" t="s">
        <v>425</v>
      </c>
      <c r="C42" s="57">
        <f>Auger!E55</f>
        <v>0.125</v>
      </c>
      <c r="D42" s="57"/>
      <c r="E42" s="59">
        <f>E40</f>
        <v>1</v>
      </c>
      <c r="F42" s="193"/>
      <c r="G42" s="193"/>
      <c r="H42" s="200">
        <f>Auger!J55</f>
        <v>5</v>
      </c>
      <c r="I42" s="139"/>
      <c r="J42" s="218">
        <f t="shared" si="11"/>
        <v>0</v>
      </c>
      <c r="K42" s="70">
        <v>0</v>
      </c>
      <c r="L42" s="178">
        <f>C42*E42-I42-K42</f>
        <v>0.125</v>
      </c>
      <c r="M42" s="137">
        <v>0</v>
      </c>
      <c r="N42" s="137"/>
      <c r="R42" s="203"/>
      <c r="T42">
        <v>31.83</v>
      </c>
      <c r="V42">
        <f t="shared" ref="V42:V48" si="14">C42*T42</f>
        <v>3.9787499999999998</v>
      </c>
    </row>
    <row r="43" spans="1:30" ht="15" x14ac:dyDescent="0.25">
      <c r="B43" t="s">
        <v>183</v>
      </c>
      <c r="C43" s="57">
        <f>Auger!E56</f>
        <v>0.25</v>
      </c>
      <c r="D43" s="57"/>
      <c r="E43" s="59">
        <f>E40</f>
        <v>1</v>
      </c>
      <c r="F43" s="193"/>
      <c r="G43" s="193"/>
      <c r="H43" s="200">
        <f>Auger!J56</f>
        <v>10</v>
      </c>
      <c r="I43" s="139"/>
      <c r="J43" s="218">
        <f t="shared" si="11"/>
        <v>0</v>
      </c>
      <c r="K43" s="70">
        <v>0</v>
      </c>
      <c r="L43" s="178">
        <f>C43*E43-I43-K43</f>
        <v>0.25</v>
      </c>
      <c r="M43" s="137">
        <v>0</v>
      </c>
      <c r="N43" s="137"/>
      <c r="T43" s="72">
        <v>31.83</v>
      </c>
      <c r="V43">
        <f t="shared" si="14"/>
        <v>7.9574999999999996</v>
      </c>
    </row>
    <row r="44" spans="1:30" ht="15" x14ac:dyDescent="0.25">
      <c r="A44" s="68"/>
      <c r="B44" s="14" t="s">
        <v>184</v>
      </c>
      <c r="C44" s="57">
        <f>Auger!E57</f>
        <v>3.3333333333333333E-2</v>
      </c>
      <c r="D44" s="57"/>
      <c r="E44" s="61">
        <f>E42</f>
        <v>1</v>
      </c>
      <c r="F44" s="193"/>
      <c r="G44" s="193"/>
      <c r="H44" s="200">
        <f>Auger!J57</f>
        <v>1.3333333333333333</v>
      </c>
      <c r="I44" s="139"/>
      <c r="J44" s="218">
        <f t="shared" si="11"/>
        <v>0</v>
      </c>
      <c r="K44" s="70"/>
      <c r="L44" s="178">
        <f>C44*E44-I44-K44</f>
        <v>3.3333333333333333E-2</v>
      </c>
      <c r="M44" s="137">
        <v>0</v>
      </c>
      <c r="N44" s="137"/>
      <c r="T44">
        <v>38.19</v>
      </c>
      <c r="V44">
        <f t="shared" si="14"/>
        <v>1.2729999999999999</v>
      </c>
    </row>
    <row r="45" spans="1:30" s="72" customFormat="1" ht="15" x14ac:dyDescent="0.25">
      <c r="A45" s="71" t="s">
        <v>274</v>
      </c>
      <c r="C45" s="76"/>
      <c r="D45" s="76"/>
      <c r="E45" s="77"/>
      <c r="F45" s="195"/>
      <c r="G45" s="195"/>
      <c r="H45" s="201"/>
      <c r="I45" s="75"/>
      <c r="J45" s="75"/>
      <c r="K45" s="75"/>
      <c r="L45" s="180"/>
      <c r="M45" s="176"/>
      <c r="N45" s="176"/>
    </row>
    <row r="46" spans="1:30" ht="15" x14ac:dyDescent="0.25">
      <c r="B46" t="s">
        <v>249</v>
      </c>
      <c r="C46" s="57">
        <f>Auger!E59</f>
        <v>8.3333333333333343E-2</v>
      </c>
      <c r="D46" s="57"/>
      <c r="E46" s="61">
        <f>E44</f>
        <v>1</v>
      </c>
      <c r="F46" s="193"/>
      <c r="G46" s="193"/>
      <c r="H46" s="200">
        <f>Auger!J59</f>
        <v>3.333333333333333</v>
      </c>
      <c r="I46" s="139"/>
      <c r="J46" s="218">
        <f t="shared" ref="J46" si="15">T46*I46</f>
        <v>0</v>
      </c>
      <c r="K46" s="70">
        <v>0</v>
      </c>
      <c r="L46" s="178">
        <f>C46*E46-I46-K46</f>
        <v>8.3333333333333343E-2</v>
      </c>
      <c r="M46" s="137">
        <v>0</v>
      </c>
      <c r="N46" s="137"/>
      <c r="T46">
        <v>154.09</v>
      </c>
      <c r="V46">
        <f t="shared" si="14"/>
        <v>12.840833333333334</v>
      </c>
      <c r="AD46" t="s">
        <v>508</v>
      </c>
    </row>
    <row r="47" spans="1:30" s="72" customFormat="1" x14ac:dyDescent="0.2">
      <c r="A47" s="71" t="s">
        <v>271</v>
      </c>
      <c r="C47" s="76"/>
      <c r="D47" s="76"/>
      <c r="E47" s="77"/>
      <c r="F47" s="195"/>
      <c r="G47" s="196"/>
      <c r="H47" s="196"/>
      <c r="I47" s="75"/>
      <c r="J47" s="75"/>
      <c r="K47" s="75"/>
      <c r="L47" s="180"/>
      <c r="M47" s="176"/>
      <c r="N47" s="176"/>
    </row>
    <row r="48" spans="1:30" ht="15" x14ac:dyDescent="0.25">
      <c r="B48" s="159" t="s">
        <v>375</v>
      </c>
      <c r="C48" s="57"/>
      <c r="D48" s="57"/>
      <c r="E48" s="59" t="e">
        <f>#REF!</f>
        <v>#REF!</v>
      </c>
      <c r="F48" s="62"/>
      <c r="G48" s="63"/>
      <c r="H48" s="62"/>
      <c r="I48" s="83">
        <v>10</v>
      </c>
      <c r="J48" s="218">
        <f t="shared" ref="J48" si="16">T48*I48</f>
        <v>74.800000000000011</v>
      </c>
      <c r="K48" s="70"/>
      <c r="L48" s="178"/>
      <c r="M48" s="137">
        <v>4</v>
      </c>
      <c r="N48" s="137"/>
      <c r="T48">
        <v>7.48</v>
      </c>
      <c r="V48">
        <f t="shared" si="14"/>
        <v>0</v>
      </c>
    </row>
    <row r="49" spans="1:22" x14ac:dyDescent="0.2">
      <c r="V49">
        <f>SUM(V6:V48)</f>
        <v>3235.1712034022285</v>
      </c>
    </row>
    <row r="50" spans="1:22" ht="15.75" x14ac:dyDescent="0.25">
      <c r="A50" s="58" t="s">
        <v>363</v>
      </c>
    </row>
    <row r="51" spans="1:22" x14ac:dyDescent="0.2">
      <c r="B51" s="14" t="s">
        <v>364</v>
      </c>
      <c r="M51">
        <v>10</v>
      </c>
    </row>
    <row r="52" spans="1:22" x14ac:dyDescent="0.2">
      <c r="B52" s="14" t="s">
        <v>365</v>
      </c>
    </row>
    <row r="54" spans="1:22" ht="15.75" x14ac:dyDescent="0.25">
      <c r="A54" s="58" t="s">
        <v>367</v>
      </c>
    </row>
    <row r="55" spans="1:22" x14ac:dyDescent="0.2">
      <c r="B55" s="14" t="s">
        <v>366</v>
      </c>
      <c r="C55">
        <v>2</v>
      </c>
      <c r="E55" s="136">
        <v>2.2000000000000002</v>
      </c>
      <c r="F55" s="136">
        <f>14*E55</f>
        <v>30.800000000000004</v>
      </c>
    </row>
    <row r="56" spans="1:22" x14ac:dyDescent="0.2">
      <c r="B56" s="14" t="s">
        <v>368</v>
      </c>
      <c r="C56">
        <v>1.5</v>
      </c>
      <c r="E56">
        <v>2.5</v>
      </c>
      <c r="F56" s="136">
        <f>10.4*E56</f>
        <v>26</v>
      </c>
    </row>
    <row r="57" spans="1:22" x14ac:dyDescent="0.2">
      <c r="I57" s="233" t="s">
        <v>462</v>
      </c>
      <c r="J57" s="232">
        <f>SUM(J5:J56)</f>
        <v>13893.169999999998</v>
      </c>
    </row>
  </sheetData>
  <printOptions horizontalCentered="1" verticalCentered="1"/>
  <pageMargins left="0.11811023622047245" right="0.11811023622047245" top="0.19685039370078741" bottom="0.15748031496062992" header="0" footer="0"/>
  <pageSetup paperSize="9" scale="9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90"/>
  <sheetViews>
    <sheetView topLeftCell="A22" zoomScaleNormal="100" workbookViewId="0">
      <selection activeCell="B47" sqref="B47"/>
    </sheetView>
  </sheetViews>
  <sheetFormatPr defaultRowHeight="16.5" customHeight="1" x14ac:dyDescent="0.2"/>
  <cols>
    <col min="1" max="1" width="17.85546875" customWidth="1"/>
    <col min="2" max="2" width="31" customWidth="1"/>
    <col min="3" max="3" width="17" customWidth="1"/>
    <col min="4" max="6" width="10.5703125" customWidth="1"/>
    <col min="7" max="7" width="9" customWidth="1"/>
    <col min="8" max="10" width="15.5703125" customWidth="1"/>
    <col min="11" max="11" width="23.7109375" customWidth="1"/>
    <col min="12" max="12" width="21" customWidth="1"/>
    <col min="14" max="14" width="18.28515625" customWidth="1"/>
    <col min="15" max="15" width="13" customWidth="1"/>
    <col min="16" max="16" width="21" customWidth="1"/>
    <col min="17" max="17" width="18.140625" customWidth="1"/>
    <col min="18" max="18" width="15.5703125" customWidth="1"/>
    <col min="19" max="19" width="21.28515625" customWidth="1"/>
  </cols>
  <sheetData>
    <row r="1" spans="1:24" ht="30" customHeight="1" x14ac:dyDescent="0.25">
      <c r="A1" s="244" t="s">
        <v>471</v>
      </c>
      <c r="B1" s="244"/>
      <c r="C1" s="244"/>
      <c r="D1" s="244"/>
      <c r="E1" s="244"/>
      <c r="F1" s="244"/>
      <c r="G1" s="244"/>
      <c r="H1" s="244"/>
      <c r="I1" s="244"/>
      <c r="J1" s="210"/>
    </row>
    <row r="2" spans="1:24" s="1" customFormat="1" ht="30.75" customHeight="1" x14ac:dyDescent="0.35">
      <c r="A2" s="245" t="s">
        <v>208</v>
      </c>
      <c r="B2" s="245"/>
      <c r="C2" s="245"/>
      <c r="D2" s="245"/>
      <c r="E2" s="245"/>
      <c r="F2" s="245"/>
      <c r="G2" s="245"/>
      <c r="H2" s="245"/>
      <c r="I2" s="245"/>
      <c r="J2" s="208"/>
      <c r="K2" s="144"/>
      <c r="L2" s="33"/>
      <c r="M2" s="33"/>
      <c r="N2" s="32"/>
      <c r="O2" s="32"/>
      <c r="P2" s="32"/>
      <c r="Q2" s="32"/>
      <c r="R2" s="32"/>
      <c r="S2" s="32"/>
      <c r="T2" s="31"/>
      <c r="U2" s="31"/>
      <c r="V2" s="31"/>
      <c r="W2" s="31"/>
      <c r="X2" s="31"/>
    </row>
    <row r="3" spans="1:24" s="1" customFormat="1" ht="32.25" customHeight="1" x14ac:dyDescent="0.35">
      <c r="A3" s="147" t="s">
        <v>474</v>
      </c>
      <c r="B3" s="147" t="s">
        <v>208</v>
      </c>
      <c r="C3" s="147" t="s">
        <v>13</v>
      </c>
      <c r="D3" s="145" t="s">
        <v>395</v>
      </c>
      <c r="E3" s="145" t="s">
        <v>475</v>
      </c>
      <c r="F3" s="145" t="s">
        <v>476</v>
      </c>
      <c r="G3" s="145" t="s">
        <v>413</v>
      </c>
      <c r="H3" s="148" t="s">
        <v>414</v>
      </c>
      <c r="I3" s="148" t="s">
        <v>279</v>
      </c>
      <c r="J3" s="212"/>
      <c r="K3" s="144"/>
      <c r="L3" s="33" t="s">
        <v>401</v>
      </c>
      <c r="M3" s="33" t="s">
        <v>402</v>
      </c>
      <c r="N3" s="32" t="s">
        <v>403</v>
      </c>
      <c r="O3" s="32" t="s">
        <v>405</v>
      </c>
      <c r="P3" s="32" t="s">
        <v>406</v>
      </c>
      <c r="Q3" s="32"/>
      <c r="R3" s="32"/>
      <c r="S3" s="32"/>
      <c r="T3" s="31"/>
      <c r="U3" s="31"/>
      <c r="V3" s="31"/>
      <c r="W3" s="31"/>
      <c r="X3" s="31"/>
    </row>
    <row r="4" spans="1:24" s="1" customFormat="1" ht="16.5" customHeight="1" x14ac:dyDescent="0.35">
      <c r="A4" s="149"/>
      <c r="B4" s="149" t="s">
        <v>0</v>
      </c>
      <c r="C4" s="149" t="s">
        <v>472</v>
      </c>
      <c r="D4" s="146">
        <v>8</v>
      </c>
      <c r="E4" s="146">
        <v>3.7699999999999997E-2</v>
      </c>
      <c r="F4" s="146">
        <f>E4*D4</f>
        <v>0.30159999999999998</v>
      </c>
      <c r="G4" s="146">
        <v>25</v>
      </c>
      <c r="H4" s="150">
        <f>D4*G4</f>
        <v>200</v>
      </c>
      <c r="I4" s="150"/>
      <c r="J4" s="209"/>
      <c r="K4" s="144"/>
      <c r="L4" s="33"/>
      <c r="M4" s="33"/>
      <c r="N4" s="32"/>
      <c r="O4" s="32"/>
      <c r="P4" s="32"/>
      <c r="Q4" s="32"/>
      <c r="R4" s="32"/>
      <c r="S4" s="32"/>
      <c r="T4" s="31"/>
      <c r="U4" s="31"/>
      <c r="V4" s="31"/>
      <c r="W4" s="31"/>
      <c r="X4" s="31"/>
    </row>
    <row r="5" spans="1:24" s="1" customFormat="1" ht="16.5" customHeight="1" x14ac:dyDescent="0.35">
      <c r="A5" s="149" t="s">
        <v>397</v>
      </c>
      <c r="B5" s="149" t="s">
        <v>399</v>
      </c>
      <c r="C5" s="149" t="s">
        <v>472</v>
      </c>
      <c r="D5" s="146">
        <v>4</v>
      </c>
      <c r="E5" s="146">
        <v>0.1792</v>
      </c>
      <c r="F5" s="146">
        <f t="shared" ref="F5:F15" si="0">E5*D5</f>
        <v>0.71679999999999999</v>
      </c>
      <c r="G5" s="146">
        <f t="shared" ref="G5:G18" si="1">G4</f>
        <v>25</v>
      </c>
      <c r="H5" s="150">
        <f t="shared" ref="H5:H18" si="2">D5*G5</f>
        <v>100</v>
      </c>
      <c r="I5" s="150"/>
      <c r="J5" s="209"/>
      <c r="K5" s="144"/>
      <c r="L5" s="33"/>
      <c r="M5" s="33"/>
      <c r="N5" s="32"/>
      <c r="O5" s="32"/>
      <c r="P5" s="32"/>
      <c r="Q5" s="32"/>
      <c r="R5" s="32"/>
      <c r="S5" s="32"/>
      <c r="T5" s="31"/>
      <c r="U5" s="31"/>
      <c r="V5" s="31"/>
      <c r="W5" s="31"/>
      <c r="X5" s="31"/>
    </row>
    <row r="6" spans="1:24" s="1" customFormat="1" ht="16.5" customHeight="1" x14ac:dyDescent="0.35">
      <c r="A6" s="149" t="s">
        <v>396</v>
      </c>
      <c r="B6" s="149" t="s">
        <v>398</v>
      </c>
      <c r="C6" s="149" t="s">
        <v>472</v>
      </c>
      <c r="D6" s="146">
        <v>4</v>
      </c>
      <c r="E6" s="146">
        <v>0.29399999999999998</v>
      </c>
      <c r="F6" s="146">
        <f t="shared" si="0"/>
        <v>1.1759999999999999</v>
      </c>
      <c r="G6" s="146">
        <f t="shared" si="1"/>
        <v>25</v>
      </c>
      <c r="H6" s="150">
        <f t="shared" si="2"/>
        <v>100</v>
      </c>
      <c r="I6" s="150"/>
      <c r="J6" s="209"/>
      <c r="K6" s="144"/>
      <c r="L6" s="33"/>
      <c r="M6" s="33"/>
      <c r="N6" s="32"/>
      <c r="O6" s="32"/>
      <c r="P6" s="32"/>
      <c r="Q6" s="32"/>
      <c r="R6" s="32"/>
      <c r="S6" s="32"/>
      <c r="T6" s="31"/>
      <c r="U6" s="31"/>
      <c r="V6" s="31"/>
      <c r="W6" s="31"/>
      <c r="X6" s="31"/>
    </row>
    <row r="7" spans="1:24" s="1" customFormat="1" ht="16.5" customHeight="1" x14ac:dyDescent="0.35">
      <c r="A7" s="149"/>
      <c r="B7" s="149" t="s">
        <v>213</v>
      </c>
      <c r="C7" s="149" t="s">
        <v>472</v>
      </c>
      <c r="D7" s="146">
        <f>D8*2</f>
        <v>20</v>
      </c>
      <c r="E7" s="146">
        <v>0.36899999999999999</v>
      </c>
      <c r="F7" s="146">
        <f t="shared" si="0"/>
        <v>7.38</v>
      </c>
      <c r="G7" s="146">
        <f t="shared" si="1"/>
        <v>25</v>
      </c>
      <c r="H7" s="150">
        <f t="shared" si="2"/>
        <v>500</v>
      </c>
      <c r="I7" s="150"/>
      <c r="J7" s="209"/>
      <c r="K7" s="144"/>
      <c r="L7" s="33"/>
      <c r="M7" s="33"/>
      <c r="N7" s="32"/>
      <c r="O7" s="32"/>
      <c r="P7" s="32"/>
      <c r="Q7" s="32"/>
      <c r="R7" s="32"/>
      <c r="S7" s="32"/>
      <c r="T7" s="31"/>
      <c r="U7" s="31"/>
      <c r="V7" s="31"/>
      <c r="W7" s="31"/>
      <c r="X7" s="31"/>
    </row>
    <row r="8" spans="1:24" s="1" customFormat="1" ht="16.5" customHeight="1" x14ac:dyDescent="0.35">
      <c r="A8" s="149"/>
      <c r="B8" s="149" t="s">
        <v>212</v>
      </c>
      <c r="C8" s="149" t="s">
        <v>472</v>
      </c>
      <c r="D8" s="146">
        <f>D9+D10+D11+D12</f>
        <v>10</v>
      </c>
      <c r="E8" s="146">
        <v>0.23200000000000001</v>
      </c>
      <c r="F8" s="146">
        <f t="shared" si="0"/>
        <v>2.3200000000000003</v>
      </c>
      <c r="G8" s="146">
        <f t="shared" si="1"/>
        <v>25</v>
      </c>
      <c r="H8" s="150">
        <f t="shared" si="2"/>
        <v>250</v>
      </c>
      <c r="I8" s="150"/>
      <c r="J8" s="209"/>
      <c r="K8" s="144"/>
      <c r="L8" s="33"/>
      <c r="M8" s="33"/>
      <c r="N8" s="32"/>
      <c r="O8" s="32"/>
      <c r="P8" s="32"/>
      <c r="Q8" s="32"/>
      <c r="R8" s="32"/>
      <c r="S8" s="32"/>
      <c r="T8" s="31"/>
      <c r="U8" s="31"/>
      <c r="V8" s="31"/>
      <c r="W8" s="31"/>
      <c r="X8" s="31"/>
    </row>
    <row r="9" spans="1:24" s="1" customFormat="1" ht="16.5" customHeight="1" x14ac:dyDescent="0.35">
      <c r="A9" s="149" t="s">
        <v>404</v>
      </c>
      <c r="B9" s="149" t="s">
        <v>394</v>
      </c>
      <c r="C9" s="149" t="s">
        <v>472</v>
      </c>
      <c r="D9" s="146">
        <v>2</v>
      </c>
      <c r="E9" s="146">
        <v>0.50600000000000001</v>
      </c>
      <c r="F9" s="146">
        <f t="shared" si="0"/>
        <v>1.012</v>
      </c>
      <c r="G9" s="146">
        <f t="shared" si="1"/>
        <v>25</v>
      </c>
      <c r="H9" s="150">
        <f t="shared" si="2"/>
        <v>50</v>
      </c>
      <c r="I9" s="150"/>
      <c r="J9" s="209"/>
      <c r="K9" s="144"/>
      <c r="L9" s="33">
        <f>O9+P9+N9</f>
        <v>13</v>
      </c>
      <c r="M9" s="33">
        <f>L9+12</f>
        <v>25</v>
      </c>
      <c r="N9" s="32"/>
      <c r="O9" s="32">
        <v>3</v>
      </c>
      <c r="P9" s="32">
        <v>10</v>
      </c>
      <c r="Q9" s="32"/>
      <c r="R9" s="32"/>
      <c r="S9" s="32"/>
      <c r="T9" s="31"/>
      <c r="U9" s="31"/>
      <c r="V9" s="31"/>
      <c r="W9" s="31"/>
      <c r="X9" s="31"/>
    </row>
    <row r="10" spans="1:24" s="1" customFormat="1" ht="16.5" customHeight="1" x14ac:dyDescent="0.35">
      <c r="A10" s="149" t="s">
        <v>411</v>
      </c>
      <c r="B10" s="149" t="s">
        <v>412</v>
      </c>
      <c r="C10" s="149" t="s">
        <v>472</v>
      </c>
      <c r="D10" s="146">
        <v>3</v>
      </c>
      <c r="E10" s="146">
        <v>1.1220000000000001</v>
      </c>
      <c r="F10" s="146">
        <f t="shared" si="0"/>
        <v>3.3660000000000005</v>
      </c>
      <c r="G10" s="146">
        <f t="shared" si="1"/>
        <v>25</v>
      </c>
      <c r="H10" s="150">
        <f t="shared" si="2"/>
        <v>75</v>
      </c>
      <c r="I10" s="150"/>
      <c r="J10" s="209"/>
      <c r="K10" s="144"/>
      <c r="L10" s="33">
        <f>O10+P10+N10</f>
        <v>18</v>
      </c>
      <c r="M10" s="33">
        <f>L10+12</f>
        <v>30</v>
      </c>
      <c r="N10" s="32"/>
      <c r="O10" s="32">
        <v>12</v>
      </c>
      <c r="P10" s="32">
        <v>6</v>
      </c>
      <c r="Q10" s="32"/>
      <c r="R10" s="32"/>
      <c r="S10" s="32"/>
      <c r="T10" s="31"/>
      <c r="U10" s="31"/>
      <c r="V10" s="31"/>
      <c r="W10" s="31"/>
      <c r="X10" s="31"/>
    </row>
    <row r="11" spans="1:24" s="1" customFormat="1" ht="16.5" customHeight="1" x14ac:dyDescent="0.35">
      <c r="A11" s="149" t="s">
        <v>407</v>
      </c>
      <c r="B11" s="149" t="s">
        <v>412</v>
      </c>
      <c r="C11" s="149" t="s">
        <v>472</v>
      </c>
      <c r="D11" s="146">
        <v>4</v>
      </c>
      <c r="E11" s="146">
        <v>1.1220000000000001</v>
      </c>
      <c r="F11" s="146">
        <f t="shared" si="0"/>
        <v>4.4880000000000004</v>
      </c>
      <c r="G11" s="146">
        <f t="shared" si="1"/>
        <v>25</v>
      </c>
      <c r="H11" s="150">
        <f t="shared" si="2"/>
        <v>100</v>
      </c>
      <c r="I11" s="150"/>
      <c r="J11" s="209"/>
      <c r="K11" s="144"/>
      <c r="L11" s="33">
        <f>O11+P11+N11</f>
        <v>20</v>
      </c>
      <c r="M11" s="33">
        <f>L11+12</f>
        <v>32</v>
      </c>
      <c r="N11" s="32">
        <v>15</v>
      </c>
      <c r="O11" s="32">
        <v>5</v>
      </c>
      <c r="P11" s="32"/>
      <c r="Q11" s="32"/>
      <c r="R11" s="32"/>
      <c r="S11" s="32"/>
      <c r="T11" s="31"/>
      <c r="U11" s="31"/>
      <c r="V11" s="31"/>
      <c r="W11" s="31"/>
      <c r="X11" s="31"/>
    </row>
    <row r="12" spans="1:24" s="1" customFormat="1" ht="16.5" customHeight="1" x14ac:dyDescent="0.35">
      <c r="A12" s="149" t="s">
        <v>210</v>
      </c>
      <c r="B12" s="149" t="s">
        <v>409</v>
      </c>
      <c r="C12" s="149" t="s">
        <v>472</v>
      </c>
      <c r="D12" s="146">
        <v>1</v>
      </c>
      <c r="E12" s="146">
        <v>1.5620000000000001</v>
      </c>
      <c r="F12" s="146">
        <f t="shared" si="0"/>
        <v>1.5620000000000001</v>
      </c>
      <c r="G12" s="146">
        <f t="shared" si="1"/>
        <v>25</v>
      </c>
      <c r="H12" s="150">
        <f t="shared" si="2"/>
        <v>25</v>
      </c>
      <c r="I12" s="150"/>
      <c r="J12" s="209"/>
      <c r="K12" s="144"/>
      <c r="L12" s="33">
        <v>120</v>
      </c>
      <c r="M12" s="33">
        <f>L12+12</f>
        <v>132</v>
      </c>
      <c r="N12" s="32"/>
      <c r="O12" s="32"/>
      <c r="P12" s="32"/>
      <c r="Q12" s="32"/>
      <c r="R12" s="32"/>
      <c r="S12" s="32"/>
      <c r="T12" s="31"/>
      <c r="U12" s="31"/>
      <c r="V12" s="31"/>
      <c r="W12" s="31"/>
      <c r="X12" s="31"/>
    </row>
    <row r="13" spans="1:24" s="1" customFormat="1" ht="16.5" customHeight="1" x14ac:dyDescent="0.35">
      <c r="A13" s="149"/>
      <c r="B13" s="149" t="s">
        <v>214</v>
      </c>
      <c r="C13" s="149" t="s">
        <v>472</v>
      </c>
      <c r="D13" s="146">
        <v>18</v>
      </c>
      <c r="E13" s="146">
        <v>0.28599999999999998</v>
      </c>
      <c r="F13" s="146">
        <f t="shared" si="0"/>
        <v>5.1479999999999997</v>
      </c>
      <c r="G13" s="146">
        <f t="shared" si="1"/>
        <v>25</v>
      </c>
      <c r="H13" s="150">
        <f t="shared" si="2"/>
        <v>450</v>
      </c>
      <c r="I13" s="150"/>
      <c r="J13" s="209"/>
      <c r="K13" s="144"/>
      <c r="L13" s="33"/>
      <c r="M13" s="33"/>
      <c r="N13" s="32"/>
      <c r="O13" s="32"/>
      <c r="P13" s="32"/>
      <c r="Q13" s="32"/>
      <c r="R13" s="32"/>
      <c r="S13" s="32"/>
      <c r="T13" s="31"/>
      <c r="U13" s="31"/>
      <c r="V13" s="31"/>
      <c r="W13" s="31"/>
      <c r="X13" s="31"/>
    </row>
    <row r="14" spans="1:24" s="1" customFormat="1" ht="16.5" customHeight="1" x14ac:dyDescent="0.35">
      <c r="A14" s="149"/>
      <c r="B14" s="149" t="s">
        <v>1</v>
      </c>
      <c r="C14" s="149" t="s">
        <v>472</v>
      </c>
      <c r="D14" s="146">
        <f>D16+D17+D18</f>
        <v>9</v>
      </c>
      <c r="E14" s="146">
        <v>0.5</v>
      </c>
      <c r="F14" s="146">
        <f t="shared" si="0"/>
        <v>4.5</v>
      </c>
      <c r="G14" s="146">
        <f t="shared" si="1"/>
        <v>25</v>
      </c>
      <c r="H14" s="150">
        <f t="shared" si="2"/>
        <v>225</v>
      </c>
      <c r="I14" s="150"/>
      <c r="J14" s="209"/>
      <c r="K14" s="144"/>
      <c r="L14" s="33"/>
      <c r="M14" s="33"/>
      <c r="N14" s="32"/>
      <c r="O14" s="32"/>
      <c r="P14" s="32"/>
      <c r="Q14" s="32"/>
      <c r="R14" s="32"/>
      <c r="S14" s="32"/>
      <c r="T14" s="31"/>
      <c r="U14" s="31"/>
      <c r="V14" s="31"/>
      <c r="W14" s="31"/>
      <c r="X14" s="31"/>
    </row>
    <row r="15" spans="1:24" s="1" customFormat="1" ht="16.5" customHeight="1" x14ac:dyDescent="0.35">
      <c r="A15" s="149"/>
      <c r="B15" s="149" t="s">
        <v>215</v>
      </c>
      <c r="C15" s="149" t="s">
        <v>472</v>
      </c>
      <c r="D15" s="146">
        <v>1</v>
      </c>
      <c r="E15" s="146">
        <v>9.4600000000000004E-2</v>
      </c>
      <c r="F15" s="146">
        <f t="shared" si="0"/>
        <v>9.4600000000000004E-2</v>
      </c>
      <c r="G15" s="146">
        <f t="shared" si="1"/>
        <v>25</v>
      </c>
      <c r="H15" s="150">
        <f t="shared" si="2"/>
        <v>25</v>
      </c>
      <c r="I15" s="150"/>
      <c r="J15" s="209"/>
      <c r="K15" s="144"/>
      <c r="L15" s="33"/>
      <c r="M15" s="33"/>
      <c r="N15" s="32"/>
      <c r="O15" s="32"/>
      <c r="P15" s="32"/>
      <c r="Q15" s="32"/>
      <c r="R15" s="32"/>
      <c r="S15" s="32"/>
      <c r="T15" s="31"/>
      <c r="U15" s="31"/>
      <c r="V15" s="31"/>
      <c r="W15" s="31"/>
      <c r="X15" s="31"/>
    </row>
    <row r="16" spans="1:24" s="1" customFormat="1" ht="16.5" customHeight="1" x14ac:dyDescent="0.35">
      <c r="A16" s="149" t="s">
        <v>408</v>
      </c>
      <c r="B16" s="149" t="s">
        <v>410</v>
      </c>
      <c r="C16" s="149" t="s">
        <v>472</v>
      </c>
      <c r="D16" s="146">
        <v>6</v>
      </c>
      <c r="E16" s="146"/>
      <c r="F16" s="146"/>
      <c r="G16" s="146">
        <f t="shared" si="1"/>
        <v>25</v>
      </c>
      <c r="H16" s="150">
        <f t="shared" si="2"/>
        <v>150</v>
      </c>
      <c r="I16" s="150"/>
      <c r="J16" s="209"/>
      <c r="K16" s="144"/>
      <c r="L16" s="33">
        <f>O16+P16+N16</f>
        <v>25</v>
      </c>
      <c r="M16" s="33">
        <f>L16+14</f>
        <v>39</v>
      </c>
      <c r="N16" s="32">
        <v>15</v>
      </c>
      <c r="O16" s="32">
        <v>10</v>
      </c>
      <c r="P16" s="32"/>
      <c r="Q16" s="32"/>
      <c r="R16" s="32"/>
      <c r="S16" s="32"/>
      <c r="T16" s="31"/>
      <c r="U16" s="31"/>
      <c r="V16" s="31"/>
      <c r="W16" s="31"/>
      <c r="X16" s="31"/>
    </row>
    <row r="17" spans="1:24" s="1" customFormat="1" ht="16.5" customHeight="1" x14ac:dyDescent="0.35">
      <c r="A17" s="149" t="s">
        <v>400</v>
      </c>
      <c r="B17" s="149" t="s">
        <v>393</v>
      </c>
      <c r="C17" s="149" t="s">
        <v>472</v>
      </c>
      <c r="D17" s="146">
        <v>1</v>
      </c>
      <c r="E17" s="146"/>
      <c r="F17" s="146"/>
      <c r="G17" s="146">
        <f t="shared" si="1"/>
        <v>25</v>
      </c>
      <c r="H17" s="150">
        <f t="shared" si="2"/>
        <v>25</v>
      </c>
      <c r="I17" s="150"/>
      <c r="J17" s="209"/>
      <c r="K17" s="144"/>
      <c r="L17" s="33">
        <v>120</v>
      </c>
      <c r="M17" s="33">
        <f>L17+14</f>
        <v>134</v>
      </c>
      <c r="N17" s="32"/>
      <c r="O17" s="32"/>
      <c r="P17" s="32"/>
      <c r="Q17" s="32"/>
      <c r="R17" s="32"/>
      <c r="S17" s="32"/>
      <c r="T17" s="31"/>
      <c r="U17" s="31"/>
      <c r="V17" s="31"/>
      <c r="W17" s="31"/>
      <c r="X17" s="31"/>
    </row>
    <row r="18" spans="1:24" s="1" customFormat="1" ht="16.5" customHeight="1" x14ac:dyDescent="0.35">
      <c r="A18" s="149" t="s">
        <v>210</v>
      </c>
      <c r="B18" s="149" t="s">
        <v>392</v>
      </c>
      <c r="C18" s="149" t="s">
        <v>472</v>
      </c>
      <c r="D18" s="146">
        <v>2</v>
      </c>
      <c r="E18" s="146"/>
      <c r="F18" s="146"/>
      <c r="G18" s="146">
        <f t="shared" si="1"/>
        <v>25</v>
      </c>
      <c r="H18" s="150">
        <f t="shared" si="2"/>
        <v>50</v>
      </c>
      <c r="I18" s="150"/>
      <c r="J18" s="209"/>
      <c r="K18" s="144"/>
      <c r="L18" s="33"/>
      <c r="M18" s="33"/>
      <c r="N18" s="32"/>
      <c r="O18" s="32"/>
      <c r="P18" s="32"/>
      <c r="Q18" s="32"/>
      <c r="R18" s="32"/>
      <c r="S18" s="32"/>
      <c r="T18" s="31"/>
      <c r="U18" s="31"/>
      <c r="V18" s="31"/>
      <c r="W18" s="31"/>
      <c r="X18" s="31"/>
    </row>
    <row r="19" spans="1:24" s="1" customFormat="1" ht="16.5" customHeight="1" x14ac:dyDescent="0.35">
      <c r="A19" s="228"/>
      <c r="B19" s="228"/>
      <c r="C19" s="228"/>
      <c r="D19" s="229"/>
      <c r="E19" s="229"/>
      <c r="F19" s="229">
        <f>SUM(F4:F18)</f>
        <v>32.065000000000005</v>
      </c>
      <c r="G19" s="229"/>
      <c r="H19" s="230"/>
      <c r="I19" s="230"/>
      <c r="J19" s="209"/>
      <c r="K19" s="144"/>
      <c r="L19" s="33"/>
      <c r="M19" s="33"/>
      <c r="N19" s="32"/>
      <c r="O19" s="32"/>
      <c r="P19" s="32"/>
      <c r="Q19" s="32"/>
      <c r="R19" s="32"/>
      <c r="S19" s="32"/>
      <c r="T19" s="31"/>
      <c r="U19" s="31"/>
      <c r="V19" s="31"/>
      <c r="W19" s="31"/>
      <c r="X19" s="31"/>
    </row>
    <row r="20" spans="1:24" s="1" customFormat="1" ht="16.5" customHeight="1" x14ac:dyDescent="0.35">
      <c r="A20" s="247"/>
      <c r="B20" s="247"/>
      <c r="C20" s="247"/>
      <c r="D20" s="247"/>
      <c r="E20" s="247"/>
      <c r="F20" s="247"/>
      <c r="G20" s="247"/>
      <c r="H20" s="247"/>
      <c r="I20" s="247"/>
      <c r="J20" s="144"/>
      <c r="K20" s="144"/>
      <c r="L20" s="33"/>
      <c r="M20" s="33"/>
      <c r="N20" s="32"/>
      <c r="O20" s="32"/>
      <c r="P20" s="32"/>
      <c r="Q20" s="32"/>
      <c r="R20" s="32"/>
      <c r="S20" s="32"/>
      <c r="T20" s="31"/>
      <c r="U20" s="31"/>
      <c r="V20" s="31"/>
      <c r="W20" s="31"/>
      <c r="X20" s="31"/>
    </row>
    <row r="21" spans="1:24" ht="24.75" customHeight="1" x14ac:dyDescent="0.35">
      <c r="A21" s="245" t="s">
        <v>492</v>
      </c>
      <c r="B21" s="245"/>
      <c r="C21" s="245"/>
      <c r="D21" s="245"/>
      <c r="E21" s="245"/>
      <c r="F21" s="245"/>
      <c r="G21" s="245"/>
      <c r="H21" s="245"/>
      <c r="I21" s="245"/>
      <c r="J21" s="208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</row>
    <row r="22" spans="1:24" ht="33" customHeight="1" x14ac:dyDescent="0.2">
      <c r="A22" s="147" t="s">
        <v>474</v>
      </c>
      <c r="B22" s="147" t="s">
        <v>196</v>
      </c>
      <c r="C22" s="147" t="s">
        <v>13</v>
      </c>
      <c r="D22" s="145" t="s">
        <v>395</v>
      </c>
      <c r="E22" s="145" t="s">
        <v>475</v>
      </c>
      <c r="F22" s="145" t="s">
        <v>476</v>
      </c>
      <c r="G22" s="145" t="s">
        <v>413</v>
      </c>
      <c r="H22" s="148" t="s">
        <v>414</v>
      </c>
      <c r="I22" s="148" t="s">
        <v>279</v>
      </c>
      <c r="J22" s="212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</row>
    <row r="23" spans="1:24" ht="16.5" customHeight="1" x14ac:dyDescent="0.2">
      <c r="A23" s="181" t="s">
        <v>459</v>
      </c>
      <c r="B23" s="149" t="s">
        <v>83</v>
      </c>
      <c r="C23" s="149" t="s">
        <v>433</v>
      </c>
      <c r="D23" s="215">
        <v>3</v>
      </c>
      <c r="E23" s="215"/>
      <c r="F23" s="215"/>
      <c r="G23" s="215">
        <v>25</v>
      </c>
      <c r="H23" s="150">
        <f>D23*G23</f>
        <v>75</v>
      </c>
      <c r="I23" s="150"/>
      <c r="J23" s="209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 spans="1:24" ht="16.5" customHeight="1" x14ac:dyDescent="0.2">
      <c r="A24" s="181" t="s">
        <v>459</v>
      </c>
      <c r="B24" s="149" t="s">
        <v>209</v>
      </c>
      <c r="C24" s="149" t="s">
        <v>433</v>
      </c>
      <c r="D24" s="215">
        <v>12</v>
      </c>
      <c r="E24" s="215"/>
      <c r="F24" s="215"/>
      <c r="G24" s="215">
        <v>25</v>
      </c>
      <c r="H24" s="150">
        <f>D24*G24</f>
        <v>300</v>
      </c>
      <c r="I24" s="150"/>
      <c r="J24" s="209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 spans="1:24" ht="16.5" customHeight="1" x14ac:dyDescent="0.2">
      <c r="B25" s="31"/>
      <c r="C25" s="31"/>
      <c r="D25" s="211"/>
      <c r="E25" s="211"/>
      <c r="F25" s="211"/>
      <c r="G25" s="211"/>
      <c r="H25" s="211"/>
      <c r="I25" s="21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ht="16.5" customHeight="1" x14ac:dyDescent="0.2">
      <c r="A26" s="2"/>
      <c r="B26" s="149" t="s">
        <v>210</v>
      </c>
      <c r="C26" s="149"/>
      <c r="D26" s="215">
        <v>4</v>
      </c>
      <c r="E26" s="215"/>
      <c r="F26" s="215"/>
      <c r="G26" s="215">
        <v>25</v>
      </c>
      <c r="H26" s="150">
        <f>D26*G26</f>
        <v>100</v>
      </c>
      <c r="I26" s="150"/>
      <c r="J26" s="209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</row>
    <row r="27" spans="1:24" ht="16.5" customHeight="1" x14ac:dyDescent="0.2">
      <c r="A27" s="2"/>
      <c r="B27" s="149" t="s">
        <v>78</v>
      </c>
      <c r="C27" s="149"/>
      <c r="D27" s="215"/>
      <c r="E27" s="215"/>
      <c r="F27" s="215"/>
      <c r="G27" s="215"/>
      <c r="H27" s="215"/>
      <c r="I27" s="215"/>
      <c r="J27" s="143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</row>
    <row r="28" spans="1:24" ht="16.5" customHeight="1" x14ac:dyDescent="0.2">
      <c r="A28" s="2"/>
      <c r="B28" s="149" t="s">
        <v>79</v>
      </c>
      <c r="C28" s="149"/>
      <c r="D28" s="215"/>
      <c r="E28" s="215"/>
      <c r="F28" s="215"/>
      <c r="G28" s="215"/>
      <c r="H28" s="215"/>
      <c r="I28" s="215"/>
      <c r="J28" s="143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 spans="1:24" ht="16.5" customHeight="1" x14ac:dyDescent="0.2">
      <c r="A29" s="2"/>
      <c r="C29" s="149"/>
      <c r="D29" s="215"/>
      <c r="E29" s="215"/>
      <c r="F29" s="215"/>
      <c r="G29" s="215"/>
      <c r="H29" s="215"/>
      <c r="I29" s="215"/>
      <c r="J29" s="143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</row>
    <row r="30" spans="1:24" ht="16.5" customHeight="1" x14ac:dyDescent="0.2">
      <c r="A30" s="246"/>
      <c r="B30" s="246"/>
      <c r="C30" s="246"/>
      <c r="D30" s="246"/>
      <c r="E30" s="246"/>
      <c r="F30" s="246"/>
      <c r="G30" s="246"/>
      <c r="H30" s="246"/>
      <c r="I30" s="246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</row>
    <row r="31" spans="1:24" ht="33.75" customHeight="1" x14ac:dyDescent="0.2">
      <c r="A31" s="147" t="s">
        <v>474</v>
      </c>
      <c r="B31" s="147" t="s">
        <v>196</v>
      </c>
      <c r="C31" s="147" t="s">
        <v>13</v>
      </c>
      <c r="D31" s="145" t="s">
        <v>395</v>
      </c>
      <c r="E31" s="145" t="s">
        <v>475</v>
      </c>
      <c r="F31" s="145" t="s">
        <v>476</v>
      </c>
      <c r="G31" s="145" t="s">
        <v>413</v>
      </c>
      <c r="H31" s="148" t="s">
        <v>414</v>
      </c>
      <c r="I31" s="148" t="s">
        <v>279</v>
      </c>
      <c r="J31" s="212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</row>
    <row r="32" spans="1:24" ht="16.5" customHeight="1" x14ac:dyDescent="0.25">
      <c r="A32" s="213" t="s">
        <v>117</v>
      </c>
      <c r="B32" s="214"/>
      <c r="C32" s="214"/>
      <c r="D32" s="17"/>
      <c r="E32" s="17"/>
      <c r="F32" s="17"/>
      <c r="G32" s="146">
        <v>25</v>
      </c>
      <c r="H32" s="150">
        <f t="shared" ref="H32:H40" si="3">D32*G32</f>
        <v>0</v>
      </c>
      <c r="I32" s="150"/>
      <c r="J32" s="209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</row>
    <row r="33" spans="1:24" ht="16.5" customHeight="1" x14ac:dyDescent="0.2">
      <c r="A33" s="149" t="s">
        <v>2</v>
      </c>
      <c r="B33" s="214"/>
      <c r="C33" s="214" t="s">
        <v>432</v>
      </c>
      <c r="D33" s="17"/>
      <c r="E33" s="17"/>
      <c r="F33" s="17"/>
      <c r="G33" s="146">
        <f t="shared" ref="G33:G40" si="4">G32</f>
        <v>25</v>
      </c>
      <c r="H33" s="150">
        <f t="shared" si="3"/>
        <v>0</v>
      </c>
      <c r="I33" s="150"/>
      <c r="J33" s="209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</row>
    <row r="34" spans="1:24" ht="16.5" customHeight="1" x14ac:dyDescent="0.2">
      <c r="A34" s="149" t="s">
        <v>3</v>
      </c>
      <c r="B34" s="214"/>
      <c r="C34" s="214" t="s">
        <v>432</v>
      </c>
      <c r="D34" s="17"/>
      <c r="E34" s="17"/>
      <c r="F34" s="17"/>
      <c r="G34" s="146">
        <f t="shared" si="4"/>
        <v>25</v>
      </c>
      <c r="H34" s="150">
        <f t="shared" si="3"/>
        <v>0</v>
      </c>
      <c r="I34" s="150"/>
      <c r="J34" s="209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</row>
    <row r="35" spans="1:24" ht="16.5" customHeight="1" x14ac:dyDescent="0.2">
      <c r="A35" s="149" t="s">
        <v>4</v>
      </c>
      <c r="B35" s="214" t="s">
        <v>415</v>
      </c>
      <c r="C35" s="214"/>
      <c r="D35" s="17"/>
      <c r="E35" s="17"/>
      <c r="F35" s="17"/>
      <c r="G35" s="146">
        <f t="shared" si="4"/>
        <v>25</v>
      </c>
      <c r="H35" s="150">
        <f t="shared" si="3"/>
        <v>0</v>
      </c>
      <c r="I35" s="150"/>
      <c r="J35" s="209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</row>
    <row r="36" spans="1:24" ht="16.5" customHeight="1" x14ac:dyDescent="0.2">
      <c r="A36" s="149" t="s">
        <v>5</v>
      </c>
      <c r="B36" s="214" t="s">
        <v>415</v>
      </c>
      <c r="C36" s="214"/>
      <c r="D36" s="17"/>
      <c r="E36" s="17"/>
      <c r="F36" s="17"/>
      <c r="G36" s="146">
        <f t="shared" si="4"/>
        <v>25</v>
      </c>
      <c r="H36" s="150">
        <f t="shared" si="3"/>
        <v>0</v>
      </c>
      <c r="I36" s="150"/>
      <c r="J36" s="209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 spans="1:24" ht="16.5" customHeight="1" x14ac:dyDescent="0.2">
      <c r="A37" s="149"/>
      <c r="B37" s="214"/>
      <c r="C37" s="214"/>
      <c r="D37" s="17"/>
      <c r="E37" s="17"/>
      <c r="F37" s="17"/>
      <c r="G37" s="146">
        <f t="shared" si="4"/>
        <v>25</v>
      </c>
      <c r="H37" s="150">
        <f t="shared" si="3"/>
        <v>0</v>
      </c>
      <c r="I37" s="150"/>
      <c r="J37" s="209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</row>
    <row r="38" spans="1:24" ht="16.5" customHeight="1" x14ac:dyDescent="0.25">
      <c r="A38" s="213" t="s">
        <v>207</v>
      </c>
      <c r="B38" s="214"/>
      <c r="C38" s="214"/>
      <c r="D38" s="17"/>
      <c r="E38" s="17"/>
      <c r="F38" s="17"/>
      <c r="G38" s="146">
        <f t="shared" si="4"/>
        <v>25</v>
      </c>
      <c r="H38" s="150">
        <f t="shared" si="3"/>
        <v>0</v>
      </c>
      <c r="I38" s="150"/>
      <c r="J38" s="209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</row>
    <row r="39" spans="1:24" ht="16.5" customHeight="1" x14ac:dyDescent="0.2">
      <c r="A39" s="149" t="s">
        <v>416</v>
      </c>
      <c r="B39" s="214"/>
      <c r="C39" s="214" t="s">
        <v>473</v>
      </c>
      <c r="D39" s="17">
        <v>350</v>
      </c>
      <c r="E39" s="17"/>
      <c r="F39" s="17"/>
      <c r="G39" s="146">
        <f t="shared" si="4"/>
        <v>25</v>
      </c>
      <c r="H39" s="150">
        <f t="shared" si="3"/>
        <v>8750</v>
      </c>
      <c r="I39" s="150"/>
      <c r="J39" s="209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</row>
    <row r="40" spans="1:24" ht="16.5" customHeight="1" x14ac:dyDescent="0.2">
      <c r="A40" s="149"/>
      <c r="B40" s="214"/>
      <c r="C40" s="214"/>
      <c r="D40" s="17"/>
      <c r="E40" s="17"/>
      <c r="F40" s="17"/>
      <c r="G40" s="146">
        <f t="shared" si="4"/>
        <v>25</v>
      </c>
      <c r="H40" s="150">
        <f t="shared" si="3"/>
        <v>0</v>
      </c>
      <c r="I40" s="150"/>
      <c r="J40" s="209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</row>
    <row r="41" spans="1:24" ht="16.5" customHeight="1" x14ac:dyDescent="0.2">
      <c r="A41" s="216" t="s">
        <v>477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</row>
    <row r="42" spans="1:24" ht="16.5" customHeight="1" x14ac:dyDescent="0.2"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</row>
    <row r="43" spans="1:24" ht="16.5" customHeight="1" x14ac:dyDescent="0.2">
      <c r="A43" s="242" t="s">
        <v>489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</row>
    <row r="44" spans="1:24" ht="16.5" customHeight="1" x14ac:dyDescent="0.2">
      <c r="A44" s="242" t="s">
        <v>493</v>
      </c>
      <c r="B44" s="46" t="s">
        <v>493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</row>
    <row r="45" spans="1:24" ht="16.5" customHeight="1" x14ac:dyDescent="0.2">
      <c r="B45" s="46" t="s">
        <v>220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</row>
    <row r="46" spans="1:24" ht="16.5" customHeight="1" x14ac:dyDescent="0.2">
      <c r="B46" s="46" t="s">
        <v>37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</row>
    <row r="47" spans="1:24" ht="16.5" customHeight="1" x14ac:dyDescent="0.2"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</row>
    <row r="48" spans="1:24" ht="16.5" customHeight="1" x14ac:dyDescent="0.2">
      <c r="B48" s="46" t="s">
        <v>211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2:24" ht="16.5" customHeight="1" x14ac:dyDescent="0.2">
      <c r="B49" s="46" t="s">
        <v>72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</row>
    <row r="50" spans="2:24" ht="16.5" customHeight="1" x14ac:dyDescent="0.2"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1" spans="2:24" ht="16.5" customHeight="1" x14ac:dyDescent="0.2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</row>
    <row r="52" spans="2:24" ht="16.5" customHeight="1" x14ac:dyDescent="0.2"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</row>
    <row r="53" spans="2:24" ht="16.5" customHeight="1" x14ac:dyDescent="0.2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</row>
    <row r="54" spans="2:24" ht="16.5" customHeight="1" x14ac:dyDescent="0.2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</row>
    <row r="55" spans="2:24" ht="16.5" customHeight="1" x14ac:dyDescent="0.2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2:24" ht="16.5" customHeight="1" x14ac:dyDescent="0.2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</row>
    <row r="57" spans="2:24" ht="16.5" customHeight="1" x14ac:dyDescent="0.2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</row>
    <row r="58" spans="2:24" ht="16.5" customHeight="1" x14ac:dyDescent="0.2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</row>
    <row r="59" spans="2:24" ht="16.5" customHeight="1" x14ac:dyDescent="0.2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</row>
    <row r="60" spans="2:24" ht="16.5" customHeight="1" x14ac:dyDescent="0.2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</row>
    <row r="61" spans="2:24" ht="16.5" customHeight="1" x14ac:dyDescent="0.2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</row>
    <row r="62" spans="2:24" ht="16.5" customHeight="1" x14ac:dyDescent="0.2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spans="2:24" ht="16.5" customHeight="1" x14ac:dyDescent="0.2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spans="2:24" ht="16.5" customHeight="1" x14ac:dyDescent="0.2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</row>
    <row r="65" spans="2:24" ht="16.5" customHeight="1" x14ac:dyDescent="0.2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</row>
    <row r="66" spans="2:24" ht="16.5" customHeight="1" x14ac:dyDescent="0.2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</row>
    <row r="67" spans="2:24" ht="16.5" customHeight="1" x14ac:dyDescent="0.2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</row>
    <row r="68" spans="2:24" ht="16.5" customHeight="1" x14ac:dyDescent="0.2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</row>
    <row r="69" spans="2:24" ht="16.5" customHeight="1" x14ac:dyDescent="0.2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</row>
    <row r="70" spans="2:24" ht="16.5" customHeight="1" x14ac:dyDescent="0.2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</row>
    <row r="71" spans="2:24" ht="16.5" customHeight="1" x14ac:dyDescent="0.2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</row>
    <row r="72" spans="2:24" ht="16.5" customHeight="1" x14ac:dyDescent="0.2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</row>
    <row r="73" spans="2:24" ht="16.5" customHeight="1" x14ac:dyDescent="0.2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</row>
    <row r="74" spans="2:24" ht="16.5" customHeight="1" x14ac:dyDescent="0.2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</row>
    <row r="75" spans="2:24" ht="16.5" customHeight="1" x14ac:dyDescent="0.2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2:24" ht="16.5" customHeight="1" x14ac:dyDescent="0.2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 spans="2:24" ht="16.5" customHeight="1" x14ac:dyDescent="0.2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 spans="2:24" ht="16.5" customHeight="1" x14ac:dyDescent="0.2"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 spans="2:24" ht="16.5" customHeight="1" x14ac:dyDescent="0.2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 spans="2:24" ht="16.5" customHeight="1" x14ac:dyDescent="0.2"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</row>
    <row r="81" spans="2:24" ht="16.5" customHeight="1" x14ac:dyDescent="0.2"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</row>
    <row r="82" spans="2:24" ht="16.5" customHeight="1" x14ac:dyDescent="0.2"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</row>
    <row r="83" spans="2:24" ht="16.5" customHeight="1" x14ac:dyDescent="0.2"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</row>
    <row r="84" spans="2:24" ht="16.5" customHeight="1" x14ac:dyDescent="0.2"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</row>
    <row r="85" spans="2:24" ht="16.5" customHeight="1" x14ac:dyDescent="0.2"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</row>
    <row r="86" spans="2:24" ht="16.5" customHeight="1" x14ac:dyDescent="0.2"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 spans="2:24" ht="16.5" customHeight="1" x14ac:dyDescent="0.2"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</row>
    <row r="88" spans="2:24" ht="16.5" customHeight="1" x14ac:dyDescent="0.2"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</row>
    <row r="89" spans="2:24" ht="16.5" customHeight="1" x14ac:dyDescent="0.2"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</row>
    <row r="90" spans="2:24" ht="16.5" customHeight="1" x14ac:dyDescent="0.2"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 spans="2:24" ht="16.5" customHeight="1" x14ac:dyDescent="0.2"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</row>
    <row r="92" spans="2:24" ht="16.5" customHeight="1" x14ac:dyDescent="0.2"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</row>
    <row r="93" spans="2:24" ht="16.5" customHeight="1" x14ac:dyDescent="0.2"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</row>
    <row r="94" spans="2:24" ht="16.5" customHeight="1" x14ac:dyDescent="0.2"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</row>
    <row r="95" spans="2:24" ht="16.5" customHeight="1" x14ac:dyDescent="0.2"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</row>
    <row r="96" spans="2:24" ht="16.5" customHeight="1" x14ac:dyDescent="0.2"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</row>
    <row r="97" spans="2:24" ht="16.5" customHeight="1" x14ac:dyDescent="0.2"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</row>
    <row r="98" spans="2:24" ht="16.5" customHeight="1" x14ac:dyDescent="0.2"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</row>
    <row r="99" spans="2:24" ht="16.5" customHeight="1" x14ac:dyDescent="0.2"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</row>
    <row r="100" spans="2:24" ht="16.5" customHeight="1" x14ac:dyDescent="0.2"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spans="2:24" ht="16.5" customHeight="1" x14ac:dyDescent="0.2"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</row>
    <row r="102" spans="2:24" ht="16.5" customHeight="1" x14ac:dyDescent="0.2"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</row>
    <row r="103" spans="2:24" ht="16.5" customHeight="1" x14ac:dyDescent="0.2"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</row>
    <row r="104" spans="2:24" ht="16.5" customHeight="1" x14ac:dyDescent="0.2"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</row>
    <row r="105" spans="2:24" ht="16.5" customHeight="1" x14ac:dyDescent="0.2"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spans="2:24" ht="16.5" customHeight="1" x14ac:dyDescent="0.2"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</row>
    <row r="107" spans="2:24" ht="16.5" customHeight="1" x14ac:dyDescent="0.2"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spans="2:24" ht="16.5" customHeight="1" x14ac:dyDescent="0.2"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2:24" ht="16.5" customHeight="1" x14ac:dyDescent="0.2"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spans="2:24" ht="16.5" customHeight="1" x14ac:dyDescent="0.2"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2:24" ht="16.5" customHeight="1" x14ac:dyDescent="0.2"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2:24" ht="16.5" customHeight="1" x14ac:dyDescent="0.2"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2:24" ht="16.5" customHeight="1" x14ac:dyDescent="0.2"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spans="2:24" ht="16.5" customHeight="1" x14ac:dyDescent="0.2"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spans="2:24" ht="16.5" customHeight="1" x14ac:dyDescent="0.2"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2:24" ht="16.5" customHeight="1" x14ac:dyDescent="0.2"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spans="2:24" ht="16.5" customHeight="1" x14ac:dyDescent="0.2"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2:24" ht="16.5" customHeight="1" x14ac:dyDescent="0.2"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</row>
    <row r="119" spans="2:24" ht="16.5" customHeight="1" x14ac:dyDescent="0.2"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spans="2:24" ht="16.5" customHeight="1" x14ac:dyDescent="0.2"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</row>
    <row r="121" spans="2:24" ht="16.5" customHeight="1" x14ac:dyDescent="0.2"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</row>
    <row r="122" spans="2:24" ht="16.5" customHeight="1" x14ac:dyDescent="0.2"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spans="2:24" ht="16.5" customHeight="1" x14ac:dyDescent="0.2"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spans="2:24" ht="16.5" customHeight="1" x14ac:dyDescent="0.2"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</row>
    <row r="125" spans="2:24" ht="16.5" customHeight="1" x14ac:dyDescent="0.2"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</row>
    <row r="126" spans="2:24" ht="16.5" customHeight="1" x14ac:dyDescent="0.2"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</row>
    <row r="127" spans="2:24" ht="16.5" customHeight="1" x14ac:dyDescent="0.2"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</row>
    <row r="128" spans="2:24" ht="16.5" customHeight="1" x14ac:dyDescent="0.2"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</row>
    <row r="129" spans="2:24" ht="16.5" customHeight="1" x14ac:dyDescent="0.2"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</row>
    <row r="130" spans="2:24" ht="16.5" customHeight="1" x14ac:dyDescent="0.2"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</row>
    <row r="131" spans="2:24" ht="16.5" customHeight="1" x14ac:dyDescent="0.2"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</row>
    <row r="132" spans="2:24" ht="16.5" customHeight="1" x14ac:dyDescent="0.2"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</row>
    <row r="133" spans="2:24" ht="16.5" customHeight="1" x14ac:dyDescent="0.2"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</row>
    <row r="134" spans="2:24" ht="16.5" customHeight="1" x14ac:dyDescent="0.2"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</row>
    <row r="135" spans="2:24" ht="16.5" customHeight="1" x14ac:dyDescent="0.2"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</row>
    <row r="136" spans="2:24" ht="16.5" customHeight="1" x14ac:dyDescent="0.2"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</row>
    <row r="137" spans="2:24" ht="16.5" customHeight="1" x14ac:dyDescent="0.2"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</row>
    <row r="138" spans="2:24" ht="16.5" customHeight="1" x14ac:dyDescent="0.2"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</row>
    <row r="139" spans="2:24" ht="16.5" customHeight="1" x14ac:dyDescent="0.2"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</row>
    <row r="140" spans="2:24" ht="16.5" customHeight="1" x14ac:dyDescent="0.2"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</row>
    <row r="141" spans="2:24" ht="16.5" customHeight="1" x14ac:dyDescent="0.2"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</row>
    <row r="142" spans="2:24" ht="16.5" customHeight="1" x14ac:dyDescent="0.2"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</row>
    <row r="143" spans="2:24" ht="16.5" customHeight="1" x14ac:dyDescent="0.2"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</row>
    <row r="144" spans="2:24" ht="16.5" customHeight="1" x14ac:dyDescent="0.2"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</row>
    <row r="145" spans="2:24" ht="16.5" customHeight="1" x14ac:dyDescent="0.2"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</row>
    <row r="146" spans="2:24" ht="16.5" customHeight="1" x14ac:dyDescent="0.2"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</row>
    <row r="147" spans="2:24" ht="16.5" customHeight="1" x14ac:dyDescent="0.2"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</row>
    <row r="148" spans="2:24" ht="16.5" customHeight="1" x14ac:dyDescent="0.2"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</row>
    <row r="149" spans="2:24" ht="16.5" customHeight="1" x14ac:dyDescent="0.2"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</row>
    <row r="150" spans="2:24" ht="16.5" customHeight="1" x14ac:dyDescent="0.2"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</row>
    <row r="151" spans="2:24" ht="16.5" customHeight="1" x14ac:dyDescent="0.2"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</row>
    <row r="152" spans="2:24" ht="16.5" customHeight="1" x14ac:dyDescent="0.2"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</row>
    <row r="153" spans="2:24" ht="16.5" customHeight="1" x14ac:dyDescent="0.2"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</row>
    <row r="154" spans="2:24" ht="16.5" customHeight="1" x14ac:dyDescent="0.2"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</row>
    <row r="155" spans="2:24" ht="16.5" customHeight="1" x14ac:dyDescent="0.2"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</row>
    <row r="156" spans="2:24" ht="16.5" customHeight="1" x14ac:dyDescent="0.2"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</row>
    <row r="157" spans="2:24" ht="16.5" customHeight="1" x14ac:dyDescent="0.2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</row>
    <row r="158" spans="2:24" ht="16.5" customHeight="1" x14ac:dyDescent="0.2"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</row>
    <row r="159" spans="2:24" ht="16.5" customHeight="1" x14ac:dyDescent="0.2"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</row>
    <row r="160" spans="2:24" ht="16.5" customHeight="1" x14ac:dyDescent="0.2"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</row>
    <row r="161" spans="2:24" ht="16.5" customHeight="1" x14ac:dyDescent="0.2"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</row>
    <row r="162" spans="2:24" ht="16.5" customHeight="1" x14ac:dyDescent="0.2"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</row>
    <row r="163" spans="2:24" ht="16.5" customHeight="1" x14ac:dyDescent="0.2"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</row>
    <row r="164" spans="2:24" ht="16.5" customHeight="1" x14ac:dyDescent="0.2"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</row>
    <row r="165" spans="2:24" ht="16.5" customHeight="1" x14ac:dyDescent="0.2"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</row>
    <row r="166" spans="2:24" ht="16.5" customHeight="1" x14ac:dyDescent="0.2"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</row>
    <row r="167" spans="2:24" ht="16.5" customHeight="1" x14ac:dyDescent="0.2"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</row>
    <row r="168" spans="2:24" ht="16.5" customHeight="1" x14ac:dyDescent="0.2"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</row>
    <row r="169" spans="2:24" ht="16.5" customHeight="1" x14ac:dyDescent="0.2"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</row>
    <row r="170" spans="2:24" ht="16.5" customHeight="1" x14ac:dyDescent="0.2"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</row>
    <row r="171" spans="2:24" ht="16.5" customHeight="1" x14ac:dyDescent="0.2"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</row>
    <row r="172" spans="2:24" ht="16.5" customHeight="1" x14ac:dyDescent="0.2"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</row>
    <row r="173" spans="2:24" ht="16.5" customHeight="1" x14ac:dyDescent="0.2"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</row>
    <row r="174" spans="2:24" ht="16.5" customHeight="1" x14ac:dyDescent="0.2"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</row>
    <row r="175" spans="2:24" ht="16.5" customHeight="1" x14ac:dyDescent="0.2"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</row>
    <row r="176" spans="2:24" ht="16.5" customHeight="1" x14ac:dyDescent="0.2"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</row>
    <row r="177" spans="2:24" ht="16.5" customHeight="1" x14ac:dyDescent="0.2"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</row>
    <row r="178" spans="2:24" ht="16.5" customHeight="1" x14ac:dyDescent="0.2"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</row>
    <row r="179" spans="2:24" ht="16.5" customHeight="1" x14ac:dyDescent="0.2"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</row>
    <row r="180" spans="2:24" ht="16.5" customHeight="1" x14ac:dyDescent="0.2"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</row>
    <row r="181" spans="2:24" ht="16.5" customHeight="1" x14ac:dyDescent="0.2"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</row>
    <row r="182" spans="2:24" ht="16.5" customHeight="1" x14ac:dyDescent="0.2"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</row>
    <row r="183" spans="2:24" ht="16.5" customHeight="1" x14ac:dyDescent="0.2"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</row>
    <row r="184" spans="2:24" ht="16.5" customHeight="1" x14ac:dyDescent="0.2"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</row>
    <row r="185" spans="2:24" ht="16.5" customHeight="1" x14ac:dyDescent="0.2"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</row>
    <row r="186" spans="2:24" ht="16.5" customHeight="1" x14ac:dyDescent="0.2"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</row>
    <row r="187" spans="2:24" ht="16.5" customHeight="1" x14ac:dyDescent="0.2"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</row>
    <row r="188" spans="2:24" ht="16.5" customHeight="1" x14ac:dyDescent="0.2"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</row>
    <row r="189" spans="2:24" ht="16.5" customHeight="1" x14ac:dyDescent="0.2"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</row>
    <row r="190" spans="2:24" ht="16.5" customHeight="1" x14ac:dyDescent="0.2"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</row>
    <row r="191" spans="2:24" ht="16.5" customHeight="1" x14ac:dyDescent="0.2"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</row>
    <row r="192" spans="2:24" ht="16.5" customHeight="1" x14ac:dyDescent="0.2"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</row>
    <row r="193" spans="2:24" ht="16.5" customHeight="1" x14ac:dyDescent="0.2"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</row>
    <row r="194" spans="2:24" ht="16.5" customHeight="1" x14ac:dyDescent="0.2"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</row>
    <row r="195" spans="2:24" ht="16.5" customHeight="1" x14ac:dyDescent="0.2"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</row>
    <row r="196" spans="2:24" ht="16.5" customHeight="1" x14ac:dyDescent="0.2"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</row>
    <row r="197" spans="2:24" ht="16.5" customHeight="1" x14ac:dyDescent="0.2"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</row>
    <row r="198" spans="2:24" ht="16.5" customHeight="1" x14ac:dyDescent="0.2"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</row>
    <row r="199" spans="2:24" ht="16.5" customHeight="1" x14ac:dyDescent="0.2"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</row>
    <row r="200" spans="2:24" ht="16.5" customHeight="1" x14ac:dyDescent="0.2"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</row>
    <row r="201" spans="2:24" ht="16.5" customHeight="1" x14ac:dyDescent="0.2"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</row>
    <row r="202" spans="2:24" ht="16.5" customHeight="1" x14ac:dyDescent="0.2"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</row>
    <row r="203" spans="2:24" ht="16.5" customHeight="1" x14ac:dyDescent="0.2"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</row>
    <row r="204" spans="2:24" ht="16.5" customHeight="1" x14ac:dyDescent="0.2"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</row>
    <row r="205" spans="2:24" ht="16.5" customHeight="1" x14ac:dyDescent="0.2"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</row>
    <row r="206" spans="2:24" ht="16.5" customHeight="1" x14ac:dyDescent="0.2"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</row>
    <row r="207" spans="2:24" ht="16.5" customHeight="1" x14ac:dyDescent="0.2"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</row>
    <row r="208" spans="2:24" ht="16.5" customHeight="1" x14ac:dyDescent="0.2"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</row>
    <row r="209" spans="2:24" ht="16.5" customHeight="1" x14ac:dyDescent="0.2"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</row>
    <row r="210" spans="2:24" ht="16.5" customHeight="1" x14ac:dyDescent="0.2"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</row>
    <row r="211" spans="2:24" ht="16.5" customHeight="1" x14ac:dyDescent="0.2"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</row>
    <row r="212" spans="2:24" ht="16.5" customHeight="1" x14ac:dyDescent="0.2"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</row>
    <row r="213" spans="2:24" ht="16.5" customHeight="1" x14ac:dyDescent="0.2"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</row>
    <row r="214" spans="2:24" ht="16.5" customHeight="1" x14ac:dyDescent="0.2"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</row>
    <row r="215" spans="2:24" ht="16.5" customHeight="1" x14ac:dyDescent="0.2"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</row>
    <row r="216" spans="2:24" ht="16.5" customHeight="1" x14ac:dyDescent="0.2"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</row>
    <row r="217" spans="2:24" ht="16.5" customHeight="1" x14ac:dyDescent="0.2"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</row>
    <row r="218" spans="2:24" ht="16.5" customHeight="1" x14ac:dyDescent="0.2"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</row>
    <row r="219" spans="2:24" ht="16.5" customHeight="1" x14ac:dyDescent="0.2"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</row>
    <row r="220" spans="2:24" ht="16.5" customHeight="1" x14ac:dyDescent="0.2"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</row>
    <row r="221" spans="2:24" ht="16.5" customHeight="1" x14ac:dyDescent="0.2"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</row>
    <row r="222" spans="2:24" ht="16.5" customHeight="1" x14ac:dyDescent="0.2"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</row>
    <row r="223" spans="2:24" ht="16.5" customHeight="1" x14ac:dyDescent="0.2"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</row>
    <row r="224" spans="2:24" ht="16.5" customHeight="1" x14ac:dyDescent="0.2"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</row>
    <row r="225" spans="2:24" ht="16.5" customHeight="1" x14ac:dyDescent="0.2"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</row>
    <row r="226" spans="2:24" ht="16.5" customHeight="1" x14ac:dyDescent="0.2"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</row>
    <row r="227" spans="2:24" ht="16.5" customHeight="1" x14ac:dyDescent="0.2"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</row>
    <row r="228" spans="2:24" ht="16.5" customHeight="1" x14ac:dyDescent="0.2"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</row>
    <row r="229" spans="2:24" ht="16.5" customHeight="1" x14ac:dyDescent="0.2"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</row>
    <row r="230" spans="2:24" ht="16.5" customHeight="1" x14ac:dyDescent="0.2"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</row>
    <row r="231" spans="2:24" ht="16.5" customHeight="1" x14ac:dyDescent="0.2"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</row>
    <row r="232" spans="2:24" ht="16.5" customHeight="1" x14ac:dyDescent="0.2"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</row>
    <row r="233" spans="2:24" ht="16.5" customHeight="1" x14ac:dyDescent="0.2"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</row>
    <row r="234" spans="2:24" ht="16.5" customHeight="1" x14ac:dyDescent="0.2"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</row>
    <row r="235" spans="2:24" ht="16.5" customHeight="1" x14ac:dyDescent="0.2"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</row>
    <row r="236" spans="2:24" ht="16.5" customHeight="1" x14ac:dyDescent="0.2"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</row>
    <row r="237" spans="2:24" ht="16.5" customHeight="1" x14ac:dyDescent="0.2"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</row>
    <row r="238" spans="2:24" ht="16.5" customHeight="1" x14ac:dyDescent="0.2"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</row>
    <row r="239" spans="2:24" ht="16.5" customHeight="1" x14ac:dyDescent="0.2"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</row>
    <row r="240" spans="2:24" ht="16.5" customHeight="1" x14ac:dyDescent="0.2"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</row>
    <row r="241" spans="2:24" ht="16.5" customHeight="1" x14ac:dyDescent="0.2"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</row>
    <row r="242" spans="2:24" ht="16.5" customHeight="1" x14ac:dyDescent="0.2"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</row>
    <row r="243" spans="2:24" ht="16.5" customHeight="1" x14ac:dyDescent="0.2"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</row>
    <row r="244" spans="2:24" ht="16.5" customHeight="1" x14ac:dyDescent="0.2"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</row>
    <row r="245" spans="2:24" ht="16.5" customHeight="1" x14ac:dyDescent="0.2"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</row>
    <row r="246" spans="2:24" ht="16.5" customHeight="1" x14ac:dyDescent="0.2"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</row>
    <row r="247" spans="2:24" ht="16.5" customHeight="1" x14ac:dyDescent="0.2"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</row>
    <row r="248" spans="2:24" ht="16.5" customHeight="1" x14ac:dyDescent="0.2"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</row>
    <row r="249" spans="2:24" ht="16.5" customHeight="1" x14ac:dyDescent="0.2"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</row>
    <row r="250" spans="2:24" ht="16.5" customHeight="1" x14ac:dyDescent="0.2"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</row>
    <row r="251" spans="2:24" ht="16.5" customHeight="1" x14ac:dyDescent="0.2"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</row>
    <row r="252" spans="2:24" ht="16.5" customHeight="1" x14ac:dyDescent="0.2"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</row>
    <row r="253" spans="2:24" ht="16.5" customHeight="1" x14ac:dyDescent="0.2"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</row>
    <row r="254" spans="2:24" ht="16.5" customHeight="1" x14ac:dyDescent="0.2"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</row>
    <row r="255" spans="2:24" ht="16.5" customHeight="1" x14ac:dyDescent="0.2"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</row>
    <row r="256" spans="2:24" ht="16.5" customHeight="1" x14ac:dyDescent="0.2"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</row>
    <row r="257" spans="2:24" ht="16.5" customHeight="1" x14ac:dyDescent="0.2"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</row>
    <row r="258" spans="2:24" ht="16.5" customHeight="1" x14ac:dyDescent="0.2"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</row>
    <row r="259" spans="2:24" ht="16.5" customHeight="1" x14ac:dyDescent="0.2"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</row>
    <row r="260" spans="2:24" ht="16.5" customHeight="1" x14ac:dyDescent="0.2"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</row>
    <row r="261" spans="2:24" ht="16.5" customHeight="1" x14ac:dyDescent="0.2"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</row>
    <row r="262" spans="2:24" ht="16.5" customHeight="1" x14ac:dyDescent="0.2"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</row>
    <row r="263" spans="2:24" ht="16.5" customHeight="1" x14ac:dyDescent="0.2"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</row>
    <row r="264" spans="2:24" ht="16.5" customHeight="1" x14ac:dyDescent="0.2"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</row>
    <row r="265" spans="2:24" ht="16.5" customHeight="1" x14ac:dyDescent="0.2"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</row>
    <row r="266" spans="2:24" ht="16.5" customHeight="1" x14ac:dyDescent="0.2"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</row>
    <row r="267" spans="2:24" ht="16.5" customHeight="1" x14ac:dyDescent="0.2"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</row>
    <row r="268" spans="2:24" ht="16.5" customHeight="1" x14ac:dyDescent="0.2"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</row>
    <row r="269" spans="2:24" ht="16.5" customHeight="1" x14ac:dyDescent="0.2"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</row>
    <row r="270" spans="2:24" ht="16.5" customHeight="1" x14ac:dyDescent="0.2"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</row>
    <row r="271" spans="2:24" ht="16.5" customHeight="1" x14ac:dyDescent="0.2"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</row>
    <row r="272" spans="2:24" ht="16.5" customHeight="1" x14ac:dyDescent="0.2"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</row>
    <row r="273" spans="2:24" ht="16.5" customHeight="1" x14ac:dyDescent="0.2"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</row>
    <row r="274" spans="2:24" ht="16.5" customHeight="1" x14ac:dyDescent="0.2"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</row>
    <row r="275" spans="2:24" ht="16.5" customHeight="1" x14ac:dyDescent="0.2"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</row>
    <row r="276" spans="2:24" ht="16.5" customHeight="1" x14ac:dyDescent="0.2"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</row>
    <row r="277" spans="2:24" ht="16.5" customHeight="1" x14ac:dyDescent="0.2"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</row>
    <row r="278" spans="2:24" ht="16.5" customHeight="1" x14ac:dyDescent="0.2"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</row>
    <row r="279" spans="2:24" ht="16.5" customHeight="1" x14ac:dyDescent="0.2"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</row>
    <row r="280" spans="2:24" ht="16.5" customHeight="1" x14ac:dyDescent="0.2"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</row>
    <row r="281" spans="2:24" ht="16.5" customHeight="1" x14ac:dyDescent="0.2"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</row>
    <row r="282" spans="2:24" ht="16.5" customHeight="1" x14ac:dyDescent="0.2"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</row>
    <row r="283" spans="2:24" ht="16.5" customHeight="1" x14ac:dyDescent="0.2"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</row>
    <row r="284" spans="2:24" ht="16.5" customHeight="1" x14ac:dyDescent="0.2"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</row>
    <row r="285" spans="2:24" ht="16.5" customHeight="1" x14ac:dyDescent="0.2"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</row>
    <row r="286" spans="2:24" ht="16.5" customHeight="1" x14ac:dyDescent="0.2"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</row>
    <row r="287" spans="2:24" ht="16.5" customHeight="1" x14ac:dyDescent="0.2"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</row>
    <row r="288" spans="2:24" ht="16.5" customHeight="1" x14ac:dyDescent="0.2"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</row>
    <row r="289" spans="2:12" ht="16.5" customHeight="1" x14ac:dyDescent="0.2"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</row>
    <row r="290" spans="2:12" ht="16.5" customHeight="1" x14ac:dyDescent="0.2"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</row>
  </sheetData>
  <sortState ref="A14:I31">
    <sortCondition ref="B14:B31"/>
  </sortState>
  <mergeCells count="5">
    <mergeCell ref="A1:I1"/>
    <mergeCell ref="A21:I21"/>
    <mergeCell ref="A2:I2"/>
    <mergeCell ref="A30:I30"/>
    <mergeCell ref="A20:I20"/>
  </mergeCells>
  <pageMargins left="0.70866141732283472" right="0.70866141732283472" top="0.74803149606299213" bottom="0.74803149606299213" header="0.31496062992125984" footer="0.31496062992125984"/>
  <pageSetup paperSize="9" scale="49" orientation="landscape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F16" sqref="F16"/>
    </sheetView>
  </sheetViews>
  <sheetFormatPr defaultRowHeight="12.75" x14ac:dyDescent="0.2"/>
  <cols>
    <col min="1" max="1" width="32.28515625" customWidth="1"/>
    <col min="2" max="2" width="23.5703125" customWidth="1"/>
    <col min="5" max="7" width="11" customWidth="1"/>
    <col min="8" max="9" width="9.140625" customWidth="1"/>
    <col min="10" max="10" width="16.85546875" customWidth="1"/>
    <col min="11" max="11" width="10.28515625" customWidth="1"/>
    <col min="16" max="16" width="12.28515625" customWidth="1"/>
  </cols>
  <sheetData>
    <row r="1" spans="1:16" ht="20.25" x14ac:dyDescent="0.3">
      <c r="A1" s="154" t="s">
        <v>429</v>
      </c>
      <c r="I1" s="217"/>
      <c r="J1" s="217" t="s">
        <v>358</v>
      </c>
      <c r="K1" s="217"/>
    </row>
    <row r="2" spans="1:16" ht="33" customHeight="1" x14ac:dyDescent="0.25">
      <c r="A2" s="27" t="s">
        <v>8</v>
      </c>
      <c r="B2" s="27" t="s">
        <v>196</v>
      </c>
      <c r="C2" s="27" t="s">
        <v>197</v>
      </c>
      <c r="D2" s="42" t="s">
        <v>238</v>
      </c>
      <c r="E2" s="42" t="s">
        <v>356</v>
      </c>
      <c r="F2" s="42" t="s">
        <v>462</v>
      </c>
      <c r="G2" s="42" t="s">
        <v>357</v>
      </c>
      <c r="H2" s="42" t="s">
        <v>278</v>
      </c>
      <c r="I2" s="42" t="s">
        <v>277</v>
      </c>
      <c r="J2" s="43" t="s">
        <v>239</v>
      </c>
      <c r="K2" s="64" t="s">
        <v>279</v>
      </c>
      <c r="L2" s="64" t="s">
        <v>388</v>
      </c>
      <c r="M2" s="64" t="s">
        <v>77</v>
      </c>
      <c r="N2" s="64" t="s">
        <v>283</v>
      </c>
      <c r="O2" s="64" t="s">
        <v>77</v>
      </c>
      <c r="P2" s="64" t="s">
        <v>360</v>
      </c>
    </row>
    <row r="3" spans="1:16" ht="15" customHeight="1" x14ac:dyDescent="0.2">
      <c r="A3" s="30" t="s">
        <v>228</v>
      </c>
      <c r="B3" s="2"/>
      <c r="C3" s="28" t="s">
        <v>199</v>
      </c>
      <c r="D3" s="28">
        <v>1</v>
      </c>
      <c r="E3" s="28">
        <v>16</v>
      </c>
      <c r="F3" s="182">
        <f>E3*H3</f>
        <v>335.52</v>
      </c>
      <c r="G3" s="28">
        <f>E3/D3</f>
        <v>16</v>
      </c>
      <c r="H3" s="67">
        <v>20.97</v>
      </c>
      <c r="I3" s="28">
        <v>50</v>
      </c>
      <c r="J3" s="28">
        <f t="shared" ref="J3:J12" si="0">D3*I3</f>
        <v>50</v>
      </c>
      <c r="K3" s="66">
        <f>J3*H3</f>
        <v>1048.5</v>
      </c>
      <c r="L3" s="2">
        <v>20</v>
      </c>
      <c r="M3" s="133">
        <f>L3*H3</f>
        <v>419.4</v>
      </c>
      <c r="N3" s="2">
        <v>40</v>
      </c>
      <c r="O3" s="133">
        <f>H3*N3</f>
        <v>838.8</v>
      </c>
      <c r="P3" s="2">
        <f>(N3+L3+E3)/D3</f>
        <v>76</v>
      </c>
    </row>
    <row r="4" spans="1:16" ht="15" customHeight="1" x14ac:dyDescent="0.2">
      <c r="A4" s="30" t="s">
        <v>229</v>
      </c>
      <c r="B4" s="2"/>
      <c r="C4" s="28" t="s">
        <v>203</v>
      </c>
      <c r="D4" s="28">
        <v>1</v>
      </c>
      <c r="E4" s="28">
        <v>100</v>
      </c>
      <c r="F4" s="182">
        <f t="shared" ref="F4:F12" si="1">E4*H4</f>
        <v>139</v>
      </c>
      <c r="G4" s="28">
        <f t="shared" ref="G4:G12" si="2">E4/D4</f>
        <v>100</v>
      </c>
      <c r="H4" s="67">
        <v>1.39</v>
      </c>
      <c r="I4" s="28">
        <f>I3</f>
        <v>50</v>
      </c>
      <c r="J4" s="28">
        <f t="shared" si="0"/>
        <v>50</v>
      </c>
      <c r="K4" s="66">
        <f t="shared" ref="K4:K12" si="3">J4*H4</f>
        <v>69.5</v>
      </c>
      <c r="L4" s="2">
        <v>20</v>
      </c>
      <c r="M4" s="133">
        <f t="shared" ref="M4:M12" si="4">L4*H4</f>
        <v>27.799999999999997</v>
      </c>
      <c r="N4" s="2">
        <v>0</v>
      </c>
      <c r="O4" s="133">
        <f t="shared" ref="O4:O12" si="5">H4*N4</f>
        <v>0</v>
      </c>
      <c r="P4" s="2">
        <f t="shared" ref="P4:P12" si="6">(N4+L4+E4)/D4</f>
        <v>120</v>
      </c>
    </row>
    <row r="5" spans="1:16" ht="15" customHeight="1" x14ac:dyDescent="0.2">
      <c r="A5" s="30" t="s">
        <v>231</v>
      </c>
      <c r="B5" s="2"/>
      <c r="C5" s="28" t="s">
        <v>199</v>
      </c>
      <c r="D5" s="28">
        <v>4</v>
      </c>
      <c r="E5" s="28">
        <v>100</v>
      </c>
      <c r="F5" s="182">
        <f t="shared" si="1"/>
        <v>237</v>
      </c>
      <c r="G5" s="28">
        <f t="shared" si="2"/>
        <v>25</v>
      </c>
      <c r="H5" s="67">
        <v>2.37</v>
      </c>
      <c r="I5" s="28">
        <f t="shared" ref="I5:I12" si="7">I4</f>
        <v>50</v>
      </c>
      <c r="J5" s="28">
        <f t="shared" si="0"/>
        <v>200</v>
      </c>
      <c r="K5" s="66">
        <f t="shared" si="3"/>
        <v>474</v>
      </c>
      <c r="L5" s="2">
        <v>0</v>
      </c>
      <c r="M5" s="133">
        <f t="shared" si="4"/>
        <v>0</v>
      </c>
      <c r="N5" s="2">
        <v>100</v>
      </c>
      <c r="O5" s="133">
        <f t="shared" si="5"/>
        <v>237</v>
      </c>
      <c r="P5" s="2">
        <f t="shared" si="6"/>
        <v>50</v>
      </c>
    </row>
    <row r="6" spans="1:16" ht="15" customHeight="1" x14ac:dyDescent="0.2">
      <c r="A6" s="30" t="s">
        <v>232</v>
      </c>
      <c r="B6" s="2"/>
      <c r="C6" s="28" t="s">
        <v>199</v>
      </c>
      <c r="D6" s="28">
        <v>1</v>
      </c>
      <c r="E6" s="28">
        <v>0</v>
      </c>
      <c r="F6" s="182">
        <f t="shared" si="1"/>
        <v>0</v>
      </c>
      <c r="G6" s="28">
        <f t="shared" si="2"/>
        <v>0</v>
      </c>
      <c r="H6" s="67">
        <v>13.05</v>
      </c>
      <c r="I6" s="28">
        <f t="shared" si="7"/>
        <v>50</v>
      </c>
      <c r="J6" s="28">
        <f t="shared" si="0"/>
        <v>50</v>
      </c>
      <c r="K6" s="66">
        <f t="shared" si="3"/>
        <v>652.5</v>
      </c>
      <c r="L6" s="2">
        <v>20</v>
      </c>
      <c r="M6" s="133">
        <f t="shared" si="4"/>
        <v>261</v>
      </c>
      <c r="N6" s="2">
        <v>0</v>
      </c>
      <c r="O6" s="133">
        <f t="shared" si="5"/>
        <v>0</v>
      </c>
      <c r="P6" s="2">
        <f t="shared" si="6"/>
        <v>20</v>
      </c>
    </row>
    <row r="7" spans="1:16" ht="15" customHeight="1" x14ac:dyDescent="0.2">
      <c r="A7" s="29" t="s">
        <v>230</v>
      </c>
      <c r="B7" s="181" t="s">
        <v>201</v>
      </c>
      <c r="C7" s="28" t="s">
        <v>200</v>
      </c>
      <c r="D7" s="28">
        <v>2</v>
      </c>
      <c r="E7" s="28">
        <v>8</v>
      </c>
      <c r="F7" s="182">
        <f t="shared" si="1"/>
        <v>37.92</v>
      </c>
      <c r="G7" s="28">
        <f t="shared" si="2"/>
        <v>4</v>
      </c>
      <c r="H7" s="67">
        <v>4.74</v>
      </c>
      <c r="I7" s="28">
        <f t="shared" si="7"/>
        <v>50</v>
      </c>
      <c r="J7" s="28">
        <f t="shared" si="0"/>
        <v>100</v>
      </c>
      <c r="K7" s="66">
        <f t="shared" si="3"/>
        <v>474</v>
      </c>
      <c r="L7" s="2">
        <v>0</v>
      </c>
      <c r="M7" s="133">
        <f t="shared" si="4"/>
        <v>0</v>
      </c>
      <c r="N7" s="2">
        <v>0</v>
      </c>
      <c r="O7" s="133">
        <f t="shared" si="5"/>
        <v>0</v>
      </c>
      <c r="P7" s="2">
        <f t="shared" si="6"/>
        <v>4</v>
      </c>
    </row>
    <row r="8" spans="1:16" ht="15" customHeight="1" x14ac:dyDescent="0.2">
      <c r="A8" s="30" t="s">
        <v>233</v>
      </c>
      <c r="B8" s="181" t="s">
        <v>198</v>
      </c>
      <c r="C8" s="28" t="s">
        <v>200</v>
      </c>
      <c r="D8" s="28">
        <v>4</v>
      </c>
      <c r="E8" s="28">
        <v>27</v>
      </c>
      <c r="F8" s="182">
        <f t="shared" si="1"/>
        <v>388.53000000000003</v>
      </c>
      <c r="G8" s="28">
        <f t="shared" si="2"/>
        <v>6.75</v>
      </c>
      <c r="H8" s="67">
        <v>14.39</v>
      </c>
      <c r="I8" s="28">
        <f t="shared" si="7"/>
        <v>50</v>
      </c>
      <c r="J8" s="28">
        <f t="shared" si="0"/>
        <v>200</v>
      </c>
      <c r="K8" s="66">
        <f t="shared" si="3"/>
        <v>2878</v>
      </c>
      <c r="L8" s="2">
        <v>60</v>
      </c>
      <c r="M8" s="133">
        <f t="shared" si="4"/>
        <v>863.40000000000009</v>
      </c>
      <c r="N8" s="2">
        <v>100</v>
      </c>
      <c r="O8" s="133">
        <f t="shared" si="5"/>
        <v>1439</v>
      </c>
      <c r="P8" s="2">
        <f t="shared" si="6"/>
        <v>46.75</v>
      </c>
    </row>
    <row r="9" spans="1:16" ht="15" x14ac:dyDescent="0.2">
      <c r="A9" s="30" t="s">
        <v>234</v>
      </c>
      <c r="B9" s="181"/>
      <c r="C9" s="28" t="s">
        <v>237</v>
      </c>
      <c r="D9" s="28">
        <v>2</v>
      </c>
      <c r="E9" s="28">
        <v>29</v>
      </c>
      <c r="F9" s="182">
        <f t="shared" si="1"/>
        <v>93.09</v>
      </c>
      <c r="G9" s="28">
        <f t="shared" si="2"/>
        <v>14.5</v>
      </c>
      <c r="H9" s="67">
        <v>3.21</v>
      </c>
      <c r="I9" s="28">
        <f t="shared" si="7"/>
        <v>50</v>
      </c>
      <c r="J9" s="28">
        <f t="shared" si="0"/>
        <v>100</v>
      </c>
      <c r="K9" s="66">
        <f t="shared" si="3"/>
        <v>321</v>
      </c>
      <c r="L9" s="2">
        <v>0</v>
      </c>
      <c r="M9" s="133">
        <f t="shared" si="4"/>
        <v>0</v>
      </c>
      <c r="N9" s="2">
        <v>120</v>
      </c>
      <c r="O9" s="133">
        <f t="shared" si="5"/>
        <v>385.2</v>
      </c>
      <c r="P9" s="2">
        <f t="shared" si="6"/>
        <v>74.5</v>
      </c>
    </row>
    <row r="10" spans="1:16" ht="15" x14ac:dyDescent="0.2">
      <c r="A10" s="29" t="s">
        <v>235</v>
      </c>
      <c r="B10" s="181" t="s">
        <v>202</v>
      </c>
      <c r="C10" s="28" t="s">
        <v>203</v>
      </c>
      <c r="D10" s="28">
        <v>1</v>
      </c>
      <c r="E10" s="28"/>
      <c r="F10" s="182">
        <f t="shared" si="1"/>
        <v>0</v>
      </c>
      <c r="G10" s="28">
        <f t="shared" si="2"/>
        <v>0</v>
      </c>
      <c r="H10" s="67">
        <v>3.93</v>
      </c>
      <c r="I10" s="28">
        <f t="shared" si="7"/>
        <v>50</v>
      </c>
      <c r="J10" s="28">
        <f t="shared" si="0"/>
        <v>50</v>
      </c>
      <c r="K10" s="66">
        <f t="shared" si="3"/>
        <v>196.5</v>
      </c>
      <c r="L10" s="2">
        <v>50</v>
      </c>
      <c r="M10" s="133">
        <f t="shared" si="4"/>
        <v>196.5</v>
      </c>
      <c r="N10" s="2">
        <v>50</v>
      </c>
      <c r="O10" s="133">
        <f t="shared" si="5"/>
        <v>196.5</v>
      </c>
      <c r="P10" s="2">
        <f t="shared" si="6"/>
        <v>100</v>
      </c>
    </row>
    <row r="11" spans="1:16" ht="15" x14ac:dyDescent="0.2">
      <c r="A11" s="29" t="s">
        <v>204</v>
      </c>
      <c r="B11" s="181" t="s">
        <v>205</v>
      </c>
      <c r="C11" s="28" t="s">
        <v>203</v>
      </c>
      <c r="D11" s="28">
        <v>2</v>
      </c>
      <c r="E11" s="28">
        <v>200</v>
      </c>
      <c r="F11" s="182">
        <f t="shared" si="1"/>
        <v>434</v>
      </c>
      <c r="G11" s="28">
        <f t="shared" si="2"/>
        <v>100</v>
      </c>
      <c r="H11" s="67">
        <v>2.17</v>
      </c>
      <c r="I11" s="28">
        <f t="shared" si="7"/>
        <v>50</v>
      </c>
      <c r="J11" s="28">
        <f t="shared" si="0"/>
        <v>100</v>
      </c>
      <c r="K11" s="66">
        <f t="shared" si="3"/>
        <v>217</v>
      </c>
      <c r="L11" s="2">
        <v>100</v>
      </c>
      <c r="M11" s="133">
        <f t="shared" si="4"/>
        <v>217</v>
      </c>
      <c r="N11" s="2">
        <v>100</v>
      </c>
      <c r="O11" s="133">
        <f t="shared" si="5"/>
        <v>217</v>
      </c>
      <c r="P11" s="2">
        <f t="shared" si="6"/>
        <v>200</v>
      </c>
    </row>
    <row r="12" spans="1:16" ht="15" x14ac:dyDescent="0.2">
      <c r="A12" s="30" t="s">
        <v>236</v>
      </c>
      <c r="B12" s="2"/>
      <c r="C12" s="28" t="s">
        <v>203</v>
      </c>
      <c r="D12" s="28">
        <v>2</v>
      </c>
      <c r="E12" s="28">
        <v>48</v>
      </c>
      <c r="F12" s="182">
        <f t="shared" si="1"/>
        <v>396.96</v>
      </c>
      <c r="G12" s="28">
        <f t="shared" si="2"/>
        <v>24</v>
      </c>
      <c r="H12" s="67">
        <v>8.27</v>
      </c>
      <c r="I12" s="28">
        <f t="shared" si="7"/>
        <v>50</v>
      </c>
      <c r="J12" s="28">
        <f t="shared" si="0"/>
        <v>100</v>
      </c>
      <c r="K12" s="66">
        <f t="shared" si="3"/>
        <v>827</v>
      </c>
      <c r="L12" s="2">
        <v>40</v>
      </c>
      <c r="M12" s="133">
        <f t="shared" si="4"/>
        <v>330.79999999999995</v>
      </c>
      <c r="N12" s="2">
        <v>80</v>
      </c>
      <c r="O12" s="133">
        <f t="shared" si="5"/>
        <v>661.59999999999991</v>
      </c>
      <c r="P12" s="2">
        <f t="shared" si="6"/>
        <v>84</v>
      </c>
    </row>
    <row r="13" spans="1:16" x14ac:dyDescent="0.2">
      <c r="F13" s="66">
        <f>SUM(F3:F12)</f>
        <v>2062.02</v>
      </c>
      <c r="J13" s="65" t="s">
        <v>280</v>
      </c>
      <c r="K13" s="66">
        <f>SUM(K3:K12)</f>
        <v>7158</v>
      </c>
      <c r="M13" s="132">
        <f>SUM(M3:M12)</f>
        <v>2315.9</v>
      </c>
      <c r="O13" s="132">
        <f>SUM(O3:O12)</f>
        <v>3975.1</v>
      </c>
    </row>
    <row r="14" spans="1:16" x14ac:dyDescent="0.2">
      <c r="L14" s="65" t="s">
        <v>359</v>
      </c>
      <c r="M14" s="131">
        <f>M13/10+M13</f>
        <v>2547.4900000000002</v>
      </c>
      <c r="N14" s="65" t="s">
        <v>359</v>
      </c>
      <c r="O14" s="131">
        <f>O13/10+O13</f>
        <v>4372.6099999999997</v>
      </c>
    </row>
    <row r="16" spans="1:16" ht="47.25" x14ac:dyDescent="0.25">
      <c r="A16" s="27" t="s">
        <v>8</v>
      </c>
      <c r="B16" s="27" t="s">
        <v>196</v>
      </c>
      <c r="C16" s="27" t="s">
        <v>197</v>
      </c>
      <c r="D16" s="42" t="s">
        <v>238</v>
      </c>
      <c r="E16" s="42" t="s">
        <v>356</v>
      </c>
      <c r="F16" s="42" t="s">
        <v>462</v>
      </c>
      <c r="G16" s="42" t="s">
        <v>357</v>
      </c>
      <c r="H16" s="42" t="s">
        <v>278</v>
      </c>
      <c r="I16" s="42" t="s">
        <v>277</v>
      </c>
      <c r="J16" s="43" t="s">
        <v>239</v>
      </c>
      <c r="K16" s="64" t="s">
        <v>279</v>
      </c>
      <c r="L16" s="64" t="s">
        <v>463</v>
      </c>
      <c r="M16" s="64" t="s">
        <v>77</v>
      </c>
      <c r="N16" s="64" t="s">
        <v>283</v>
      </c>
      <c r="O16" s="64" t="s">
        <v>77</v>
      </c>
      <c r="P16" s="64" t="s">
        <v>360</v>
      </c>
    </row>
    <row r="17" spans="1:16" ht="15" x14ac:dyDescent="0.2">
      <c r="A17" s="29" t="s">
        <v>118</v>
      </c>
      <c r="B17" s="29"/>
      <c r="C17" s="28" t="s">
        <v>461</v>
      </c>
      <c r="D17" s="29">
        <v>16</v>
      </c>
      <c r="E17" s="29">
        <v>100</v>
      </c>
      <c r="F17" s="182">
        <f>E17*H17</f>
        <v>4000</v>
      </c>
      <c r="G17" s="29">
        <f>E17/D17</f>
        <v>6.25</v>
      </c>
      <c r="H17" s="67">
        <v>40</v>
      </c>
      <c r="I17" s="28">
        <v>50</v>
      </c>
      <c r="J17" s="28">
        <f>D17*I17</f>
        <v>800</v>
      </c>
      <c r="K17" s="66">
        <f>J17*H17</f>
        <v>32000</v>
      </c>
      <c r="L17" s="2">
        <v>150</v>
      </c>
      <c r="M17" s="133">
        <f>L17*H17</f>
        <v>6000</v>
      </c>
      <c r="N17" s="2">
        <v>150</v>
      </c>
      <c r="O17" s="133">
        <f>H17*N17</f>
        <v>6000</v>
      </c>
      <c r="P17" s="2">
        <f>(N17+L17+E17)/D17</f>
        <v>25</v>
      </c>
    </row>
    <row r="18" spans="1:16" ht="15" x14ac:dyDescent="0.2">
      <c r="A18" s="29" t="s">
        <v>81</v>
      </c>
      <c r="B18" s="29"/>
      <c r="C18" s="28" t="s">
        <v>461</v>
      </c>
      <c r="D18" s="29">
        <v>4</v>
      </c>
      <c r="E18" s="29">
        <v>20</v>
      </c>
      <c r="F18" s="182">
        <f>E18*H18</f>
        <v>880</v>
      </c>
      <c r="G18" s="29">
        <f>E18/D18</f>
        <v>5</v>
      </c>
      <c r="H18" s="67">
        <v>44</v>
      </c>
      <c r="I18" s="28">
        <f>I17</f>
        <v>50</v>
      </c>
      <c r="J18" s="28">
        <f>D18*I18</f>
        <v>200</v>
      </c>
      <c r="K18" s="66">
        <f>J18*H18</f>
        <v>8800</v>
      </c>
      <c r="L18" s="2">
        <v>50</v>
      </c>
      <c r="M18" s="133">
        <f>L18*H18</f>
        <v>2200</v>
      </c>
      <c r="N18" s="2">
        <v>50</v>
      </c>
      <c r="O18" s="133">
        <f>H18*N18</f>
        <v>2200</v>
      </c>
      <c r="P18" s="2">
        <f>(N18+L18+E18)/D18</f>
        <v>30</v>
      </c>
    </row>
    <row r="19" spans="1:16" ht="15" x14ac:dyDescent="0.2">
      <c r="A19" s="29"/>
      <c r="B19" s="29"/>
      <c r="C19" s="28"/>
      <c r="D19" s="29"/>
      <c r="E19" s="29"/>
      <c r="F19" s="182"/>
      <c r="G19" s="29"/>
      <c r="H19" s="67"/>
    </row>
    <row r="20" spans="1:16" ht="15" x14ac:dyDescent="0.2">
      <c r="A20" s="29" t="s">
        <v>460</v>
      </c>
      <c r="B20" s="29" t="s">
        <v>88</v>
      </c>
      <c r="C20" s="28" t="s">
        <v>386</v>
      </c>
      <c r="D20" s="29">
        <v>4</v>
      </c>
      <c r="E20" s="29"/>
      <c r="F20" s="182">
        <f>E20*H20</f>
        <v>0</v>
      </c>
      <c r="G20" s="29">
        <f>E20/D20</f>
        <v>0</v>
      </c>
      <c r="H20" s="67">
        <v>2.2999999999999998</v>
      </c>
      <c r="I20" s="28">
        <f>I18</f>
        <v>50</v>
      </c>
      <c r="J20" s="28">
        <f>D20*I20</f>
        <v>200</v>
      </c>
      <c r="K20" s="66">
        <f>J20*H20</f>
        <v>459.99999999999994</v>
      </c>
      <c r="L20" s="2">
        <v>150</v>
      </c>
      <c r="M20" s="133">
        <f>L20*H20</f>
        <v>345</v>
      </c>
      <c r="N20" s="2">
        <v>40</v>
      </c>
      <c r="O20" s="133">
        <f>H20*N20</f>
        <v>92</v>
      </c>
      <c r="P20" s="2">
        <f>(N20+L20+E20)/D20</f>
        <v>47.5</v>
      </c>
    </row>
    <row r="21" spans="1:16" ht="15" x14ac:dyDescent="0.2">
      <c r="A21" s="29" t="s">
        <v>91</v>
      </c>
      <c r="B21" s="29"/>
      <c r="C21" s="28" t="s">
        <v>386</v>
      </c>
      <c r="D21" s="29">
        <v>1</v>
      </c>
      <c r="E21" s="29"/>
      <c r="F21" s="182">
        <f>E21*H21</f>
        <v>0</v>
      </c>
      <c r="G21" s="29">
        <f>E21/D21</f>
        <v>0</v>
      </c>
      <c r="H21" s="67">
        <v>1.8</v>
      </c>
      <c r="I21" s="28">
        <f>I20</f>
        <v>50</v>
      </c>
      <c r="J21" s="28">
        <f>D21*I21</f>
        <v>50</v>
      </c>
      <c r="K21" s="66">
        <f>J21*H21</f>
        <v>90</v>
      </c>
      <c r="L21" s="2">
        <v>150</v>
      </c>
      <c r="M21" s="133">
        <f>L21*H21</f>
        <v>270</v>
      </c>
      <c r="N21" s="2">
        <v>41</v>
      </c>
      <c r="O21" s="133">
        <f>H21*N21</f>
        <v>73.8</v>
      </c>
      <c r="P21" s="2">
        <f>(N21+L21+E21)/D21</f>
        <v>191</v>
      </c>
    </row>
    <row r="22" spans="1:16" ht="15" x14ac:dyDescent="0.2">
      <c r="A22" s="29"/>
      <c r="B22" s="29"/>
      <c r="C22" s="29"/>
      <c r="D22" s="29"/>
      <c r="E22" s="29"/>
      <c r="F22" s="29"/>
      <c r="G22" s="29"/>
      <c r="H22" s="29"/>
    </row>
    <row r="23" spans="1:16" ht="15" x14ac:dyDescent="0.25">
      <c r="B23" s="16"/>
    </row>
    <row r="24" spans="1:16" ht="20.25" x14ac:dyDescent="0.3">
      <c r="A24" s="154" t="s">
        <v>430</v>
      </c>
    </row>
    <row r="25" spans="1:16" x14ac:dyDescent="0.2">
      <c r="A25" s="10" t="s">
        <v>196</v>
      </c>
      <c r="B25" s="10"/>
      <c r="C25" s="10" t="s">
        <v>197</v>
      </c>
      <c r="D25" s="10" t="s">
        <v>387</v>
      </c>
    </row>
    <row r="26" spans="1:16" x14ac:dyDescent="0.2">
      <c r="A26" s="5" t="s">
        <v>383</v>
      </c>
      <c r="B26" s="5"/>
      <c r="C26" s="5" t="s">
        <v>386</v>
      </c>
      <c r="D26" s="5">
        <v>20</v>
      </c>
    </row>
    <row r="27" spans="1:16" x14ac:dyDescent="0.2">
      <c r="A27" s="5" t="s">
        <v>384</v>
      </c>
      <c r="B27" s="5"/>
      <c r="C27" s="137" t="s">
        <v>386</v>
      </c>
      <c r="D27" s="5">
        <v>20</v>
      </c>
    </row>
    <row r="28" spans="1:16" x14ac:dyDescent="0.2">
      <c r="A28" s="5" t="s">
        <v>385</v>
      </c>
      <c r="B28" s="5"/>
      <c r="C28" s="137" t="s">
        <v>386</v>
      </c>
      <c r="D28" s="5">
        <v>20</v>
      </c>
    </row>
  </sheetData>
  <pageMargins left="0.70866141732283472" right="0.70866141732283472" top="0.74803149606299213" bottom="0.74803149606299213" header="0.31496062992125984" footer="0.31496062992125984"/>
  <pageSetup paperSize="9" orientation="landscape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I14" sqref="I14"/>
    </sheetView>
  </sheetViews>
  <sheetFormatPr defaultRowHeight="12.75" x14ac:dyDescent="0.2"/>
  <cols>
    <col min="1" max="1" width="27.140625" customWidth="1"/>
    <col min="2" max="2" width="8.42578125" customWidth="1"/>
    <col min="3" max="3" width="9.140625" customWidth="1"/>
    <col min="5" max="6" width="9.140625" customWidth="1"/>
    <col min="7" max="7" width="10.28515625" customWidth="1"/>
    <col min="10" max="10" width="10.28515625" bestFit="1" customWidth="1"/>
  </cols>
  <sheetData>
    <row r="1" spans="1:10" ht="30.75" customHeight="1" x14ac:dyDescent="0.35">
      <c r="A1" s="82" t="s">
        <v>206</v>
      </c>
      <c r="B1" s="183" t="s">
        <v>284</v>
      </c>
      <c r="C1" s="183" t="s">
        <v>287</v>
      </c>
      <c r="D1" s="183" t="s">
        <v>286</v>
      </c>
      <c r="E1" s="183" t="s">
        <v>285</v>
      </c>
      <c r="F1" s="183" t="s">
        <v>462</v>
      </c>
      <c r="G1" s="183" t="s">
        <v>289</v>
      </c>
      <c r="H1" s="184" t="s">
        <v>288</v>
      </c>
      <c r="I1" s="184" t="s">
        <v>353</v>
      </c>
      <c r="J1" s="184" t="s">
        <v>279</v>
      </c>
    </row>
    <row r="2" spans="1:10" ht="15" x14ac:dyDescent="0.25">
      <c r="A2" s="2" t="s">
        <v>24</v>
      </c>
      <c r="B2" s="17">
        <v>3</v>
      </c>
      <c r="C2" s="17">
        <v>30</v>
      </c>
      <c r="D2" s="83">
        <f>C2*B2</f>
        <v>90</v>
      </c>
      <c r="E2" s="17">
        <v>5</v>
      </c>
      <c r="F2" s="17">
        <f>I2*E2</f>
        <v>33.75</v>
      </c>
      <c r="G2" s="17">
        <f>E2/B2</f>
        <v>1.6666666666666667</v>
      </c>
      <c r="H2" s="17">
        <f>D2-E2</f>
        <v>85</v>
      </c>
      <c r="I2" s="133">
        <v>6.75</v>
      </c>
      <c r="J2" s="133">
        <f>I2*D2</f>
        <v>607.5</v>
      </c>
    </row>
    <row r="3" spans="1:10" ht="15" x14ac:dyDescent="0.25">
      <c r="A3" s="2" t="s">
        <v>25</v>
      </c>
      <c r="B3" s="17">
        <v>1</v>
      </c>
      <c r="C3" s="17">
        <v>30</v>
      </c>
      <c r="D3" s="83">
        <f>C3*B3</f>
        <v>30</v>
      </c>
      <c r="E3" s="17">
        <v>12</v>
      </c>
      <c r="F3" s="17">
        <f t="shared" ref="F3:F5" si="0">I3*E3</f>
        <v>81</v>
      </c>
      <c r="G3" s="17">
        <f>E3/B3</f>
        <v>12</v>
      </c>
      <c r="H3" s="17">
        <f>D3-E3</f>
        <v>18</v>
      </c>
      <c r="I3" s="133">
        <v>6.75</v>
      </c>
      <c r="J3" s="133">
        <f>I3*D3</f>
        <v>202.5</v>
      </c>
    </row>
    <row r="4" spans="1:10" ht="15" x14ac:dyDescent="0.25">
      <c r="A4" s="2" t="s">
        <v>26</v>
      </c>
      <c r="B4" s="17">
        <v>4</v>
      </c>
      <c r="C4" s="17">
        <v>30</v>
      </c>
      <c r="D4" s="83">
        <f>C4*B4</f>
        <v>120</v>
      </c>
      <c r="E4" s="17">
        <v>9</v>
      </c>
      <c r="F4" s="17">
        <f t="shared" si="0"/>
        <v>71.55</v>
      </c>
      <c r="G4" s="17">
        <f>E4/B4</f>
        <v>2.25</v>
      </c>
      <c r="H4" s="17">
        <f>D4-E4</f>
        <v>111</v>
      </c>
      <c r="I4" s="133">
        <v>7.95</v>
      </c>
      <c r="J4" s="133">
        <f>I4*D4</f>
        <v>954</v>
      </c>
    </row>
    <row r="5" spans="1:10" ht="15" x14ac:dyDescent="0.25">
      <c r="A5" s="2" t="s">
        <v>27</v>
      </c>
      <c r="B5" s="17">
        <v>4</v>
      </c>
      <c r="C5" s="17">
        <v>30</v>
      </c>
      <c r="D5" s="83">
        <f>C5*B5</f>
        <v>120</v>
      </c>
      <c r="E5" s="17">
        <v>12</v>
      </c>
      <c r="F5" s="17">
        <f t="shared" si="0"/>
        <v>48</v>
      </c>
      <c r="G5" s="17">
        <f>E5/B5</f>
        <v>3</v>
      </c>
      <c r="H5" s="17">
        <f>D5-E5</f>
        <v>108</v>
      </c>
      <c r="I5" s="133">
        <v>4</v>
      </c>
      <c r="J5" s="133">
        <f>I5*D5</f>
        <v>480</v>
      </c>
    </row>
    <row r="6" spans="1:10" x14ac:dyDescent="0.2">
      <c r="F6" s="185">
        <f>SUM(F2:F5)</f>
        <v>234.3</v>
      </c>
      <c r="J6" s="185">
        <f>SUM(J2:J5)</f>
        <v>2244</v>
      </c>
    </row>
    <row r="15" spans="1:10" x14ac:dyDescent="0.2">
      <c r="E15" t="s">
        <v>189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6"/>
  <sheetViews>
    <sheetView workbookViewId="0">
      <selection activeCell="D40" sqref="D40"/>
    </sheetView>
  </sheetViews>
  <sheetFormatPr defaultRowHeight="12.75" x14ac:dyDescent="0.2"/>
  <cols>
    <col min="2" max="2" width="27.85546875" customWidth="1"/>
    <col min="3" max="3" width="0" hidden="1" customWidth="1"/>
    <col min="4" max="4" width="11.28515625" bestFit="1" customWidth="1"/>
  </cols>
  <sheetData>
    <row r="3" spans="2:4" ht="15.75" x14ac:dyDescent="0.25">
      <c r="B3" s="58" t="s">
        <v>462</v>
      </c>
    </row>
    <row r="4" spans="2:4" x14ac:dyDescent="0.2">
      <c r="B4" s="138" t="s">
        <v>64</v>
      </c>
      <c r="D4">
        <f>Base!Q56</f>
        <v>12980.68856301089</v>
      </c>
    </row>
    <row r="5" spans="2:4" x14ac:dyDescent="0.2">
      <c r="B5" s="138" t="s">
        <v>490</v>
      </c>
      <c r="D5">
        <f>'Cone Wall Top1'!R75</f>
        <v>3132.6131249999999</v>
      </c>
    </row>
    <row r="6" spans="2:4" x14ac:dyDescent="0.2">
      <c r="B6" s="138" t="s">
        <v>275</v>
      </c>
      <c r="D6">
        <f>Auger!S47</f>
        <v>10596.29</v>
      </c>
    </row>
    <row r="7" spans="2:4" x14ac:dyDescent="0.2">
      <c r="B7" s="138" t="s">
        <v>491</v>
      </c>
      <c r="D7">
        <f>Steel!V49</f>
        <v>3235.1712034022285</v>
      </c>
    </row>
    <row r="8" spans="2:4" x14ac:dyDescent="0.2">
      <c r="B8" s="138" t="s">
        <v>471</v>
      </c>
    </row>
    <row r="9" spans="2:4" x14ac:dyDescent="0.2">
      <c r="B9" s="138" t="s">
        <v>429</v>
      </c>
      <c r="D9">
        <f>'Laser Cutting'!F13</f>
        <v>2062.02</v>
      </c>
    </row>
    <row r="10" spans="2:4" x14ac:dyDescent="0.2">
      <c r="B10" s="138" t="s">
        <v>206</v>
      </c>
      <c r="D10">
        <f>Bearings!J6</f>
        <v>2244</v>
      </c>
    </row>
    <row r="11" spans="2:4" x14ac:dyDescent="0.2">
      <c r="D11" s="243">
        <f>SUM(D4:D10)</f>
        <v>34250.782891413124</v>
      </c>
    </row>
    <row r="14" spans="2:4" hidden="1" x14ac:dyDescent="0.2"/>
    <row r="15" spans="2:4" hidden="1" x14ac:dyDescent="0.2"/>
    <row r="16" spans="2:4" hidden="1" x14ac:dyDescent="0.2"/>
    <row r="17" hidden="1" x14ac:dyDescent="0.2"/>
    <row r="18" hidden="1" x14ac:dyDescent="0.2"/>
    <row r="19" hidden="1" x14ac:dyDescent="0.2"/>
    <row r="20" hidden="1" x14ac:dyDescent="0.2"/>
    <row r="21" hidden="1" x14ac:dyDescent="0.2"/>
    <row r="22" hidden="1" x14ac:dyDescent="0.2"/>
    <row r="23" hidden="1" x14ac:dyDescent="0.2"/>
    <row r="24" hidden="1" x14ac:dyDescent="0.2"/>
    <row r="25" hidden="1" x14ac:dyDescent="0.2"/>
    <row r="26" hidden="1" x14ac:dyDescent="0.2"/>
    <row r="27" hidden="1" x14ac:dyDescent="0.2"/>
    <row r="28" hidden="1" x14ac:dyDescent="0.2"/>
    <row r="30" hidden="1" x14ac:dyDescent="0.2"/>
    <row r="31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43" hidden="1" x14ac:dyDescent="0.2"/>
    <row r="45" hidden="1" x14ac:dyDescent="0.2"/>
    <row r="46" hidden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C1" sqref="C1"/>
    </sheetView>
  </sheetViews>
  <sheetFormatPr defaultRowHeight="12.75" x14ac:dyDescent="0.2"/>
  <cols>
    <col min="1" max="1" width="25.42578125" customWidth="1"/>
  </cols>
  <sheetData>
    <row r="2" spans="1:2" x14ac:dyDescent="0.2">
      <c r="A2" t="s">
        <v>376</v>
      </c>
      <c r="B2">
        <v>5</v>
      </c>
    </row>
    <row r="3" spans="1:2" x14ac:dyDescent="0.2">
      <c r="A3" t="s">
        <v>377</v>
      </c>
      <c r="B3">
        <v>8</v>
      </c>
    </row>
    <row r="4" spans="1:2" x14ac:dyDescent="0.2">
      <c r="A4" t="s">
        <v>378</v>
      </c>
      <c r="B4">
        <v>8</v>
      </c>
    </row>
    <row r="5" spans="1:2" x14ac:dyDescent="0.2">
      <c r="A5" t="s">
        <v>379</v>
      </c>
      <c r="B5">
        <v>9</v>
      </c>
    </row>
    <row r="6" spans="1:2" x14ac:dyDescent="0.2">
      <c r="A6" t="s">
        <v>380</v>
      </c>
      <c r="B6">
        <v>9</v>
      </c>
    </row>
    <row r="7" spans="1:2" x14ac:dyDescent="0.2">
      <c r="A7" t="s">
        <v>381</v>
      </c>
      <c r="B7">
        <v>14</v>
      </c>
    </row>
    <row r="8" spans="1:2" x14ac:dyDescent="0.2">
      <c r="A8" t="s">
        <v>382</v>
      </c>
      <c r="B8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Base</vt:lpstr>
      <vt:lpstr>Cone Wall Top1</vt:lpstr>
      <vt:lpstr>Auger</vt:lpstr>
      <vt:lpstr>Steel</vt:lpstr>
      <vt:lpstr>Bolts-Rivet-Teks</vt:lpstr>
      <vt:lpstr>Laser Cutting</vt:lpstr>
      <vt:lpstr>Bearings</vt:lpstr>
      <vt:lpstr>Stock Value</vt:lpstr>
      <vt:lpstr>Stickers</vt:lpstr>
      <vt:lpstr>Steel Order</vt:lpstr>
      <vt:lpstr>Auger!Print_Area</vt:lpstr>
      <vt:lpstr>Base!Print_Area</vt:lpstr>
      <vt:lpstr>'Cone Wall Top1'!Print_Area</vt:lpstr>
      <vt:lpstr>'Laser Cutting'!Print_Area</vt:lpstr>
      <vt:lpstr>Steel!Print_Area</vt:lpstr>
      <vt:lpstr>Steel!Print_Titles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user</cp:lastModifiedBy>
  <cp:lastPrinted>2015-04-20T02:32:54Z</cp:lastPrinted>
  <dcterms:created xsi:type="dcterms:W3CDTF">2009-01-15T00:42:14Z</dcterms:created>
  <dcterms:modified xsi:type="dcterms:W3CDTF">2015-04-22T06:29:15Z</dcterms:modified>
</cp:coreProperties>
</file>