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C101" i="1" l="1"/>
  <c r="C102" i="1"/>
  <c r="C103" i="1"/>
  <c r="C100" i="1"/>
  <c r="C94" i="1"/>
  <c r="C95" i="1" s="1"/>
  <c r="C91" i="1"/>
  <c r="C92" i="1" s="1"/>
  <c r="C93" i="1" s="1"/>
  <c r="C97" i="1" l="1"/>
  <c r="C98" i="1" s="1"/>
  <c r="C38" i="1"/>
  <c r="C39" i="1" s="1"/>
  <c r="C41" i="1" s="1"/>
  <c r="C34" i="1"/>
  <c r="C29" i="1"/>
  <c r="C32" i="1" s="1"/>
  <c r="C30" i="1"/>
  <c r="C36" i="1" l="1"/>
  <c r="G100" i="1"/>
  <c r="G101" i="1" s="1"/>
  <c r="G103" i="1" s="1"/>
  <c r="H100" i="1"/>
  <c r="H101" i="1" s="1"/>
  <c r="H103" i="1" s="1"/>
  <c r="I100" i="1"/>
  <c r="I101" i="1" s="1"/>
  <c r="I103" i="1" s="1"/>
  <c r="C47" i="1"/>
  <c r="C51" i="1"/>
  <c r="H38" i="1"/>
  <c r="C49" i="1"/>
  <c r="C50" i="1"/>
  <c r="C42" i="1"/>
  <c r="C44" i="1" s="1"/>
  <c r="K12" i="1"/>
  <c r="C48" i="1" s="1"/>
  <c r="C45" i="1" l="1"/>
  <c r="C53" i="1" s="1"/>
  <c r="C64" i="1" l="1"/>
  <c r="F73" i="1" s="1"/>
  <c r="C63" i="1"/>
  <c r="F72" i="1" s="1"/>
  <c r="F74" i="1" s="1"/>
  <c r="C55" i="1"/>
  <c r="C66" i="1" s="1"/>
  <c r="C57" i="1" l="1"/>
  <c r="C59" i="1" s="1"/>
  <c r="C61" i="1" s="1"/>
  <c r="F71" i="1" s="1"/>
  <c r="C89" i="1" s="1"/>
  <c r="F103" i="1" s="1"/>
  <c r="F104" i="1" l="1"/>
  <c r="H104" i="1"/>
  <c r="G104" i="1"/>
  <c r="I104" i="1"/>
</calcChain>
</file>

<file path=xl/sharedStrings.xml><?xml version="1.0" encoding="utf-8"?>
<sst xmlns="http://schemas.openxmlformats.org/spreadsheetml/2006/main" count="187" uniqueCount="147">
  <si>
    <t>Код функции</t>
  </si>
  <si>
    <t>Наименование (содержание) функции</t>
  </si>
  <si>
    <t>Объем функций (LOC)</t>
  </si>
  <si>
    <t>Организация ввода информации</t>
  </si>
  <si>
    <t>Контроль, предварительная обработка информации</t>
  </si>
  <si>
    <t>Организация поиска и поиск в базе данных</t>
  </si>
  <si>
    <t>Обработка ошибочных и сбойных ситуаций</t>
  </si>
  <si>
    <t>Обеспечение интерфейса между компонентами</t>
  </si>
  <si>
    <t>Графический вывод результатов</t>
  </si>
  <si>
    <t>–</t>
  </si>
  <si>
    <r>
      <t>Общий объём (</t>
    </r>
    <r>
      <rPr>
        <i/>
        <sz val="14"/>
        <color rgb="FF000000"/>
        <rFont val="Times New Roman"/>
        <family val="1"/>
        <charset val="204"/>
      </rPr>
      <t>V</t>
    </r>
    <r>
      <rPr>
        <i/>
        <vertAlign val="subscript"/>
        <sz val="14"/>
        <color rgb="FF000000"/>
        <rFont val="Times New Roman"/>
        <family val="1"/>
        <charset val="204"/>
      </rPr>
      <t>О</t>
    </r>
    <r>
      <rPr>
        <sz val="14"/>
        <color rgb="FF000000"/>
        <rFont val="Times New Roman"/>
        <family val="1"/>
        <charset val="204"/>
      </rPr>
      <t>)</t>
    </r>
  </si>
  <si>
    <t>Организация ввода/вывода информации в интерактивном режиме</t>
  </si>
  <si>
    <t>Управление вводом/выводом</t>
  </si>
  <si>
    <t>Группа сложности</t>
  </si>
  <si>
    <t>-</t>
  </si>
  <si>
    <t>Коэффициент новизны</t>
  </si>
  <si>
    <t>Коэффициент, учитывающий использование стандартных модулей</t>
  </si>
  <si>
    <t>Дополнительный коэффициент сложности</t>
  </si>
  <si>
    <t>Установленная плановая продолжительность разработки</t>
  </si>
  <si>
    <t>лет</t>
  </si>
  <si>
    <t>Количество дней в году</t>
  </si>
  <si>
    <t>дней</t>
  </si>
  <si>
    <t>Количество праздничных дней</t>
  </si>
  <si>
    <t>Количество выходных дней</t>
  </si>
  <si>
    <t>Количество дней отпуска</t>
  </si>
  <si>
    <t>Тарифная ставка 1-го разряда</t>
  </si>
  <si>
    <t>руб.</t>
  </si>
  <si>
    <t>Продолжительность рабочего дня</t>
  </si>
  <si>
    <t>часов</t>
  </si>
  <si>
    <t>Установленный фонд рабочего времени</t>
  </si>
  <si>
    <t>Норматив дополнительной заработной платы</t>
  </si>
  <si>
    <t>%</t>
  </si>
  <si>
    <t>Ставка отчислений в ФСЗН</t>
  </si>
  <si>
    <t>Ставка отчислений на обязательное социальное страхование</t>
  </si>
  <si>
    <t>Цена одного машинного часа</t>
  </si>
  <si>
    <t>Норматив расхода машинного времени</t>
  </si>
  <si>
    <t>ч. / 100 строк кода</t>
  </si>
  <si>
    <t>Норматив расходов на командировки</t>
  </si>
  <si>
    <t>Норматив прочих затрат</t>
  </si>
  <si>
    <t>Норматив накладных расходов</t>
  </si>
  <si>
    <t>Уровень рентабельности</t>
  </si>
  <si>
    <t>Ставка налога на добавленную стоимость</t>
  </si>
  <si>
    <t>Норматив расходов на освоение</t>
  </si>
  <si>
    <t>Норматив расходов на сопровождение</t>
  </si>
  <si>
    <t>Ставка налога на прибыль</t>
  </si>
  <si>
    <t>Кн</t>
  </si>
  <si>
    <t>Кт</t>
  </si>
  <si>
    <t>Ксл</t>
  </si>
  <si>
    <t>Тр</t>
  </si>
  <si>
    <t>Дг</t>
  </si>
  <si>
    <t>Дп</t>
  </si>
  <si>
    <t>Дв</t>
  </si>
  <si>
    <t>До</t>
  </si>
  <si>
    <t>Тм1</t>
  </si>
  <si>
    <t>Тч</t>
  </si>
  <si>
    <t>Фрв</t>
  </si>
  <si>
    <t>Нд</t>
  </si>
  <si>
    <t>Нсз</t>
  </si>
  <si>
    <t>Нм</t>
  </si>
  <si>
    <t>Цм</t>
  </si>
  <si>
    <t>Нмв</t>
  </si>
  <si>
    <t>Нрнк</t>
  </si>
  <si>
    <t>Нпз</t>
  </si>
  <si>
    <t>Нрн</t>
  </si>
  <si>
    <t>Урп</t>
  </si>
  <si>
    <t>Ндс</t>
  </si>
  <si>
    <t>Но</t>
  </si>
  <si>
    <t>Нс</t>
  </si>
  <si>
    <t>Ннп</t>
  </si>
  <si>
    <t>Кс</t>
  </si>
  <si>
    <t>Тн</t>
  </si>
  <si>
    <t>То</t>
  </si>
  <si>
    <t>Чр</t>
  </si>
  <si>
    <t>Фэф</t>
  </si>
  <si>
    <t>Тк</t>
  </si>
  <si>
    <t>Зоi</t>
  </si>
  <si>
    <t>К</t>
  </si>
  <si>
    <t>Здi</t>
  </si>
  <si>
    <t>Зссi</t>
  </si>
  <si>
    <t>Нсc</t>
  </si>
  <si>
    <t>Зсзi</t>
  </si>
  <si>
    <t>Mi</t>
  </si>
  <si>
    <t>Норма расходов материалов</t>
  </si>
  <si>
    <t>Нмз</t>
  </si>
  <si>
    <t>Рмi</t>
  </si>
  <si>
    <t>Рнкi</t>
  </si>
  <si>
    <t>Пзi</t>
  </si>
  <si>
    <t>Рнi</t>
  </si>
  <si>
    <t>Спi</t>
  </si>
  <si>
    <t>Псi</t>
  </si>
  <si>
    <t>Цпi</t>
  </si>
  <si>
    <t>НДСi</t>
  </si>
  <si>
    <t>Цоi</t>
  </si>
  <si>
    <t>Роi</t>
  </si>
  <si>
    <t>Рсi</t>
  </si>
  <si>
    <t>Пч</t>
  </si>
  <si>
    <t>Наименование показателей</t>
  </si>
  <si>
    <t>Обо­значе­ние</t>
  </si>
  <si>
    <t>Единицы из­мерения</t>
  </si>
  <si>
    <t>Значение показателя</t>
  </si>
  <si>
    <t>в базовом варианте</t>
  </si>
  <si>
    <t>в новом варианте</t>
  </si>
  <si>
    <t>Капитальные вложения, включая затраты поль­зователя на приобрете­ние ПO</t>
  </si>
  <si>
    <t>Затраты на освоение ПО</t>
  </si>
  <si>
    <t>Затраты на сопровожде­ние ПО</t>
  </si>
  <si>
    <t>Затраты на укомплекто­вание ВТ техническими средствами в связи с внедрением нового ПО</t>
  </si>
  <si>
    <t>Затраты на пополнение оборотных средств в связи с эксплуатацией нового ПО</t>
  </si>
  <si>
    <t>Кпр</t>
  </si>
  <si>
    <t>Кос</t>
  </si>
  <si>
    <t>Ктс</t>
  </si>
  <si>
    <t>Коб</t>
  </si>
  <si>
    <t>Среднемесячная ЗП од­ного программиста</t>
  </si>
  <si>
    <t>Коэффициент начисле­ний на зарплату</t>
  </si>
  <si>
    <t>Среднемесячное коли­чество рабочих дней</t>
  </si>
  <si>
    <t>день</t>
  </si>
  <si>
    <t>Количество типовых за­дач, решаемых за год</t>
  </si>
  <si>
    <t>Зт1, Зт2</t>
  </si>
  <si>
    <t>задача</t>
  </si>
  <si>
    <t>Объем выполняемых работ за год</t>
  </si>
  <si>
    <t>А1, А2</t>
  </si>
  <si>
    <t xml:space="preserve">Средняя трудоемкость работ </t>
  </si>
  <si>
    <t>Тс1, Тс2</t>
  </si>
  <si>
    <t>чел.-час на задачу</t>
  </si>
  <si>
    <t xml:space="preserve">Средний расход машин­ного времени </t>
  </si>
  <si>
    <t>Мв1, Мв2</t>
  </si>
  <si>
    <t>маш.-час на задачу</t>
  </si>
  <si>
    <t>Цена 1-го машино-часа работы ЭВМ</t>
  </si>
  <si>
    <t>Количество часов ра­боты в день</t>
  </si>
  <si>
    <t>ч</t>
  </si>
  <si>
    <t>Ставка налога на при­быль</t>
  </si>
  <si>
    <t>Зсм</t>
  </si>
  <si>
    <t>Кнз</t>
  </si>
  <si>
    <t>Др</t>
  </si>
  <si>
    <t>Нп</t>
  </si>
  <si>
    <t>Ко</t>
  </si>
  <si>
    <t>Сзе</t>
  </si>
  <si>
    <t>Сз</t>
  </si>
  <si>
    <t>Сн</t>
  </si>
  <si>
    <t>См</t>
  </si>
  <si>
    <t>Сме</t>
  </si>
  <si>
    <t>Со</t>
  </si>
  <si>
    <r>
      <t>ΔП</t>
    </r>
    <r>
      <rPr>
        <vertAlign val="subscript"/>
        <sz val="14"/>
        <color rgb="FF000000"/>
        <rFont val="Times New Roman"/>
        <family val="1"/>
        <charset val="204"/>
      </rPr>
      <t>ч</t>
    </r>
  </si>
  <si>
    <t>E</t>
  </si>
  <si>
    <t>a1</t>
  </si>
  <si>
    <t>a2</t>
  </si>
  <si>
    <t>a3</t>
  </si>
  <si>
    <t>a4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</si>
</sst>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6" x14ac:knownFonts="1">
    <font>
      <sz val="11"/>
      <color theme="1"/>
      <name val="Calibri"/>
      <family val="2"/>
      <scheme val="minor"/>
    </font>
    <font>
      <sz val="14"/>
      <color rgb="FF000000"/>
      <name val="Times New Roman"/>
      <family val="1"/>
      <charset val="204"/>
    </font>
    <font>
      <i/>
      <sz val="14"/>
      <color rgb="FF000000"/>
      <name val="Times New Roman"/>
      <family val="1"/>
      <charset val="204"/>
    </font>
    <font>
      <i/>
      <vertAlign val="subscript"/>
      <sz val="14"/>
      <color rgb="FF000000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vertAlign val="subscript"/>
      <sz val="14"/>
      <color rgb="FF00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right"/>
    </xf>
    <xf numFmtId="2" fontId="0" fillId="0" borderId="0" xfId="0" applyNumberFormat="1"/>
    <xf numFmtId="1" fontId="0" fillId="0" borderId="0" xfId="0" applyNumberFormat="1"/>
    <xf numFmtId="164" fontId="0" fillId="0" borderId="0" xfId="0" applyNumberFormat="1"/>
    <xf numFmtId="3" fontId="0" fillId="0" borderId="0" xfId="0" applyNumberFormat="1"/>
    <xf numFmtId="3" fontId="4" fillId="0" borderId="1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04"/>
  <sheetViews>
    <sheetView tabSelected="1" topLeftCell="A88" workbookViewId="0">
      <selection activeCell="G103" sqref="G103:I104"/>
    </sheetView>
  </sheetViews>
  <sheetFormatPr defaultRowHeight="15" x14ac:dyDescent="0.25"/>
  <cols>
    <col min="2" max="2" width="53.5703125" customWidth="1"/>
    <col min="3" max="3" width="11.7109375" customWidth="1"/>
    <col min="4" max="4" width="18.7109375" customWidth="1"/>
    <col min="5" max="5" width="9.140625" customWidth="1"/>
    <col min="6" max="6" width="13.42578125" customWidth="1"/>
    <col min="7" max="7" width="13.140625" customWidth="1"/>
    <col min="8" max="8" width="12.5703125" customWidth="1"/>
    <col min="9" max="9" width="14" customWidth="1"/>
    <col min="10" max="10" width="31.42578125" customWidth="1"/>
    <col min="11" max="11" width="20.85546875" customWidth="1"/>
    <col min="12" max="12" width="39.5703125" customWidth="1"/>
    <col min="13" max="13" width="10.42578125" bestFit="1" customWidth="1"/>
  </cols>
  <sheetData>
    <row r="1" spans="2:11" x14ac:dyDescent="0.25">
      <c r="B1" t="s">
        <v>13</v>
      </c>
      <c r="C1" t="s">
        <v>14</v>
      </c>
      <c r="D1" t="s">
        <v>14</v>
      </c>
      <c r="E1">
        <v>3</v>
      </c>
    </row>
    <row r="2" spans="2:11" x14ac:dyDescent="0.25">
      <c r="B2" t="s">
        <v>15</v>
      </c>
      <c r="C2" t="s">
        <v>45</v>
      </c>
      <c r="D2" t="s">
        <v>14</v>
      </c>
      <c r="E2">
        <v>0.7</v>
      </c>
    </row>
    <row r="3" spans="2:11" x14ac:dyDescent="0.25">
      <c r="B3" t="s">
        <v>16</v>
      </c>
      <c r="C3" t="s">
        <v>46</v>
      </c>
      <c r="D3" t="s">
        <v>14</v>
      </c>
      <c r="E3">
        <v>0.8</v>
      </c>
      <c r="I3" t="s">
        <v>0</v>
      </c>
      <c r="J3" t="s">
        <v>1</v>
      </c>
      <c r="K3" t="s">
        <v>2</v>
      </c>
    </row>
    <row r="4" spans="2:11" x14ac:dyDescent="0.25">
      <c r="B4" t="s">
        <v>17</v>
      </c>
      <c r="C4" t="s">
        <v>47</v>
      </c>
      <c r="D4" t="s">
        <v>14</v>
      </c>
      <c r="E4">
        <v>0.06</v>
      </c>
      <c r="I4">
        <v>101</v>
      </c>
      <c r="J4" t="s">
        <v>3</v>
      </c>
      <c r="K4">
        <v>150</v>
      </c>
    </row>
    <row r="5" spans="2:11" x14ac:dyDescent="0.25">
      <c r="B5" t="s">
        <v>18</v>
      </c>
      <c r="C5" t="s">
        <v>48</v>
      </c>
      <c r="D5" t="s">
        <v>19</v>
      </c>
      <c r="I5">
        <v>102</v>
      </c>
      <c r="J5" t="s">
        <v>4</v>
      </c>
      <c r="K5">
        <v>450</v>
      </c>
    </row>
    <row r="6" spans="2:11" ht="52.5" customHeight="1" x14ac:dyDescent="0.25">
      <c r="B6" t="s">
        <v>20</v>
      </c>
      <c r="C6" t="s">
        <v>49</v>
      </c>
      <c r="D6" t="s">
        <v>21</v>
      </c>
      <c r="E6">
        <v>365</v>
      </c>
      <c r="I6">
        <v>109</v>
      </c>
      <c r="J6" t="s">
        <v>11</v>
      </c>
      <c r="K6">
        <v>320</v>
      </c>
    </row>
    <row r="7" spans="2:11" x14ac:dyDescent="0.25">
      <c r="B7" t="s">
        <v>22</v>
      </c>
      <c r="C7" t="s">
        <v>50</v>
      </c>
      <c r="D7" t="s">
        <v>21</v>
      </c>
      <c r="E7">
        <v>6</v>
      </c>
      <c r="I7">
        <v>111</v>
      </c>
      <c r="J7" t="s">
        <v>12</v>
      </c>
      <c r="K7">
        <v>2400</v>
      </c>
    </row>
    <row r="8" spans="2:11" x14ac:dyDescent="0.25">
      <c r="B8" t="s">
        <v>23</v>
      </c>
      <c r="C8" t="s">
        <v>51</v>
      </c>
      <c r="D8" t="s">
        <v>21</v>
      </c>
      <c r="E8">
        <v>104</v>
      </c>
      <c r="I8">
        <v>208</v>
      </c>
      <c r="J8" t="s">
        <v>5</v>
      </c>
      <c r="K8">
        <v>5480</v>
      </c>
    </row>
    <row r="9" spans="2:11" x14ac:dyDescent="0.25">
      <c r="B9" t="s">
        <v>24</v>
      </c>
      <c r="C9" t="s">
        <v>52</v>
      </c>
      <c r="D9" t="s">
        <v>21</v>
      </c>
      <c r="E9">
        <v>24</v>
      </c>
      <c r="I9">
        <v>506</v>
      </c>
      <c r="J9" t="s">
        <v>6</v>
      </c>
      <c r="K9">
        <v>410</v>
      </c>
    </row>
    <row r="10" spans="2:11" x14ac:dyDescent="0.25">
      <c r="B10" t="s">
        <v>25</v>
      </c>
      <c r="C10" t="s">
        <v>53</v>
      </c>
      <c r="D10" t="s">
        <v>26</v>
      </c>
      <c r="E10">
        <v>700000</v>
      </c>
      <c r="I10">
        <v>507</v>
      </c>
      <c r="J10" t="s">
        <v>7</v>
      </c>
      <c r="K10">
        <v>970</v>
      </c>
    </row>
    <row r="11" spans="2:11" x14ac:dyDescent="0.25">
      <c r="B11" t="s">
        <v>27</v>
      </c>
      <c r="C11" t="s">
        <v>54</v>
      </c>
      <c r="D11" t="s">
        <v>28</v>
      </c>
      <c r="E11">
        <v>8</v>
      </c>
      <c r="I11">
        <v>707</v>
      </c>
      <c r="J11" t="s">
        <v>8</v>
      </c>
      <c r="K11">
        <v>480</v>
      </c>
    </row>
    <row r="12" spans="2:11" ht="20.25" x14ac:dyDescent="0.35">
      <c r="B12" t="s">
        <v>29</v>
      </c>
      <c r="C12" t="s">
        <v>55</v>
      </c>
      <c r="D12" t="s">
        <v>28</v>
      </c>
      <c r="E12">
        <v>170</v>
      </c>
      <c r="I12" t="s">
        <v>9</v>
      </c>
      <c r="J12" t="s">
        <v>10</v>
      </c>
      <c r="K12">
        <f>SUM(K4:K11)</f>
        <v>10660</v>
      </c>
    </row>
    <row r="13" spans="2:11" x14ac:dyDescent="0.25">
      <c r="B13" t="s">
        <v>30</v>
      </c>
      <c r="C13" t="s">
        <v>56</v>
      </c>
      <c r="D13" t="s">
        <v>31</v>
      </c>
      <c r="E13">
        <v>20</v>
      </c>
    </row>
    <row r="14" spans="2:11" x14ac:dyDescent="0.25">
      <c r="B14" t="s">
        <v>32</v>
      </c>
      <c r="C14" t="s">
        <v>57</v>
      </c>
      <c r="D14" t="s">
        <v>31</v>
      </c>
      <c r="E14">
        <v>34</v>
      </c>
    </row>
    <row r="15" spans="2:11" x14ac:dyDescent="0.25">
      <c r="B15" t="s">
        <v>33</v>
      </c>
      <c r="C15" t="s">
        <v>79</v>
      </c>
      <c r="D15" t="s">
        <v>31</v>
      </c>
      <c r="E15">
        <v>0.6</v>
      </c>
    </row>
    <row r="16" spans="2:11" x14ac:dyDescent="0.25">
      <c r="B16" t="s">
        <v>82</v>
      </c>
      <c r="C16" t="s">
        <v>83</v>
      </c>
      <c r="D16" t="s">
        <v>31</v>
      </c>
      <c r="E16">
        <v>3</v>
      </c>
    </row>
    <row r="17" spans="2:8" x14ac:dyDescent="0.25">
      <c r="B17" t="s">
        <v>34</v>
      </c>
      <c r="C17" t="s">
        <v>59</v>
      </c>
      <c r="D17" t="s">
        <v>26</v>
      </c>
      <c r="E17">
        <v>4500</v>
      </c>
    </row>
    <row r="18" spans="2:8" x14ac:dyDescent="0.25">
      <c r="B18" t="s">
        <v>35</v>
      </c>
      <c r="C18" t="s">
        <v>60</v>
      </c>
      <c r="D18" t="s">
        <v>36</v>
      </c>
      <c r="E18">
        <v>12</v>
      </c>
    </row>
    <row r="19" spans="2:8" x14ac:dyDescent="0.25">
      <c r="B19" t="s">
        <v>37</v>
      </c>
      <c r="C19" t="s">
        <v>61</v>
      </c>
      <c r="D19" t="s">
        <v>31</v>
      </c>
      <c r="E19">
        <v>15</v>
      </c>
    </row>
    <row r="20" spans="2:8" x14ac:dyDescent="0.25">
      <c r="B20" t="s">
        <v>38</v>
      </c>
      <c r="C20" t="s">
        <v>62</v>
      </c>
      <c r="D20" t="s">
        <v>31</v>
      </c>
      <c r="E20">
        <v>20</v>
      </c>
    </row>
    <row r="21" spans="2:8" x14ac:dyDescent="0.25">
      <c r="B21" t="s">
        <v>39</v>
      </c>
      <c r="C21" t="s">
        <v>63</v>
      </c>
      <c r="D21" t="s">
        <v>31</v>
      </c>
      <c r="E21">
        <v>50</v>
      </c>
    </row>
    <row r="22" spans="2:8" x14ac:dyDescent="0.25">
      <c r="B22" t="s">
        <v>40</v>
      </c>
      <c r="C22" t="s">
        <v>64</v>
      </c>
      <c r="D22" t="s">
        <v>31</v>
      </c>
      <c r="E22">
        <v>20</v>
      </c>
    </row>
    <row r="23" spans="2:8" x14ac:dyDescent="0.25">
      <c r="B23" t="s">
        <v>41</v>
      </c>
      <c r="C23" t="s">
        <v>65</v>
      </c>
      <c r="D23" t="s">
        <v>31</v>
      </c>
      <c r="E23">
        <v>20</v>
      </c>
    </row>
    <row r="24" spans="2:8" x14ac:dyDescent="0.25">
      <c r="B24" t="s">
        <v>42</v>
      </c>
      <c r="C24" t="s">
        <v>66</v>
      </c>
      <c r="D24" t="s">
        <v>31</v>
      </c>
      <c r="E24">
        <v>10</v>
      </c>
    </row>
    <row r="25" spans="2:8" x14ac:dyDescent="0.25">
      <c r="B25" t="s">
        <v>43</v>
      </c>
      <c r="C25" t="s">
        <v>67</v>
      </c>
      <c r="D25" t="s">
        <v>31</v>
      </c>
      <c r="E25">
        <v>20</v>
      </c>
    </row>
    <row r="26" spans="2:8" x14ac:dyDescent="0.25">
      <c r="B26" t="s">
        <v>44</v>
      </c>
      <c r="C26" t="s">
        <v>68</v>
      </c>
      <c r="D26" t="s">
        <v>31</v>
      </c>
      <c r="E26">
        <v>18</v>
      </c>
    </row>
    <row r="27" spans="2:8" x14ac:dyDescent="0.25">
      <c r="G27" s="1" t="s">
        <v>74</v>
      </c>
      <c r="H27">
        <v>2.84</v>
      </c>
    </row>
    <row r="28" spans="2:8" x14ac:dyDescent="0.25">
      <c r="B28" s="1" t="s">
        <v>72</v>
      </c>
      <c r="C28">
        <v>1</v>
      </c>
    </row>
    <row r="29" spans="2:8" x14ac:dyDescent="0.25">
      <c r="B29" s="1" t="s">
        <v>70</v>
      </c>
      <c r="C29">
        <f>228</f>
        <v>228</v>
      </c>
      <c r="G29" s="1" t="s">
        <v>76</v>
      </c>
      <c r="H29">
        <v>1.4</v>
      </c>
    </row>
    <row r="30" spans="2:8" x14ac:dyDescent="0.25">
      <c r="B30" s="1" t="s">
        <v>69</v>
      </c>
      <c r="C30">
        <f>1+E4</f>
        <v>1.06</v>
      </c>
    </row>
    <row r="32" spans="2:8" x14ac:dyDescent="0.25">
      <c r="B32" s="1" t="s">
        <v>71</v>
      </c>
      <c r="C32" s="2">
        <f>C29*C30*E3*E2</f>
        <v>135.3408</v>
      </c>
    </row>
    <row r="34" spans="2:8" x14ac:dyDescent="0.25">
      <c r="B34" s="1" t="s">
        <v>73</v>
      </c>
      <c r="C34">
        <f>E6-E7-E8-E9</f>
        <v>231</v>
      </c>
    </row>
    <row r="35" spans="2:8" x14ac:dyDescent="0.25">
      <c r="B35" s="1"/>
    </row>
    <row r="36" spans="2:8" x14ac:dyDescent="0.25">
      <c r="B36" s="1" t="s">
        <v>48</v>
      </c>
      <c r="C36" s="2">
        <f>C32/C28/C34</f>
        <v>0.58589090909090913</v>
      </c>
    </row>
    <row r="38" spans="2:8" x14ac:dyDescent="0.25">
      <c r="B38" s="1" t="s">
        <v>53</v>
      </c>
      <c r="C38" s="5">
        <f>E10*H27</f>
        <v>1988000</v>
      </c>
      <c r="G38" s="1" t="s">
        <v>58</v>
      </c>
      <c r="H38">
        <f>0.03*C41</f>
        <v>907650.63529411762</v>
      </c>
    </row>
    <row r="39" spans="2:8" x14ac:dyDescent="0.25">
      <c r="B39" s="1" t="s">
        <v>54</v>
      </c>
      <c r="C39" s="5">
        <f>C38/E12</f>
        <v>11694.117647058823</v>
      </c>
    </row>
    <row r="40" spans="2:8" x14ac:dyDescent="0.25">
      <c r="C40" s="5"/>
    </row>
    <row r="41" spans="2:8" x14ac:dyDescent="0.25">
      <c r="B41" s="1" t="s">
        <v>75</v>
      </c>
      <c r="C41" s="5">
        <f>C39*E11*C34*H29</f>
        <v>30255021.176470589</v>
      </c>
    </row>
    <row r="42" spans="2:8" x14ac:dyDescent="0.25">
      <c r="B42" s="1" t="s">
        <v>77</v>
      </c>
      <c r="C42" s="5">
        <f>C41*15/100</f>
        <v>4538253.1764705889</v>
      </c>
    </row>
    <row r="43" spans="2:8" x14ac:dyDescent="0.25">
      <c r="C43" s="5"/>
    </row>
    <row r="44" spans="2:8" x14ac:dyDescent="0.25">
      <c r="B44" s="1" t="s">
        <v>80</v>
      </c>
      <c r="C44" s="5">
        <f>(C41+C42)*E14/100</f>
        <v>11829713.279999999</v>
      </c>
    </row>
    <row r="45" spans="2:8" x14ac:dyDescent="0.25">
      <c r="B45" s="1" t="s">
        <v>78</v>
      </c>
      <c r="C45" s="5">
        <f>(C41+C42)*E15/100</f>
        <v>208759.64611764706</v>
      </c>
    </row>
    <row r="46" spans="2:8" x14ac:dyDescent="0.25">
      <c r="C46" s="5"/>
    </row>
    <row r="47" spans="2:8" x14ac:dyDescent="0.25">
      <c r="B47" s="1" t="s">
        <v>81</v>
      </c>
      <c r="C47" s="5">
        <f>C41*E16/100</f>
        <v>907650.63529411762</v>
      </c>
    </row>
    <row r="48" spans="2:8" x14ac:dyDescent="0.25">
      <c r="B48" s="1" t="s">
        <v>84</v>
      </c>
      <c r="C48" s="5">
        <f>0.4*E17*E18*K12/100</f>
        <v>2302560</v>
      </c>
    </row>
    <row r="49" spans="2:3" x14ac:dyDescent="0.25">
      <c r="B49" s="1" t="s">
        <v>85</v>
      </c>
      <c r="C49" s="5">
        <f>C41*E19/100</f>
        <v>4538253.1764705889</v>
      </c>
    </row>
    <row r="50" spans="2:3" x14ac:dyDescent="0.25">
      <c r="B50" s="1" t="s">
        <v>86</v>
      </c>
      <c r="C50" s="5">
        <f>C41*E20/100</f>
        <v>6051004.2352941176</v>
      </c>
    </row>
    <row r="51" spans="2:3" x14ac:dyDescent="0.25">
      <c r="B51" s="1" t="s">
        <v>87</v>
      </c>
      <c r="C51" s="5">
        <f>C41*E21/100</f>
        <v>15127510.588235294</v>
      </c>
    </row>
    <row r="52" spans="2:3" x14ac:dyDescent="0.25">
      <c r="C52" s="5"/>
    </row>
    <row r="53" spans="2:3" x14ac:dyDescent="0.25">
      <c r="B53" s="1" t="s">
        <v>88</v>
      </c>
      <c r="C53" s="5">
        <f>C41+C42+C44+C45+C47+C48+C49+C50+C51</f>
        <v>75758725.914352939</v>
      </c>
    </row>
    <row r="54" spans="2:3" x14ac:dyDescent="0.25">
      <c r="C54" s="5"/>
    </row>
    <row r="55" spans="2:3" x14ac:dyDescent="0.25">
      <c r="B55" s="1" t="s">
        <v>89</v>
      </c>
      <c r="C55" s="5">
        <f>C53*E22/100</f>
        <v>15151745.182870589</v>
      </c>
    </row>
    <row r="56" spans="2:3" x14ac:dyDescent="0.25">
      <c r="C56" s="5"/>
    </row>
    <row r="57" spans="2:3" x14ac:dyDescent="0.25">
      <c r="B57" s="1" t="s">
        <v>90</v>
      </c>
      <c r="C57" s="5">
        <f>C53+C55</f>
        <v>90910471.09722352</v>
      </c>
    </row>
    <row r="58" spans="2:3" x14ac:dyDescent="0.25">
      <c r="C58" s="5"/>
    </row>
    <row r="59" spans="2:3" x14ac:dyDescent="0.25">
      <c r="B59" s="1" t="s">
        <v>91</v>
      </c>
      <c r="C59" s="5">
        <f>C57*E23/100</f>
        <v>18182094.219444703</v>
      </c>
    </row>
    <row r="60" spans="2:3" x14ac:dyDescent="0.25">
      <c r="C60" s="5"/>
    </row>
    <row r="61" spans="2:3" x14ac:dyDescent="0.25">
      <c r="B61" s="1" t="s">
        <v>92</v>
      </c>
      <c r="C61" s="5">
        <f>C57+C59</f>
        <v>109092565.31666823</v>
      </c>
    </row>
    <row r="62" spans="2:3" x14ac:dyDescent="0.25">
      <c r="C62" s="5"/>
    </row>
    <row r="63" spans="2:3" x14ac:dyDescent="0.25">
      <c r="B63" s="1" t="s">
        <v>93</v>
      </c>
      <c r="C63" s="5">
        <f>C53*E24/100</f>
        <v>7575872.5914352946</v>
      </c>
    </row>
    <row r="64" spans="2:3" x14ac:dyDescent="0.25">
      <c r="B64" s="1" t="s">
        <v>94</v>
      </c>
      <c r="C64" s="5">
        <f>C53*E25/100</f>
        <v>15151745.182870589</v>
      </c>
    </row>
    <row r="65" spans="2:6" x14ac:dyDescent="0.25">
      <c r="C65" s="5"/>
    </row>
    <row r="66" spans="2:6" ht="16.5" customHeight="1" x14ac:dyDescent="0.25">
      <c r="B66" s="1" t="s">
        <v>95</v>
      </c>
      <c r="C66" s="5">
        <f>C55*(100-E26)/100</f>
        <v>12424431.049953884</v>
      </c>
    </row>
    <row r="69" spans="2:6" x14ac:dyDescent="0.25">
      <c r="B69" t="s">
        <v>96</v>
      </c>
      <c r="C69" t="s">
        <v>97</v>
      </c>
      <c r="D69" t="s">
        <v>98</v>
      </c>
      <c r="E69" t="s">
        <v>99</v>
      </c>
    </row>
    <row r="70" spans="2:6" x14ac:dyDescent="0.25">
      <c r="E70" t="s">
        <v>100</v>
      </c>
      <c r="F70" t="s">
        <v>101</v>
      </c>
    </row>
    <row r="71" spans="2:6" x14ac:dyDescent="0.25">
      <c r="B71" t="s">
        <v>102</v>
      </c>
      <c r="C71" t="s">
        <v>107</v>
      </c>
      <c r="D71" t="s">
        <v>26</v>
      </c>
      <c r="E71" t="s">
        <v>14</v>
      </c>
      <c r="F71" s="5">
        <f>C61</f>
        <v>109092565.31666823</v>
      </c>
    </row>
    <row r="72" spans="2:6" x14ac:dyDescent="0.25">
      <c r="B72" t="s">
        <v>103</v>
      </c>
      <c r="C72" t="s">
        <v>108</v>
      </c>
      <c r="D72" t="s">
        <v>26</v>
      </c>
      <c r="E72" t="s">
        <v>14</v>
      </c>
      <c r="F72" s="5">
        <f>C63</f>
        <v>7575872.5914352946</v>
      </c>
    </row>
    <row r="73" spans="2:6" x14ac:dyDescent="0.25">
      <c r="B73" t="s">
        <v>104</v>
      </c>
      <c r="C73" t="s">
        <v>69</v>
      </c>
      <c r="D73" t="s">
        <v>26</v>
      </c>
      <c r="E73" t="s">
        <v>14</v>
      </c>
      <c r="F73" s="5">
        <f>C64</f>
        <v>15151745.182870589</v>
      </c>
    </row>
    <row r="74" spans="2:6" x14ac:dyDescent="0.25">
      <c r="B74" t="s">
        <v>105</v>
      </c>
      <c r="C74" t="s">
        <v>109</v>
      </c>
      <c r="D74" t="s">
        <v>26</v>
      </c>
      <c r="E74" t="s">
        <v>14</v>
      </c>
      <c r="F74" s="5">
        <f>F72</f>
        <v>7575872.5914352946</v>
      </c>
    </row>
    <row r="75" spans="2:6" x14ac:dyDescent="0.25">
      <c r="B75" t="s">
        <v>106</v>
      </c>
      <c r="C75" t="s">
        <v>110</v>
      </c>
      <c r="D75" t="s">
        <v>26</v>
      </c>
      <c r="E75" t="s">
        <v>14</v>
      </c>
      <c r="F75" s="5">
        <v>2500000</v>
      </c>
    </row>
    <row r="76" spans="2:6" x14ac:dyDescent="0.25">
      <c r="B76" t="s">
        <v>111</v>
      </c>
      <c r="C76" t="s">
        <v>130</v>
      </c>
      <c r="D76" t="s">
        <v>26</v>
      </c>
      <c r="E76" s="5">
        <v>2800000</v>
      </c>
      <c r="F76" s="5">
        <v>2800000</v>
      </c>
    </row>
    <row r="77" spans="2:6" x14ac:dyDescent="0.25">
      <c r="B77" t="s">
        <v>112</v>
      </c>
      <c r="C77" t="s">
        <v>131</v>
      </c>
      <c r="E77">
        <v>1.5</v>
      </c>
      <c r="F77">
        <v>1.5</v>
      </c>
    </row>
    <row r="78" spans="2:6" x14ac:dyDescent="0.25">
      <c r="B78" t="s">
        <v>113</v>
      </c>
      <c r="C78" t="s">
        <v>132</v>
      </c>
      <c r="D78" t="s">
        <v>114</v>
      </c>
      <c r="E78">
        <v>21.5</v>
      </c>
      <c r="F78">
        <v>21.5</v>
      </c>
    </row>
    <row r="79" spans="2:6" x14ac:dyDescent="0.25">
      <c r="B79" t="s">
        <v>115</v>
      </c>
      <c r="C79" t="s">
        <v>116</v>
      </c>
      <c r="D79" t="s">
        <v>117</v>
      </c>
      <c r="E79" s="5">
        <v>1300</v>
      </c>
      <c r="F79" s="5">
        <v>1300</v>
      </c>
    </row>
    <row r="80" spans="2:6" x14ac:dyDescent="0.25">
      <c r="B80" t="s">
        <v>118</v>
      </c>
      <c r="C80" t="s">
        <v>119</v>
      </c>
      <c r="D80" t="s">
        <v>117</v>
      </c>
      <c r="E80" s="5">
        <v>1300</v>
      </c>
      <c r="F80" s="5">
        <v>1300</v>
      </c>
    </row>
    <row r="81" spans="2:6" x14ac:dyDescent="0.25">
      <c r="B81" t="s">
        <v>120</v>
      </c>
      <c r="C81" t="s">
        <v>121</v>
      </c>
      <c r="D81" t="s">
        <v>122</v>
      </c>
      <c r="E81">
        <v>4</v>
      </c>
      <c r="F81">
        <v>0.5</v>
      </c>
    </row>
    <row r="82" spans="2:6" x14ac:dyDescent="0.25">
      <c r="B82" t="s">
        <v>123</v>
      </c>
      <c r="C82" t="s">
        <v>124</v>
      </c>
      <c r="D82" t="s">
        <v>125</v>
      </c>
      <c r="E82">
        <v>4</v>
      </c>
      <c r="F82">
        <v>0.5</v>
      </c>
    </row>
    <row r="83" spans="2:6" x14ac:dyDescent="0.25">
      <c r="B83" t="s">
        <v>126</v>
      </c>
      <c r="C83" t="s">
        <v>59</v>
      </c>
      <c r="D83" t="s">
        <v>26</v>
      </c>
      <c r="E83" s="5">
        <v>1500</v>
      </c>
      <c r="F83" s="5">
        <v>4500</v>
      </c>
    </row>
    <row r="84" spans="2:6" x14ac:dyDescent="0.25">
      <c r="B84" t="s">
        <v>127</v>
      </c>
      <c r="C84" t="s">
        <v>54</v>
      </c>
      <c r="D84" t="s">
        <v>128</v>
      </c>
      <c r="E84">
        <v>8</v>
      </c>
      <c r="F84">
        <v>8</v>
      </c>
    </row>
    <row r="85" spans="2:6" x14ac:dyDescent="0.25">
      <c r="B85" t="s">
        <v>129</v>
      </c>
      <c r="C85" t="s">
        <v>133</v>
      </c>
      <c r="D85" t="s">
        <v>31</v>
      </c>
      <c r="E85">
        <v>18</v>
      </c>
      <c r="F85">
        <v>18</v>
      </c>
    </row>
    <row r="89" spans="2:6" x14ac:dyDescent="0.25">
      <c r="B89" s="1" t="s">
        <v>134</v>
      </c>
      <c r="C89" s="5">
        <f>F71+F72+F73+F74+F75</f>
        <v>141896055.68240941</v>
      </c>
    </row>
    <row r="91" spans="2:6" x14ac:dyDescent="0.25">
      <c r="B91" s="1" t="s">
        <v>135</v>
      </c>
      <c r="C91" s="5">
        <f>F76*(E81-F81)/F78/F84</f>
        <v>56976.744186046511</v>
      </c>
    </row>
    <row r="92" spans="2:6" x14ac:dyDescent="0.25">
      <c r="B92" s="1" t="s">
        <v>136</v>
      </c>
      <c r="C92" s="5">
        <f>C91*F80</f>
        <v>74069767.441860467</v>
      </c>
    </row>
    <row r="93" spans="2:6" x14ac:dyDescent="0.25">
      <c r="B93" s="1" t="s">
        <v>137</v>
      </c>
      <c r="C93" s="5">
        <f>C92*F77</f>
        <v>111104651.1627907</v>
      </c>
    </row>
    <row r="94" spans="2:6" x14ac:dyDescent="0.25">
      <c r="B94" s="1" t="s">
        <v>139</v>
      </c>
      <c r="C94" s="5">
        <f>F83*(E82-F82)</f>
        <v>15750</v>
      </c>
    </row>
    <row r="95" spans="2:6" x14ac:dyDescent="0.25">
      <c r="B95" s="1" t="s">
        <v>138</v>
      </c>
      <c r="C95" s="5">
        <f>C94*F80</f>
        <v>20475000</v>
      </c>
    </row>
    <row r="96" spans="2:6" x14ac:dyDescent="0.25">
      <c r="C96" s="5"/>
    </row>
    <row r="97" spans="2:9" x14ac:dyDescent="0.25">
      <c r="B97" s="1" t="s">
        <v>140</v>
      </c>
      <c r="C97" s="5">
        <f>C93+C95</f>
        <v>131579651.1627907</v>
      </c>
      <c r="E97" s="1" t="s">
        <v>142</v>
      </c>
      <c r="F97" s="8">
        <v>0.24</v>
      </c>
    </row>
    <row r="98" spans="2:9" ht="20.25" x14ac:dyDescent="0.35">
      <c r="B98" s="7" t="s">
        <v>141</v>
      </c>
      <c r="C98" s="5">
        <f>C97-C97*F85/100</f>
        <v>107895313.95348838</v>
      </c>
    </row>
    <row r="100" spans="2:9" ht="16.5" thickBot="1" x14ac:dyDescent="0.3">
      <c r="B100" s="1" t="s">
        <v>143</v>
      </c>
      <c r="C100">
        <f xml:space="preserve"> POWER((1+$F$97),1-D100)</f>
        <v>1</v>
      </c>
      <c r="D100" s="1">
        <v>1</v>
      </c>
      <c r="F100" s="6">
        <v>0</v>
      </c>
      <c r="G100" s="6">
        <f>C98</f>
        <v>107895313.95348838</v>
      </c>
      <c r="H100" s="6">
        <f>C98</f>
        <v>107895313.95348838</v>
      </c>
      <c r="I100" s="6">
        <f>C98</f>
        <v>107895313.95348838</v>
      </c>
    </row>
    <row r="101" spans="2:9" x14ac:dyDescent="0.25">
      <c r="B101" s="1" t="s">
        <v>144</v>
      </c>
      <c r="C101" s="4">
        <f t="shared" ref="C101:C103" si="0" xml:space="preserve"> POWER((1+$F$97),1-D101)</f>
        <v>0.80645161290322587</v>
      </c>
      <c r="D101">
        <v>2</v>
      </c>
      <c r="F101" s="9">
        <v>0</v>
      </c>
      <c r="G101" s="3">
        <f>G100*C101</f>
        <v>87012349.962490633</v>
      </c>
      <c r="H101" s="3">
        <f>H100*C102</f>
        <v>70171249.969750509</v>
      </c>
      <c r="I101" s="3">
        <f>I100*C103</f>
        <v>56589717.717540726</v>
      </c>
    </row>
    <row r="102" spans="2:9" x14ac:dyDescent="0.25">
      <c r="B102" s="1" t="s">
        <v>145</v>
      </c>
      <c r="C102" s="4">
        <f t="shared" si="0"/>
        <v>0.65036420395421435</v>
      </c>
      <c r="D102">
        <v>3</v>
      </c>
    </row>
    <row r="103" spans="2:9" x14ac:dyDescent="0.25">
      <c r="B103" s="1" t="s">
        <v>146</v>
      </c>
      <c r="C103" s="4">
        <f t="shared" si="0"/>
        <v>0.52448726125339862</v>
      </c>
      <c r="D103">
        <v>4</v>
      </c>
      <c r="F103" s="5">
        <f>F101-C89</f>
        <v>-141896055.68240941</v>
      </c>
      <c r="G103" s="5">
        <f>G101</f>
        <v>87012349.962490633</v>
      </c>
      <c r="H103" s="5">
        <f>H101</f>
        <v>70171249.969750509</v>
      </c>
      <c r="I103" s="5">
        <f>I101</f>
        <v>56589717.717540726</v>
      </c>
    </row>
    <row r="104" spans="2:9" x14ac:dyDescent="0.25">
      <c r="F104" s="5">
        <f>F103</f>
        <v>-141896055.68240941</v>
      </c>
      <c r="G104" s="5">
        <f>G103+F103</f>
        <v>-54883705.719918773</v>
      </c>
      <c r="H104" s="5">
        <f>H103+G103+F103</f>
        <v>15287544.249831736</v>
      </c>
      <c r="I104" s="5">
        <f>I103+H103+G103+F103</f>
        <v>71877261.967372477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2015-03-20T20:00:26Z</dcterms:modified>
</cp:coreProperties>
</file>