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495" windowHeight="9570"/>
  </bookViews>
  <sheets>
    <sheet name="Лист1" sheetId="1" r:id="rId1"/>
    <sheet name="Sheet2" sheetId="3" r:id="rId2"/>
    <sheet name="Sheet1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G3" i="1"/>
  <c r="E3" i="1"/>
  <c r="C5" i="1"/>
  <c r="D5" i="1"/>
  <c r="C6" i="1"/>
  <c r="D6" i="1"/>
  <c r="C7" i="1"/>
  <c r="D7" i="1"/>
  <c r="C8" i="1"/>
  <c r="D8" i="1"/>
  <c r="B23" i="1"/>
  <c r="G6" i="1"/>
  <c r="C4" i="1"/>
  <c r="D4" i="1"/>
  <c r="G4" i="1"/>
  <c r="G5" i="1"/>
  <c r="G7" i="1"/>
  <c r="G8" i="1"/>
  <c r="G9" i="1"/>
  <c r="G10" i="1"/>
  <c r="B14" i="1"/>
  <c r="B15" i="1"/>
  <c r="B16" i="1"/>
  <c r="B17" i="1"/>
  <c r="B19" i="1"/>
  <c r="B21" i="1"/>
  <c r="B25" i="1"/>
  <c r="B27" i="1"/>
  <c r="B31" i="1"/>
  <c r="B32" i="1"/>
  <c r="B29" i="1"/>
  <c r="B24" i="1"/>
  <c r="F9" i="1"/>
  <c r="B37" i="1"/>
  <c r="I37" i="1"/>
  <c r="B38" i="1"/>
  <c r="I38" i="1"/>
  <c r="B39" i="1"/>
  <c r="I39" i="1"/>
  <c r="B40" i="1"/>
  <c r="I40" i="1"/>
  <c r="D37" i="1"/>
  <c r="J37" i="1"/>
  <c r="J39" i="1"/>
  <c r="J40" i="1"/>
  <c r="J38" i="1"/>
  <c r="B47" i="1"/>
  <c r="E38" i="1"/>
  <c r="E39" i="1"/>
  <c r="E40" i="1"/>
  <c r="E37" i="1"/>
  <c r="E41" i="1"/>
</calcChain>
</file>

<file path=xl/sharedStrings.xml><?xml version="1.0" encoding="utf-8"?>
<sst xmlns="http://schemas.openxmlformats.org/spreadsheetml/2006/main" count="113" uniqueCount="93">
  <si>
    <t>зп почасовая</t>
  </si>
  <si>
    <t>Jun</t>
  </si>
  <si>
    <t>Lead Engineer</t>
  </si>
  <si>
    <t>Business Anal</t>
  </si>
  <si>
    <t>Web Designer</t>
  </si>
  <si>
    <t>зп дол</t>
  </si>
  <si>
    <t>зп руб</t>
  </si>
  <si>
    <t>работы</t>
  </si>
  <si>
    <t>Разработка модуля пользовательского нитерфейса</t>
  </si>
  <si>
    <t>Построение архитектуры приложения. Контроль выполнения задач. Помощь остальным разработчикам команды.</t>
  </si>
  <si>
    <t xml:space="preserve">Тестирование написанных модулей приложения. </t>
  </si>
  <si>
    <t>Разработка модуля регистрации и авторизации, модуля компиляции кода и модуля взаимодействия с БД. Разработка контроллеров и моделей приложения. Написания документации и исправление найденных ошибок.</t>
  </si>
  <si>
    <t>Продвижение продукта</t>
  </si>
  <si>
    <t>Трудоемкость, часы</t>
  </si>
  <si>
    <t>%</t>
  </si>
  <si>
    <t>основная зп (Зо)</t>
  </si>
  <si>
    <t>Норматив доп зп (Нд)</t>
  </si>
  <si>
    <t>Норматив на соц нужды (Нсоц)</t>
  </si>
  <si>
    <t>Прочие затраты (Зпз)</t>
  </si>
  <si>
    <t>Норматив прочих затрат (Нпз)</t>
  </si>
  <si>
    <t>Затраты на доп зп (Зд)</t>
  </si>
  <si>
    <t>Отчисления на соц нужды (Зсоц)</t>
  </si>
  <si>
    <t>НДС</t>
  </si>
  <si>
    <t>Стоимость реализации</t>
  </si>
  <si>
    <t>Количество купленных копий за год</t>
  </si>
  <si>
    <t>Цена продукта (1шт)</t>
  </si>
  <si>
    <t>Общая сумма затрат (Сп)</t>
  </si>
  <si>
    <t>Уровень рентабельности (Ур)</t>
  </si>
  <si>
    <t>Стоимость разработки и реализации (Зр)</t>
  </si>
  <si>
    <t>Годовая прибыль (П)</t>
  </si>
  <si>
    <t>Рентабельность затрат на разр. ПО</t>
  </si>
  <si>
    <t>Средняя процентная ставка по депозиту за март 2017 года = 7,9% для юр лиц.         (www.nbrb.by)</t>
  </si>
  <si>
    <t xml:space="preserve">Норма дисконта </t>
  </si>
  <si>
    <t>Коэффициент дисконтировани (αt)</t>
  </si>
  <si>
    <t>Порядковый номер года периода</t>
  </si>
  <si>
    <t>Чистый Дисконтированый Доход (ЧДД)</t>
  </si>
  <si>
    <t>Затраты за год</t>
  </si>
  <si>
    <t>ЧДД за год</t>
  </si>
  <si>
    <t>Срок окупаемости 4 года</t>
  </si>
  <si>
    <t>Рентабельность инвестиций</t>
  </si>
  <si>
    <t>П*α</t>
  </si>
  <si>
    <t>З*α</t>
  </si>
  <si>
    <t>Премиальный фонд</t>
  </si>
  <si>
    <t>QA</t>
  </si>
  <si>
    <t>Software Engineer</t>
  </si>
  <si>
    <t>Прибыль на 1 ед продукции (Пед)</t>
  </si>
  <si>
    <t>Чистая прибыль</t>
  </si>
  <si>
    <t>налог на прибыль</t>
  </si>
  <si>
    <t>налог на недв</t>
  </si>
  <si>
    <t>Показатели</t>
  </si>
  <si>
    <t>Расчётный период</t>
  </si>
  <si>
    <t>Результат</t>
  </si>
  <si>
    <t>1.Экономический эффект, руб.</t>
  </si>
  <si>
    <t>2.Дисконтированный результат, руб.</t>
  </si>
  <si>
    <t>Затраты</t>
  </si>
  <si>
    <t>3. Инвестиции в разработку программного средства, руб.</t>
  </si>
  <si>
    <t>4. Дисконтированные инвестиции, руб.</t>
  </si>
  <si>
    <t>5. Чистый дисконтированный доход по годам, руб.</t>
  </si>
  <si>
    <t>6. Чистый дисконтированный доход нарастающим итогом, руб.</t>
  </si>
  <si>
    <t>Коэффициент дисконтирования</t>
  </si>
  <si>
    <t>Наименование показателей</t>
  </si>
  <si>
    <t>Буквенные обозначения</t>
  </si>
  <si>
    <t>Единицы измерения</t>
  </si>
  <si>
    <t>Количество</t>
  </si>
  <si>
    <t>Фонд социальной защиты населения(от заработной платы)</t>
  </si>
  <si>
    <r>
      <t>Н</t>
    </r>
    <r>
      <rPr>
        <vertAlign val="subscript"/>
        <sz val="14"/>
        <color theme="1"/>
        <rFont val="Times New Roman"/>
      </rPr>
      <t>соц</t>
    </r>
  </si>
  <si>
    <t>Обязательное страхование (от несчастных случаев на производстве, от заработной платы)</t>
  </si>
  <si>
    <r>
      <t>Н</t>
    </r>
    <r>
      <rPr>
        <vertAlign val="subscript"/>
        <sz val="14"/>
        <color theme="1"/>
        <rFont val="Times New Roman"/>
      </rPr>
      <t>стр</t>
    </r>
  </si>
  <si>
    <t>Налог на прибыль</t>
  </si>
  <si>
    <r>
      <t>Н</t>
    </r>
    <r>
      <rPr>
        <vertAlign val="subscript"/>
        <sz val="14"/>
        <color theme="1"/>
        <rFont val="Times New Roman"/>
      </rPr>
      <t>приб</t>
    </r>
  </si>
  <si>
    <r>
      <t>Н</t>
    </r>
    <r>
      <rPr>
        <vertAlign val="subscript"/>
        <sz val="14"/>
        <color theme="1"/>
        <rFont val="Times New Roman"/>
      </rPr>
      <t>недв</t>
    </r>
  </si>
  <si>
    <t>НДС (Налог на добавленную стоимость)</t>
  </si>
  <si>
    <t>Норма дисконта</t>
  </si>
  <si>
    <r>
      <t>Е</t>
    </r>
    <r>
      <rPr>
        <vertAlign val="subscript"/>
        <sz val="14"/>
        <color theme="1"/>
        <rFont val="Times New Roman"/>
      </rPr>
      <t>н</t>
    </r>
  </si>
  <si>
    <t>Тарифная ставка 1-го разряда</t>
  </si>
  <si>
    <r>
      <t>Т</t>
    </r>
    <r>
      <rPr>
        <vertAlign val="subscript"/>
        <sz val="14"/>
        <color theme="1"/>
        <rFont val="Times New Roman"/>
      </rPr>
      <t>м1</t>
    </r>
  </si>
  <si>
    <t>руб</t>
  </si>
  <si>
    <t>Часовая тарифная ставка 1-го разряда</t>
  </si>
  <si>
    <r>
      <t>Т</t>
    </r>
    <r>
      <rPr>
        <vertAlign val="subscript"/>
        <sz val="14"/>
        <color theme="1"/>
        <rFont val="Times New Roman"/>
      </rPr>
      <t>ч</t>
    </r>
  </si>
  <si>
    <t>Установленный фонд рабочего времени</t>
  </si>
  <si>
    <r>
      <t>Ф</t>
    </r>
    <r>
      <rPr>
        <vertAlign val="subscript"/>
        <sz val="14"/>
        <color theme="1"/>
        <rFont val="Times New Roman"/>
      </rPr>
      <t>рв</t>
    </r>
  </si>
  <si>
    <t>часов</t>
  </si>
  <si>
    <t>Продолжительность рабочего дня</t>
  </si>
  <si>
    <t>часов.</t>
  </si>
  <si>
    <t>Тарифный коэффициент</t>
  </si>
  <si>
    <r>
      <t>Т</t>
    </r>
    <r>
      <rPr>
        <vertAlign val="subscript"/>
        <sz val="14"/>
        <color theme="1"/>
        <rFont val="Times New Roman"/>
      </rPr>
      <t>к</t>
    </r>
  </si>
  <si>
    <t>-</t>
  </si>
  <si>
    <t>Коэффициент премирования</t>
  </si>
  <si>
    <t>единиц</t>
  </si>
  <si>
    <t>Налог на недвижимость (от стоимости зданий и сооружений)</t>
  </si>
  <si>
    <t>Осн Зп(Зо)</t>
  </si>
  <si>
    <t>Цена 1 шт</t>
  </si>
  <si>
    <t>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</si>
</sst>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</font>
    <font>
      <sz val="14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center" vertical="center" wrapText="1"/>
    </xf>
    <xf numFmtId="10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0" workbookViewId="0">
      <selection activeCell="B32" sqref="B32"/>
    </sheetView>
  </sheetViews>
  <sheetFormatPr defaultColWidth="8.85546875" defaultRowHeight="15" x14ac:dyDescent="0.25"/>
  <cols>
    <col min="1" max="1" width="38.85546875" customWidth="1"/>
    <col min="4" max="4" width="14.85546875" customWidth="1"/>
    <col min="5" max="5" width="11.140625" customWidth="1"/>
    <col min="6" max="6" width="31.42578125" customWidth="1"/>
    <col min="7" max="8" width="22" customWidth="1"/>
    <col min="10" max="10" width="12.85546875" customWidth="1"/>
  </cols>
  <sheetData>
    <row r="1" spans="1:8" x14ac:dyDescent="0.25">
      <c r="D1">
        <v>166</v>
      </c>
    </row>
    <row r="2" spans="1:8" x14ac:dyDescent="0.25">
      <c r="B2" t="s">
        <v>5</v>
      </c>
      <c r="C2" t="s">
        <v>6</v>
      </c>
      <c r="D2" t="s">
        <v>0</v>
      </c>
      <c r="F2" t="s">
        <v>13</v>
      </c>
      <c r="G2" t="s">
        <v>15</v>
      </c>
      <c r="H2" t="s">
        <v>7</v>
      </c>
    </row>
    <row r="3" spans="1:8" ht="18.600000000000001" customHeight="1" x14ac:dyDescent="0.25">
      <c r="A3" t="s">
        <v>44</v>
      </c>
      <c r="B3">
        <v>1500</v>
      </c>
      <c r="C3">
        <f>B3*1.8694</f>
        <v>2804.1</v>
      </c>
      <c r="D3">
        <f>C3/$D$1</f>
        <v>16.892168674698794</v>
      </c>
      <c r="E3">
        <f>F3*D3</f>
        <v>5067.6506024096379</v>
      </c>
      <c r="F3">
        <v>300</v>
      </c>
      <c r="G3">
        <f>D3*F3*2</f>
        <v>10135.301204819276</v>
      </c>
      <c r="H3" s="1" t="s">
        <v>11</v>
      </c>
    </row>
    <row r="4" spans="1:8" ht="20.45" customHeight="1" x14ac:dyDescent="0.25">
      <c r="A4" t="s">
        <v>43</v>
      </c>
      <c r="B4">
        <v>800</v>
      </c>
      <c r="C4">
        <f t="shared" ref="C4:C8" si="0">B4*1.8694</f>
        <v>1495.52</v>
      </c>
      <c r="D4">
        <f t="shared" ref="D4:D8" si="1">C4/$D$1</f>
        <v>9.0091566265060248</v>
      </c>
      <c r="F4">
        <v>150</v>
      </c>
      <c r="G4">
        <f t="shared" ref="G4:G8" si="2">D4*F4</f>
        <v>1351.3734939759038</v>
      </c>
      <c r="H4" s="1" t="s">
        <v>10</v>
      </c>
    </row>
    <row r="5" spans="1:8" ht="15.6" customHeight="1" x14ac:dyDescent="0.25">
      <c r="A5" t="s">
        <v>1</v>
      </c>
      <c r="B5">
        <v>500</v>
      </c>
      <c r="C5">
        <f t="shared" si="0"/>
        <v>934.69999999999993</v>
      </c>
      <c r="D5">
        <f t="shared" si="1"/>
        <v>5.6307228915662648</v>
      </c>
      <c r="F5">
        <v>0</v>
      </c>
      <c r="G5">
        <f>D5*F5</f>
        <v>0</v>
      </c>
      <c r="H5" s="1" t="s">
        <v>11</v>
      </c>
    </row>
    <row r="6" spans="1:8" ht="16.7" customHeight="1" x14ac:dyDescent="0.25">
      <c r="A6" t="s">
        <v>2</v>
      </c>
      <c r="B6">
        <v>2550</v>
      </c>
      <c r="C6">
        <f>B6*1.8694</f>
        <v>4766.97</v>
      </c>
      <c r="D6">
        <f t="shared" si="1"/>
        <v>28.716686746987953</v>
      </c>
      <c r="F6">
        <v>100</v>
      </c>
      <c r="G6">
        <f t="shared" si="2"/>
        <v>2871.6686746987953</v>
      </c>
      <c r="H6" s="1" t="s">
        <v>9</v>
      </c>
    </row>
    <row r="7" spans="1:8" ht="19.7" customHeight="1" x14ac:dyDescent="0.25">
      <c r="A7" t="s">
        <v>3</v>
      </c>
      <c r="B7">
        <v>1500</v>
      </c>
      <c r="C7">
        <f t="shared" si="0"/>
        <v>2804.1</v>
      </c>
      <c r="D7">
        <f t="shared" si="1"/>
        <v>16.892168674698794</v>
      </c>
      <c r="F7">
        <v>0</v>
      </c>
      <c r="G7">
        <f t="shared" si="2"/>
        <v>0</v>
      </c>
      <c r="H7" s="1" t="s">
        <v>12</v>
      </c>
    </row>
    <row r="8" spans="1:8" ht="21" customHeight="1" x14ac:dyDescent="0.25">
      <c r="A8" t="s">
        <v>4</v>
      </c>
      <c r="B8">
        <v>1000</v>
      </c>
      <c r="C8">
        <f t="shared" si="0"/>
        <v>1869.3999999999999</v>
      </c>
      <c r="D8">
        <f t="shared" si="1"/>
        <v>11.26144578313253</v>
      </c>
      <c r="F8">
        <v>100</v>
      </c>
      <c r="G8">
        <f t="shared" si="2"/>
        <v>1126.1445783132531</v>
      </c>
      <c r="H8" s="1" t="s">
        <v>8</v>
      </c>
    </row>
    <row r="9" spans="1:8" ht="24.6" customHeight="1" x14ac:dyDescent="0.25">
      <c r="F9">
        <f>SUM(F3:F8)</f>
        <v>650</v>
      </c>
      <c r="G9">
        <f>SUM(G3:G8)</f>
        <v>15484.487951807228</v>
      </c>
    </row>
    <row r="10" spans="1:8" x14ac:dyDescent="0.25">
      <c r="G10">
        <f>G14/100 * G9</f>
        <v>7742.2439759036142</v>
      </c>
    </row>
    <row r="11" spans="1:8" x14ac:dyDescent="0.25">
      <c r="F11" t="s">
        <v>16</v>
      </c>
      <c r="G11">
        <v>15</v>
      </c>
      <c r="H11" t="s">
        <v>14</v>
      </c>
    </row>
    <row r="12" spans="1:8" x14ac:dyDescent="0.25">
      <c r="F12" t="s">
        <v>17</v>
      </c>
      <c r="G12">
        <v>34.6</v>
      </c>
      <c r="H12" t="s">
        <v>14</v>
      </c>
    </row>
    <row r="13" spans="1:8" x14ac:dyDescent="0.25">
      <c r="F13" t="s">
        <v>19</v>
      </c>
      <c r="G13">
        <v>100</v>
      </c>
      <c r="H13" t="s">
        <v>14</v>
      </c>
    </row>
    <row r="14" spans="1:8" x14ac:dyDescent="0.25">
      <c r="A14" t="s">
        <v>90</v>
      </c>
      <c r="B14">
        <f>G9 + G10</f>
        <v>23226.731927710844</v>
      </c>
      <c r="F14" t="s">
        <v>42</v>
      </c>
      <c r="G14">
        <v>50</v>
      </c>
      <c r="H14" t="s">
        <v>14</v>
      </c>
    </row>
    <row r="15" spans="1:8" x14ac:dyDescent="0.25">
      <c r="A15" t="s">
        <v>20</v>
      </c>
      <c r="B15">
        <f>B14*G11/100</f>
        <v>3484.009789156627</v>
      </c>
    </row>
    <row r="16" spans="1:8" x14ac:dyDescent="0.25">
      <c r="A16" t="s">
        <v>21</v>
      </c>
      <c r="B16">
        <f>(B14+B15)*G12/100</f>
        <v>9241.9166340361444</v>
      </c>
      <c r="F16" t="s">
        <v>22</v>
      </c>
      <c r="G16">
        <v>20</v>
      </c>
      <c r="H16" t="s">
        <v>14</v>
      </c>
    </row>
    <row r="17" spans="1:8" x14ac:dyDescent="0.25">
      <c r="A17" t="s">
        <v>18</v>
      </c>
      <c r="B17">
        <f>B14*G13/100</f>
        <v>23226.73192771084</v>
      </c>
    </row>
    <row r="19" spans="1:8" x14ac:dyDescent="0.25">
      <c r="A19" t="s">
        <v>26</v>
      </c>
      <c r="B19">
        <f>B14+B15+B16+B17</f>
        <v>59179.390278614454</v>
      </c>
      <c r="F19" t="s">
        <v>27</v>
      </c>
      <c r="G19">
        <v>50</v>
      </c>
      <c r="H19" t="s">
        <v>14</v>
      </c>
    </row>
    <row r="21" spans="1:8" x14ac:dyDescent="0.25">
      <c r="A21" t="s">
        <v>28</v>
      </c>
      <c r="B21">
        <f>B19+G21*B19/100</f>
        <v>62138.359792545176</v>
      </c>
      <c r="F21" t="s">
        <v>23</v>
      </c>
      <c r="G21">
        <v>5</v>
      </c>
      <c r="H21" t="s">
        <v>14</v>
      </c>
    </row>
    <row r="22" spans="1:8" x14ac:dyDescent="0.25">
      <c r="F22" t="s">
        <v>24</v>
      </c>
      <c r="G22">
        <v>200</v>
      </c>
    </row>
    <row r="23" spans="1:8" x14ac:dyDescent="0.25">
      <c r="A23" t="s">
        <v>22</v>
      </c>
      <c r="B23">
        <f>G23*G16/(100+G16)</f>
        <v>133.33333333333334</v>
      </c>
      <c r="F23" t="s">
        <v>91</v>
      </c>
      <c r="G23">
        <v>800</v>
      </c>
    </row>
    <row r="24" spans="1:8" x14ac:dyDescent="0.25">
      <c r="A24" t="s">
        <v>45</v>
      </c>
      <c r="B24">
        <f>B19*G19/(G22*100)</f>
        <v>147.94847569653612</v>
      </c>
      <c r="F24" t="s">
        <v>47</v>
      </c>
      <c r="G24">
        <v>0.18</v>
      </c>
    </row>
    <row r="25" spans="1:8" x14ac:dyDescent="0.25">
      <c r="A25" t="s">
        <v>25</v>
      </c>
      <c r="B25">
        <f>G23-B23-B21/G22</f>
        <v>355.97486770394073</v>
      </c>
      <c r="F25" t="s">
        <v>48</v>
      </c>
      <c r="G25">
        <v>0.01</v>
      </c>
    </row>
    <row r="27" spans="1:8" x14ac:dyDescent="0.25">
      <c r="A27" t="s">
        <v>29</v>
      </c>
      <c r="B27">
        <f>G22*B25</f>
        <v>71194.973540788153</v>
      </c>
    </row>
    <row r="29" spans="1:8" x14ac:dyDescent="0.25">
      <c r="A29" t="s">
        <v>30</v>
      </c>
      <c r="B29">
        <f>B27/B21*100</f>
        <v>114.57491600756657</v>
      </c>
      <c r="C29" t="s">
        <v>14</v>
      </c>
    </row>
    <row r="31" spans="1:8" x14ac:dyDescent="0.25">
      <c r="A31" t="s">
        <v>46</v>
      </c>
      <c r="B31">
        <f>B27 -B27*(G24+G25)</f>
        <v>57667.928568038406</v>
      </c>
    </row>
    <row r="32" spans="1:8" x14ac:dyDescent="0.25">
      <c r="A32" t="s">
        <v>92</v>
      </c>
      <c r="B32" s="13">
        <f>B31/B19</f>
        <v>0.97445966064435374</v>
      </c>
    </row>
    <row r="34" spans="1:10" x14ac:dyDescent="0.25">
      <c r="A34" t="s">
        <v>31</v>
      </c>
    </row>
    <row r="35" spans="1:10" x14ac:dyDescent="0.25">
      <c r="F35" t="s">
        <v>32</v>
      </c>
      <c r="G35">
        <v>17</v>
      </c>
      <c r="H35" t="s">
        <v>14</v>
      </c>
    </row>
    <row r="36" spans="1:10" x14ac:dyDescent="0.25">
      <c r="D36" t="s">
        <v>36</v>
      </c>
      <c r="E36" t="s">
        <v>37</v>
      </c>
      <c r="F36" t="s">
        <v>34</v>
      </c>
      <c r="I36" t="s">
        <v>40</v>
      </c>
      <c r="J36" t="s">
        <v>41</v>
      </c>
    </row>
    <row r="37" spans="1:10" x14ac:dyDescent="0.25">
      <c r="A37" t="s">
        <v>33</v>
      </c>
      <c r="B37">
        <f>1/POWER((1+$G$35/100),F37)</f>
        <v>1</v>
      </c>
      <c r="D37">
        <f>B19</f>
        <v>59179.390278614454</v>
      </c>
      <c r="E37">
        <f>(I37-J37)</f>
        <v>12015.583262173699</v>
      </c>
      <c r="F37">
        <v>0</v>
      </c>
      <c r="I37">
        <f>$B$27*B37</f>
        <v>71194.973540788153</v>
      </c>
      <c r="J37">
        <f>D37*B37</f>
        <v>59179.390278614454</v>
      </c>
    </row>
    <row r="38" spans="1:10" x14ac:dyDescent="0.25">
      <c r="B38">
        <f t="shared" ref="B38:B40" si="3">1/POWER((1+$G$35/100),F38)</f>
        <v>0.85470085470085477</v>
      </c>
      <c r="D38">
        <v>0</v>
      </c>
      <c r="E38">
        <f t="shared" ref="E38:E40" si="4">(I38-J38)</f>
        <v>60850.404735716373</v>
      </c>
      <c r="F38">
        <v>1</v>
      </c>
      <c r="I38">
        <f t="shared" ref="I38:I40" si="5">$B$27*B38</f>
        <v>60850.404735716373</v>
      </c>
      <c r="J38">
        <f t="shared" ref="J38:J40" si="6">D38*B38</f>
        <v>0</v>
      </c>
    </row>
    <row r="39" spans="1:10" x14ac:dyDescent="0.25">
      <c r="B39">
        <f t="shared" si="3"/>
        <v>0.73051355102637161</v>
      </c>
      <c r="D39">
        <v>0</v>
      </c>
      <c r="E39">
        <f t="shared" si="4"/>
        <v>52008.892936509721</v>
      </c>
      <c r="F39">
        <v>2</v>
      </c>
      <c r="I39">
        <f t="shared" si="5"/>
        <v>52008.892936509721</v>
      </c>
      <c r="J39">
        <f t="shared" si="6"/>
        <v>0</v>
      </c>
    </row>
    <row r="40" spans="1:10" x14ac:dyDescent="0.25">
      <c r="B40">
        <f t="shared" si="3"/>
        <v>0.62437055643279626</v>
      </c>
      <c r="D40">
        <v>0</v>
      </c>
      <c r="E40">
        <f t="shared" si="4"/>
        <v>44452.045244880108</v>
      </c>
      <c r="F40">
        <v>3</v>
      </c>
      <c r="I40">
        <f t="shared" si="5"/>
        <v>44452.045244880108</v>
      </c>
      <c r="J40">
        <f t="shared" si="6"/>
        <v>0</v>
      </c>
    </row>
    <row r="41" spans="1:10" x14ac:dyDescent="0.25">
      <c r="E41">
        <f>SUM(E37:E40)</f>
        <v>169326.92617927989</v>
      </c>
    </row>
    <row r="42" spans="1:10" x14ac:dyDescent="0.25">
      <c r="A42" t="s">
        <v>35</v>
      </c>
    </row>
    <row r="45" spans="1:10" x14ac:dyDescent="0.25">
      <c r="A45" t="s">
        <v>38</v>
      </c>
    </row>
    <row r="47" spans="1:10" x14ac:dyDescent="0.25">
      <c r="A47" t="s">
        <v>39</v>
      </c>
      <c r="B47">
        <f>(SUM(I37:I40))/(SUM(J37:J40))*100</f>
        <v>386.12482383156498</v>
      </c>
      <c r="C47" t="s">
        <v>14</v>
      </c>
    </row>
  </sheetData>
  <conditionalFormatting sqref="C27">
    <cfRule type="cellIs" dxfId="2" priority="3" operator="greaterThan">
      <formula>$B$27</formula>
    </cfRule>
  </conditionalFormatting>
  <conditionalFormatting sqref="B27">
    <cfRule type="cellIs" dxfId="1" priority="2" operator="greaterThan">
      <formula>$B$19</formula>
    </cfRule>
    <cfRule type="cellIs" dxfId="0" priority="1" operator="lessThan">
      <formula>$B$19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8" sqref="E18"/>
    </sheetView>
  </sheetViews>
  <sheetFormatPr defaultColWidth="11.42578125" defaultRowHeight="15" x14ac:dyDescent="0.25"/>
  <cols>
    <col min="1" max="1" width="28.42578125" customWidth="1"/>
    <col min="2" max="2" width="13.7109375" bestFit="1" customWidth="1"/>
    <col min="3" max="3" width="11.42578125" bestFit="1" customWidth="1"/>
    <col min="4" max="4" width="12.85546875" bestFit="1" customWidth="1"/>
  </cols>
  <sheetData>
    <row r="1" spans="1:4" ht="75.75" thickBot="1" x14ac:dyDescent="0.3">
      <c r="A1" s="9" t="s">
        <v>60</v>
      </c>
      <c r="B1" s="10" t="s">
        <v>61</v>
      </c>
      <c r="C1" s="10" t="s">
        <v>62</v>
      </c>
      <c r="D1" s="10" t="s">
        <v>63</v>
      </c>
    </row>
    <row r="2" spans="1:4" ht="57" thickBot="1" x14ac:dyDescent="0.3">
      <c r="A2" s="11" t="s">
        <v>64</v>
      </c>
      <c r="B2" s="12" t="s">
        <v>65</v>
      </c>
      <c r="C2" s="12" t="s">
        <v>14</v>
      </c>
      <c r="D2" s="12">
        <v>34</v>
      </c>
    </row>
    <row r="3" spans="1:4" ht="94.5" thickBot="1" x14ac:dyDescent="0.3">
      <c r="A3" s="11" t="s">
        <v>66</v>
      </c>
      <c r="B3" s="12" t="s">
        <v>67</v>
      </c>
      <c r="C3" s="12" t="s">
        <v>14</v>
      </c>
      <c r="D3" s="12">
        <v>0.6</v>
      </c>
    </row>
    <row r="4" spans="1:4" ht="21" thickBot="1" x14ac:dyDescent="0.3">
      <c r="A4" s="11" t="s">
        <v>68</v>
      </c>
      <c r="B4" s="12" t="s">
        <v>69</v>
      </c>
      <c r="C4" s="12" t="s">
        <v>14</v>
      </c>
      <c r="D4" s="12">
        <v>18</v>
      </c>
    </row>
    <row r="5" spans="1:4" ht="75.75" thickBot="1" x14ac:dyDescent="0.3">
      <c r="A5" s="11" t="s">
        <v>89</v>
      </c>
      <c r="B5" s="12" t="s">
        <v>70</v>
      </c>
      <c r="C5" s="12" t="s">
        <v>14</v>
      </c>
      <c r="D5" s="12">
        <v>1</v>
      </c>
    </row>
    <row r="6" spans="1:4" ht="57" thickBot="1" x14ac:dyDescent="0.3">
      <c r="A6" s="11" t="s">
        <v>71</v>
      </c>
      <c r="B6" s="12" t="s">
        <v>22</v>
      </c>
      <c r="C6" s="12" t="s">
        <v>14</v>
      </c>
      <c r="D6" s="12">
        <v>20</v>
      </c>
    </row>
    <row r="7" spans="1:4" ht="21" thickBot="1" x14ac:dyDescent="0.3">
      <c r="A7" s="11" t="s">
        <v>72</v>
      </c>
      <c r="B7" s="12" t="s">
        <v>73</v>
      </c>
      <c r="C7" s="12" t="s">
        <v>14</v>
      </c>
      <c r="D7" s="12">
        <v>17</v>
      </c>
    </row>
    <row r="8" spans="1:4" ht="38.25" thickBot="1" x14ac:dyDescent="0.3">
      <c r="A8" s="11" t="s">
        <v>74</v>
      </c>
      <c r="B8" s="12" t="s">
        <v>75</v>
      </c>
      <c r="C8" s="12" t="s">
        <v>76</v>
      </c>
      <c r="D8" s="12">
        <v>31</v>
      </c>
    </row>
    <row r="9" spans="1:4" ht="38.25" thickBot="1" x14ac:dyDescent="0.3">
      <c r="A9" s="11" t="s">
        <v>77</v>
      </c>
      <c r="B9" s="12" t="s">
        <v>78</v>
      </c>
      <c r="C9" s="12" t="s">
        <v>76</v>
      </c>
      <c r="D9" s="12">
        <v>0.19</v>
      </c>
    </row>
    <row r="10" spans="1:4" ht="38.25" thickBot="1" x14ac:dyDescent="0.3">
      <c r="A10" s="11" t="s">
        <v>79</v>
      </c>
      <c r="B10" s="12" t="s">
        <v>80</v>
      </c>
      <c r="C10" s="12" t="s">
        <v>81</v>
      </c>
      <c r="D10" s="12">
        <v>166</v>
      </c>
    </row>
    <row r="11" spans="1:4" ht="38.25" thickBot="1" x14ac:dyDescent="0.3">
      <c r="A11" s="11" t="s">
        <v>82</v>
      </c>
      <c r="B11" s="12" t="s">
        <v>78</v>
      </c>
      <c r="C11" s="12" t="s">
        <v>83</v>
      </c>
      <c r="D11" s="12">
        <v>8</v>
      </c>
    </row>
    <row r="12" spans="1:4" ht="38.25" thickBot="1" x14ac:dyDescent="0.3">
      <c r="A12" s="11" t="s">
        <v>84</v>
      </c>
      <c r="B12" s="12" t="s">
        <v>85</v>
      </c>
      <c r="C12" s="12" t="s">
        <v>86</v>
      </c>
      <c r="D12" s="12">
        <v>2.0299999999999998</v>
      </c>
    </row>
    <row r="13" spans="1:4" ht="38.25" thickBot="1" x14ac:dyDescent="0.3">
      <c r="A13" s="11" t="s">
        <v>87</v>
      </c>
      <c r="B13" s="12"/>
      <c r="C13" s="12" t="s">
        <v>88</v>
      </c>
      <c r="D13" s="12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7"/>
  <sheetViews>
    <sheetView workbookViewId="0">
      <selection activeCell="J15" sqref="J15"/>
    </sheetView>
  </sheetViews>
  <sheetFormatPr defaultColWidth="11.42578125" defaultRowHeight="15" x14ac:dyDescent="0.25"/>
  <cols>
    <col min="3" max="3" width="32.7109375" customWidth="1"/>
  </cols>
  <sheetData>
    <row r="5" spans="3:7" ht="15.75" thickBot="1" x14ac:dyDescent="0.3"/>
    <row r="6" spans="3:7" ht="19.5" thickBot="1" x14ac:dyDescent="0.3">
      <c r="C6" s="14" t="s">
        <v>49</v>
      </c>
      <c r="D6" s="22" t="s">
        <v>50</v>
      </c>
      <c r="E6" s="23"/>
      <c r="F6" s="23"/>
      <c r="G6" s="24"/>
    </row>
    <row r="7" spans="3:7" ht="19.5" thickBot="1" x14ac:dyDescent="0.3">
      <c r="C7" s="15"/>
      <c r="D7" s="2">
        <v>2017</v>
      </c>
      <c r="E7" s="2">
        <v>2018</v>
      </c>
      <c r="F7" s="2">
        <v>2019</v>
      </c>
      <c r="G7" s="2">
        <v>2020</v>
      </c>
    </row>
    <row r="8" spans="3:7" ht="19.5" thickBot="1" x14ac:dyDescent="0.3">
      <c r="C8" s="3">
        <v>1</v>
      </c>
      <c r="D8" s="2">
        <v>2</v>
      </c>
      <c r="E8" s="2">
        <v>3</v>
      </c>
      <c r="F8" s="2">
        <v>4</v>
      </c>
      <c r="G8" s="2">
        <v>5</v>
      </c>
    </row>
    <row r="9" spans="3:7" ht="19.5" thickBot="1" x14ac:dyDescent="0.3">
      <c r="C9" s="19" t="s">
        <v>51</v>
      </c>
      <c r="D9" s="20"/>
      <c r="E9" s="20"/>
      <c r="F9" s="20"/>
      <c r="G9" s="21"/>
    </row>
    <row r="10" spans="3:7" ht="38.25" thickBot="1" x14ac:dyDescent="0.3">
      <c r="C10" s="4" t="s">
        <v>52</v>
      </c>
      <c r="D10" s="2">
        <v>491</v>
      </c>
      <c r="E10" s="2">
        <v>491</v>
      </c>
      <c r="F10" s="2">
        <v>491</v>
      </c>
      <c r="G10" s="2">
        <v>491</v>
      </c>
    </row>
    <row r="11" spans="3:7" ht="38.25" thickBot="1" x14ac:dyDescent="0.3">
      <c r="C11" s="4" t="s">
        <v>53</v>
      </c>
      <c r="D11" s="2">
        <v>491</v>
      </c>
      <c r="E11" s="2">
        <v>417.35</v>
      </c>
      <c r="F11" s="2">
        <v>358.43</v>
      </c>
      <c r="G11" s="2">
        <v>304.42</v>
      </c>
    </row>
    <row r="12" spans="3:7" ht="19.5" thickBot="1" x14ac:dyDescent="0.3">
      <c r="C12" s="16" t="s">
        <v>54</v>
      </c>
      <c r="D12" s="17"/>
      <c r="E12" s="17"/>
      <c r="F12" s="17"/>
      <c r="G12" s="18"/>
    </row>
    <row r="13" spans="3:7" ht="57" thickBot="1" x14ac:dyDescent="0.3">
      <c r="C13" s="4" t="s">
        <v>55</v>
      </c>
      <c r="D13" s="6">
        <v>1104.2550000000001</v>
      </c>
      <c r="E13" s="5"/>
      <c r="F13" s="5"/>
      <c r="G13" s="5"/>
    </row>
    <row r="14" spans="3:7" ht="38.25" thickBot="1" x14ac:dyDescent="0.3">
      <c r="C14" s="4" t="s">
        <v>56</v>
      </c>
      <c r="D14" s="6">
        <v>1104.2550000000001</v>
      </c>
      <c r="E14" s="5"/>
      <c r="F14" s="5"/>
      <c r="G14" s="6"/>
    </row>
    <row r="15" spans="3:7" ht="57" thickBot="1" x14ac:dyDescent="0.3">
      <c r="C15" s="7" t="s">
        <v>57</v>
      </c>
      <c r="D15" s="2">
        <v>-613</v>
      </c>
      <c r="E15" s="2">
        <v>417.35</v>
      </c>
      <c r="F15" s="2">
        <v>358.43</v>
      </c>
      <c r="G15" s="2">
        <v>304.42</v>
      </c>
    </row>
    <row r="16" spans="3:7" ht="75.75" thickBot="1" x14ac:dyDescent="0.3">
      <c r="C16" s="4" t="s">
        <v>58</v>
      </c>
      <c r="D16" s="2">
        <v>-613</v>
      </c>
      <c r="E16" s="2">
        <v>-195.65</v>
      </c>
      <c r="F16" s="2">
        <v>162.58000000000001</v>
      </c>
      <c r="G16" s="2">
        <v>467</v>
      </c>
    </row>
    <row r="17" spans="3:7" ht="38.25" thickBot="1" x14ac:dyDescent="0.3">
      <c r="C17" s="7" t="s">
        <v>59</v>
      </c>
      <c r="D17" s="8">
        <v>1</v>
      </c>
      <c r="E17" s="8">
        <v>0.85</v>
      </c>
      <c r="F17" s="8">
        <v>0.73</v>
      </c>
      <c r="G17" s="8">
        <v>0.62</v>
      </c>
    </row>
  </sheetData>
  <mergeCells count="4">
    <mergeCell ref="C6:C7"/>
    <mergeCell ref="C12:G12"/>
    <mergeCell ref="C9:G9"/>
    <mergeCell ref="D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2017-05-04T10:20:55Z</dcterms:modified>
</cp:coreProperties>
</file>