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Toc184396039" localSheetId="0">Лист1!$C$86</definedName>
    <definedName name="_Toc184396043" localSheetId="0">Лист1!$A$107</definedName>
    <definedName name="_Toc184396045" localSheetId="0">Лист1!$A$115</definedName>
    <definedName name="_Toc184396046" localSheetId="0">Лист1!$A$124</definedName>
    <definedName name="_Toc184396047" localSheetId="0">Лист1!$A$128</definedName>
    <definedName name="_Toc184396048" localSheetId="0">Лист1!$A$133</definedName>
    <definedName name="_Toc184396049" localSheetId="0">Лист1!$A$149</definedName>
    <definedName name="_Toc184396050" localSheetId="0">Лист1!$A$160</definedName>
    <definedName name="_Toc184396051" localSheetId="0">Лист1!$A$162</definedName>
    <definedName name="_Toc184396052" localSheetId="0">Лист1!$A$169</definedName>
    <definedName name="_Toc184396053" localSheetId="0">Лист1!$A$182</definedName>
    <definedName name="_Toc184396055" localSheetId="0">Лист1!$A$208</definedName>
    <definedName name="_Toc184396056" localSheetId="0">Лист1!$A$214</definedName>
    <definedName name="_Toc184396057" localSheetId="0">Лист1!$A$236</definedName>
    <definedName name="_Toc184396058" localSheetId="0">Лист1!$A$266</definedName>
    <definedName name="_Toc184396059" localSheetId="0">Лист1!$A$272</definedName>
    <definedName name="_Toc184396060" localSheetId="0">Лист1!$A$301</definedName>
    <definedName name="_Toc184396061" localSheetId="0">Лист1!$A$307</definedName>
    <definedName name="_Toc184396062" localSheetId="0">Лист1!$A$313</definedName>
    <definedName name="_Toc184396064" localSheetId="0">Лист1!$A$323</definedName>
    <definedName name="_Toc184396068" localSheetId="0">Лист1!$A$351</definedName>
    <definedName name="_Toc184396069" localSheetId="0">Лист1!$A$357</definedName>
    <definedName name="_Toc184396071" localSheetId="0">Лист1!$A$367</definedName>
    <definedName name="_Toc184396072" localSheetId="0">Лист1!$A$371</definedName>
    <definedName name="_Toc184396074" localSheetId="0">Лист1!$A$379</definedName>
  </definedNames>
  <calcPr calcId="152511"/>
</workbook>
</file>

<file path=xl/calcChain.xml><?xml version="1.0" encoding="utf-8"?>
<calcChain xmlns="http://schemas.openxmlformats.org/spreadsheetml/2006/main">
  <c r="B83" i="1" l="1"/>
  <c r="C472" i="1" l="1"/>
  <c r="C190" i="1"/>
  <c r="C489" i="1"/>
  <c r="C488" i="1"/>
  <c r="C498" i="1"/>
  <c r="C479" i="1"/>
  <c r="B466" i="1"/>
  <c r="B462" i="1"/>
  <c r="B452" i="1"/>
  <c r="B460" i="1"/>
  <c r="B456" i="1"/>
  <c r="B438" i="1"/>
  <c r="B432" i="1"/>
  <c r="B421" i="1"/>
  <c r="B415" i="1"/>
  <c r="B409" i="1"/>
  <c r="B405" i="1"/>
  <c r="B403" i="1"/>
  <c r="B401" i="1"/>
  <c r="B395" i="1"/>
  <c r="B391" i="1"/>
  <c r="B387" i="1"/>
  <c r="B377" i="1"/>
  <c r="B383" i="1"/>
  <c r="B373" i="1"/>
  <c r="B369" i="1"/>
  <c r="B365" i="1"/>
  <c r="B359" i="1"/>
  <c r="B355" i="1"/>
  <c r="B339" i="1"/>
  <c r="B321" i="1"/>
  <c r="B317" i="1"/>
  <c r="E241" i="1"/>
  <c r="F260" i="1"/>
  <c r="E153" i="1"/>
  <c r="C295" i="1"/>
  <c r="E282" i="1"/>
  <c r="D283" i="1"/>
  <c r="D282" i="1"/>
  <c r="B278" i="1"/>
  <c r="B11" i="1"/>
  <c r="E230" i="1" l="1"/>
  <c r="E225" i="1"/>
  <c r="B211" i="1"/>
  <c r="U8" i="1"/>
  <c r="B167" i="1"/>
  <c r="B143" i="1"/>
  <c r="B79" i="1"/>
  <c r="B67" i="1"/>
  <c r="J42" i="1"/>
  <c r="I61" i="1"/>
  <c r="J61" i="1"/>
  <c r="F42" i="1"/>
  <c r="J45" i="1"/>
  <c r="J48" i="1"/>
  <c r="J52" i="1"/>
  <c r="J58" i="1"/>
  <c r="J60" i="1"/>
  <c r="G61" i="1"/>
  <c r="F61" i="1"/>
  <c r="D61" i="1"/>
  <c r="B23" i="1"/>
  <c r="B17" i="1"/>
  <c r="C293" i="1" l="1"/>
  <c r="C495" i="1"/>
  <c r="C494" i="1"/>
  <c r="C483" i="1"/>
  <c r="C487" i="1"/>
  <c r="C486" i="1"/>
  <c r="C485" i="1"/>
  <c r="C471" i="1"/>
  <c r="B425" i="1"/>
  <c r="B417" i="1"/>
  <c r="D193" i="1"/>
  <c r="C154" i="1" l="1"/>
  <c r="B268" i="1"/>
  <c r="O239" i="1"/>
  <c r="Z34" i="1"/>
  <c r="E259" i="1" s="1"/>
  <c r="Z33" i="1"/>
  <c r="E258" i="1" s="1"/>
  <c r="Z32" i="1"/>
  <c r="E257" i="1" s="1"/>
  <c r="Z31" i="1"/>
  <c r="E256" i="1" s="1"/>
  <c r="Z30" i="1"/>
  <c r="E255" i="1" s="1"/>
  <c r="Z29" i="1"/>
  <c r="E254" i="1" s="1"/>
  <c r="Z28" i="1"/>
  <c r="E253" i="1" s="1"/>
  <c r="F253" i="1" s="1"/>
  <c r="Z27" i="1"/>
  <c r="E252" i="1" s="1"/>
  <c r="Z26" i="1"/>
  <c r="E251" i="1" s="1"/>
  <c r="Z25" i="1"/>
  <c r="E250" i="1" s="1"/>
  <c r="Z24" i="1"/>
  <c r="E249" i="1" s="1"/>
  <c r="Z23" i="1"/>
  <c r="E248" i="1" s="1"/>
  <c r="Z22" i="1"/>
  <c r="E247" i="1" s="1"/>
  <c r="Z21" i="1"/>
  <c r="E246" i="1" s="1"/>
  <c r="Z20" i="1"/>
  <c r="E245" i="1" s="1"/>
  <c r="Z19" i="1"/>
  <c r="E244" i="1" s="1"/>
  <c r="Z18" i="1"/>
  <c r="E243" i="1" s="1"/>
  <c r="Z17" i="1"/>
  <c r="E242" i="1" s="1"/>
  <c r="Z16" i="1"/>
  <c r="D241" i="1"/>
  <c r="D259" i="1"/>
  <c r="D258" i="1"/>
  <c r="D257" i="1"/>
  <c r="D256" i="1"/>
  <c r="D255" i="1"/>
  <c r="F255" i="1" s="1"/>
  <c r="D254" i="1"/>
  <c r="F254" i="1" s="1"/>
  <c r="D253" i="1"/>
  <c r="D252" i="1"/>
  <c r="F252" i="1" s="1"/>
  <c r="D251" i="1"/>
  <c r="F251" i="1" s="1"/>
  <c r="D250" i="1"/>
  <c r="D249" i="1"/>
  <c r="D248" i="1"/>
  <c r="D247" i="1"/>
  <c r="D246" i="1"/>
  <c r="D245" i="1"/>
  <c r="F245" i="1" s="1"/>
  <c r="D244" i="1"/>
  <c r="F244" i="1" s="1"/>
  <c r="D243" i="1"/>
  <c r="F243" i="1" s="1"/>
  <c r="D242" i="1"/>
  <c r="F257" i="1" l="1"/>
  <c r="F249" i="1"/>
  <c r="F248" i="1"/>
  <c r="F256" i="1"/>
  <c r="F242" i="1"/>
  <c r="F246" i="1"/>
  <c r="F250" i="1"/>
  <c r="F258" i="1"/>
  <c r="F247" i="1"/>
  <c r="F259" i="1"/>
  <c r="E283" i="1"/>
  <c r="F241" i="1"/>
  <c r="E220" i="1"/>
  <c r="E221" i="1"/>
  <c r="E222" i="1"/>
  <c r="E223" i="1"/>
  <c r="E224" i="1"/>
  <c r="E226" i="1"/>
  <c r="E227" i="1"/>
  <c r="E228" i="1"/>
  <c r="E229" i="1"/>
  <c r="E219" i="1"/>
  <c r="Z3" i="1"/>
  <c r="S7" i="1"/>
  <c r="T7" i="1" s="1"/>
  <c r="U7" i="1" s="1"/>
  <c r="S6" i="1"/>
  <c r="T6" i="1" s="1"/>
  <c r="U6" i="1" s="1"/>
  <c r="S5" i="1"/>
  <c r="S4" i="1"/>
  <c r="T4" i="1" s="1"/>
  <c r="U4" i="1" s="1"/>
  <c r="S3" i="1"/>
  <c r="T3" i="1" s="1"/>
  <c r="U3" i="1" s="1"/>
  <c r="F211" i="1"/>
  <c r="E284" i="1" l="1"/>
  <c r="E285" i="1"/>
  <c r="E286" i="1" s="1"/>
  <c r="T5" i="1"/>
  <c r="C185" i="1" s="1"/>
  <c r="F261" i="1"/>
  <c r="E121" i="1"/>
  <c r="E154" i="1"/>
  <c r="C122" i="1"/>
  <c r="I94" i="1"/>
  <c r="F96" i="1" s="1"/>
  <c r="E103" i="1" s="1"/>
  <c r="C111" i="1" s="1"/>
  <c r="D111" i="1" s="1"/>
  <c r="F111" i="1" s="1"/>
  <c r="B80" i="1"/>
  <c r="B18" i="1"/>
  <c r="B33" i="1"/>
  <c r="A75" i="1"/>
  <c r="A73" i="1"/>
  <c r="A74" i="1"/>
  <c r="A72" i="1"/>
  <c r="F262" i="1" l="1"/>
  <c r="B264" i="1" s="1"/>
  <c r="E231" i="1"/>
  <c r="B234" i="1" s="1"/>
  <c r="C186" i="1" s="1"/>
  <c r="D186" i="1" s="1"/>
  <c r="D185" i="1"/>
  <c r="U5" i="1"/>
  <c r="F121" i="1"/>
  <c r="F122" i="1" s="1"/>
  <c r="E122" i="1"/>
  <c r="E102" i="1"/>
  <c r="F97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3" i="1"/>
  <c r="B36" i="1"/>
  <c r="C33" i="1"/>
  <c r="I57" i="1" s="1"/>
  <c r="C24" i="1"/>
  <c r="G17" i="1"/>
  <c r="C297" i="1" l="1"/>
  <c r="D297" i="1" s="1"/>
  <c r="C299" i="1" s="1"/>
  <c r="B270" i="1"/>
  <c r="B305" i="1" s="1"/>
  <c r="C490" i="1" s="1"/>
  <c r="C192" i="1"/>
  <c r="D192" i="1" s="1"/>
  <c r="B276" i="1"/>
  <c r="B327" i="1"/>
  <c r="C194" i="1" s="1"/>
  <c r="D194" i="1" s="1"/>
  <c r="C187" i="1"/>
  <c r="D187" i="1" s="1"/>
  <c r="B311" i="1"/>
  <c r="C191" i="1" s="1"/>
  <c r="D191" i="1" s="1"/>
  <c r="B333" i="1"/>
  <c r="C195" i="1" s="1"/>
  <c r="D195" i="1" s="1"/>
  <c r="D299" i="1"/>
  <c r="C189" i="1" s="1"/>
  <c r="D189" i="1" s="1"/>
  <c r="C188" i="1"/>
  <c r="D188" i="1" s="1"/>
  <c r="G121" i="1"/>
  <c r="F45" i="1"/>
  <c r="J49" i="1"/>
  <c r="F49" i="1"/>
  <c r="F53" i="1"/>
  <c r="J53" i="1"/>
  <c r="J57" i="1"/>
  <c r="F57" i="1"/>
  <c r="I43" i="1"/>
  <c r="I47" i="1"/>
  <c r="I51" i="1"/>
  <c r="I55" i="1"/>
  <c r="I58" i="1"/>
  <c r="F43" i="1"/>
  <c r="J43" i="1"/>
  <c r="J46" i="1"/>
  <c r="F46" i="1"/>
  <c r="J50" i="1"/>
  <c r="F50" i="1"/>
  <c r="F54" i="1"/>
  <c r="J54" i="1"/>
  <c r="F58" i="1"/>
  <c r="I44" i="1"/>
  <c r="I48" i="1"/>
  <c r="I52" i="1"/>
  <c r="I56" i="1"/>
  <c r="I60" i="1"/>
  <c r="F47" i="1"/>
  <c r="J47" i="1"/>
  <c r="J51" i="1"/>
  <c r="F51" i="1"/>
  <c r="J55" i="1"/>
  <c r="F55" i="1"/>
  <c r="J59" i="1"/>
  <c r="F59" i="1"/>
  <c r="I45" i="1"/>
  <c r="I49" i="1"/>
  <c r="I53" i="1"/>
  <c r="C83" i="1"/>
  <c r="I42" i="1"/>
  <c r="F44" i="1"/>
  <c r="J44" i="1"/>
  <c r="F48" i="1"/>
  <c r="F52" i="1"/>
  <c r="F56" i="1"/>
  <c r="J56" i="1"/>
  <c r="F60" i="1"/>
  <c r="I46" i="1"/>
  <c r="I50" i="1"/>
  <c r="I54" i="1"/>
  <c r="I59" i="1"/>
  <c r="C110" i="1"/>
  <c r="D110" i="1" s="1"/>
  <c r="E104" i="1"/>
  <c r="C112" i="1" s="1"/>
  <c r="C23" i="1"/>
  <c r="B30" i="1" s="1"/>
  <c r="C17" i="1"/>
  <c r="D190" i="1" l="1"/>
  <c r="B138" i="1"/>
  <c r="A126" i="1"/>
  <c r="C155" i="1" s="1"/>
  <c r="E155" i="1" s="1"/>
  <c r="A131" i="1"/>
  <c r="C156" i="1" s="1"/>
  <c r="E156" i="1" s="1"/>
  <c r="C167" i="1"/>
  <c r="B175" i="1" s="1"/>
  <c r="G122" i="1"/>
  <c r="C153" i="1" s="1"/>
  <c r="I121" i="1"/>
  <c r="I122" i="1" s="1"/>
  <c r="K49" i="1"/>
  <c r="E74" i="1"/>
  <c r="F74" i="1" s="1"/>
  <c r="E73" i="1"/>
  <c r="F73" i="1" s="1"/>
  <c r="K52" i="1"/>
  <c r="E75" i="1"/>
  <c r="F75" i="1" s="1"/>
  <c r="K58" i="1"/>
  <c r="K46" i="1"/>
  <c r="F110" i="1"/>
  <c r="F112" i="1" s="1"/>
  <c r="D112" i="1"/>
  <c r="C152" i="1" s="1"/>
  <c r="E152" i="1" s="1"/>
  <c r="K43" i="1"/>
  <c r="E72" i="1"/>
  <c r="F72" i="1" s="1"/>
  <c r="K55" i="1"/>
  <c r="B147" i="1" l="1"/>
  <c r="C157" i="1" s="1"/>
  <c r="E157" i="1" s="1"/>
  <c r="E158" i="1" s="1"/>
  <c r="C193" i="1" s="1"/>
  <c r="B179" i="1"/>
  <c r="B341" i="1" l="1"/>
  <c r="C197" i="1"/>
  <c r="D197" i="1" s="1"/>
  <c r="C158" i="1"/>
  <c r="C178" i="1"/>
  <c r="C177" i="1"/>
  <c r="C175" i="1"/>
  <c r="C196" i="1" l="1"/>
  <c r="D196" i="1" s="1"/>
  <c r="B347" i="1"/>
  <c r="B349" i="1"/>
  <c r="C198" i="1" l="1"/>
  <c r="D198" i="1" s="1"/>
  <c r="C199" i="1"/>
  <c r="D199" i="1" s="1"/>
  <c r="C475" i="1"/>
  <c r="C473" i="1" l="1"/>
  <c r="C200" i="1"/>
  <c r="D200" i="1" s="1"/>
  <c r="C476" i="1" l="1"/>
  <c r="C202" i="1"/>
  <c r="D202" i="1" s="1"/>
  <c r="C456" i="1"/>
  <c r="C481" i="1" s="1"/>
  <c r="C491" i="1" l="1"/>
  <c r="C201" i="1"/>
  <c r="D201" i="1" s="1"/>
  <c r="C203" i="1" l="1"/>
  <c r="D203" i="1" s="1"/>
  <c r="C477" i="1" l="1"/>
  <c r="C205" i="1"/>
  <c r="D205" i="1" s="1"/>
  <c r="C204" i="1"/>
  <c r="D204" i="1" s="1"/>
  <c r="C492" i="1"/>
  <c r="C482" i="1" l="1"/>
  <c r="C474" i="1"/>
  <c r="C478" i="1" l="1"/>
  <c r="C493" i="1" l="1"/>
  <c r="B444" i="1" l="1"/>
  <c r="C462" i="1" l="1"/>
  <c r="C480" i="1" s="1"/>
</calcChain>
</file>

<file path=xl/sharedStrings.xml><?xml version="1.0" encoding="utf-8"?>
<sst xmlns="http://schemas.openxmlformats.org/spreadsheetml/2006/main" count="486" uniqueCount="390">
  <si>
    <t>m</t>
  </si>
  <si>
    <t>Спр</t>
  </si>
  <si>
    <t>Ксп=m/Спр</t>
  </si>
  <si>
    <t>Программа за месяц</t>
  </si>
  <si>
    <t>Количество рабочих дней в месяце</t>
  </si>
  <si>
    <t>Смены</t>
  </si>
  <si>
    <t>Потери рабочего времени</t>
  </si>
  <si>
    <t xml:space="preserve">Продолжительность рабочей смены </t>
  </si>
  <si>
    <t>Исходные константы</t>
  </si>
  <si>
    <t>%</t>
  </si>
  <si>
    <t>Пункт 1.2.</t>
  </si>
  <si>
    <t>F</t>
  </si>
  <si>
    <t>SUM</t>
  </si>
  <si>
    <t>Пункт 2.0.</t>
  </si>
  <si>
    <t>Nmin</t>
  </si>
  <si>
    <t>Nmax</t>
  </si>
  <si>
    <t>ряд удобопланируемых ритмов</t>
  </si>
  <si>
    <t>Rp</t>
  </si>
  <si>
    <t>Ближайший удобопланируемый ритм равен 1 дню</t>
  </si>
  <si>
    <t>Пн</t>
  </si>
  <si>
    <t xml:space="preserve">Определяем ритм </t>
  </si>
  <si>
    <t xml:space="preserve">Оптимальный (нормальный) размер партии </t>
  </si>
  <si>
    <t xml:space="preserve">Количество партий за плановый период </t>
  </si>
  <si>
    <t>Кп</t>
  </si>
  <si>
    <t>Рассчитываем длительность операционного цикла</t>
  </si>
  <si>
    <t>Д</t>
  </si>
  <si>
    <t>Е</t>
  </si>
  <si>
    <t>Г</t>
  </si>
  <si>
    <t>В</t>
  </si>
  <si>
    <t>Б</t>
  </si>
  <si>
    <t>А</t>
  </si>
  <si>
    <t>tшт, мин</t>
  </si>
  <si>
    <t xml:space="preserve">tп.з, </t>
  </si>
  <si>
    <t>Длительность операционного цикла партии изделий, ч</t>
  </si>
  <si>
    <t>Размер партии Размер партии (nн), шт.</t>
  </si>
  <si>
    <t>Подача сборочной единицы к операции</t>
  </si>
  <si>
    <t>Длительность операционного цикла партии по сборочной единице, ч</t>
  </si>
  <si>
    <t>Штучное время с учётом Кв (t'шт), мин</t>
  </si>
  <si>
    <t>Коэффициент выполнения норм времени (Кв)</t>
  </si>
  <si>
    <t>№ операции сборки</t>
  </si>
  <si>
    <t>Условное обозначение сборочной единицы</t>
  </si>
  <si>
    <t xml:space="preserve">5.После определения размера партии изделий рассчитываем длительность операционного цикла изготовления партии по всем операциям технологического процесса по формуле </t>
  </si>
  <si>
    <t xml:space="preserve">9.Численность рабочих-сборщиков определяем по формуле </t>
  </si>
  <si>
    <t>Ксм</t>
  </si>
  <si>
    <t>10.Закрепление работ за рабочими местами</t>
  </si>
  <si>
    <t>Продолжительность периода чередования</t>
  </si>
  <si>
    <t>Номер рабочего места</t>
  </si>
  <si>
    <t>Условные обозначения сборочных единиц</t>
  </si>
  <si>
    <t>Номер операции, закрепленной за рабочим местом</t>
  </si>
  <si>
    <t>Суммарная длительность операционного цикла</t>
  </si>
  <si>
    <t>1,2,3,4</t>
  </si>
  <si>
    <t>Е,Д</t>
  </si>
  <si>
    <t>5,6,7,8,9,10</t>
  </si>
  <si>
    <t>Д,Г,В</t>
  </si>
  <si>
    <t>11,12,13,14,15</t>
  </si>
  <si>
    <t>16,17,18,19</t>
  </si>
  <si>
    <t>В,Б</t>
  </si>
  <si>
    <t>Б,А</t>
  </si>
  <si>
    <t>Коэффициент загрузки рабочего места</t>
  </si>
  <si>
    <t>13. Средняя величина задела на участке серийной сборки определяется по следующим формулам</t>
  </si>
  <si>
    <t>Zтехн</t>
  </si>
  <si>
    <t>Tц</t>
  </si>
  <si>
    <t>шт</t>
  </si>
  <si>
    <t>партий</t>
  </si>
  <si>
    <t xml:space="preserve">14. Величину незавёршенного производства </t>
  </si>
  <si>
    <t>Нср</t>
  </si>
  <si>
    <t>нормо-ч.</t>
  </si>
  <si>
    <t>Наименование</t>
  </si>
  <si>
    <t>Оборудования</t>
  </si>
  <si>
    <t>Модель (марка)</t>
  </si>
  <si>
    <r>
      <t xml:space="preserve">Габаритные размеры, </t>
    </r>
    <r>
      <rPr>
        <b/>
        <i/>
        <sz val="14"/>
        <color theme="1"/>
        <rFont val="Times New Roman"/>
        <family val="1"/>
        <charset val="204"/>
      </rPr>
      <t>мм</t>
    </r>
  </si>
  <si>
    <t>Кол-во ед.</t>
  </si>
  <si>
    <r>
      <t>К</t>
    </r>
    <r>
      <rPr>
        <b/>
        <i/>
        <vertAlign val="subscript"/>
        <sz val="14"/>
        <color theme="1"/>
        <rFont val="Times New Roman"/>
        <family val="1"/>
        <charset val="204"/>
      </rPr>
      <t>ДП</t>
    </r>
  </si>
  <si>
    <t xml:space="preserve">1. Верстак </t>
  </si>
  <si>
    <t>НДР-1064</t>
  </si>
  <si>
    <r>
      <t>1200</t>
    </r>
    <r>
      <rPr>
        <sz val="14"/>
        <color theme="1"/>
        <rFont val="Symbol"/>
        <family val="1"/>
        <charset val="2"/>
      </rPr>
      <t>´</t>
    </r>
    <r>
      <rPr>
        <sz val="14"/>
        <color theme="1"/>
        <rFont val="Times New Roman"/>
        <family val="1"/>
        <charset val="204"/>
      </rPr>
      <t>700</t>
    </r>
  </si>
  <si>
    <t>Итого</t>
  </si>
  <si>
    <r>
      <t xml:space="preserve">Произв. площадь участка, </t>
    </r>
    <r>
      <rPr>
        <b/>
        <i/>
        <sz val="14"/>
        <color theme="1"/>
        <rFont val="Times New Roman"/>
        <family val="1"/>
        <charset val="204"/>
      </rPr>
      <t>м</t>
    </r>
    <r>
      <rPr>
        <b/>
        <i/>
        <vertAlign val="superscript"/>
        <sz val="14"/>
        <color theme="1"/>
        <rFont val="Times New Roman"/>
        <family val="1"/>
        <charset val="204"/>
      </rPr>
      <t>2</t>
    </r>
  </si>
  <si>
    <t>Square</t>
  </si>
  <si>
    <t>скоро поймем и посчитаем</t>
  </si>
  <si>
    <t>выбранные значения</t>
  </si>
  <si>
    <t>исходные данные</t>
  </si>
  <si>
    <t>Расчёт общей площади, занимаемой участком</t>
  </si>
  <si>
    <t>Вид площади</t>
  </si>
  <si>
    <r>
      <t>Площадь (</t>
    </r>
    <r>
      <rPr>
        <b/>
        <i/>
        <sz val="14"/>
        <color theme="1"/>
        <rFont val="Times New Roman"/>
        <family val="1"/>
        <charset val="204"/>
      </rPr>
      <t>S</t>
    </r>
    <r>
      <rPr>
        <b/>
        <sz val="14"/>
        <color theme="1"/>
        <rFont val="Times New Roman"/>
        <family val="1"/>
        <charset val="204"/>
      </rPr>
      <t>) 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</si>
  <si>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t>1. Производственная площадь</t>
  </si>
  <si>
    <t>2. Вспомогательная площадь</t>
  </si>
  <si>
    <r>
      <t xml:space="preserve">3. </t>
    </r>
    <r>
      <rPr>
        <b/>
        <sz val="14"/>
        <color theme="1"/>
        <rFont val="Times New Roman"/>
        <family val="1"/>
        <charset val="204"/>
      </rPr>
      <t>РАСЧЕТ ПРОИЗВОДСТВЕННОЙ ПЛОЩАДИ УЧАСТКА.</t>
    </r>
  </si>
  <si>
    <t>4. Расчёт стоимости и амортизации основных производственных фондов</t>
  </si>
  <si>
    <t>Элементы расчёта</t>
  </si>
  <si>
    <t>Стоимость 1 м2 здания, у.е./м2</t>
  </si>
  <si>
    <t>Площадь, занимаемая зданием, м2</t>
  </si>
  <si>
    <t>Стоимость здания, у.е.</t>
  </si>
  <si>
    <t>Норма амортизации, %</t>
  </si>
  <si>
    <t>Сумма амортизационных отчислений, у.е.</t>
  </si>
  <si>
    <t>1.Производственная площадь</t>
  </si>
  <si>
    <t>2.Вспомогательная площадь</t>
  </si>
  <si>
    <t>Итого:</t>
  </si>
  <si>
    <t>-</t>
  </si>
  <si>
    <t>4.2. Расчёт затрат на оборудование и транспортные средства</t>
  </si>
  <si>
    <t>Расчёт стоимости транспортного и технологического оборудования</t>
  </si>
  <si>
    <t>Наименование технологического оборудова­ния и транспортных средств</t>
  </si>
  <si>
    <t>Кол-во единиц оборудования, транспортных средств, шт.</t>
  </si>
  <si>
    <t>Оптовая цена</t>
  </si>
  <si>
    <t>Затраты на упаковку, транспортировку, монтаж, пуск, наладку, у.е.</t>
  </si>
  <si>
    <t>Балансовая (первона­чальная) стоимость техники, у.е.</t>
  </si>
  <si>
    <t>единицы, у.е.</t>
  </si>
  <si>
    <t>принятого кол-ва, у.е.</t>
  </si>
  <si>
    <t>1. Верстак</t>
  </si>
  <si>
    <t>4.3. Расчёт затрат на комплект дорогостоящей оснастки, УСПО и инструмента</t>
  </si>
  <si>
    <t>у.е.</t>
  </si>
  <si>
    <r>
      <rPr>
        <b/>
        <sz val="16"/>
        <color theme="1"/>
        <rFont val="Calibri"/>
        <family val="2"/>
        <charset val="204"/>
        <scheme val="minor"/>
      </rPr>
      <t xml:space="preserve">4.4. Расчёт затрат на измерительные и регулирующие </t>
    </r>
    <r>
      <rPr>
        <sz val="11"/>
        <color theme="1"/>
        <rFont val="Calibri"/>
        <family val="2"/>
        <scheme val="minor"/>
      </rPr>
      <t>приборы</t>
    </r>
  </si>
  <si>
    <t>4.5. Расчёт затрат на производственный и хозяйственный инвентарь</t>
  </si>
  <si>
    <t>затраты на производственный инвентарь для УСС</t>
  </si>
  <si>
    <t>2,0% от стоимости технологического оборудования</t>
  </si>
  <si>
    <t>Затраты на хозяйственный инвентарь будут равны:</t>
  </si>
  <si>
    <t>. на одного работающего</t>
  </si>
  <si>
    <t>Общая сумма затрат</t>
  </si>
  <si>
    <t>4.6. Расчёт общей суммы основных производственных фондов</t>
  </si>
  <si>
    <t>Наименование групп основных производственных фондов</t>
  </si>
  <si>
    <t>Усл. обозн.</t>
  </si>
  <si>
    <t>Стоимость производственных фондов, у.е.</t>
  </si>
  <si>
    <t>Сумма аморт. отчислений, у.е.</t>
  </si>
  <si>
    <t>1.Здание, занимаемое участком</t>
  </si>
  <si>
    <t>2.Технологическое оборудова-ние и транспортные средства</t>
  </si>
  <si>
    <t>3.Энергетическое оборудование</t>
  </si>
  <si>
    <t>4.Дорогостоящая оснастка, УСПО и инструмент</t>
  </si>
  <si>
    <t>5.Измерительные и регулирующие приборы</t>
  </si>
  <si>
    <t>6.Производственный и хозяйственный инвентарь</t>
  </si>
  <si>
    <t>Кэ</t>
  </si>
  <si>
    <t>5. Расчёт численности промышленно-производственного персонала (ППП)</t>
  </si>
  <si>
    <t>Чоп.с</t>
  </si>
  <si>
    <t>Ксп</t>
  </si>
  <si>
    <r>
      <rPr>
        <b/>
        <sz val="16"/>
        <color theme="1"/>
        <rFont val="Calibri"/>
        <family val="2"/>
        <charset val="204"/>
        <scheme val="minor"/>
      </rPr>
      <t xml:space="preserve">5.1. Расчёт численности основных производственных </t>
    </r>
    <r>
      <rPr>
        <sz val="11"/>
        <color theme="1"/>
        <rFont val="Calibri"/>
        <family val="2"/>
        <scheme val="minor"/>
      </rPr>
      <t>рабочих</t>
    </r>
  </si>
  <si>
    <r>
      <rPr>
        <b/>
        <sz val="16"/>
        <color theme="1"/>
        <rFont val="Calibri"/>
        <family val="2"/>
        <charset val="204"/>
        <scheme val="minor"/>
      </rPr>
      <t xml:space="preserve">5.2. Расчёт численности вспомогательных рабочих, ИТР и </t>
    </r>
    <r>
      <rPr>
        <sz val="11"/>
        <color theme="1"/>
        <rFont val="Calibri"/>
        <family val="2"/>
        <scheme val="minor"/>
      </rPr>
      <t>управленческого персонала</t>
    </r>
  </si>
  <si>
    <t>Кдв</t>
  </si>
  <si>
    <t>Категория работающих</t>
  </si>
  <si>
    <t>Количество человек</t>
  </si>
  <si>
    <t>% от общего количества</t>
  </si>
  <si>
    <t>1. Основные производственные рабочие</t>
  </si>
  <si>
    <t>необслуживающие оборудование</t>
  </si>
  <si>
    <t>3. ИТР и управленческий персонал</t>
  </si>
  <si>
    <t>2. Вспомогательные рабочие</t>
  </si>
  <si>
    <t>6. Расчёт себестоимости и цены единицы продукции с учётом косвенных налогов</t>
  </si>
  <si>
    <t>НДС</t>
  </si>
  <si>
    <t>Рентабельность не более 20</t>
  </si>
  <si>
    <t>Наименование статей затрат</t>
  </si>
  <si>
    <t>Условное обозначение</t>
  </si>
  <si>
    <t>Сумма на одно изделие, у.е.</t>
  </si>
  <si>
    <t>Сумма на плановый выпуск 2000 штук, уе</t>
  </si>
  <si>
    <t>1. Сырье и материалы за вычетом реализуемых отходов</t>
  </si>
  <si>
    <t>Рм</t>
  </si>
  <si>
    <t>2. Покупные комплектующие изделия, полуфабрикаты, производственные услуги</t>
  </si>
  <si>
    <t>Рк</t>
  </si>
  <si>
    <t>3. Основная зарплата основных производственных рабочих</t>
  </si>
  <si>
    <t>Рзо</t>
  </si>
  <si>
    <t>4. Дополнительная зарплата основных производственных рабочих</t>
  </si>
  <si>
    <t>Рзд</t>
  </si>
  <si>
    <t>5. Основная и дополнительная зарплата прочего ППП</t>
  </si>
  <si>
    <t>Рз.доп</t>
  </si>
  <si>
    <t>6. Отчисления в государственный фонд социальной защиты населения РБ (34,6% от ФЗП)</t>
  </si>
  <si>
    <t>Рсз</t>
  </si>
  <si>
    <t>7.Расходы на подготовку и освоение производства</t>
  </si>
  <si>
    <t>Рп.о.</t>
  </si>
  <si>
    <t>8. Возмещение износа специнструмента</t>
  </si>
  <si>
    <t>Риз</t>
  </si>
  <si>
    <t>9. Амортизационные отчисления</t>
  </si>
  <si>
    <t>Раi</t>
  </si>
  <si>
    <t>10. Общепроизводственные расходы</t>
  </si>
  <si>
    <t>Роп</t>
  </si>
  <si>
    <t>11. Общехозяйственные расходы</t>
  </si>
  <si>
    <t>Р ох</t>
  </si>
  <si>
    <t>12. Прочие производственные расходы</t>
  </si>
  <si>
    <t>Рпр</t>
  </si>
  <si>
    <r>
      <t>Итого:</t>
    </r>
    <r>
      <rPr>
        <sz val="12"/>
        <color theme="1"/>
        <rFont val="Times New Roman"/>
        <family val="1"/>
        <charset val="204"/>
      </rPr>
      <t xml:space="preserve"> производственная себестоимость</t>
    </r>
  </si>
  <si>
    <t>Спр’</t>
  </si>
  <si>
    <t>13. Коммерческие расходы</t>
  </si>
  <si>
    <t>Рком</t>
  </si>
  <si>
    <r>
      <t>Итого:</t>
    </r>
    <r>
      <rPr>
        <sz val="12"/>
        <color theme="1"/>
        <rFont val="Times New Roman"/>
        <family val="1"/>
        <charset val="204"/>
      </rPr>
      <t xml:space="preserve"> полная себестоимость продукции</t>
    </r>
  </si>
  <si>
    <t>Сп</t>
  </si>
  <si>
    <t>14. Нормативная прибыль на единицу продукции</t>
  </si>
  <si>
    <t>15. Отчисления в местные фонды и на поддержку производителям</t>
  </si>
  <si>
    <t>Рмб</t>
  </si>
  <si>
    <t>16.Цена предприятия</t>
  </si>
  <si>
    <t>Цп</t>
  </si>
  <si>
    <t>17. . Отпускная цена без учёта НДС</t>
  </si>
  <si>
    <t>Цоц</t>
  </si>
  <si>
    <t>18. НДС</t>
  </si>
  <si>
    <t>Рндс</t>
  </si>
  <si>
    <t>Цена реализации с учётом косвенных налогов</t>
  </si>
  <si>
    <t>Цр</t>
  </si>
  <si>
    <t>6.2. Расчёт статьи затрат «Сырьё, материалы и другие материальные ценности за вычетом реализуемых отходов»</t>
  </si>
  <si>
    <t>Обозначение</t>
  </si>
  <si>
    <t>Единица измерения</t>
  </si>
  <si>
    <t>Норма расхода на 1 изделие</t>
  </si>
  <si>
    <t>Оптовая цена за еди­ницу, у.е.</t>
  </si>
  <si>
    <t>Припой</t>
  </si>
  <si>
    <t>ПОС-40</t>
  </si>
  <si>
    <t>Кг</t>
  </si>
  <si>
    <t>Флюс</t>
  </si>
  <si>
    <t>КЭСТУ054-063</t>
  </si>
  <si>
    <t>Лак</t>
  </si>
  <si>
    <t>УР-231</t>
  </si>
  <si>
    <t>Бензоспиртовой раствор</t>
  </si>
  <si>
    <t>Стеклотекстолит</t>
  </si>
  <si>
    <t>Кт.з.</t>
  </si>
  <si>
    <t>Сумма затрат, у.е.</t>
  </si>
  <si>
    <t>Стои-мость отходов, у.е.</t>
  </si>
  <si>
    <t>Общая сумма затрат, у.е.</t>
  </si>
  <si>
    <t>коэф отходов</t>
  </si>
  <si>
    <t>6.3. Расчёт статьи затрат «Покупные комплектующие изделия, полуфабрикаты и услуги производственного характера»</t>
  </si>
  <si>
    <t>Узлы и детали</t>
  </si>
  <si>
    <t>Кол-во на единицу изделия, шт.</t>
  </si>
  <si>
    <t>Оптовая цена за единицу, у.е.</t>
  </si>
  <si>
    <t>1. Прокладка</t>
  </si>
  <si>
    <t>2. Винт</t>
  </si>
  <si>
    <r>
      <t>МЗ</t>
    </r>
    <r>
      <rPr>
        <sz val="14"/>
        <color theme="1"/>
        <rFont val="Symbol"/>
        <family val="1"/>
        <charset val="2"/>
      </rPr>
      <t>´</t>
    </r>
    <r>
      <rPr>
        <sz val="14"/>
        <color theme="1"/>
        <rFont val="Times New Roman"/>
        <family val="1"/>
        <charset val="204"/>
      </rPr>
      <t>10</t>
    </r>
  </si>
  <si>
    <t>3. Резистор</t>
  </si>
  <si>
    <t>МЛТ-0,25</t>
  </si>
  <si>
    <t>4. Диод</t>
  </si>
  <si>
    <t>Д18</t>
  </si>
  <si>
    <t>5. Диод</t>
  </si>
  <si>
    <t>Д104</t>
  </si>
  <si>
    <t>6. Лампа</t>
  </si>
  <si>
    <t>6Ж1П</t>
  </si>
  <si>
    <t>7. Лампа</t>
  </si>
  <si>
    <t>6Ф5П</t>
  </si>
  <si>
    <t>8. Конденсатор</t>
  </si>
  <si>
    <t>КМ-6</t>
  </si>
  <si>
    <t>9. Ламповая панель</t>
  </si>
  <si>
    <t>10. ФПЧ</t>
  </si>
  <si>
    <t>Всего:</t>
  </si>
  <si>
    <t>Всего с транспортно-заготовительными расходами</t>
  </si>
  <si>
    <t>6.4. Расчёт статьи затрат «Основная заработная плата основных производственных рабочих»</t>
  </si>
  <si>
    <t>Содержание операции</t>
  </si>
  <si>
    <t>Разряд работ</t>
  </si>
  <si>
    <t>Подготовительно-заключительное время, мин</t>
  </si>
  <si>
    <t>1. Распаковать три ламповые панели</t>
  </si>
  <si>
    <t>2. Установить в плату три ламповые панели и закрепить, разжав зажим</t>
  </si>
  <si>
    <t>3. Сформовать и обрезать выводы восьми резисторов и пяти диодов</t>
  </si>
  <si>
    <t>4. Установить в плату ФПЧ-1 в сборе</t>
  </si>
  <si>
    <t>5. Установить в плату ФПЧ-2 в сборе</t>
  </si>
  <si>
    <t>6. Установить в плату ФПЧ-3 в сборе</t>
  </si>
  <si>
    <t>7. Установить три шаблона в ламповые панели</t>
  </si>
  <si>
    <t>8. Сформовать и обрезать выводы 16 конденсаторов</t>
  </si>
  <si>
    <t>9. Установить плату ПЧ в кассету</t>
  </si>
  <si>
    <r>
      <t xml:space="preserve">10. Вставить в соответствующее отверстие диоды Д1 </t>
    </r>
    <r>
      <rPr>
        <sz val="14"/>
        <color theme="1"/>
        <rFont val="Symbol"/>
        <family val="1"/>
        <charset val="2"/>
      </rPr>
      <t>-</t>
    </r>
    <r>
      <rPr>
        <sz val="14"/>
        <color theme="1"/>
        <rFont val="Times New Roman"/>
        <family val="1"/>
        <charset val="204"/>
      </rPr>
      <t xml:space="preserve"> Д5</t>
    </r>
  </si>
  <si>
    <r>
      <t xml:space="preserve">11. Вставить в соответствующее отверстие конденсаторы С1 </t>
    </r>
    <r>
      <rPr>
        <sz val="14"/>
        <color theme="1"/>
        <rFont val="Symbol"/>
        <family val="1"/>
        <charset val="2"/>
      </rPr>
      <t>-</t>
    </r>
    <r>
      <rPr>
        <sz val="14"/>
        <color theme="1"/>
        <rFont val="Times New Roman"/>
        <family val="1"/>
        <charset val="204"/>
      </rPr>
      <t xml:space="preserve"> С16</t>
    </r>
  </si>
  <si>
    <r>
      <t xml:space="preserve">12. Вставить в соответствующее отверстие резисторы Р1 </t>
    </r>
    <r>
      <rPr>
        <sz val="14"/>
        <color theme="1"/>
        <rFont val="Symbol"/>
        <family val="1"/>
        <charset val="2"/>
      </rPr>
      <t>-</t>
    </r>
    <r>
      <rPr>
        <sz val="14"/>
        <color theme="1"/>
        <rFont val="Times New Roman"/>
        <family val="1"/>
        <charset val="204"/>
      </rPr>
      <t xml:space="preserve"> Р8</t>
    </r>
  </si>
  <si>
    <t>13. Нанести кистью флюс на плату со стороны печатных проводников</t>
  </si>
  <si>
    <t>14. Провести пайку платы на установке</t>
  </si>
  <si>
    <t>15. Освободить плату, развернув зажимы кассеты</t>
  </si>
  <si>
    <t>16. Вынуть три шаблона из ламповых панелей</t>
  </si>
  <si>
    <t>17. Проверить качество паек и при необходимости допаять вручную</t>
  </si>
  <si>
    <t>18. Промыть плату бензоспиртовым раствором</t>
  </si>
  <si>
    <t>19. Резьбовые соединения закрепить нейтрально</t>
  </si>
  <si>
    <t>Кпрем</t>
  </si>
  <si>
    <t>поврем</t>
  </si>
  <si>
    <t>сдел</t>
  </si>
  <si>
    <t>Часовая тарифная ставка, у.е./ч</t>
  </si>
  <si>
    <t>Норма времени по операции, ч</t>
  </si>
  <si>
    <t>Прямая зарплата (расценка), у.е.</t>
  </si>
  <si>
    <t>Премия 30%</t>
  </si>
  <si>
    <t>Основная заработная плата</t>
  </si>
  <si>
    <t>Рз.о.</t>
  </si>
  <si>
    <t>6.5. Расчёт статьи затрат «Дополнительная заработная плата основных производственных рабочих»</t>
  </si>
  <si>
    <t>Нд.з.</t>
  </si>
  <si>
    <t>6.6. Расчёт статьи затрат «Основная и дополнительная заработная плата прочего ППП»</t>
  </si>
  <si>
    <t>Кзп</t>
  </si>
  <si>
    <t>Рз.ппп</t>
  </si>
  <si>
    <t>Вспомогательные рабочие</t>
  </si>
  <si>
    <t>Численность вспомогательных рабочих, чел.</t>
  </si>
  <si>
    <t>Часовая тарифная ставка, у.е.</t>
  </si>
  <si>
    <t>Сумма заработной платы, у .е.</t>
  </si>
  <si>
    <t>контролер</t>
  </si>
  <si>
    <t>уборщик</t>
  </si>
  <si>
    <t>Итого основная заработная плата вспомогательных рабочих</t>
  </si>
  <si>
    <t>Размер дополнительной заработной платы (40%)</t>
  </si>
  <si>
    <r>
      <t>Итого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основная и дополнительная заработная плата вспомогательных рабочих</t>
    </r>
  </si>
  <si>
    <t>коэф085</t>
  </si>
  <si>
    <t>Fэф</t>
  </si>
  <si>
    <t>Рд.з.п.</t>
  </si>
  <si>
    <t>Расчёт основной и дополнительной заработной платы ИТР</t>
  </si>
  <si>
    <t>Кпрем.</t>
  </si>
  <si>
    <t>О</t>
  </si>
  <si>
    <t>Рз.с.</t>
  </si>
  <si>
    <t>6.7. Расчёт статьи затрат «Отчисления в государственный фонд социальной защиты населения РБ»</t>
  </si>
  <si>
    <t>Нс.з.</t>
  </si>
  <si>
    <t>Рз.д.</t>
  </si>
  <si>
    <t>Рс.з.</t>
  </si>
  <si>
    <t>6.8. Расчёт статьи затрат «Расходы на подготовку и освоение производства»</t>
  </si>
  <si>
    <t>Носв</t>
  </si>
  <si>
    <t>6.9. Расчёт статьи затрат «Износ инструментов и приспособлений целевого назначения»</t>
  </si>
  <si>
    <t>Низ</t>
  </si>
  <si>
    <t>6.10. Расчёт статьи затрат «Амортизационные отчисления основных производственных фондов</t>
  </si>
  <si>
    <t>Ра</t>
  </si>
  <si>
    <t>6.11. Расчёт статьи затрат «Общепроизводственные расходы»</t>
  </si>
  <si>
    <t>Ноп</t>
  </si>
  <si>
    <t>6.12. Расчёт статьи затрат «Общехозяйственные расходы</t>
  </si>
  <si>
    <t>Нох</t>
  </si>
  <si>
    <t>Рох</t>
  </si>
  <si>
    <t>6.13. Расчёт статьи затрат «Прочие производственные расходы</t>
  </si>
  <si>
    <t>Нпр</t>
  </si>
  <si>
    <t>6.14. Расчёт статьи затрат «Коммерческие расходы</t>
  </si>
  <si>
    <t>Нком</t>
  </si>
  <si>
    <t>6.15. Расчёт нормативной прибыли на единицу продукции</t>
  </si>
  <si>
    <t>Ури</t>
  </si>
  <si>
    <t>6.16. Расчёт цены предприятия</t>
  </si>
  <si>
    <r>
      <t>6.17. Расчёт статьи затрат «</t>
    </r>
    <r>
      <rPr>
        <b/>
        <i/>
        <sz val="12"/>
        <color theme="1"/>
        <rFont val="Times New Roman"/>
        <family val="1"/>
        <charset val="204"/>
      </rPr>
      <t>Отчисления в республиканский фонд поддержки производителей сельскохозяйственной продукции и дорожный фонд</t>
    </r>
  </si>
  <si>
    <t>Рмрб</t>
  </si>
  <si>
    <t>Нмбр</t>
  </si>
  <si>
    <t>6.18. Расчёт цены без учёта НДС</t>
  </si>
  <si>
    <t>Цо.ц</t>
  </si>
  <si>
    <t>6.19. Расчёт НДС</t>
  </si>
  <si>
    <t>6.20. Расчёт цены реализации с учётом косвенных налого</t>
  </si>
  <si>
    <t>7. Расчёт технико-экономических показателей работы участка</t>
  </si>
  <si>
    <t>ОбС</t>
  </si>
  <si>
    <t>7.2. Расчёт полной себестоимости планового объёма продукци</t>
  </si>
  <si>
    <t>7.3. Расчёт объёма реализуемой продукции за плановый перио</t>
  </si>
  <si>
    <t>Тр</t>
  </si>
  <si>
    <t>7.4. Определение затрат на одну условную единицу реализуемой продукци</t>
  </si>
  <si>
    <t>Зр.п.</t>
  </si>
  <si>
    <t>7.5. Расчёт общей суммы прибыли от реализации продукци</t>
  </si>
  <si>
    <t>Пр.п.</t>
  </si>
  <si>
    <t>Ппр.п.</t>
  </si>
  <si>
    <t>Пр</t>
  </si>
  <si>
    <t>7.6. Расчёт балансовой прибыли предприяти</t>
  </si>
  <si>
    <t>Пб</t>
  </si>
  <si>
    <t>7.7. Расчёт налога на недвижимост</t>
  </si>
  <si>
    <t>Нндв</t>
  </si>
  <si>
    <t>Опф</t>
  </si>
  <si>
    <t>Рн.пр.</t>
  </si>
  <si>
    <t>7.8. Расчёт налога на нормируемые оборотные средства (оборотный капитал</t>
  </si>
  <si>
    <t>Рн.ос</t>
  </si>
  <si>
    <t>7.9. Расчёт общей суммы налога на недвижимост</t>
  </si>
  <si>
    <t>Рндв</t>
  </si>
  <si>
    <t>7.10. Расчёт налогооблагаемой прибыл</t>
  </si>
  <si>
    <t>Пн.до</t>
  </si>
  <si>
    <t>Плн</t>
  </si>
  <si>
    <t>Пн.о.</t>
  </si>
  <si>
    <t>7.11. Расчёт налога на прибыл</t>
  </si>
  <si>
    <t>7.12. Расчёт транспортного налог</t>
  </si>
  <si>
    <t>Нтр</t>
  </si>
  <si>
    <t>Ртр</t>
  </si>
  <si>
    <t>7.13. Расчёт чистой прибыл</t>
  </si>
  <si>
    <t>Пр.ф.</t>
  </si>
  <si>
    <t>Пф.ос.</t>
  </si>
  <si>
    <t>Пф.п.</t>
  </si>
  <si>
    <t>Пч</t>
  </si>
  <si>
    <t>7.14. Расчёт уровня рентабельности издели</t>
  </si>
  <si>
    <t>Уизд</t>
  </si>
  <si>
    <t>7. 15. Расчёт уровня рентабельности производств</t>
  </si>
  <si>
    <t>Ур.п.</t>
  </si>
  <si>
    <t>Опр.ф</t>
  </si>
  <si>
    <t>7. 16. Расчёт фондоотдач</t>
  </si>
  <si>
    <t>Фо</t>
  </si>
  <si>
    <t>Основные ТЭП работы участка (цеха</t>
  </si>
  <si>
    <t>Показатель</t>
  </si>
  <si>
    <t>Значение показателя</t>
  </si>
  <si>
    <t>1. Плановый объём производства</t>
  </si>
  <si>
    <t>шт.</t>
  </si>
  <si>
    <t>2. Объём реализуемой продукции</t>
  </si>
  <si>
    <t>3. Полная себестоимость реализуемой продукции</t>
  </si>
  <si>
    <t>4. Затраты на условную единицу продукции</t>
  </si>
  <si>
    <t>5. Полная себестоимость единицы продукции</t>
  </si>
  <si>
    <t>у.е./шт.</t>
  </si>
  <si>
    <t>6. Цена предприятия единицы продукции</t>
  </si>
  <si>
    <t>7. Цена реализации продукции с учётом косвенных налогов</t>
  </si>
  <si>
    <t>8. Прибыль от реализации продукции</t>
  </si>
  <si>
    <t>9. Чистая прибыль предприятия</t>
  </si>
  <si>
    <t>10. Уровень рентабельности производства</t>
  </si>
  <si>
    <t>11. Уровень рентабельности изделия</t>
  </si>
  <si>
    <t>12. Фондоотдача выпускаемой продукции</t>
  </si>
  <si>
    <t>13. Численность ППП – всего</t>
  </si>
  <si>
    <t>чел.</t>
  </si>
  <si>
    <t>В том числе:</t>
  </si>
  <si>
    <t>-  основных производственных рабочих</t>
  </si>
  <si>
    <t>-  вспомогательных производственных рабочих</t>
  </si>
  <si>
    <t>-  ИТР и управленческого персонала</t>
  </si>
  <si>
    <t>14. Производительность труда одного производственного рабочего</t>
  </si>
  <si>
    <t>у.е./чел.</t>
  </si>
  <si>
    <t>15. Производительность труда работающих</t>
  </si>
  <si>
    <t>16. Размер отчислений в фонд СЗН РБ</t>
  </si>
  <si>
    <t>17. Размер отчислений в местные и республиканский бюджеты</t>
  </si>
  <si>
    <t>19. Размер налога на прибыль</t>
  </si>
  <si>
    <t>20. Размер налога на недвижимость</t>
  </si>
  <si>
    <t>21. Стоимость основных производственных фондов</t>
  </si>
  <si>
    <t>22. Среднегодовая стоимость оборотного капитала</t>
  </si>
  <si>
    <t>23. Общий фонд заработной платы ППП</t>
  </si>
  <si>
    <t>24. Среднемесячная заработная плата одного работающего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</si>
</sst>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vertAlign val="subscript"/>
      <sz val="14"/>
      <color theme="1"/>
      <name val="Times New Roman"/>
      <family val="1"/>
      <charset val="204"/>
    </font>
    <font>
      <b/>
      <i/>
      <vertAlign val="superscript"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b/>
      <vertAlign val="superscript"/>
      <sz val="14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4" fillId="0" borderId="0" xfId="0" applyFont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 indent="1"/>
    </xf>
    <xf numFmtId="0" fontId="4" fillId="0" borderId="1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vertical="center" wrapText="1" indent="1"/>
    </xf>
    <xf numFmtId="0" fontId="4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13" borderId="0" xfId="0" applyFill="1"/>
    <xf numFmtId="0" fontId="15" fillId="6" borderId="0" xfId="0" applyFont="1" applyFill="1"/>
    <xf numFmtId="0" fontId="0" fillId="14" borderId="0" xfId="0" applyFill="1"/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 wrapText="1"/>
    </xf>
    <xf numFmtId="0" fontId="10" fillId="0" borderId="0" xfId="0" applyFo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17" fillId="0" borderId="0" xfId="0" applyFont="1"/>
    <xf numFmtId="0" fontId="6" fillId="0" borderId="1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justify" vertic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/>
    <xf numFmtId="9" fontId="0" fillId="0" borderId="0" xfId="0" applyNumberFormat="1"/>
    <xf numFmtId="0" fontId="4" fillId="0" borderId="5" xfId="0" applyFont="1" applyBorder="1" applyAlignment="1">
      <alignment horizontal="justify" vertical="center" wrapText="1"/>
    </xf>
    <xf numFmtId="0" fontId="18" fillId="0" borderId="22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18" fillId="0" borderId="17" xfId="0" applyFont="1" applyBorder="1" applyAlignment="1">
      <alignment vertical="center" wrapText="1"/>
    </xf>
    <xf numFmtId="0" fontId="4" fillId="0" borderId="17" xfId="0" applyFont="1" applyBorder="1" applyAlignment="1">
      <alignment horizontal="justify" vertical="center" wrapText="1"/>
    </xf>
    <xf numFmtId="0" fontId="5" fillId="0" borderId="22" xfId="0" applyFont="1" applyBorder="1" applyAlignment="1">
      <alignment horizontal="justify" vertical="center" wrapText="1"/>
    </xf>
    <xf numFmtId="0" fontId="4" fillId="6" borderId="17" xfId="0" applyFont="1" applyFill="1" applyBorder="1" applyAlignment="1">
      <alignment horizontal="justify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justify" vertical="center" wrapText="1"/>
    </xf>
    <xf numFmtId="0" fontId="4" fillId="6" borderId="22" xfId="0" applyFont="1" applyFill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0" xfId="0" applyFont="1"/>
    <xf numFmtId="0" fontId="5" fillId="0" borderId="6" xfId="0" applyFont="1" applyBorder="1" applyAlignment="1">
      <alignment vertical="center" wrapText="1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0" fillId="15" borderId="0" xfId="0" applyFill="1"/>
    <xf numFmtId="4" fontId="5" fillId="0" borderId="17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4" borderId="13" xfId="0" applyFont="1" applyFill="1" applyBorder="1" applyAlignment="1">
      <alignment horizontal="justify" vertical="center" wrapText="1"/>
    </xf>
    <xf numFmtId="0" fontId="4" fillId="4" borderId="17" xfId="0" applyFont="1" applyFill="1" applyBorder="1" applyAlignment="1">
      <alignment horizontal="justify" vertical="center" wrapText="1"/>
    </xf>
    <xf numFmtId="0" fontId="4" fillId="4" borderId="11" xfId="0" applyFont="1" applyFill="1" applyBorder="1" applyAlignment="1">
      <alignment horizontal="justify" vertical="center" wrapText="1"/>
    </xf>
    <xf numFmtId="0" fontId="4" fillId="4" borderId="16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justify" vertical="center" wrapText="1"/>
    </xf>
    <xf numFmtId="0" fontId="9" fillId="4" borderId="25" xfId="0" applyFont="1" applyFill="1" applyBorder="1" applyAlignment="1">
      <alignment horizontal="justify" vertical="center" wrapText="1"/>
    </xf>
    <xf numFmtId="0" fontId="9" fillId="4" borderId="4" xfId="0" applyFont="1" applyFill="1" applyBorder="1" applyAlignment="1">
      <alignment horizontal="justify" vertical="center" wrapText="1"/>
    </xf>
    <xf numFmtId="0" fontId="4" fillId="4" borderId="12" xfId="0" applyFont="1" applyFill="1" applyBorder="1" applyAlignment="1">
      <alignment horizontal="justify" vertical="center" wrapText="1"/>
    </xf>
    <xf numFmtId="0" fontId="14" fillId="4" borderId="13" xfId="0" applyFont="1" applyFill="1" applyBorder="1" applyAlignment="1">
      <alignment horizontal="justify" vertical="center" wrapText="1"/>
    </xf>
    <xf numFmtId="0" fontId="4" fillId="4" borderId="10" xfId="0" applyFont="1" applyFill="1" applyBorder="1" applyAlignment="1">
      <alignment horizontal="justify" vertical="center" wrapText="1"/>
    </xf>
    <xf numFmtId="0" fontId="14" fillId="4" borderId="11" xfId="0" applyFont="1" applyFill="1" applyBorder="1" applyAlignment="1">
      <alignment horizontal="justify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9" fillId="4" borderId="13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justify" vertical="center" wrapText="1"/>
    </xf>
    <xf numFmtId="0" fontId="9" fillId="4" borderId="11" xfId="0" applyFont="1" applyFill="1" applyBorder="1" applyAlignment="1">
      <alignment horizontal="justify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6" fillId="0" borderId="3" xfId="0" applyFont="1" applyBorder="1" applyAlignment="1">
      <alignment vertical="center"/>
    </xf>
    <xf numFmtId="0" fontId="6" fillId="0" borderId="7" xfId="0" applyFont="1" applyBorder="1" applyAlignment="1">
      <alignment horizontal="justify" vertical="center" wrapText="1"/>
    </xf>
    <xf numFmtId="0" fontId="14" fillId="4" borderId="17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16" borderId="0" xfId="0" applyFill="1"/>
    <xf numFmtId="0" fontId="5" fillId="0" borderId="4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9" fillId="0" borderId="0" xfId="0" applyFont="1"/>
    <xf numFmtId="0" fontId="7" fillId="0" borderId="0" xfId="0" applyFont="1"/>
    <xf numFmtId="0" fontId="5" fillId="0" borderId="23" xfId="0" applyFont="1" applyBorder="1" applyAlignment="1">
      <alignment vertical="center" wrapText="1"/>
    </xf>
    <xf numFmtId="4" fontId="5" fillId="6" borderId="17" xfId="0" applyNumberFormat="1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justify" vertical="center" wrapText="1"/>
    </xf>
    <xf numFmtId="0" fontId="5" fillId="0" borderId="17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justify" vertical="center" wrapText="1"/>
    </xf>
    <xf numFmtId="0" fontId="9" fillId="4" borderId="27" xfId="0" applyFont="1" applyFill="1" applyBorder="1" applyAlignment="1">
      <alignment horizontal="justify" vertical="center" wrapText="1"/>
    </xf>
    <xf numFmtId="0" fontId="9" fillId="4" borderId="14" xfId="0" applyFont="1" applyFill="1" applyBorder="1" applyAlignment="1">
      <alignment horizontal="justify" vertical="center" wrapText="1"/>
    </xf>
    <xf numFmtId="0" fontId="9" fillId="4" borderId="15" xfId="0" applyFont="1" applyFill="1" applyBorder="1" applyAlignment="1">
      <alignment horizontal="justify" vertical="center" wrapText="1"/>
    </xf>
    <xf numFmtId="0" fontId="9" fillId="4" borderId="18" xfId="0" applyFont="1" applyFill="1" applyBorder="1" applyAlignment="1">
      <alignment horizontal="justify" vertical="center" wrapText="1"/>
    </xf>
    <xf numFmtId="0" fontId="9" fillId="4" borderId="19" xfId="0" applyFont="1" applyFill="1" applyBorder="1" applyAlignment="1">
      <alignment horizontal="justify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151</xdr:row>
          <xdr:rowOff>0</xdr:rowOff>
        </xdr:from>
        <xdr:to>
          <xdr:col>1</xdr:col>
          <xdr:colOff>295275</xdr:colOff>
          <xdr:row>151</xdr:row>
          <xdr:rowOff>238125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152</xdr:row>
          <xdr:rowOff>0</xdr:rowOff>
        </xdr:from>
        <xdr:to>
          <xdr:col>1</xdr:col>
          <xdr:colOff>304800</xdr:colOff>
          <xdr:row>152</xdr:row>
          <xdr:rowOff>238125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153</xdr:row>
          <xdr:rowOff>0</xdr:rowOff>
        </xdr:from>
        <xdr:to>
          <xdr:col>1</xdr:col>
          <xdr:colOff>238125</xdr:colOff>
          <xdr:row>153</xdr:row>
          <xdr:rowOff>238125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154</xdr:row>
          <xdr:rowOff>0</xdr:rowOff>
        </xdr:from>
        <xdr:to>
          <xdr:col>1</xdr:col>
          <xdr:colOff>295275</xdr:colOff>
          <xdr:row>154</xdr:row>
          <xdr:rowOff>238125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155</xdr:row>
          <xdr:rowOff>0</xdr:rowOff>
        </xdr:from>
        <xdr:to>
          <xdr:col>1</xdr:col>
          <xdr:colOff>295275</xdr:colOff>
          <xdr:row>155</xdr:row>
          <xdr:rowOff>238125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156</xdr:row>
          <xdr:rowOff>0</xdr:rowOff>
        </xdr:from>
        <xdr:to>
          <xdr:col>1</xdr:col>
          <xdr:colOff>304800</xdr:colOff>
          <xdr:row>156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99"/>
  <sheetViews>
    <sheetView tabSelected="1" topLeftCell="A490" zoomScale="55" zoomScaleNormal="55" workbookViewId="0">
      <selection activeCell="J94" sqref="J94"/>
    </sheetView>
  </sheetViews>
  <sheetFormatPr defaultRowHeight="15" x14ac:dyDescent="0.25"/>
  <cols>
    <col min="1" max="1" width="15.140625" customWidth="1"/>
    <col min="2" max="2" width="11.28515625" customWidth="1"/>
    <col min="3" max="3" width="12.42578125" bestFit="1" customWidth="1"/>
    <col min="4" max="4" width="34.7109375" customWidth="1"/>
    <col min="5" max="5" width="16.42578125" bestFit="1" customWidth="1"/>
    <col min="6" max="6" width="11.5703125" bestFit="1" customWidth="1"/>
    <col min="7" max="7" width="9.85546875" bestFit="1" customWidth="1"/>
    <col min="19" max="19" width="9.7109375" bestFit="1" customWidth="1"/>
    <col min="20" max="21" width="12.28515625" bestFit="1" customWidth="1"/>
  </cols>
  <sheetData>
    <row r="1" spans="1:26" ht="15.75" thickBot="1" x14ac:dyDescent="0.3">
      <c r="D1" t="s">
        <v>8</v>
      </c>
    </row>
    <row r="2" spans="1:26" ht="132.75" thickTop="1" thickBot="1" x14ac:dyDescent="0.3">
      <c r="D2" s="3" t="s">
        <v>3</v>
      </c>
      <c r="E2" s="3">
        <v>1600</v>
      </c>
      <c r="I2" s="28"/>
      <c r="J2" t="s">
        <v>79</v>
      </c>
      <c r="N2" s="81" t="s">
        <v>67</v>
      </c>
      <c r="O2" s="82" t="s">
        <v>192</v>
      </c>
      <c r="P2" s="82" t="s">
        <v>193</v>
      </c>
      <c r="Q2" s="82" t="s">
        <v>194</v>
      </c>
      <c r="R2" s="83" t="s">
        <v>195</v>
      </c>
      <c r="S2" s="88" t="s">
        <v>206</v>
      </c>
      <c r="T2" s="89" t="s">
        <v>207</v>
      </c>
      <c r="U2" s="89" t="s">
        <v>208</v>
      </c>
    </row>
    <row r="3" spans="1:26" ht="39" thickTop="1" thickBot="1" x14ac:dyDescent="0.3">
      <c r="D3" s="3" t="s">
        <v>4</v>
      </c>
      <c r="E3" s="3">
        <v>21</v>
      </c>
      <c r="N3" s="84" t="s">
        <v>196</v>
      </c>
      <c r="O3" s="77" t="s">
        <v>197</v>
      </c>
      <c r="P3" s="77" t="s">
        <v>198</v>
      </c>
      <c r="Q3" s="77">
        <v>1.2E-2</v>
      </c>
      <c r="R3" s="78">
        <v>1.0900000000000001</v>
      </c>
      <c r="S3" s="77">
        <f>Q3*R3</f>
        <v>1.3080000000000001E-2</v>
      </c>
      <c r="T3" s="77">
        <f>S3*Z3</f>
        <v>1.3080000000000001E-4</v>
      </c>
      <c r="U3" s="78">
        <f>S3-T3</f>
        <v>1.2949200000000001E-2</v>
      </c>
      <c r="Y3" s="6" t="s">
        <v>209</v>
      </c>
      <c r="Z3" s="6">
        <f>1/100</f>
        <v>0.01</v>
      </c>
    </row>
    <row r="4" spans="1:26" ht="57" thickBot="1" x14ac:dyDescent="0.3">
      <c r="D4" s="3" t="s">
        <v>5</v>
      </c>
      <c r="E4" s="3">
        <v>2</v>
      </c>
      <c r="I4" s="29"/>
      <c r="J4" t="s">
        <v>80</v>
      </c>
      <c r="N4" s="84" t="s">
        <v>199</v>
      </c>
      <c r="O4" s="77" t="s">
        <v>200</v>
      </c>
      <c r="P4" s="77" t="s">
        <v>198</v>
      </c>
      <c r="Q4" s="77">
        <v>4.0000000000000001E-3</v>
      </c>
      <c r="R4" s="78">
        <v>0.54500000000000004</v>
      </c>
      <c r="S4" s="77">
        <f>Q4*R4</f>
        <v>2.1800000000000001E-3</v>
      </c>
      <c r="T4" s="77">
        <f>S4*Z3</f>
        <v>2.1800000000000001E-5</v>
      </c>
      <c r="U4" s="78">
        <f>S4-T4</f>
        <v>2.1581999999999999E-3</v>
      </c>
      <c r="Z4" s="90"/>
    </row>
    <row r="5" spans="1:26" ht="38.25" thickBot="1" x14ac:dyDescent="0.3">
      <c r="D5" s="3" t="s">
        <v>6</v>
      </c>
      <c r="E5" s="3">
        <v>2</v>
      </c>
      <c r="F5" t="s">
        <v>9</v>
      </c>
      <c r="N5" s="84" t="s">
        <v>201</v>
      </c>
      <c r="O5" s="77" t="s">
        <v>202</v>
      </c>
      <c r="P5" s="77" t="s">
        <v>198</v>
      </c>
      <c r="Q5" s="77">
        <v>0.01</v>
      </c>
      <c r="R5" s="78">
        <v>1.181</v>
      </c>
      <c r="S5" s="77">
        <f>Q5*R5</f>
        <v>1.1810000000000001E-2</v>
      </c>
      <c r="T5" s="77">
        <f>S5*Z3</f>
        <v>1.1810000000000001E-4</v>
      </c>
      <c r="U5" s="78">
        <f>S5-T5</f>
        <v>1.1691900000000002E-2</v>
      </c>
      <c r="Z5" s="90"/>
    </row>
    <row r="6" spans="1:26" ht="94.5" thickBot="1" x14ac:dyDescent="0.3">
      <c r="D6" s="3" t="s">
        <v>7</v>
      </c>
      <c r="E6" s="3">
        <v>8</v>
      </c>
      <c r="I6" s="30"/>
      <c r="J6" t="s">
        <v>81</v>
      </c>
      <c r="N6" s="84" t="s">
        <v>203</v>
      </c>
      <c r="O6" s="85" t="s">
        <v>98</v>
      </c>
      <c r="P6" s="77" t="s">
        <v>198</v>
      </c>
      <c r="Q6" s="77">
        <v>0.01</v>
      </c>
      <c r="R6" s="78">
        <v>0.47199999999999998</v>
      </c>
      <c r="S6" s="77">
        <f>Q6*R6</f>
        <v>4.7200000000000002E-3</v>
      </c>
      <c r="T6" s="77">
        <f>S6*Z3</f>
        <v>4.7200000000000002E-5</v>
      </c>
      <c r="U6" s="78">
        <f>S6-T6</f>
        <v>4.6728000000000004E-3</v>
      </c>
      <c r="Z6" s="90"/>
    </row>
    <row r="7" spans="1:26" ht="57" thickBot="1" x14ac:dyDescent="0.3">
      <c r="N7" s="86" t="s">
        <v>204</v>
      </c>
      <c r="O7" s="87" t="s">
        <v>98</v>
      </c>
      <c r="P7" s="79" t="s">
        <v>198</v>
      </c>
      <c r="Q7" s="79">
        <v>0.03</v>
      </c>
      <c r="R7" s="80">
        <v>0.33600000000000002</v>
      </c>
      <c r="S7" s="79">
        <f>Q7*R7</f>
        <v>1.008E-2</v>
      </c>
      <c r="T7" s="79">
        <f>S7*Z3</f>
        <v>1.0080000000000001E-4</v>
      </c>
      <c r="U7" s="80">
        <f>S7-T7</f>
        <v>9.9792000000000006E-3</v>
      </c>
      <c r="Z7" s="90"/>
    </row>
    <row r="8" spans="1:26" ht="19.5" thickTop="1" x14ac:dyDescent="0.25">
      <c r="D8" s="3" t="s">
        <v>144</v>
      </c>
      <c r="E8" s="3">
        <v>0.2</v>
      </c>
      <c r="F8" s="55">
        <v>0.2</v>
      </c>
      <c r="U8" s="112">
        <f>SUM(U3:U7)</f>
        <v>4.1451300000000003E-2</v>
      </c>
    </row>
    <row r="9" spans="1:26" x14ac:dyDescent="0.25">
      <c r="A9" s="1" t="s">
        <v>10</v>
      </c>
      <c r="I9" s="72" t="s">
        <v>145</v>
      </c>
    </row>
    <row r="11" spans="1:26" x14ac:dyDescent="0.25">
      <c r="A11" t="s">
        <v>2</v>
      </c>
      <c r="B11">
        <f>B12/C17</f>
        <v>4.75</v>
      </c>
    </row>
    <row r="12" spans="1:26" x14ac:dyDescent="0.25">
      <c r="A12" s="2" t="s">
        <v>0</v>
      </c>
      <c r="B12" s="3">
        <v>19</v>
      </c>
    </row>
    <row r="14" spans="1:26" ht="15.75" thickBot="1" x14ac:dyDescent="0.3"/>
    <row r="15" spans="1:26" ht="15.75" thickBot="1" x14ac:dyDescent="0.3">
      <c r="A15" s="2"/>
      <c r="F15" s="4">
        <v>3.3</v>
      </c>
      <c r="G15" s="5">
        <v>2.2000000000000002</v>
      </c>
      <c r="H15" s="5">
        <v>2.9</v>
      </c>
      <c r="I15" s="5">
        <v>2.7</v>
      </c>
      <c r="J15" s="5">
        <v>2</v>
      </c>
      <c r="K15" s="5">
        <v>1.5</v>
      </c>
      <c r="L15" s="5">
        <v>1.8</v>
      </c>
      <c r="M15" s="5">
        <v>2.6</v>
      </c>
      <c r="N15" s="5">
        <v>1.7</v>
      </c>
      <c r="O15" s="5">
        <v>2</v>
      </c>
      <c r="P15" s="5">
        <v>2.5</v>
      </c>
      <c r="Q15" s="5">
        <v>3.4</v>
      </c>
      <c r="R15" s="5">
        <v>1.6</v>
      </c>
      <c r="S15" s="5">
        <v>2.2999999999999998</v>
      </c>
      <c r="T15" s="5">
        <v>1.2</v>
      </c>
      <c r="U15" s="5">
        <v>2.1</v>
      </c>
      <c r="V15" s="5">
        <v>3.2</v>
      </c>
      <c r="W15" s="5">
        <v>2.7</v>
      </c>
      <c r="X15" s="5">
        <v>2.4</v>
      </c>
    </row>
    <row r="16" spans="1:26" x14ac:dyDescent="0.25">
      <c r="Z16" s="105">
        <f>F15</f>
        <v>3.3</v>
      </c>
    </row>
    <row r="17" spans="1:26" x14ac:dyDescent="0.25">
      <c r="A17" t="s">
        <v>1</v>
      </c>
      <c r="B17">
        <f>(E2*G17)/B18</f>
        <v>3.5000000000000009</v>
      </c>
      <c r="C17">
        <f xml:space="preserve"> MROUND(B17,1)</f>
        <v>4</v>
      </c>
      <c r="F17" t="s">
        <v>12</v>
      </c>
      <c r="G17">
        <f>SUM(F15:X15)</f>
        <v>44.100000000000009</v>
      </c>
      <c r="Z17" s="105">
        <f>G15</f>
        <v>2.2000000000000002</v>
      </c>
    </row>
    <row r="18" spans="1:26" x14ac:dyDescent="0.25">
      <c r="A18" t="s">
        <v>11</v>
      </c>
      <c r="B18">
        <f>E3*E4*E6*60</f>
        <v>20160</v>
      </c>
      <c r="Z18" s="105">
        <f>H15</f>
        <v>2.9</v>
      </c>
    </row>
    <row r="19" spans="1:26" x14ac:dyDescent="0.25">
      <c r="Z19" s="105">
        <f>I15</f>
        <v>2.7</v>
      </c>
    </row>
    <row r="20" spans="1:26" x14ac:dyDescent="0.25">
      <c r="A20" s="1" t="s">
        <v>13</v>
      </c>
      <c r="Z20" s="105">
        <f>J15</f>
        <v>2</v>
      </c>
    </row>
    <row r="21" spans="1:26" x14ac:dyDescent="0.25">
      <c r="Z21" s="105">
        <f>K15</f>
        <v>1.5</v>
      </c>
    </row>
    <row r="22" spans="1:26" x14ac:dyDescent="0.25">
      <c r="Z22" s="105">
        <f>L15</f>
        <v>1.8</v>
      </c>
    </row>
    <row r="23" spans="1:26" x14ac:dyDescent="0.25">
      <c r="A23" t="s">
        <v>14</v>
      </c>
      <c r="B23">
        <f>((100-E5)*G17)/(E5*G17)</f>
        <v>49</v>
      </c>
      <c r="C23">
        <f>MROUND(B23,1)</f>
        <v>49</v>
      </c>
      <c r="Z23" s="105">
        <f>M15</f>
        <v>2.6</v>
      </c>
    </row>
    <row r="24" spans="1:26" x14ac:dyDescent="0.25">
      <c r="A24" t="s">
        <v>15</v>
      </c>
      <c r="C24">
        <f>E2</f>
        <v>1600</v>
      </c>
      <c r="Z24" s="105">
        <f>N15</f>
        <v>1.7</v>
      </c>
    </row>
    <row r="25" spans="1:26" x14ac:dyDescent="0.25">
      <c r="Z25" s="105">
        <f>O15</f>
        <v>2</v>
      </c>
    </row>
    <row r="26" spans="1:26" x14ac:dyDescent="0.25">
      <c r="D26" s="6" t="s">
        <v>16</v>
      </c>
      <c r="E26" s="6">
        <v>21</v>
      </c>
      <c r="Z26" s="105">
        <f>P15</f>
        <v>2.5</v>
      </c>
    </row>
    <row r="27" spans="1:26" x14ac:dyDescent="0.25">
      <c r="E27" s="6">
        <v>7</v>
      </c>
      <c r="Z27" s="105">
        <f>Q15</f>
        <v>3.4</v>
      </c>
    </row>
    <row r="28" spans="1:26" x14ac:dyDescent="0.25">
      <c r="E28" s="6">
        <v>3</v>
      </c>
      <c r="Z28" s="105">
        <f>R15</f>
        <v>1.6</v>
      </c>
    </row>
    <row r="29" spans="1:26" x14ac:dyDescent="0.25">
      <c r="A29" t="s">
        <v>20</v>
      </c>
      <c r="E29" s="6">
        <v>1</v>
      </c>
      <c r="Z29" s="105">
        <f>S15</f>
        <v>2.2999999999999998</v>
      </c>
    </row>
    <row r="30" spans="1:26" x14ac:dyDescent="0.25">
      <c r="A30" t="s">
        <v>17</v>
      </c>
      <c r="B30">
        <f>E3*C23/E2</f>
        <v>0.64312499999999995</v>
      </c>
      <c r="C30" s="6">
        <v>1</v>
      </c>
      <c r="D30" t="s">
        <v>18</v>
      </c>
      <c r="Z30" s="105">
        <f>T15</f>
        <v>1.2</v>
      </c>
    </row>
    <row r="31" spans="1:26" x14ac:dyDescent="0.25">
      <c r="Z31" s="105">
        <f>U15</f>
        <v>2.1</v>
      </c>
    </row>
    <row r="32" spans="1:26" x14ac:dyDescent="0.25">
      <c r="A32" t="s">
        <v>21</v>
      </c>
      <c r="Z32" s="105">
        <f>V15</f>
        <v>3.2</v>
      </c>
    </row>
    <row r="33" spans="1:26" x14ac:dyDescent="0.25">
      <c r="A33" t="s">
        <v>19</v>
      </c>
      <c r="B33">
        <f>C30*E2/E3</f>
        <v>76.19047619047619</v>
      </c>
      <c r="C33">
        <f>MROUND(B33,1)</f>
        <v>76</v>
      </c>
      <c r="Z33" s="105">
        <f>W15</f>
        <v>2.7</v>
      </c>
    </row>
    <row r="34" spans="1:26" x14ac:dyDescent="0.25">
      <c r="Z34" s="105">
        <f>X15</f>
        <v>2.4</v>
      </c>
    </row>
    <row r="35" spans="1:26" x14ac:dyDescent="0.25">
      <c r="A35" t="s">
        <v>22</v>
      </c>
    </row>
    <row r="36" spans="1:26" x14ac:dyDescent="0.25">
      <c r="A36" t="s">
        <v>23</v>
      </c>
      <c r="B36">
        <f>E3/C30</f>
        <v>21</v>
      </c>
    </row>
    <row r="38" spans="1:26" x14ac:dyDescent="0.25">
      <c r="A38" t="s">
        <v>24</v>
      </c>
    </row>
    <row r="40" spans="1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26" x14ac:dyDescent="0.25">
      <c r="B41" t="s">
        <v>40</v>
      </c>
      <c r="C41" t="s">
        <v>39</v>
      </c>
      <c r="D41" t="s">
        <v>31</v>
      </c>
      <c r="E41" t="s">
        <v>38</v>
      </c>
      <c r="F41" t="s">
        <v>37</v>
      </c>
      <c r="G41" t="s">
        <v>32</v>
      </c>
      <c r="H41" t="s">
        <v>35</v>
      </c>
      <c r="I41" t="s">
        <v>34</v>
      </c>
      <c r="J41" t="s">
        <v>33</v>
      </c>
      <c r="K41" t="s">
        <v>36</v>
      </c>
    </row>
    <row r="42" spans="1:26" x14ac:dyDescent="0.25">
      <c r="B42" t="s">
        <v>26</v>
      </c>
      <c r="C42">
        <v>1</v>
      </c>
      <c r="D42">
        <f>F15</f>
        <v>3.3</v>
      </c>
      <c r="E42" s="6">
        <v>1</v>
      </c>
      <c r="F42">
        <f>D42*E42</f>
        <v>3.3</v>
      </c>
      <c r="G42">
        <v>4</v>
      </c>
      <c r="H42">
        <v>7</v>
      </c>
      <c r="I42">
        <f>C33</f>
        <v>76</v>
      </c>
      <c r="J42">
        <f>ROUND((D42*C33+G42)/60,1)</f>
        <v>4.2</v>
      </c>
      <c r="L42" s="8"/>
      <c r="M42" s="15"/>
    </row>
    <row r="43" spans="1:26" x14ac:dyDescent="0.25">
      <c r="C43">
        <v>2</v>
      </c>
      <c r="D43">
        <f>G15</f>
        <v>2.2000000000000002</v>
      </c>
      <c r="E43" s="6">
        <v>1</v>
      </c>
      <c r="F43">
        <f t="shared" ref="F43:F60" si="0">D43*E43</f>
        <v>2.2000000000000002</v>
      </c>
      <c r="G43">
        <v>4</v>
      </c>
      <c r="H43">
        <v>7</v>
      </c>
      <c r="I43">
        <f>C33</f>
        <v>76</v>
      </c>
      <c r="J43">
        <f>ROUND((D43*C33+G43)/60,1)</f>
        <v>2.9</v>
      </c>
      <c r="K43">
        <f>J42+J43+J44</f>
        <v>10.8</v>
      </c>
      <c r="L43" s="8"/>
      <c r="M43" s="15"/>
    </row>
    <row r="44" spans="1:26" x14ac:dyDescent="0.25">
      <c r="C44">
        <v>3</v>
      </c>
      <c r="D44">
        <f>H15</f>
        <v>2.9</v>
      </c>
      <c r="E44" s="6">
        <v>1</v>
      </c>
      <c r="F44">
        <f t="shared" si="0"/>
        <v>2.9</v>
      </c>
      <c r="G44">
        <v>4</v>
      </c>
      <c r="H44">
        <v>7</v>
      </c>
      <c r="I44">
        <f>C33</f>
        <v>76</v>
      </c>
      <c r="J44">
        <f>ROUND((D44*C33+G44)/60,1)</f>
        <v>3.7</v>
      </c>
      <c r="L44" s="8"/>
      <c r="M44" s="15"/>
    </row>
    <row r="45" spans="1:26" x14ac:dyDescent="0.25">
      <c r="B45" t="s">
        <v>25</v>
      </c>
      <c r="C45">
        <v>4</v>
      </c>
      <c r="D45">
        <f>I15</f>
        <v>2.7</v>
      </c>
      <c r="E45" s="6">
        <v>1</v>
      </c>
      <c r="F45">
        <f t="shared" si="0"/>
        <v>2.7</v>
      </c>
      <c r="G45">
        <v>4</v>
      </c>
      <c r="H45">
        <v>8</v>
      </c>
      <c r="I45">
        <f>C33</f>
        <v>76</v>
      </c>
      <c r="J45">
        <f>ROUND((D45*C33+G45)/60,1)</f>
        <v>3.5</v>
      </c>
      <c r="L45" s="14"/>
      <c r="M45" s="15"/>
    </row>
    <row r="46" spans="1:26" x14ac:dyDescent="0.25">
      <c r="C46">
        <v>5</v>
      </c>
      <c r="D46">
        <f>J15</f>
        <v>2</v>
      </c>
      <c r="E46" s="6">
        <v>1</v>
      </c>
      <c r="F46">
        <f t="shared" si="0"/>
        <v>2</v>
      </c>
      <c r="G46">
        <v>4</v>
      </c>
      <c r="H46">
        <v>8</v>
      </c>
      <c r="I46">
        <f>C33</f>
        <v>76</v>
      </c>
      <c r="J46">
        <f>ROUND((D46*C33+G46)/60,1)</f>
        <v>2.6</v>
      </c>
      <c r="K46">
        <f>SUM(J45:J47)</f>
        <v>8.1</v>
      </c>
      <c r="L46" s="14"/>
      <c r="M46" s="16"/>
    </row>
    <row r="47" spans="1:26" x14ac:dyDescent="0.25">
      <c r="C47">
        <v>6</v>
      </c>
      <c r="D47">
        <f>K15</f>
        <v>1.5</v>
      </c>
      <c r="E47" s="6">
        <v>1</v>
      </c>
      <c r="F47">
        <f t="shared" si="0"/>
        <v>1.5</v>
      </c>
      <c r="G47">
        <v>4</v>
      </c>
      <c r="H47">
        <v>8</v>
      </c>
      <c r="I47">
        <f>C33</f>
        <v>76</v>
      </c>
      <c r="J47">
        <f>ROUND((D47*C33+G47)/60,1)</f>
        <v>2</v>
      </c>
      <c r="L47" s="14"/>
      <c r="M47" s="16"/>
    </row>
    <row r="48" spans="1:26" x14ac:dyDescent="0.25">
      <c r="B48" t="s">
        <v>27</v>
      </c>
      <c r="C48">
        <v>7</v>
      </c>
      <c r="D48">
        <f>L15</f>
        <v>1.8</v>
      </c>
      <c r="E48" s="6">
        <v>1</v>
      </c>
      <c r="F48">
        <f t="shared" si="0"/>
        <v>1.8</v>
      </c>
      <c r="G48">
        <v>4</v>
      </c>
      <c r="H48">
        <v>16</v>
      </c>
      <c r="I48">
        <f>C33</f>
        <v>76</v>
      </c>
      <c r="J48">
        <f>ROUND((D48*C33+G48)/60,1)</f>
        <v>2.2999999999999998</v>
      </c>
      <c r="L48" s="8"/>
      <c r="M48" s="16"/>
    </row>
    <row r="49" spans="1:13" x14ac:dyDescent="0.25">
      <c r="C49">
        <v>8</v>
      </c>
      <c r="D49">
        <f>M15</f>
        <v>2.6</v>
      </c>
      <c r="E49" s="6">
        <v>1</v>
      </c>
      <c r="F49">
        <f t="shared" si="0"/>
        <v>2.6</v>
      </c>
      <c r="G49">
        <v>4</v>
      </c>
      <c r="H49">
        <v>16</v>
      </c>
      <c r="I49">
        <f>C33</f>
        <v>76</v>
      </c>
      <c r="J49">
        <f>ROUND((D49*C33+G49)/60,1)</f>
        <v>3.4</v>
      </c>
      <c r="K49">
        <f>SUM(J48:J50)</f>
        <v>7.8999999999999995</v>
      </c>
      <c r="L49" s="8"/>
      <c r="M49" s="16"/>
    </row>
    <row r="50" spans="1:13" x14ac:dyDescent="0.25">
      <c r="C50">
        <v>9</v>
      </c>
      <c r="D50">
        <f>N15</f>
        <v>1.7</v>
      </c>
      <c r="E50" s="6">
        <v>1</v>
      </c>
      <c r="F50">
        <f t="shared" si="0"/>
        <v>1.7</v>
      </c>
      <c r="G50">
        <v>4</v>
      </c>
      <c r="H50">
        <v>16</v>
      </c>
      <c r="I50">
        <f>C33</f>
        <v>76</v>
      </c>
      <c r="J50">
        <f>ROUND((D50*C33+G50)/60,1)</f>
        <v>2.2000000000000002</v>
      </c>
      <c r="L50" s="8"/>
      <c r="M50" s="16"/>
    </row>
    <row r="51" spans="1:13" x14ac:dyDescent="0.25">
      <c r="B51" t="s">
        <v>28</v>
      </c>
      <c r="C51">
        <v>10</v>
      </c>
      <c r="D51">
        <f>O15</f>
        <v>2</v>
      </c>
      <c r="E51" s="6">
        <v>1</v>
      </c>
      <c r="F51">
        <f t="shared" si="0"/>
        <v>2</v>
      </c>
      <c r="G51">
        <v>4</v>
      </c>
      <c r="H51">
        <v>17</v>
      </c>
      <c r="I51">
        <f>C33</f>
        <v>76</v>
      </c>
      <c r="J51">
        <f>ROUND((D51*C33+G51)/60,1)</f>
        <v>2.6</v>
      </c>
      <c r="L51" s="14"/>
      <c r="M51" s="16"/>
    </row>
    <row r="52" spans="1:13" x14ac:dyDescent="0.25">
      <c r="C52">
        <v>11</v>
      </c>
      <c r="D52">
        <f>P15</f>
        <v>2.5</v>
      </c>
      <c r="E52" s="6">
        <v>1</v>
      </c>
      <c r="F52">
        <f t="shared" si="0"/>
        <v>2.5</v>
      </c>
      <c r="G52">
        <v>3</v>
      </c>
      <c r="H52">
        <v>17</v>
      </c>
      <c r="I52">
        <f>C33</f>
        <v>76</v>
      </c>
      <c r="J52">
        <f>ROUND((D52*C33+G52)/60,1)</f>
        <v>3.2</v>
      </c>
      <c r="K52">
        <f>SUM(J51:J53)</f>
        <v>10.200000000000001</v>
      </c>
      <c r="L52" s="14"/>
      <c r="M52" s="12"/>
    </row>
    <row r="53" spans="1:13" x14ac:dyDescent="0.25">
      <c r="C53">
        <v>12</v>
      </c>
      <c r="D53">
        <f>Q15</f>
        <v>3.4</v>
      </c>
      <c r="E53" s="6">
        <v>1</v>
      </c>
      <c r="F53">
        <f t="shared" si="0"/>
        <v>3.4</v>
      </c>
      <c r="G53">
        <v>3</v>
      </c>
      <c r="H53">
        <v>17</v>
      </c>
      <c r="I53">
        <f>C33</f>
        <v>76</v>
      </c>
      <c r="J53">
        <f>ROUND((D53*C33+G53)/60,1)</f>
        <v>4.4000000000000004</v>
      </c>
      <c r="L53" s="14"/>
      <c r="M53" s="12"/>
    </row>
    <row r="54" spans="1:13" x14ac:dyDescent="0.25">
      <c r="B54" t="s">
        <v>29</v>
      </c>
      <c r="C54">
        <v>13</v>
      </c>
      <c r="D54">
        <f>R15</f>
        <v>1.6</v>
      </c>
      <c r="E54" s="6">
        <v>1</v>
      </c>
      <c r="F54">
        <f t="shared" si="0"/>
        <v>1.6</v>
      </c>
      <c r="G54">
        <v>3</v>
      </c>
      <c r="H54">
        <v>18</v>
      </c>
      <c r="I54">
        <f>C33</f>
        <v>76</v>
      </c>
      <c r="J54">
        <f>ROUND((D54*C33+G54)/60,1)</f>
        <v>2.1</v>
      </c>
      <c r="L54" s="8"/>
      <c r="M54" s="12"/>
    </row>
    <row r="55" spans="1:13" x14ac:dyDescent="0.25">
      <c r="C55">
        <v>14</v>
      </c>
      <c r="D55">
        <f>S15</f>
        <v>2.2999999999999998</v>
      </c>
      <c r="E55" s="6">
        <v>1</v>
      </c>
      <c r="F55">
        <f t="shared" si="0"/>
        <v>2.2999999999999998</v>
      </c>
      <c r="G55">
        <v>3</v>
      </c>
      <c r="H55">
        <v>18</v>
      </c>
      <c r="I55">
        <f>C33</f>
        <v>76</v>
      </c>
      <c r="J55">
        <f>ROUND((D55*C33+G55)/60,1)</f>
        <v>3</v>
      </c>
      <c r="K55">
        <f>SUM(J54:J56)</f>
        <v>6.6999999999999993</v>
      </c>
      <c r="L55" s="8"/>
      <c r="M55" s="12"/>
    </row>
    <row r="56" spans="1:13" x14ac:dyDescent="0.25">
      <c r="C56">
        <v>15</v>
      </c>
      <c r="D56">
        <f>T15</f>
        <v>1.2</v>
      </c>
      <c r="E56" s="6">
        <v>1</v>
      </c>
      <c r="F56">
        <f t="shared" si="0"/>
        <v>1.2</v>
      </c>
      <c r="G56">
        <v>3</v>
      </c>
      <c r="H56">
        <v>18</v>
      </c>
      <c r="I56">
        <f>C33</f>
        <v>76</v>
      </c>
      <c r="J56">
        <f>ROUND((D56*C33+G56)/60,1)</f>
        <v>1.6</v>
      </c>
      <c r="L56" s="8"/>
      <c r="M56" s="12"/>
    </row>
    <row r="57" spans="1:13" x14ac:dyDescent="0.25">
      <c r="B57" t="s">
        <v>30</v>
      </c>
      <c r="C57">
        <v>16</v>
      </c>
      <c r="D57">
        <f>U15</f>
        <v>2.1</v>
      </c>
      <c r="E57" s="6">
        <v>1</v>
      </c>
      <c r="F57">
        <f t="shared" si="0"/>
        <v>2.1</v>
      </c>
      <c r="G57">
        <v>3</v>
      </c>
      <c r="I57">
        <f>C33</f>
        <v>76</v>
      </c>
      <c r="J57">
        <f>ROUND((D57*C33+G57)/60,1)</f>
        <v>2.7</v>
      </c>
      <c r="L57" s="14"/>
      <c r="M57" s="13"/>
    </row>
    <row r="58" spans="1:13" x14ac:dyDescent="0.25">
      <c r="C58">
        <v>17</v>
      </c>
      <c r="D58">
        <f>V15</f>
        <v>3.2</v>
      </c>
      <c r="E58" s="6">
        <v>1</v>
      </c>
      <c r="F58">
        <f t="shared" si="0"/>
        <v>3.2</v>
      </c>
      <c r="G58">
        <v>4</v>
      </c>
      <c r="I58">
        <f>C33</f>
        <v>76</v>
      </c>
      <c r="J58">
        <f>ROUND((D58*C33+G58)/60,1)</f>
        <v>4.0999999999999996</v>
      </c>
      <c r="K58">
        <f>SUM(J57:J60)</f>
        <v>13.4</v>
      </c>
      <c r="L58" s="14"/>
      <c r="M58" s="13"/>
    </row>
    <row r="59" spans="1:13" x14ac:dyDescent="0.25">
      <c r="C59">
        <v>18</v>
      </c>
      <c r="D59">
        <f>W15</f>
        <v>2.7</v>
      </c>
      <c r="E59" s="6">
        <v>1</v>
      </c>
      <c r="F59">
        <f t="shared" si="0"/>
        <v>2.7</v>
      </c>
      <c r="G59">
        <v>4</v>
      </c>
      <c r="I59">
        <f>C33</f>
        <v>76</v>
      </c>
      <c r="J59">
        <f>ROUND((D59*C33+G59)/60,1)</f>
        <v>3.5</v>
      </c>
      <c r="L59" s="14"/>
      <c r="M59" s="13"/>
    </row>
    <row r="60" spans="1:13" x14ac:dyDescent="0.25">
      <c r="C60">
        <v>19</v>
      </c>
      <c r="D60">
        <f>X15</f>
        <v>2.4</v>
      </c>
      <c r="E60" s="6">
        <v>1</v>
      </c>
      <c r="F60">
        <f t="shared" si="0"/>
        <v>2.4</v>
      </c>
      <c r="G60">
        <v>4</v>
      </c>
      <c r="I60">
        <f>C33</f>
        <v>76</v>
      </c>
      <c r="J60">
        <f>ROUND((D60*C33+G60)/60,1)</f>
        <v>3.1</v>
      </c>
      <c r="L60" s="14"/>
      <c r="M60" s="13"/>
    </row>
    <row r="61" spans="1:13" x14ac:dyDescent="0.25">
      <c r="B61" s="7"/>
      <c r="C61" s="7"/>
      <c r="D61" s="7">
        <f>SUM(D42:D60)</f>
        <v>44.100000000000009</v>
      </c>
      <c r="E61" s="7"/>
      <c r="F61" s="7">
        <f>SUM(F42:F60)</f>
        <v>44.100000000000009</v>
      </c>
      <c r="G61" s="7">
        <f>SUM(G42:G60)</f>
        <v>70</v>
      </c>
      <c r="H61" s="7"/>
      <c r="I61" s="7">
        <f>C33</f>
        <v>76</v>
      </c>
      <c r="J61" s="7">
        <f>SUM(J42:J60)</f>
        <v>57.100000000000009</v>
      </c>
      <c r="K61" s="7"/>
    </row>
    <row r="63" spans="1:13" x14ac:dyDescent="0.25">
      <c r="A63" t="s">
        <v>41</v>
      </c>
    </row>
    <row r="65" spans="1:9" x14ac:dyDescent="0.25">
      <c r="A65" t="s">
        <v>42</v>
      </c>
    </row>
    <row r="67" spans="1:9" x14ac:dyDescent="0.25">
      <c r="A67" t="s">
        <v>43</v>
      </c>
      <c r="B67">
        <f>E4*C17</f>
        <v>8</v>
      </c>
    </row>
    <row r="69" spans="1:9" x14ac:dyDescent="0.25">
      <c r="A69" t="s">
        <v>44</v>
      </c>
    </row>
    <row r="70" spans="1:9" ht="15.75" thickBot="1" x14ac:dyDescent="0.3"/>
    <row r="71" spans="1:9" ht="72.75" thickTop="1" thickBot="1" x14ac:dyDescent="0.3">
      <c r="A71" s="10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58</v>
      </c>
    </row>
    <row r="72" spans="1:9" ht="15.75" thickTop="1" x14ac:dyDescent="0.25">
      <c r="A72">
        <f>E4*E6*C30</f>
        <v>16</v>
      </c>
      <c r="B72">
        <v>1</v>
      </c>
      <c r="C72" t="s">
        <v>51</v>
      </c>
      <c r="D72" t="s">
        <v>50</v>
      </c>
      <c r="E72">
        <f>SUM(J42:J45)</f>
        <v>14.3</v>
      </c>
      <c r="F72">
        <f>ROUND(E72/A72,2)</f>
        <v>0.89</v>
      </c>
    </row>
    <row r="73" spans="1:9" x14ac:dyDescent="0.25">
      <c r="A73">
        <f>E4*E6*C30</f>
        <v>16</v>
      </c>
      <c r="B73">
        <v>2</v>
      </c>
      <c r="C73" t="s">
        <v>53</v>
      </c>
      <c r="D73" t="s">
        <v>52</v>
      </c>
      <c r="E73">
        <f>SUM(J46:J51)</f>
        <v>15.1</v>
      </c>
      <c r="F73">
        <f t="shared" ref="F73:F75" si="1">ROUND(E73/A73,2)</f>
        <v>0.94</v>
      </c>
    </row>
    <row r="74" spans="1:9" x14ac:dyDescent="0.25">
      <c r="A74">
        <f>E4*E6*C30</f>
        <v>16</v>
      </c>
      <c r="B74">
        <v>3</v>
      </c>
      <c r="C74" t="s">
        <v>56</v>
      </c>
      <c r="D74" t="s">
        <v>54</v>
      </c>
      <c r="E74">
        <f>SUM(J52:J56)</f>
        <v>14.3</v>
      </c>
      <c r="F74">
        <f t="shared" si="1"/>
        <v>0.89</v>
      </c>
    </row>
    <row r="75" spans="1:9" x14ac:dyDescent="0.25">
      <c r="A75">
        <f>E4*E6*C30</f>
        <v>16</v>
      </c>
      <c r="B75">
        <v>4</v>
      </c>
      <c r="C75" t="s">
        <v>57</v>
      </c>
      <c r="D75" t="s">
        <v>55</v>
      </c>
      <c r="E75">
        <f>SUM(J57:J60)</f>
        <v>13.4</v>
      </c>
      <c r="F75">
        <f t="shared" si="1"/>
        <v>0.84</v>
      </c>
    </row>
    <row r="77" spans="1:9" x14ac:dyDescent="0.25">
      <c r="A77" t="s">
        <v>59</v>
      </c>
      <c r="H77" s="28" t="s">
        <v>61</v>
      </c>
      <c r="I77" s="28">
        <v>2</v>
      </c>
    </row>
    <row r="79" spans="1:9" x14ac:dyDescent="0.25">
      <c r="A79" t="s">
        <v>60</v>
      </c>
      <c r="B79">
        <f>C33*I77/C30</f>
        <v>152</v>
      </c>
      <c r="C79" t="s">
        <v>62</v>
      </c>
    </row>
    <row r="80" spans="1:9" x14ac:dyDescent="0.25">
      <c r="B80">
        <f>I77/C30</f>
        <v>2</v>
      </c>
      <c r="C80" t="s">
        <v>63</v>
      </c>
    </row>
    <row r="81" spans="1:9" x14ac:dyDescent="0.25">
      <c r="A81" t="s">
        <v>64</v>
      </c>
    </row>
    <row r="83" spans="1:9" x14ac:dyDescent="0.25">
      <c r="A83" t="s">
        <v>65</v>
      </c>
      <c r="B83">
        <f>(B79*(SUM(D42:D60)+(SUM(G42:G60)/C33)))/(2*60)</f>
        <v>57.026666666666671</v>
      </c>
      <c r="C83">
        <f>ROUND(B83,2)</f>
        <v>57.03</v>
      </c>
      <c r="D83" t="s">
        <v>66</v>
      </c>
    </row>
    <row r="86" spans="1:9" ht="20.25" x14ac:dyDescent="0.25">
      <c r="C86" s="17"/>
    </row>
    <row r="92" spans="1:9" ht="22.5" x14ac:dyDescent="0.3">
      <c r="A92" s="18" t="s">
        <v>87</v>
      </c>
    </row>
    <row r="93" spans="1:9" ht="15.75" thickBot="1" x14ac:dyDescent="0.3"/>
    <row r="94" spans="1:9" ht="78.75" customHeight="1" thickTop="1" x14ac:dyDescent="0.25">
      <c r="A94" s="19" t="s">
        <v>67</v>
      </c>
      <c r="B94" s="122" t="s">
        <v>69</v>
      </c>
      <c r="C94" s="122" t="s">
        <v>70</v>
      </c>
      <c r="D94" s="122" t="s">
        <v>71</v>
      </c>
      <c r="E94" s="124" t="s">
        <v>72</v>
      </c>
      <c r="F94" s="120" t="s">
        <v>77</v>
      </c>
      <c r="H94" s="6" t="s">
        <v>78</v>
      </c>
      <c r="I94" s="6">
        <f>1200*700</f>
        <v>840000</v>
      </c>
    </row>
    <row r="95" spans="1:9" ht="38.25" thickBot="1" x14ac:dyDescent="0.3">
      <c r="A95" s="20" t="s">
        <v>68</v>
      </c>
      <c r="B95" s="123"/>
      <c r="C95" s="123"/>
      <c r="D95" s="123"/>
      <c r="E95" s="125"/>
      <c r="F95" s="121"/>
    </row>
    <row r="96" spans="1:9" ht="39" thickTop="1" thickBot="1" x14ac:dyDescent="0.3">
      <c r="A96" s="21" t="s">
        <v>73</v>
      </c>
      <c r="B96" s="22" t="s">
        <v>74</v>
      </c>
      <c r="C96" s="22" t="s">
        <v>75</v>
      </c>
      <c r="D96" s="22">
        <v>4</v>
      </c>
      <c r="E96" s="22">
        <v>4</v>
      </c>
      <c r="F96" s="26">
        <f>I94*D96*E96/1000000</f>
        <v>13.44</v>
      </c>
    </row>
    <row r="97" spans="1:6" ht="19.5" thickBot="1" x14ac:dyDescent="0.3">
      <c r="A97" s="23" t="s">
        <v>76</v>
      </c>
      <c r="B97" s="24"/>
      <c r="C97" s="24"/>
      <c r="D97" s="25">
        <v>4</v>
      </c>
      <c r="E97" s="24"/>
      <c r="F97" s="27">
        <f>F96</f>
        <v>13.44</v>
      </c>
    </row>
    <row r="98" spans="1:6" ht="15.75" thickTop="1" x14ac:dyDescent="0.25"/>
    <row r="99" spans="1:6" x14ac:dyDescent="0.25">
      <c r="A99" t="s">
        <v>82</v>
      </c>
    </row>
    <row r="100" spans="1:6" ht="15.75" thickBot="1" x14ac:dyDescent="0.3"/>
    <row r="101" spans="1:6" ht="42.75" thickTop="1" thickBot="1" x14ac:dyDescent="0.3">
      <c r="D101" s="31" t="s">
        <v>83</v>
      </c>
      <c r="E101" s="32" t="s">
        <v>84</v>
      </c>
    </row>
    <row r="102" spans="1:6" ht="39" thickTop="1" thickBot="1" x14ac:dyDescent="0.3">
      <c r="D102" s="33" t="s">
        <v>85</v>
      </c>
      <c r="E102" s="26">
        <f>F96</f>
        <v>13.44</v>
      </c>
    </row>
    <row r="103" spans="1:6" ht="38.25" thickBot="1" x14ac:dyDescent="0.3">
      <c r="D103" s="33" t="s">
        <v>86</v>
      </c>
      <c r="E103" s="26">
        <f>F96*0.3</f>
        <v>4.032</v>
      </c>
    </row>
    <row r="104" spans="1:6" ht="19.5" thickBot="1" x14ac:dyDescent="0.3">
      <c r="D104" s="34" t="s">
        <v>76</v>
      </c>
      <c r="E104" s="27">
        <f>SUM(E102:E103)</f>
        <v>17.472000000000001</v>
      </c>
    </row>
    <row r="105" spans="1:6" ht="15.75" thickTop="1" x14ac:dyDescent="0.25"/>
    <row r="107" spans="1:6" ht="20.25" x14ac:dyDescent="0.3">
      <c r="A107" s="35" t="s">
        <v>88</v>
      </c>
    </row>
    <row r="108" spans="1:6" ht="15.75" thickBot="1" x14ac:dyDescent="0.3"/>
    <row r="109" spans="1:6" ht="80.25" thickTop="1" thickBot="1" x14ac:dyDescent="0.3">
      <c r="A109" s="36" t="s">
        <v>89</v>
      </c>
      <c r="B109" s="37" t="s">
        <v>90</v>
      </c>
      <c r="C109" s="37" t="s">
        <v>91</v>
      </c>
      <c r="D109" s="37" t="s">
        <v>92</v>
      </c>
      <c r="E109" s="37" t="s">
        <v>93</v>
      </c>
      <c r="F109" s="37" t="s">
        <v>94</v>
      </c>
    </row>
    <row r="110" spans="1:6" ht="17.25" thickTop="1" thickBot="1" x14ac:dyDescent="0.3">
      <c r="A110" s="38" t="s">
        <v>95</v>
      </c>
      <c r="B110" s="43">
        <v>170</v>
      </c>
      <c r="C110" s="39">
        <f>E102</f>
        <v>13.44</v>
      </c>
      <c r="D110" s="39">
        <f>C110*B110</f>
        <v>2284.7999999999997</v>
      </c>
      <c r="E110" s="43">
        <v>2.7</v>
      </c>
      <c r="F110" s="39">
        <f>(D110*E110/100)/12</f>
        <v>5.1407999999999996</v>
      </c>
    </row>
    <row r="111" spans="1:6" ht="16.5" thickBot="1" x14ac:dyDescent="0.3">
      <c r="A111" s="40" t="s">
        <v>96</v>
      </c>
      <c r="B111" s="44">
        <v>250</v>
      </c>
      <c r="C111" s="41">
        <f>E103</f>
        <v>4.032</v>
      </c>
      <c r="D111" s="41">
        <f>C111*B111</f>
        <v>1008</v>
      </c>
      <c r="E111" s="44">
        <v>3.1</v>
      </c>
      <c r="F111" s="41">
        <f>(D111*E111/100)/12</f>
        <v>2.6040000000000001</v>
      </c>
    </row>
    <row r="112" spans="1:6" ht="17.25" thickTop="1" thickBot="1" x14ac:dyDescent="0.3">
      <c r="A112" s="42" t="s">
        <v>97</v>
      </c>
      <c r="B112" s="41" t="s">
        <v>98</v>
      </c>
      <c r="C112" s="41">
        <f>E104</f>
        <v>17.472000000000001</v>
      </c>
      <c r="D112" s="41">
        <f>SUM(D110:D111)</f>
        <v>3292.7999999999997</v>
      </c>
      <c r="E112" s="41"/>
      <c r="F112" s="41">
        <f>SUM(F110:F111)</f>
        <v>7.7447999999999997</v>
      </c>
    </row>
    <row r="113" spans="1:9" ht="15.75" thickTop="1" x14ac:dyDescent="0.25"/>
    <row r="115" spans="1:9" ht="21" x14ac:dyDescent="0.35">
      <c r="A115" s="45" t="s">
        <v>99</v>
      </c>
    </row>
    <row r="117" spans="1:9" x14ac:dyDescent="0.25">
      <c r="A117" t="s">
        <v>100</v>
      </c>
    </row>
    <row r="118" spans="1:9" ht="15.75" thickBot="1" x14ac:dyDescent="0.3"/>
    <row r="119" spans="1:9" ht="75" customHeight="1" thickTop="1" thickBot="1" x14ac:dyDescent="0.3">
      <c r="A119" s="126" t="s">
        <v>101</v>
      </c>
      <c r="B119" s="126" t="s">
        <v>69</v>
      </c>
      <c r="C119" s="126" t="s">
        <v>102</v>
      </c>
      <c r="D119" s="128" t="s">
        <v>103</v>
      </c>
      <c r="E119" s="129"/>
      <c r="F119" s="126" t="s">
        <v>104</v>
      </c>
      <c r="G119" s="126" t="s">
        <v>105</v>
      </c>
      <c r="H119" s="126" t="s">
        <v>93</v>
      </c>
      <c r="I119" s="126" t="s">
        <v>94</v>
      </c>
    </row>
    <row r="120" spans="1:9" ht="69" thickTop="1" thickBot="1" x14ac:dyDescent="0.3">
      <c r="A120" s="127"/>
      <c r="B120" s="127"/>
      <c r="C120" s="127"/>
      <c r="D120" s="46" t="s">
        <v>106</v>
      </c>
      <c r="E120" s="46" t="s">
        <v>107</v>
      </c>
      <c r="F120" s="127"/>
      <c r="G120" s="127"/>
      <c r="H120" s="127"/>
      <c r="I120" s="127"/>
    </row>
    <row r="121" spans="1:9" ht="17.25" thickTop="1" thickBot="1" x14ac:dyDescent="0.3">
      <c r="A121" s="47" t="s">
        <v>108</v>
      </c>
      <c r="B121" s="41" t="s">
        <v>74</v>
      </c>
      <c r="C121" s="44">
        <v>3</v>
      </c>
      <c r="D121" s="44">
        <v>360</v>
      </c>
      <c r="E121" s="41">
        <f>D121*C121</f>
        <v>1080</v>
      </c>
      <c r="F121" s="41">
        <f>E121*0.1</f>
        <v>108</v>
      </c>
      <c r="G121" s="41">
        <f>SUM(E121:F121)</f>
        <v>1188</v>
      </c>
      <c r="H121" s="44">
        <v>7.7</v>
      </c>
      <c r="I121" s="41">
        <f>ROUND(G121*H121/(100*12),1)</f>
        <v>7.6</v>
      </c>
    </row>
    <row r="122" spans="1:9" ht="17.25" thickTop="1" thickBot="1" x14ac:dyDescent="0.3">
      <c r="A122" s="52" t="s">
        <v>97</v>
      </c>
      <c r="B122" s="53"/>
      <c r="C122" s="53">
        <f>C121</f>
        <v>3</v>
      </c>
      <c r="D122" s="53"/>
      <c r="E122" s="53">
        <f>E121</f>
        <v>1080</v>
      </c>
      <c r="F122" s="53">
        <f>F121</f>
        <v>108</v>
      </c>
      <c r="G122" s="53">
        <f>G121</f>
        <v>1188</v>
      </c>
      <c r="H122" s="53"/>
      <c r="I122" s="53">
        <f>I121</f>
        <v>7.6</v>
      </c>
    </row>
    <row r="123" spans="1:9" ht="15.75" thickTop="1" x14ac:dyDescent="0.25"/>
    <row r="124" spans="1:9" ht="21" x14ac:dyDescent="0.35">
      <c r="A124" s="45" t="s">
        <v>109</v>
      </c>
    </row>
    <row r="126" spans="1:9" x14ac:dyDescent="0.25">
      <c r="A126">
        <f>G121*0.1</f>
        <v>118.80000000000001</v>
      </c>
      <c r="B126" t="s">
        <v>110</v>
      </c>
      <c r="C126" s="55">
        <v>0.1</v>
      </c>
    </row>
    <row r="128" spans="1:9" ht="21" x14ac:dyDescent="0.35">
      <c r="A128" s="54" t="s">
        <v>111</v>
      </c>
    </row>
    <row r="130" spans="1:3" x14ac:dyDescent="0.25">
      <c r="A130">
        <v>0.02</v>
      </c>
      <c r="B130" t="s">
        <v>9</v>
      </c>
    </row>
    <row r="131" spans="1:3" x14ac:dyDescent="0.25">
      <c r="A131">
        <f>G121*A130</f>
        <v>23.76</v>
      </c>
      <c r="B131" t="s">
        <v>110</v>
      </c>
    </row>
    <row r="133" spans="1:3" ht="21" x14ac:dyDescent="0.35">
      <c r="A133" s="45" t="s">
        <v>112</v>
      </c>
    </row>
    <row r="135" spans="1:3" ht="18.75" x14ac:dyDescent="0.3">
      <c r="B135" s="9" t="s">
        <v>113</v>
      </c>
    </row>
    <row r="137" spans="1:3" x14ac:dyDescent="0.25">
      <c r="B137">
        <v>0.02</v>
      </c>
      <c r="C137" t="s">
        <v>114</v>
      </c>
    </row>
    <row r="138" spans="1:3" x14ac:dyDescent="0.25">
      <c r="B138">
        <f>G121*B137</f>
        <v>23.76</v>
      </c>
      <c r="C138" t="s">
        <v>110</v>
      </c>
    </row>
    <row r="140" spans="1:3" x14ac:dyDescent="0.25">
      <c r="B140" t="s">
        <v>115</v>
      </c>
    </row>
    <row r="142" spans="1:3" x14ac:dyDescent="0.25">
      <c r="B142" s="6">
        <v>15.4</v>
      </c>
      <c r="C142" t="s">
        <v>116</v>
      </c>
    </row>
    <row r="143" spans="1:3" x14ac:dyDescent="0.25">
      <c r="B143">
        <f>B142*B67</f>
        <v>123.2</v>
      </c>
      <c r="C143" t="s">
        <v>110</v>
      </c>
    </row>
    <row r="145" spans="1:8" x14ac:dyDescent="0.25">
      <c r="B145" t="s">
        <v>117</v>
      </c>
    </row>
    <row r="147" spans="1:8" x14ac:dyDescent="0.25">
      <c r="B147">
        <f>B138+B143</f>
        <v>146.96</v>
      </c>
      <c r="C147" t="s">
        <v>110</v>
      </c>
    </row>
    <row r="149" spans="1:8" ht="21" x14ac:dyDescent="0.35">
      <c r="A149" s="45" t="s">
        <v>118</v>
      </c>
    </row>
    <row r="150" spans="1:8" ht="15.75" thickBot="1" x14ac:dyDescent="0.3"/>
    <row r="151" spans="1:8" ht="96" thickTop="1" thickBot="1" x14ac:dyDescent="0.3">
      <c r="A151" s="36" t="s">
        <v>119</v>
      </c>
      <c r="B151" s="37" t="s">
        <v>120</v>
      </c>
      <c r="C151" s="37" t="s">
        <v>121</v>
      </c>
      <c r="D151" s="37" t="s">
        <v>93</v>
      </c>
      <c r="E151" s="37" t="s">
        <v>122</v>
      </c>
      <c r="G151" s="63" t="s">
        <v>129</v>
      </c>
      <c r="H151" s="6">
        <v>45</v>
      </c>
    </row>
    <row r="152" spans="1:8" ht="57.75" thickTop="1" thickBot="1" x14ac:dyDescent="0.3">
      <c r="A152" s="56" t="s">
        <v>123</v>
      </c>
      <c r="B152" s="57"/>
      <c r="C152" s="61">
        <f>D112</f>
        <v>3292.7999999999997</v>
      </c>
      <c r="D152" s="65">
        <v>2.7</v>
      </c>
      <c r="E152" s="49">
        <f>C152*D152/100</f>
        <v>88.905599999999993</v>
      </c>
    </row>
    <row r="153" spans="1:8" ht="132.75" thickTop="1" thickBot="1" x14ac:dyDescent="0.3">
      <c r="A153" s="58" t="s">
        <v>124</v>
      </c>
      <c r="B153" s="59"/>
      <c r="C153" s="60">
        <f>G122</f>
        <v>1188</v>
      </c>
      <c r="D153" s="62">
        <v>3.1</v>
      </c>
      <c r="E153" s="49">
        <f>C153*D153/100</f>
        <v>36.828000000000003</v>
      </c>
    </row>
    <row r="154" spans="1:8" ht="76.5" thickTop="1" thickBot="1" x14ac:dyDescent="0.3">
      <c r="A154" s="58" t="s">
        <v>125</v>
      </c>
      <c r="B154" s="59"/>
      <c r="C154" s="64">
        <f>H151</f>
        <v>45</v>
      </c>
      <c r="D154" s="62">
        <v>8.1999999999999993</v>
      </c>
      <c r="E154" s="49">
        <f>C154*D154/100</f>
        <v>3.6899999999999995</v>
      </c>
    </row>
    <row r="155" spans="1:8" ht="95.25" thickTop="1" thickBot="1" x14ac:dyDescent="0.3">
      <c r="A155" s="58" t="s">
        <v>126</v>
      </c>
      <c r="B155" s="59"/>
      <c r="C155" s="60">
        <f>A126</f>
        <v>118.80000000000001</v>
      </c>
      <c r="D155" s="62">
        <v>4.5</v>
      </c>
      <c r="E155" s="49">
        <f>C155*D155/100</f>
        <v>5.3460000000000001</v>
      </c>
    </row>
    <row r="156" spans="1:8" ht="95.25" thickTop="1" thickBot="1" x14ac:dyDescent="0.3">
      <c r="A156" s="58" t="s">
        <v>127</v>
      </c>
      <c r="B156" s="59"/>
      <c r="C156" s="60">
        <f>A131</f>
        <v>23.76</v>
      </c>
      <c r="D156" s="62">
        <v>11.5</v>
      </c>
      <c r="E156" s="49">
        <f t="shared" ref="E156:E157" si="2">C156*D156/100</f>
        <v>2.7324000000000002</v>
      </c>
    </row>
    <row r="157" spans="1:8" ht="95.25" thickTop="1" thickBot="1" x14ac:dyDescent="0.3">
      <c r="A157" s="58" t="s">
        <v>128</v>
      </c>
      <c r="B157" s="59"/>
      <c r="C157" s="60">
        <f>B147</f>
        <v>146.96</v>
      </c>
      <c r="D157" s="62">
        <v>18.5</v>
      </c>
      <c r="E157" s="49">
        <f t="shared" si="2"/>
        <v>27.187600000000003</v>
      </c>
    </row>
    <row r="158" spans="1:8" ht="19.5" thickBot="1" x14ac:dyDescent="0.3">
      <c r="A158" s="51" t="s">
        <v>76</v>
      </c>
      <c r="B158" s="50"/>
      <c r="C158" s="50">
        <f>SUM(C152:C157)</f>
        <v>4815.32</v>
      </c>
      <c r="D158" s="50"/>
      <c r="E158" s="50">
        <f>ROUND(SUM(E152:E157)/12,2)</f>
        <v>13.72</v>
      </c>
    </row>
    <row r="159" spans="1:8" ht="15.75" thickTop="1" x14ac:dyDescent="0.25"/>
    <row r="160" spans="1:8" ht="20.25" x14ac:dyDescent="0.3">
      <c r="A160" s="35" t="s">
        <v>130</v>
      </c>
    </row>
    <row r="162" spans="1:3" ht="21" x14ac:dyDescent="0.35">
      <c r="A162" s="67" t="s">
        <v>133</v>
      </c>
    </row>
    <row r="165" spans="1:3" x14ac:dyDescent="0.25">
      <c r="A165" s="6" t="s">
        <v>132</v>
      </c>
      <c r="B165" s="6">
        <v>0.1</v>
      </c>
    </row>
    <row r="167" spans="1:3" x14ac:dyDescent="0.25">
      <c r="A167" t="s">
        <v>131</v>
      </c>
      <c r="B167">
        <f>C17*E4/(1-B165)</f>
        <v>8.8888888888888893</v>
      </c>
      <c r="C167">
        <f>ROUND(B167,0)</f>
        <v>9</v>
      </c>
    </row>
    <row r="169" spans="1:3" ht="21" x14ac:dyDescent="0.35">
      <c r="A169" s="67" t="s">
        <v>134</v>
      </c>
    </row>
    <row r="171" spans="1:3" x14ac:dyDescent="0.25">
      <c r="A171" s="6" t="s">
        <v>135</v>
      </c>
      <c r="B171" s="6">
        <v>1.1000000000000001</v>
      </c>
    </row>
    <row r="173" spans="1:3" ht="15.75" thickBot="1" x14ac:dyDescent="0.3"/>
    <row r="174" spans="1:3" ht="64.5" thickTop="1" thickBot="1" x14ac:dyDescent="0.3">
      <c r="A174" s="36" t="s">
        <v>136</v>
      </c>
      <c r="B174" s="48" t="s">
        <v>137</v>
      </c>
      <c r="C174" s="48" t="s">
        <v>138</v>
      </c>
    </row>
    <row r="175" spans="1:3" ht="48.75" thickTop="1" thickBot="1" x14ac:dyDescent="0.3">
      <c r="A175" s="68" t="s">
        <v>139</v>
      </c>
      <c r="B175" s="39">
        <f>C167</f>
        <v>9</v>
      </c>
      <c r="C175" s="39">
        <f>(B175/B179)*100</f>
        <v>75</v>
      </c>
    </row>
    <row r="176" spans="1:3" ht="15.75" x14ac:dyDescent="0.25">
      <c r="A176" s="69" t="s">
        <v>142</v>
      </c>
      <c r="B176" s="70"/>
      <c r="C176" s="70"/>
    </row>
    <row r="177" spans="1:6" ht="16.5" thickBot="1" x14ac:dyDescent="0.3">
      <c r="A177" s="38" t="s">
        <v>140</v>
      </c>
      <c r="B177" s="39">
        <v>2</v>
      </c>
      <c r="C177" s="39">
        <f>ROUND((B177/B179)*100,0)</f>
        <v>17</v>
      </c>
    </row>
    <row r="178" spans="1:6" ht="16.5" thickBot="1" x14ac:dyDescent="0.3">
      <c r="A178" s="40" t="s">
        <v>141</v>
      </c>
      <c r="B178" s="44">
        <v>1</v>
      </c>
      <c r="C178" s="41">
        <f>ROUND((B178/B179)*100,0)</f>
        <v>8</v>
      </c>
    </row>
    <row r="179" spans="1:6" ht="17.25" thickTop="1" thickBot="1" x14ac:dyDescent="0.3">
      <c r="A179" s="40" t="s">
        <v>76</v>
      </c>
      <c r="B179" s="41">
        <f>SUM(B175:B178)</f>
        <v>12</v>
      </c>
      <c r="C179" s="41">
        <v>100</v>
      </c>
    </row>
    <row r="180" spans="1:6" ht="15.75" thickTop="1" x14ac:dyDescent="0.25"/>
    <row r="182" spans="1:6" ht="20.25" x14ac:dyDescent="0.25">
      <c r="E182" s="17" t="s">
        <v>143</v>
      </c>
    </row>
    <row r="183" spans="1:6" ht="19.5" thickBot="1" x14ac:dyDescent="0.3">
      <c r="E183" s="71"/>
    </row>
    <row r="184" spans="1:6" ht="64.5" thickTop="1" thickBot="1" x14ac:dyDescent="0.3">
      <c r="A184" s="36" t="s">
        <v>146</v>
      </c>
      <c r="B184" s="48" t="s">
        <v>147</v>
      </c>
      <c r="C184" s="48" t="s">
        <v>148</v>
      </c>
      <c r="D184" s="48" t="s">
        <v>149</v>
      </c>
      <c r="F184" s="6">
        <v>2000</v>
      </c>
    </row>
    <row r="185" spans="1:6" ht="80.25" thickTop="1" thickBot="1" x14ac:dyDescent="0.3">
      <c r="A185" s="68" t="s">
        <v>150</v>
      </c>
      <c r="B185" s="39" t="s">
        <v>151</v>
      </c>
      <c r="C185" s="39">
        <f>B211</f>
        <v>4.2707400000000006E-2</v>
      </c>
      <c r="D185" s="39">
        <f>C185*F184</f>
        <v>85.414800000000014</v>
      </c>
    </row>
    <row r="186" spans="1:6" ht="111" thickBot="1" x14ac:dyDescent="0.3">
      <c r="A186" s="68" t="s">
        <v>152</v>
      </c>
      <c r="B186" s="39" t="s">
        <v>153</v>
      </c>
      <c r="C186" s="39">
        <f>B234</f>
        <v>40.431619999999995</v>
      </c>
      <c r="D186" s="39">
        <f>C186*F184</f>
        <v>80863.239999999991</v>
      </c>
    </row>
    <row r="187" spans="1:6" ht="79.5" thickBot="1" x14ac:dyDescent="0.3">
      <c r="A187" s="68" t="s">
        <v>154</v>
      </c>
      <c r="B187" s="39" t="s">
        <v>155</v>
      </c>
      <c r="C187" s="39">
        <f>B264</f>
        <v>0.97101029999999999</v>
      </c>
      <c r="D187" s="39">
        <f>C187*F184</f>
        <v>1942.0206000000001</v>
      </c>
    </row>
    <row r="188" spans="1:6" ht="95.25" thickBot="1" x14ac:dyDescent="0.3">
      <c r="A188" s="68" t="s">
        <v>156</v>
      </c>
      <c r="B188" s="39" t="s">
        <v>157</v>
      </c>
      <c r="C188" s="39">
        <f>B270</f>
        <v>0.29130308999999999</v>
      </c>
      <c r="D188" s="39">
        <f>C188*F184</f>
        <v>582.60617999999999</v>
      </c>
    </row>
    <row r="189" spans="1:6" ht="63.75" thickBot="1" x14ac:dyDescent="0.3">
      <c r="A189" s="68" t="s">
        <v>158</v>
      </c>
      <c r="B189" s="39" t="s">
        <v>159</v>
      </c>
      <c r="C189" s="39">
        <f>D299</f>
        <v>0.67</v>
      </c>
      <c r="D189" s="39">
        <f>C189*F184</f>
        <v>1340</v>
      </c>
    </row>
    <row r="190" spans="1:6" ht="142.5" thickBot="1" x14ac:dyDescent="0.3">
      <c r="A190" s="68" t="s">
        <v>160</v>
      </c>
      <c r="B190" s="39" t="s">
        <v>161</v>
      </c>
      <c r="C190" s="39">
        <f>B305</f>
        <v>0.67630867394999994</v>
      </c>
      <c r="D190" s="39">
        <f>C190*F184</f>
        <v>1352.6173478999999</v>
      </c>
      <c r="F190" s="6">
        <v>34.6</v>
      </c>
    </row>
    <row r="191" spans="1:6" ht="63.75" thickBot="1" x14ac:dyDescent="0.3">
      <c r="A191" s="68" t="s">
        <v>162</v>
      </c>
      <c r="B191" s="39" t="s">
        <v>163</v>
      </c>
      <c r="C191" s="39">
        <f>B311</f>
        <v>9.7101030000000005E-2</v>
      </c>
      <c r="D191" s="39">
        <f>C191*F184</f>
        <v>194.20206000000002</v>
      </c>
    </row>
    <row r="192" spans="1:6" ht="79.5" thickBot="1" x14ac:dyDescent="0.3">
      <c r="A192" s="68" t="s">
        <v>164</v>
      </c>
      <c r="B192" s="39" t="s">
        <v>165</v>
      </c>
      <c r="C192" s="39">
        <f>B317</f>
        <v>0.126231339</v>
      </c>
      <c r="D192" s="39">
        <f>C192*F184</f>
        <v>252.46267799999998</v>
      </c>
    </row>
    <row r="193" spans="1:4" ht="63.75" thickBot="1" x14ac:dyDescent="0.3">
      <c r="A193" s="68" t="s">
        <v>166</v>
      </c>
      <c r="B193" s="39" t="s">
        <v>167</v>
      </c>
      <c r="C193" s="39">
        <f>B321</f>
        <v>8.575000000000001E-3</v>
      </c>
      <c r="D193" s="39">
        <f>C193*F184</f>
        <v>17.150000000000002</v>
      </c>
    </row>
    <row r="194" spans="1:4" ht="63.75" thickBot="1" x14ac:dyDescent="0.3">
      <c r="A194" s="68" t="s">
        <v>168</v>
      </c>
      <c r="B194" s="39" t="s">
        <v>169</v>
      </c>
      <c r="C194" s="39">
        <f>B327</f>
        <v>0.77680824000000004</v>
      </c>
      <c r="D194" s="39">
        <f>C194*F184</f>
        <v>1553.6164800000001</v>
      </c>
    </row>
    <row r="195" spans="1:4" ht="63.75" thickBot="1" x14ac:dyDescent="0.3">
      <c r="A195" s="68" t="s">
        <v>170</v>
      </c>
      <c r="B195" s="39" t="s">
        <v>171</v>
      </c>
      <c r="C195" s="39">
        <f>B333</f>
        <v>0.77680824000000004</v>
      </c>
      <c r="D195" s="39">
        <f>C195*F184</f>
        <v>1553.6164800000001</v>
      </c>
    </row>
    <row r="196" spans="1:4" ht="48" thickBot="1" x14ac:dyDescent="0.3">
      <c r="A196" s="68" t="s">
        <v>172</v>
      </c>
      <c r="B196" s="39" t="s">
        <v>173</v>
      </c>
      <c r="C196" s="39">
        <f>B341</f>
        <v>0.89736946625899994</v>
      </c>
      <c r="D196" s="39">
        <f>C196*F184</f>
        <v>1794.738932518</v>
      </c>
    </row>
    <row r="197" spans="1:4" ht="79.5" thickBot="1" x14ac:dyDescent="0.3">
      <c r="A197" s="75" t="s">
        <v>174</v>
      </c>
      <c r="B197" s="39" t="s">
        <v>175</v>
      </c>
      <c r="C197" s="39">
        <f>B339</f>
        <v>44.868473312949995</v>
      </c>
      <c r="D197" s="39">
        <f>C197*F184</f>
        <v>89736.946625899989</v>
      </c>
    </row>
    <row r="198" spans="1:4" ht="48" thickBot="1" x14ac:dyDescent="0.3">
      <c r="A198" s="68" t="s">
        <v>176</v>
      </c>
      <c r="B198" s="39" t="s">
        <v>177</v>
      </c>
      <c r="C198" s="39">
        <f>B347</f>
        <v>1.7947389325179999E-2</v>
      </c>
      <c r="D198" s="39">
        <f>C198*F184</f>
        <v>35.894778650359996</v>
      </c>
    </row>
    <row r="199" spans="1:4" ht="63.75" thickBot="1" x14ac:dyDescent="0.3">
      <c r="A199" s="75" t="s">
        <v>178</v>
      </c>
      <c r="B199" s="39" t="s">
        <v>179</v>
      </c>
      <c r="C199" s="39">
        <f>B349</f>
        <v>44.886420702275174</v>
      </c>
      <c r="D199" s="39">
        <f>C199*F184</f>
        <v>89772.841404550345</v>
      </c>
    </row>
    <row r="200" spans="1:4" ht="79.5" thickBot="1" x14ac:dyDescent="0.3">
      <c r="A200" s="68" t="s">
        <v>180</v>
      </c>
      <c r="B200" s="39" t="s">
        <v>19</v>
      </c>
      <c r="C200" s="39">
        <f>B355</f>
        <v>8.9772841404550352</v>
      </c>
      <c r="D200" s="39">
        <f>C200*F184</f>
        <v>17954.568280910069</v>
      </c>
    </row>
    <row r="201" spans="1:4" ht="16.5" thickBot="1" x14ac:dyDescent="0.3">
      <c r="A201" s="38" t="s">
        <v>181</v>
      </c>
      <c r="B201" s="39" t="s">
        <v>182</v>
      </c>
      <c r="C201" s="39">
        <f>B365</f>
        <v>1.6658877786411403</v>
      </c>
      <c r="D201" s="39">
        <f>C201*F184</f>
        <v>3331.7755572822807</v>
      </c>
    </row>
    <row r="202" spans="1:4" ht="32.25" thickBot="1" x14ac:dyDescent="0.3">
      <c r="A202" s="68" t="s">
        <v>183</v>
      </c>
      <c r="B202" s="39" t="s">
        <v>184</v>
      </c>
      <c r="C202" s="39">
        <f>B359</f>
        <v>53.863704842730208</v>
      </c>
      <c r="D202" s="39">
        <f>C202*F184</f>
        <v>107727.40968546041</v>
      </c>
    </row>
    <row r="203" spans="1:4" ht="63.75" thickBot="1" x14ac:dyDescent="0.3">
      <c r="A203" s="68" t="s">
        <v>185</v>
      </c>
      <c r="B203" s="39" t="s">
        <v>186</v>
      </c>
      <c r="C203" s="39">
        <f>B369</f>
        <v>55.52959262137135</v>
      </c>
      <c r="D203" s="39">
        <f>C203*F184</f>
        <v>111059.18524274269</v>
      </c>
    </row>
    <row r="204" spans="1:4" ht="16.5" thickBot="1" x14ac:dyDescent="0.3">
      <c r="A204" s="76" t="s">
        <v>187</v>
      </c>
      <c r="B204" s="41" t="s">
        <v>188</v>
      </c>
      <c r="C204" s="41">
        <f>B373</f>
        <v>11.105918524274271</v>
      </c>
      <c r="D204" s="39">
        <f>C204*F184</f>
        <v>22211.837048548543</v>
      </c>
    </row>
    <row r="205" spans="1:4" ht="80.25" thickTop="1" thickBot="1" x14ac:dyDescent="0.3">
      <c r="A205" s="76" t="s">
        <v>189</v>
      </c>
      <c r="B205" s="41" t="s">
        <v>190</v>
      </c>
      <c r="C205" s="41">
        <f>B377</f>
        <v>66.635511145645623</v>
      </c>
      <c r="D205" s="39">
        <f>C205*F184</f>
        <v>133271.02229129124</v>
      </c>
    </row>
    <row r="206" spans="1:4" ht="15.75" thickTop="1" x14ac:dyDescent="0.25"/>
    <row r="208" spans="1:4" ht="21" x14ac:dyDescent="0.35">
      <c r="A208" s="45" t="s">
        <v>191</v>
      </c>
    </row>
    <row r="211" spans="1:6" x14ac:dyDescent="0.25">
      <c r="A211" t="s">
        <v>151</v>
      </c>
      <c r="B211">
        <f>(SUM(S3:S7)*F211)-SUM(T3:T7)</f>
        <v>4.2707400000000006E-2</v>
      </c>
      <c r="E211" s="6" t="s">
        <v>205</v>
      </c>
      <c r="F211" s="6">
        <f>103/100</f>
        <v>1.03</v>
      </c>
    </row>
    <row r="214" spans="1:6" ht="21" x14ac:dyDescent="0.35">
      <c r="A214" s="45" t="s">
        <v>210</v>
      </c>
    </row>
    <row r="215" spans="1:6" ht="15.75" thickBot="1" x14ac:dyDescent="0.3"/>
    <row r="216" spans="1:6" ht="74.25" customHeight="1" thickTop="1" thickBot="1" x14ac:dyDescent="0.3">
      <c r="A216" s="114" t="s">
        <v>211</v>
      </c>
      <c r="B216" s="115"/>
      <c r="C216" s="116" t="s">
        <v>212</v>
      </c>
      <c r="D216" s="118" t="s">
        <v>213</v>
      </c>
    </row>
    <row r="217" spans="1:6" ht="38.25" thickBot="1" x14ac:dyDescent="0.3">
      <c r="A217" s="93" t="s">
        <v>67</v>
      </c>
      <c r="B217" s="94" t="s">
        <v>192</v>
      </c>
      <c r="C217" s="117"/>
      <c r="D217" s="119"/>
      <c r="E217" s="74" t="s">
        <v>206</v>
      </c>
    </row>
    <row r="218" spans="1:6" ht="20.25" thickTop="1" thickBot="1" x14ac:dyDescent="0.3">
      <c r="A218" s="95">
        <v>1</v>
      </c>
      <c r="B218" s="96">
        <v>2</v>
      </c>
      <c r="C218" s="96">
        <v>3</v>
      </c>
      <c r="D218" s="97">
        <v>4</v>
      </c>
      <c r="E218">
        <v>5</v>
      </c>
    </row>
    <row r="219" spans="1:6" ht="39" thickTop="1" thickBot="1" x14ac:dyDescent="0.3">
      <c r="A219" s="84" t="s">
        <v>214</v>
      </c>
      <c r="B219" s="85" t="s">
        <v>98</v>
      </c>
      <c r="C219" s="77">
        <v>6</v>
      </c>
      <c r="D219" s="78">
        <v>8.9999999999999993E-3</v>
      </c>
      <c r="E219">
        <f>C219*D219</f>
        <v>5.3999999999999992E-2</v>
      </c>
    </row>
    <row r="220" spans="1:6" ht="19.5" thickBot="1" x14ac:dyDescent="0.3">
      <c r="A220" s="84" t="s">
        <v>215</v>
      </c>
      <c r="B220" s="77" t="s">
        <v>216</v>
      </c>
      <c r="C220" s="77">
        <v>6</v>
      </c>
      <c r="D220" s="78">
        <v>0.01</v>
      </c>
      <c r="E220">
        <f t="shared" ref="E220:E229" si="3">C220*D220</f>
        <v>0.06</v>
      </c>
    </row>
    <row r="221" spans="1:6" ht="38.25" thickBot="1" x14ac:dyDescent="0.3">
      <c r="A221" s="84" t="s">
        <v>217</v>
      </c>
      <c r="B221" s="77" t="s">
        <v>218</v>
      </c>
      <c r="C221" s="77">
        <v>8</v>
      </c>
      <c r="D221" s="78">
        <v>0.436</v>
      </c>
      <c r="E221">
        <f t="shared" si="3"/>
        <v>3.488</v>
      </c>
    </row>
    <row r="222" spans="1:6" ht="19.5" thickBot="1" x14ac:dyDescent="0.3">
      <c r="A222" s="84" t="s">
        <v>219</v>
      </c>
      <c r="B222" s="77" t="s">
        <v>220</v>
      </c>
      <c r="C222" s="77">
        <v>2</v>
      </c>
      <c r="D222" s="78">
        <v>1.327</v>
      </c>
      <c r="E222">
        <f t="shared" si="3"/>
        <v>2.6539999999999999</v>
      </c>
    </row>
    <row r="223" spans="1:6" ht="19.5" thickBot="1" x14ac:dyDescent="0.3">
      <c r="A223" s="84" t="s">
        <v>221</v>
      </c>
      <c r="B223" s="77" t="s">
        <v>222</v>
      </c>
      <c r="C223" s="77">
        <v>3</v>
      </c>
      <c r="D223" s="78">
        <v>1.018</v>
      </c>
      <c r="E223">
        <f t="shared" si="3"/>
        <v>3.0540000000000003</v>
      </c>
    </row>
    <row r="224" spans="1:6" ht="19.5" thickBot="1" x14ac:dyDescent="0.3">
      <c r="A224" s="84" t="s">
        <v>223</v>
      </c>
      <c r="B224" s="77" t="s">
        <v>224</v>
      </c>
      <c r="C224" s="77">
        <v>2</v>
      </c>
      <c r="D224" s="78">
        <v>2.4</v>
      </c>
      <c r="E224">
        <f t="shared" si="3"/>
        <v>4.8</v>
      </c>
    </row>
    <row r="225" spans="1:15" ht="19.5" thickBot="1" x14ac:dyDescent="0.3">
      <c r="A225" s="98"/>
      <c r="B225" s="91"/>
      <c r="C225" s="91"/>
      <c r="D225" s="92"/>
      <c r="E225">
        <f>C225*D225</f>
        <v>0</v>
      </c>
    </row>
    <row r="226" spans="1:15" ht="19.5" thickBot="1" x14ac:dyDescent="0.3">
      <c r="A226" s="84" t="s">
        <v>225</v>
      </c>
      <c r="B226" s="77" t="s">
        <v>226</v>
      </c>
      <c r="C226" s="77">
        <v>1</v>
      </c>
      <c r="D226" s="78">
        <v>2.4540000000000002</v>
      </c>
      <c r="E226">
        <f t="shared" si="3"/>
        <v>2.4540000000000002</v>
      </c>
    </row>
    <row r="227" spans="1:15" ht="57" thickBot="1" x14ac:dyDescent="0.3">
      <c r="A227" s="84" t="s">
        <v>227</v>
      </c>
      <c r="B227" s="77" t="s">
        <v>228</v>
      </c>
      <c r="C227" s="77">
        <v>16</v>
      </c>
      <c r="D227" s="78">
        <v>1.0449999999999999</v>
      </c>
      <c r="E227">
        <f t="shared" si="3"/>
        <v>16.72</v>
      </c>
    </row>
    <row r="228" spans="1:15" ht="57" thickBot="1" x14ac:dyDescent="0.3">
      <c r="A228" s="84" t="s">
        <v>229</v>
      </c>
      <c r="B228" s="85" t="s">
        <v>98</v>
      </c>
      <c r="C228" s="77">
        <v>3</v>
      </c>
      <c r="D228" s="78">
        <v>1.45</v>
      </c>
      <c r="E228">
        <f t="shared" si="3"/>
        <v>4.3499999999999996</v>
      </c>
    </row>
    <row r="229" spans="1:15" ht="19.5" thickBot="1" x14ac:dyDescent="0.3">
      <c r="A229" s="86" t="s">
        <v>230</v>
      </c>
      <c r="B229" s="87" t="s">
        <v>98</v>
      </c>
      <c r="C229" s="79">
        <v>3</v>
      </c>
      <c r="D229" s="80">
        <v>0.54</v>
      </c>
      <c r="E229">
        <f t="shared" si="3"/>
        <v>1.62</v>
      </c>
    </row>
    <row r="230" spans="1:15" ht="17.25" thickTop="1" thickBot="1" x14ac:dyDescent="0.3">
      <c r="A230" s="100" t="s">
        <v>231</v>
      </c>
      <c r="B230" s="53"/>
      <c r="C230" s="53"/>
      <c r="D230" s="53"/>
      <c r="E230" s="53">
        <f>SUM(E219:E229)</f>
        <v>39.253999999999998</v>
      </c>
    </row>
    <row r="231" spans="1:15" ht="80.25" thickTop="1" thickBot="1" x14ac:dyDescent="0.3">
      <c r="A231" s="101" t="s">
        <v>232</v>
      </c>
      <c r="B231" s="41"/>
      <c r="C231" s="41"/>
      <c r="D231" s="41"/>
      <c r="E231" s="41">
        <f>E230*F211</f>
        <v>40.431619999999995</v>
      </c>
    </row>
    <row r="232" spans="1:15" ht="15.75" thickTop="1" x14ac:dyDescent="0.25"/>
    <row r="234" spans="1:15" ht="18.75" x14ac:dyDescent="0.25">
      <c r="A234" s="99" t="s">
        <v>153</v>
      </c>
      <c r="B234">
        <f>E231</f>
        <v>40.431619999999995</v>
      </c>
    </row>
    <row r="236" spans="1:15" ht="21" x14ac:dyDescent="0.35">
      <c r="A236" s="45" t="s">
        <v>233</v>
      </c>
    </row>
    <row r="238" spans="1:15" ht="15.75" thickBot="1" x14ac:dyDescent="0.3"/>
    <row r="239" spans="1:15" ht="132.75" thickTop="1" thickBot="1" x14ac:dyDescent="0.3">
      <c r="A239" s="81" t="s">
        <v>234</v>
      </c>
      <c r="B239" s="82" t="s">
        <v>235</v>
      </c>
      <c r="C239" s="82" t="s">
        <v>236</v>
      </c>
      <c r="D239" s="88" t="s">
        <v>259</v>
      </c>
      <c r="E239" s="89" t="s">
        <v>260</v>
      </c>
      <c r="F239" s="89" t="s">
        <v>261</v>
      </c>
      <c r="N239" s="103" t="s">
        <v>256</v>
      </c>
      <c r="O239" s="6">
        <f>30/100</f>
        <v>0.3</v>
      </c>
    </row>
    <row r="240" spans="1:15" ht="20.25" thickTop="1" thickBot="1" x14ac:dyDescent="0.3">
      <c r="A240" s="95">
        <v>1</v>
      </c>
      <c r="B240" s="96">
        <v>2</v>
      </c>
      <c r="C240" s="96">
        <v>3</v>
      </c>
      <c r="D240" s="97">
        <v>4</v>
      </c>
      <c r="E240" s="97">
        <v>5</v>
      </c>
      <c r="F240" s="97">
        <v>6</v>
      </c>
      <c r="N240" t="s">
        <v>257</v>
      </c>
      <c r="O240" t="s">
        <v>258</v>
      </c>
    </row>
    <row r="241" spans="1:15" ht="95.25" thickTop="1" thickBot="1" x14ac:dyDescent="0.3">
      <c r="A241" s="84" t="s">
        <v>237</v>
      </c>
      <c r="B241" s="77">
        <v>2</v>
      </c>
      <c r="C241" s="77">
        <v>4</v>
      </c>
      <c r="D241" s="102">
        <f>O242</f>
        <v>0.8</v>
      </c>
      <c r="E241" s="102">
        <f>ROUND(Z16/60,3)</f>
        <v>5.5E-2</v>
      </c>
      <c r="F241" s="102">
        <f>D241*E241</f>
        <v>4.4000000000000004E-2</v>
      </c>
      <c r="M241" s="3">
        <v>1</v>
      </c>
      <c r="N241" s="3">
        <v>0.69699999999999995</v>
      </c>
      <c r="O241" s="3">
        <v>0.74199999999999999</v>
      </c>
    </row>
    <row r="242" spans="1:15" ht="150.75" thickBot="1" x14ac:dyDescent="0.3">
      <c r="A242" s="84" t="s">
        <v>238</v>
      </c>
      <c r="B242" s="77">
        <v>4</v>
      </c>
      <c r="C242" s="77">
        <v>4</v>
      </c>
      <c r="D242" s="78">
        <f>O244</f>
        <v>1.042</v>
      </c>
      <c r="E242" s="102">
        <f t="shared" ref="E242:E259" si="4">ROUND(Z17/60,3)</f>
        <v>3.6999999999999998E-2</v>
      </c>
      <c r="F242" s="102">
        <f t="shared" ref="F242:F259" si="5">D242*E242</f>
        <v>3.8553999999999998E-2</v>
      </c>
      <c r="M242" s="3">
        <v>2</v>
      </c>
      <c r="N242" s="3">
        <v>0.754</v>
      </c>
      <c r="O242" s="3">
        <v>0.8</v>
      </c>
    </row>
    <row r="243" spans="1:15" ht="169.5" thickBot="1" x14ac:dyDescent="0.3">
      <c r="A243" s="84" t="s">
        <v>239</v>
      </c>
      <c r="B243" s="77">
        <v>5</v>
      </c>
      <c r="C243" s="77">
        <v>4</v>
      </c>
      <c r="D243" s="78">
        <f>O245</f>
        <v>1.1990000000000001</v>
      </c>
      <c r="E243" s="102">
        <f t="shared" si="4"/>
        <v>4.8000000000000001E-2</v>
      </c>
      <c r="F243" s="102">
        <f t="shared" si="5"/>
        <v>5.7552000000000006E-2</v>
      </c>
      <c r="M243" s="3">
        <v>3</v>
      </c>
      <c r="N243" s="3">
        <v>0.83399999999999996</v>
      </c>
      <c r="O243" s="3">
        <v>0.89100000000000001</v>
      </c>
    </row>
    <row r="244" spans="1:15" ht="94.5" thickBot="1" x14ac:dyDescent="0.3">
      <c r="A244" s="84" t="s">
        <v>240</v>
      </c>
      <c r="B244" s="77">
        <v>5</v>
      </c>
      <c r="C244" s="77">
        <v>4</v>
      </c>
      <c r="D244" s="78">
        <f>O245</f>
        <v>1.1990000000000001</v>
      </c>
      <c r="E244" s="102">
        <f t="shared" si="4"/>
        <v>4.4999999999999998E-2</v>
      </c>
      <c r="F244" s="102">
        <f t="shared" si="5"/>
        <v>5.3955000000000003E-2</v>
      </c>
      <c r="M244" s="3">
        <v>4</v>
      </c>
      <c r="N244" s="3">
        <v>0.97099999999999997</v>
      </c>
      <c r="O244" s="3">
        <v>1.042</v>
      </c>
    </row>
    <row r="245" spans="1:15" ht="94.5" thickBot="1" x14ac:dyDescent="0.3">
      <c r="A245" s="84" t="s">
        <v>241</v>
      </c>
      <c r="B245" s="77">
        <v>5</v>
      </c>
      <c r="C245" s="77">
        <v>4</v>
      </c>
      <c r="D245" s="78">
        <f>O245</f>
        <v>1.1990000000000001</v>
      </c>
      <c r="E245" s="102">
        <f t="shared" si="4"/>
        <v>3.3000000000000002E-2</v>
      </c>
      <c r="F245" s="102">
        <f t="shared" si="5"/>
        <v>3.9567000000000005E-2</v>
      </c>
      <c r="M245" s="3">
        <v>5</v>
      </c>
      <c r="N245" s="3">
        <v>1.127</v>
      </c>
      <c r="O245" s="3">
        <v>1.1990000000000001</v>
      </c>
    </row>
    <row r="246" spans="1:15" ht="94.5" thickBot="1" x14ac:dyDescent="0.3">
      <c r="A246" s="84" t="s">
        <v>242</v>
      </c>
      <c r="B246" s="77">
        <v>3</v>
      </c>
      <c r="C246" s="77">
        <v>4</v>
      </c>
      <c r="D246" s="78">
        <f>O243</f>
        <v>0.89100000000000001</v>
      </c>
      <c r="E246" s="102">
        <f t="shared" si="4"/>
        <v>2.5000000000000001E-2</v>
      </c>
      <c r="F246" s="102">
        <f t="shared" si="5"/>
        <v>2.2275000000000003E-2</v>
      </c>
      <c r="M246" s="3">
        <v>6</v>
      </c>
      <c r="N246" s="3">
        <v>1.3069999999999999</v>
      </c>
      <c r="O246" s="3">
        <v>1.4019999999999999</v>
      </c>
    </row>
    <row r="247" spans="1:15" ht="113.25" thickBot="1" x14ac:dyDescent="0.3">
      <c r="A247" s="84" t="s">
        <v>243</v>
      </c>
      <c r="B247" s="77">
        <v>4</v>
      </c>
      <c r="C247" s="77">
        <v>4</v>
      </c>
      <c r="D247" s="102">
        <f>O244</f>
        <v>1.042</v>
      </c>
      <c r="E247" s="102">
        <f t="shared" si="4"/>
        <v>0.03</v>
      </c>
      <c r="F247" s="102">
        <f t="shared" si="5"/>
        <v>3.1260000000000003E-2</v>
      </c>
    </row>
    <row r="248" spans="1:15" ht="132" thickBot="1" x14ac:dyDescent="0.3">
      <c r="A248" s="84" t="s">
        <v>244</v>
      </c>
      <c r="B248" s="77">
        <v>3</v>
      </c>
      <c r="C248" s="77">
        <v>4</v>
      </c>
      <c r="D248" s="78">
        <f>O243</f>
        <v>0.89100000000000001</v>
      </c>
      <c r="E248" s="102">
        <f t="shared" si="4"/>
        <v>4.2999999999999997E-2</v>
      </c>
      <c r="F248" s="102">
        <f t="shared" si="5"/>
        <v>3.8313E-2</v>
      </c>
    </row>
    <row r="249" spans="1:15" ht="75.75" thickBot="1" x14ac:dyDescent="0.3">
      <c r="A249" s="84" t="s">
        <v>245</v>
      </c>
      <c r="B249" s="77">
        <v>3</v>
      </c>
      <c r="C249" s="77">
        <v>4</v>
      </c>
      <c r="D249" s="102">
        <f>O243</f>
        <v>0.89100000000000001</v>
      </c>
      <c r="E249" s="102">
        <f t="shared" si="4"/>
        <v>2.8000000000000001E-2</v>
      </c>
      <c r="F249" s="102">
        <f t="shared" si="5"/>
        <v>2.4948000000000001E-2</v>
      </c>
    </row>
    <row r="250" spans="1:15" ht="132" thickBot="1" x14ac:dyDescent="0.3">
      <c r="A250" s="84" t="s">
        <v>246</v>
      </c>
      <c r="B250" s="77">
        <v>4</v>
      </c>
      <c r="C250" s="77">
        <v>4</v>
      </c>
      <c r="D250" s="78">
        <f>O243</f>
        <v>0.89100000000000001</v>
      </c>
      <c r="E250" s="102">
        <f t="shared" si="4"/>
        <v>3.3000000000000002E-2</v>
      </c>
      <c r="F250" s="102">
        <f t="shared" si="5"/>
        <v>2.9403000000000002E-2</v>
      </c>
    </row>
    <row r="251" spans="1:15" ht="150.75" thickBot="1" x14ac:dyDescent="0.3">
      <c r="A251" s="84" t="s">
        <v>247</v>
      </c>
      <c r="B251" s="77">
        <v>3</v>
      </c>
      <c r="C251" s="77">
        <v>3</v>
      </c>
      <c r="D251" s="78">
        <f>O243</f>
        <v>0.89100000000000001</v>
      </c>
      <c r="E251" s="102">
        <f t="shared" si="4"/>
        <v>4.2000000000000003E-2</v>
      </c>
      <c r="F251" s="102">
        <f t="shared" si="5"/>
        <v>3.7422000000000004E-2</v>
      </c>
    </row>
    <row r="252" spans="1:15" ht="132" thickBot="1" x14ac:dyDescent="0.3">
      <c r="A252" s="84" t="s">
        <v>248</v>
      </c>
      <c r="B252" s="77">
        <v>4</v>
      </c>
      <c r="C252" s="77">
        <v>3</v>
      </c>
      <c r="D252" s="78">
        <f>O244</f>
        <v>1.042</v>
      </c>
      <c r="E252" s="102">
        <f t="shared" si="4"/>
        <v>5.7000000000000002E-2</v>
      </c>
      <c r="F252" s="102">
        <f t="shared" si="5"/>
        <v>5.9394000000000002E-2</v>
      </c>
    </row>
    <row r="253" spans="1:15" ht="150.75" thickBot="1" x14ac:dyDescent="0.3">
      <c r="A253" s="84" t="s">
        <v>249</v>
      </c>
      <c r="B253" s="77">
        <v>4</v>
      </c>
      <c r="C253" s="77">
        <v>3</v>
      </c>
      <c r="D253" s="78">
        <f>O244</f>
        <v>1.042</v>
      </c>
      <c r="E253" s="102">
        <f t="shared" si="4"/>
        <v>2.7E-2</v>
      </c>
      <c r="F253" s="102">
        <f t="shared" si="5"/>
        <v>2.8133999999999999E-2</v>
      </c>
    </row>
    <row r="254" spans="1:15" ht="94.5" thickBot="1" x14ac:dyDescent="0.3">
      <c r="A254" s="84" t="s">
        <v>250</v>
      </c>
      <c r="B254" s="77">
        <v>5</v>
      </c>
      <c r="C254" s="77">
        <v>3</v>
      </c>
      <c r="D254" s="78">
        <f>O245</f>
        <v>1.1990000000000001</v>
      </c>
      <c r="E254" s="102">
        <f t="shared" si="4"/>
        <v>3.7999999999999999E-2</v>
      </c>
      <c r="F254" s="102">
        <f t="shared" si="5"/>
        <v>4.5561999999999998E-2</v>
      </c>
    </row>
    <row r="255" spans="1:15" ht="113.25" thickBot="1" x14ac:dyDescent="0.3">
      <c r="A255" s="84" t="s">
        <v>251</v>
      </c>
      <c r="B255" s="77">
        <v>4</v>
      </c>
      <c r="C255" s="77">
        <v>3</v>
      </c>
      <c r="D255" s="102">
        <f>O244</f>
        <v>1.042</v>
      </c>
      <c r="E255" s="102">
        <f t="shared" si="4"/>
        <v>0.02</v>
      </c>
      <c r="F255" s="102">
        <f t="shared" si="5"/>
        <v>2.0840000000000001E-2</v>
      </c>
    </row>
    <row r="256" spans="1:15" ht="94.5" thickBot="1" x14ac:dyDescent="0.3">
      <c r="A256" s="84" t="s">
        <v>252</v>
      </c>
      <c r="B256" s="77">
        <v>4</v>
      </c>
      <c r="C256" s="77">
        <v>3</v>
      </c>
      <c r="D256" s="102">
        <f>O244</f>
        <v>1.042</v>
      </c>
      <c r="E256" s="102">
        <f t="shared" si="4"/>
        <v>3.5000000000000003E-2</v>
      </c>
      <c r="F256" s="102">
        <f t="shared" si="5"/>
        <v>3.6470000000000002E-2</v>
      </c>
    </row>
    <row r="257" spans="1:6" ht="150.75" thickBot="1" x14ac:dyDescent="0.3">
      <c r="A257" s="84" t="s">
        <v>253</v>
      </c>
      <c r="B257" s="77">
        <v>5</v>
      </c>
      <c r="C257" s="77">
        <v>4</v>
      </c>
      <c r="D257" s="78">
        <f>O245</f>
        <v>1.1990000000000001</v>
      </c>
      <c r="E257" s="102">
        <f t="shared" si="4"/>
        <v>5.2999999999999999E-2</v>
      </c>
      <c r="F257" s="102">
        <f t="shared" si="5"/>
        <v>6.3547000000000006E-2</v>
      </c>
    </row>
    <row r="258" spans="1:6" ht="113.25" thickBot="1" x14ac:dyDescent="0.3">
      <c r="A258" s="84" t="s">
        <v>254</v>
      </c>
      <c r="B258" s="77">
        <v>3</v>
      </c>
      <c r="C258" s="77">
        <v>4</v>
      </c>
      <c r="D258" s="78">
        <f>O243</f>
        <v>0.89100000000000001</v>
      </c>
      <c r="E258" s="102">
        <f t="shared" si="4"/>
        <v>4.4999999999999998E-2</v>
      </c>
      <c r="F258" s="102">
        <f t="shared" si="5"/>
        <v>4.0094999999999999E-2</v>
      </c>
    </row>
    <row r="259" spans="1:6" ht="94.5" thickBot="1" x14ac:dyDescent="0.3">
      <c r="A259" s="86" t="s">
        <v>255</v>
      </c>
      <c r="B259" s="79">
        <v>3</v>
      </c>
      <c r="C259" s="79">
        <v>4</v>
      </c>
      <c r="D259" s="80">
        <f>O243</f>
        <v>0.89100000000000001</v>
      </c>
      <c r="E259" s="102">
        <f t="shared" si="4"/>
        <v>0.04</v>
      </c>
      <c r="F259" s="102">
        <f t="shared" si="5"/>
        <v>3.5639999999999998E-2</v>
      </c>
    </row>
    <row r="260" spans="1:6" ht="17.25" thickTop="1" thickBot="1" x14ac:dyDescent="0.3">
      <c r="A260" s="100" t="s">
        <v>97</v>
      </c>
      <c r="B260" s="106"/>
      <c r="C260" s="106"/>
      <c r="D260" s="106"/>
      <c r="E260" s="106"/>
      <c r="F260" s="53">
        <f>SUM(F241:F259)</f>
        <v>0.74693100000000001</v>
      </c>
    </row>
    <row r="261" spans="1:6" ht="17.25" thickTop="1" thickBot="1" x14ac:dyDescent="0.3">
      <c r="A261" s="40" t="s">
        <v>262</v>
      </c>
      <c r="B261" s="107"/>
      <c r="C261" s="107"/>
      <c r="D261" s="107"/>
      <c r="E261" s="107"/>
      <c r="F261" s="41">
        <f>F260*O239</f>
        <v>0.22407930000000001</v>
      </c>
    </row>
    <row r="262" spans="1:6" ht="17.25" thickTop="1" thickBot="1" x14ac:dyDescent="0.3">
      <c r="A262" s="42" t="s">
        <v>263</v>
      </c>
      <c r="B262" s="107"/>
      <c r="C262" s="107"/>
      <c r="D262" s="107"/>
      <c r="E262" s="107"/>
      <c r="F262" s="41">
        <f>F260+F261</f>
        <v>0.97101029999999999</v>
      </c>
    </row>
    <row r="263" spans="1:6" ht="15.75" thickTop="1" x14ac:dyDescent="0.25"/>
    <row r="264" spans="1:6" x14ac:dyDescent="0.25">
      <c r="A264" t="s">
        <v>264</v>
      </c>
      <c r="B264">
        <f>F262</f>
        <v>0.97101029999999999</v>
      </c>
      <c r="C264" t="s">
        <v>110</v>
      </c>
    </row>
    <row r="266" spans="1:6" ht="21" x14ac:dyDescent="0.35">
      <c r="A266" s="45" t="s">
        <v>265</v>
      </c>
    </row>
    <row r="268" spans="1:6" x14ac:dyDescent="0.25">
      <c r="A268" s="6" t="s">
        <v>266</v>
      </c>
      <c r="B268" s="6">
        <f>30/100</f>
        <v>0.3</v>
      </c>
    </row>
    <row r="270" spans="1:6" x14ac:dyDescent="0.25">
      <c r="A270" t="s">
        <v>288</v>
      </c>
      <c r="B270">
        <f>B264*B268</f>
        <v>0.29130308999999999</v>
      </c>
      <c r="C270" t="s">
        <v>110</v>
      </c>
    </row>
    <row r="272" spans="1:6" ht="21" x14ac:dyDescent="0.35">
      <c r="A272" s="45" t="s">
        <v>267</v>
      </c>
    </row>
    <row r="274" spans="1:5" x14ac:dyDescent="0.25">
      <c r="A274" s="6" t="s">
        <v>268</v>
      </c>
      <c r="B274" s="6">
        <v>1.5</v>
      </c>
      <c r="D274" s="6" t="s">
        <v>279</v>
      </c>
      <c r="E274" s="6">
        <v>0.85</v>
      </c>
    </row>
    <row r="276" spans="1:5" x14ac:dyDescent="0.25">
      <c r="A276" t="s">
        <v>269</v>
      </c>
      <c r="B276">
        <f>(B264+B270)*B274</f>
        <v>1.8934700850000001</v>
      </c>
      <c r="D276" s="6" t="s">
        <v>281</v>
      </c>
      <c r="E276" s="6">
        <v>0.4</v>
      </c>
    </row>
    <row r="278" spans="1:5" x14ac:dyDescent="0.25">
      <c r="A278" t="s">
        <v>280</v>
      </c>
      <c r="B278">
        <f>E3*E6*E274</f>
        <v>142.79999999999998</v>
      </c>
    </row>
    <row r="280" spans="1:5" ht="15.75" thickBot="1" x14ac:dyDescent="0.3"/>
    <row r="281" spans="1:5" ht="96" thickTop="1" thickBot="1" x14ac:dyDescent="0.3">
      <c r="A281" s="36" t="s">
        <v>270</v>
      </c>
      <c r="B281" s="66" t="s">
        <v>235</v>
      </c>
      <c r="C281" s="66" t="s">
        <v>271</v>
      </c>
      <c r="D281" s="66" t="s">
        <v>272</v>
      </c>
      <c r="E281" s="66" t="s">
        <v>273</v>
      </c>
    </row>
    <row r="282" spans="1:5" ht="17.25" thickTop="1" thickBot="1" x14ac:dyDescent="0.3">
      <c r="A282" s="38" t="s">
        <v>274</v>
      </c>
      <c r="B282" s="39">
        <v>5</v>
      </c>
      <c r="C282" s="39">
        <v>1</v>
      </c>
      <c r="D282" s="39">
        <f>N245</f>
        <v>1.127</v>
      </c>
      <c r="E282" s="39">
        <f>D282*B278</f>
        <v>160.93559999999999</v>
      </c>
    </row>
    <row r="283" spans="1:5" ht="16.5" thickBot="1" x14ac:dyDescent="0.3">
      <c r="A283" s="40" t="s">
        <v>275</v>
      </c>
      <c r="B283" s="41">
        <v>1</v>
      </c>
      <c r="C283" s="41">
        <v>1</v>
      </c>
      <c r="D283" s="41">
        <f>N241</f>
        <v>0.69699999999999995</v>
      </c>
      <c r="E283" s="39">
        <f>D283*B278</f>
        <v>99.531599999999983</v>
      </c>
    </row>
    <row r="284" spans="1:5" ht="96" thickTop="1" thickBot="1" x14ac:dyDescent="0.3">
      <c r="A284" s="76" t="s">
        <v>276</v>
      </c>
      <c r="B284" s="107"/>
      <c r="C284" s="41"/>
      <c r="D284" s="41"/>
      <c r="E284" s="41">
        <f>SUM(E282:E283)</f>
        <v>260.46719999999999</v>
      </c>
    </row>
    <row r="285" spans="1:5" ht="80.25" thickTop="1" thickBot="1" x14ac:dyDescent="0.3">
      <c r="A285" s="76" t="s">
        <v>277</v>
      </c>
      <c r="B285" s="107"/>
      <c r="C285" s="41"/>
      <c r="D285" s="41"/>
      <c r="E285" s="41">
        <f>E284*E276</f>
        <v>104.18688</v>
      </c>
    </row>
    <row r="286" spans="1:5" ht="143.25" thickTop="1" thickBot="1" x14ac:dyDescent="0.3">
      <c r="A286" s="101" t="s">
        <v>278</v>
      </c>
      <c r="B286" s="107"/>
      <c r="C286" s="41"/>
      <c r="D286" s="41"/>
      <c r="E286" s="41">
        <f>E284+E285</f>
        <v>364.65408000000002</v>
      </c>
    </row>
    <row r="287" spans="1:5" ht="15.75" thickTop="1" x14ac:dyDescent="0.25"/>
    <row r="288" spans="1:5" ht="18.75" x14ac:dyDescent="0.3">
      <c r="B288" s="9" t="s">
        <v>282</v>
      </c>
    </row>
    <row r="290" spans="1:5" x14ac:dyDescent="0.25">
      <c r="B290" s="6" t="s">
        <v>283</v>
      </c>
      <c r="C290" s="6">
        <v>1.4</v>
      </c>
    </row>
    <row r="291" spans="1:5" x14ac:dyDescent="0.25">
      <c r="B291" s="6" t="s">
        <v>284</v>
      </c>
      <c r="C291" s="6">
        <v>500</v>
      </c>
    </row>
    <row r="293" spans="1:5" x14ac:dyDescent="0.25">
      <c r="B293" t="s">
        <v>285</v>
      </c>
      <c r="C293">
        <f>C290*C291</f>
        <v>700</v>
      </c>
      <c r="D293" t="s">
        <v>110</v>
      </c>
    </row>
    <row r="295" spans="1:5" x14ac:dyDescent="0.25">
      <c r="B295" t="s">
        <v>269</v>
      </c>
      <c r="C295">
        <f>E286+C293</f>
        <v>1064.65408</v>
      </c>
      <c r="D295" t="s">
        <v>110</v>
      </c>
    </row>
    <row r="297" spans="1:5" x14ac:dyDescent="0.25">
      <c r="B297" t="s">
        <v>268</v>
      </c>
      <c r="C297">
        <f>C295/(E2*B264)</f>
        <v>0.68527470820855352</v>
      </c>
      <c r="D297">
        <f>ROUND(C297,2)</f>
        <v>0.69</v>
      </c>
    </row>
    <row r="299" spans="1:5" x14ac:dyDescent="0.25">
      <c r="B299" t="s">
        <v>269</v>
      </c>
      <c r="C299">
        <f>D297*B264</f>
        <v>0.66999710699999993</v>
      </c>
      <c r="D299">
        <f>ROUND(C299,2)</f>
        <v>0.67</v>
      </c>
      <c r="E299" t="s">
        <v>110</v>
      </c>
    </row>
    <row r="301" spans="1:5" ht="21" x14ac:dyDescent="0.35">
      <c r="A301" s="45" t="s">
        <v>286</v>
      </c>
    </row>
    <row r="303" spans="1:5" x14ac:dyDescent="0.25">
      <c r="A303" s="6" t="s">
        <v>287</v>
      </c>
      <c r="B303" s="6">
        <v>0.35</v>
      </c>
    </row>
    <row r="305" spans="1:3" x14ac:dyDescent="0.25">
      <c r="A305" t="s">
        <v>289</v>
      </c>
      <c r="B305">
        <f>(B270+B264+C299)*B303</f>
        <v>0.67630867394999994</v>
      </c>
      <c r="C305" t="s">
        <v>110</v>
      </c>
    </row>
    <row r="307" spans="1:3" ht="21" x14ac:dyDescent="0.35">
      <c r="A307" s="45" t="s">
        <v>290</v>
      </c>
    </row>
    <row r="309" spans="1:3" x14ac:dyDescent="0.25">
      <c r="A309" s="6" t="s">
        <v>291</v>
      </c>
      <c r="B309" s="6">
        <v>0.1</v>
      </c>
    </row>
    <row r="311" spans="1:3" x14ac:dyDescent="0.25">
      <c r="A311" t="s">
        <v>163</v>
      </c>
      <c r="B311">
        <f>B264*B309</f>
        <v>9.7101030000000005E-2</v>
      </c>
      <c r="C311" t="s">
        <v>110</v>
      </c>
    </row>
    <row r="313" spans="1:3" ht="21" x14ac:dyDescent="0.35">
      <c r="A313" s="45" t="s">
        <v>292</v>
      </c>
    </row>
    <row r="315" spans="1:3" x14ac:dyDescent="0.25">
      <c r="A315" s="6" t="s">
        <v>293</v>
      </c>
      <c r="B315" s="6">
        <v>0.13</v>
      </c>
    </row>
    <row r="317" spans="1:3" x14ac:dyDescent="0.25">
      <c r="A317" t="s">
        <v>165</v>
      </c>
      <c r="B317">
        <f>B264*B315</f>
        <v>0.126231339</v>
      </c>
      <c r="C317" t="s">
        <v>110</v>
      </c>
    </row>
    <row r="319" spans="1:3" ht="20.25" x14ac:dyDescent="0.3">
      <c r="A319" s="108" t="s">
        <v>294</v>
      </c>
    </row>
    <row r="321" spans="1:3" x14ac:dyDescent="0.25">
      <c r="A321" t="s">
        <v>295</v>
      </c>
      <c r="B321">
        <f>E158/E2</f>
        <v>8.575000000000001E-3</v>
      </c>
    </row>
    <row r="323" spans="1:3" ht="21" x14ac:dyDescent="0.35">
      <c r="A323" s="45" t="s">
        <v>296</v>
      </c>
    </row>
    <row r="325" spans="1:3" x14ac:dyDescent="0.25">
      <c r="A325" s="6" t="s">
        <v>297</v>
      </c>
      <c r="B325" s="6">
        <v>0.8</v>
      </c>
    </row>
    <row r="327" spans="1:3" x14ac:dyDescent="0.25">
      <c r="A327" t="s">
        <v>169</v>
      </c>
      <c r="B327">
        <f>B264*B325</f>
        <v>0.77680824000000004</v>
      </c>
      <c r="C327" t="s">
        <v>110</v>
      </c>
    </row>
    <row r="329" spans="1:3" ht="20.25" x14ac:dyDescent="0.3">
      <c r="A329" s="108" t="s">
        <v>298</v>
      </c>
    </row>
    <row r="331" spans="1:3" x14ac:dyDescent="0.25">
      <c r="A331" s="6" t="s">
        <v>299</v>
      </c>
      <c r="B331" s="6">
        <v>0.8</v>
      </c>
    </row>
    <row r="333" spans="1:3" x14ac:dyDescent="0.25">
      <c r="A333" t="s">
        <v>300</v>
      </c>
      <c r="B333">
        <f>B264*B331</f>
        <v>0.77680824000000004</v>
      </c>
      <c r="C333" t="s">
        <v>110</v>
      </c>
    </row>
    <row r="335" spans="1:3" ht="20.25" x14ac:dyDescent="0.3">
      <c r="A335" s="108" t="s">
        <v>301</v>
      </c>
    </row>
    <row r="337" spans="1:2" x14ac:dyDescent="0.25">
      <c r="A337" s="6" t="s">
        <v>302</v>
      </c>
      <c r="B337" s="6">
        <v>0.02</v>
      </c>
    </row>
    <row r="339" spans="1:2" x14ac:dyDescent="0.25">
      <c r="A339" t="s">
        <v>1</v>
      </c>
      <c r="B339" s="90">
        <f>SUM(C185:C195)</f>
        <v>44.868473312949995</v>
      </c>
    </row>
    <row r="341" spans="1:2" x14ac:dyDescent="0.25">
      <c r="A341" t="s">
        <v>173</v>
      </c>
      <c r="B341">
        <f>B339*B337</f>
        <v>0.89736946625899994</v>
      </c>
    </row>
    <row r="343" spans="1:2" ht="20.25" x14ac:dyDescent="0.3">
      <c r="A343" s="108" t="s">
        <v>303</v>
      </c>
    </row>
    <row r="345" spans="1:2" x14ac:dyDescent="0.25">
      <c r="A345" s="6" t="s">
        <v>304</v>
      </c>
      <c r="B345" s="6">
        <v>0.02</v>
      </c>
    </row>
    <row r="347" spans="1:2" x14ac:dyDescent="0.25">
      <c r="A347" t="s">
        <v>177</v>
      </c>
      <c r="B347">
        <f>B341*B345</f>
        <v>1.7947389325179999E-2</v>
      </c>
    </row>
    <row r="349" spans="1:2" x14ac:dyDescent="0.25">
      <c r="A349" t="s">
        <v>179</v>
      </c>
      <c r="B349">
        <f>B347+B339</f>
        <v>44.886420702275174</v>
      </c>
    </row>
    <row r="351" spans="1:2" ht="21" x14ac:dyDescent="0.35">
      <c r="A351" s="45" t="s">
        <v>305</v>
      </c>
    </row>
    <row r="353" spans="1:2" x14ac:dyDescent="0.25">
      <c r="A353" s="6" t="s">
        <v>306</v>
      </c>
      <c r="B353" s="6">
        <v>0.2</v>
      </c>
    </row>
    <row r="355" spans="1:2" x14ac:dyDescent="0.25">
      <c r="A355" t="s">
        <v>19</v>
      </c>
      <c r="B355">
        <f>B349*B353</f>
        <v>8.9772841404550352</v>
      </c>
    </row>
    <row r="357" spans="1:2" ht="21" x14ac:dyDescent="0.35">
      <c r="A357" s="45" t="s">
        <v>307</v>
      </c>
    </row>
    <row r="359" spans="1:2" x14ac:dyDescent="0.25">
      <c r="A359" t="s">
        <v>184</v>
      </c>
      <c r="B359">
        <f>B349+B355</f>
        <v>53.863704842730208</v>
      </c>
    </row>
    <row r="361" spans="1:2" ht="20.25" x14ac:dyDescent="0.3">
      <c r="A361" s="108" t="s">
        <v>308</v>
      </c>
    </row>
    <row r="363" spans="1:2" x14ac:dyDescent="0.25">
      <c r="A363" s="6" t="s">
        <v>310</v>
      </c>
      <c r="B363" s="6">
        <v>3</v>
      </c>
    </row>
    <row r="365" spans="1:2" x14ac:dyDescent="0.25">
      <c r="A365" t="s">
        <v>309</v>
      </c>
      <c r="B365">
        <f>B359*B363/(100-B363)</f>
        <v>1.6658877786411403</v>
      </c>
    </row>
    <row r="367" spans="1:2" ht="21" x14ac:dyDescent="0.35">
      <c r="A367" s="45" t="s">
        <v>311</v>
      </c>
    </row>
    <row r="369" spans="1:4" x14ac:dyDescent="0.25">
      <c r="A369" t="s">
        <v>312</v>
      </c>
      <c r="B369">
        <f>B359+B365</f>
        <v>55.52959262137135</v>
      </c>
    </row>
    <row r="371" spans="1:4" ht="20.25" x14ac:dyDescent="0.3">
      <c r="A371" s="108" t="s">
        <v>313</v>
      </c>
    </row>
    <row r="373" spans="1:4" x14ac:dyDescent="0.25">
      <c r="A373" t="s">
        <v>188</v>
      </c>
      <c r="B373">
        <f>B369*E8</f>
        <v>11.105918524274271</v>
      </c>
    </row>
    <row r="375" spans="1:4" ht="20.25" x14ac:dyDescent="0.3">
      <c r="A375" s="108" t="s">
        <v>314</v>
      </c>
    </row>
    <row r="377" spans="1:4" x14ac:dyDescent="0.25">
      <c r="A377" t="s">
        <v>190</v>
      </c>
      <c r="B377">
        <f>B369+B373</f>
        <v>66.635511145645623</v>
      </c>
    </row>
    <row r="379" spans="1:4" ht="20.25" x14ac:dyDescent="0.3">
      <c r="A379" s="35" t="s">
        <v>315</v>
      </c>
    </row>
    <row r="381" spans="1:4" x14ac:dyDescent="0.25">
      <c r="B381" s="6">
        <v>0.5</v>
      </c>
    </row>
    <row r="383" spans="1:4" x14ac:dyDescent="0.25">
      <c r="A383" t="s">
        <v>316</v>
      </c>
      <c r="B383">
        <f>C158*B381</f>
        <v>2407.66</v>
      </c>
      <c r="D383" t="s">
        <v>110</v>
      </c>
    </row>
    <row r="385" spans="1:4" ht="20.25" x14ac:dyDescent="0.3">
      <c r="A385" s="108" t="s">
        <v>317</v>
      </c>
    </row>
    <row r="387" spans="1:4" x14ac:dyDescent="0.25">
      <c r="A387" t="s">
        <v>179</v>
      </c>
      <c r="B387">
        <f>B349*E2</f>
        <v>71818.273123640276</v>
      </c>
    </row>
    <row r="389" spans="1:4" ht="20.25" x14ac:dyDescent="0.3">
      <c r="A389" s="108" t="s">
        <v>318</v>
      </c>
    </row>
    <row r="391" spans="1:4" x14ac:dyDescent="0.25">
      <c r="A391" t="s">
        <v>319</v>
      </c>
      <c r="B391">
        <f>B377* E2</f>
        <v>106616.817833033</v>
      </c>
      <c r="D391" t="s">
        <v>110</v>
      </c>
    </row>
    <row r="393" spans="1:4" ht="20.25" x14ac:dyDescent="0.3">
      <c r="A393" s="108" t="s">
        <v>320</v>
      </c>
    </row>
    <row r="395" spans="1:4" x14ac:dyDescent="0.25">
      <c r="A395" t="s">
        <v>321</v>
      </c>
      <c r="B395">
        <f>B387/B391</f>
        <v>0.67361111111111105</v>
      </c>
      <c r="D395" t="s">
        <v>110</v>
      </c>
    </row>
    <row r="397" spans="1:4" ht="20.25" x14ac:dyDescent="0.3">
      <c r="A397" s="108" t="s">
        <v>322</v>
      </c>
    </row>
    <row r="399" spans="1:4" x14ac:dyDescent="0.25">
      <c r="B399" s="6">
        <v>0.15</v>
      </c>
    </row>
    <row r="401" spans="1:4" x14ac:dyDescent="0.25">
      <c r="A401" t="s">
        <v>323</v>
      </c>
      <c r="B401">
        <f>B391-B387-B365*E2-B373*E2</f>
        <v>14363.654624728064</v>
      </c>
      <c r="D401" t="s">
        <v>110</v>
      </c>
    </row>
    <row r="403" spans="1:4" x14ac:dyDescent="0.25">
      <c r="A403" t="s">
        <v>324</v>
      </c>
      <c r="B403">
        <f>B401*B399</f>
        <v>2154.5481937092095</v>
      </c>
      <c r="D403" t="s">
        <v>110</v>
      </c>
    </row>
    <row r="405" spans="1:4" x14ac:dyDescent="0.25">
      <c r="A405" t="s">
        <v>325</v>
      </c>
      <c r="B405">
        <f>B401+B403</f>
        <v>16518.202818437272</v>
      </c>
      <c r="D405" t="s">
        <v>110</v>
      </c>
    </row>
    <row r="407" spans="1:4" ht="20.25" x14ac:dyDescent="0.3">
      <c r="A407" s="108" t="s">
        <v>326</v>
      </c>
    </row>
    <row r="409" spans="1:4" x14ac:dyDescent="0.25">
      <c r="A409" t="s">
        <v>327</v>
      </c>
      <c r="B409">
        <f>B405</f>
        <v>16518.202818437272</v>
      </c>
    </row>
    <row r="411" spans="1:4" ht="20.25" x14ac:dyDescent="0.3">
      <c r="A411" s="108" t="s">
        <v>328</v>
      </c>
    </row>
    <row r="413" spans="1:4" x14ac:dyDescent="0.25">
      <c r="A413" s="6" t="s">
        <v>329</v>
      </c>
      <c r="B413" s="6">
        <v>0.01</v>
      </c>
    </row>
    <row r="415" spans="1:4" x14ac:dyDescent="0.25">
      <c r="A415" t="s">
        <v>330</v>
      </c>
      <c r="B415">
        <f>C158-E158</f>
        <v>4801.5999999999995</v>
      </c>
      <c r="D415" t="s">
        <v>110</v>
      </c>
    </row>
    <row r="417" spans="1:4" x14ac:dyDescent="0.25">
      <c r="A417" t="s">
        <v>331</v>
      </c>
      <c r="B417">
        <f>B415*B413/12</f>
        <v>4.0013333333333332</v>
      </c>
      <c r="D417" t="s">
        <v>110</v>
      </c>
    </row>
    <row r="419" spans="1:4" ht="20.25" x14ac:dyDescent="0.3">
      <c r="A419" s="108" t="s">
        <v>332</v>
      </c>
    </row>
    <row r="421" spans="1:4" x14ac:dyDescent="0.25">
      <c r="A421" t="s">
        <v>333</v>
      </c>
      <c r="B421">
        <f>B383*B413/12</f>
        <v>2.0063833333333334</v>
      </c>
      <c r="D421" t="s">
        <v>110</v>
      </c>
    </row>
    <row r="423" spans="1:4" ht="20.25" x14ac:dyDescent="0.3">
      <c r="A423" s="108" t="s">
        <v>334</v>
      </c>
    </row>
    <row r="425" spans="1:4" x14ac:dyDescent="0.25">
      <c r="A425" t="s">
        <v>335</v>
      </c>
      <c r="B425">
        <f>B417+B421</f>
        <v>6.007716666666667</v>
      </c>
      <c r="D425" t="s">
        <v>110</v>
      </c>
    </row>
    <row r="427" spans="1:4" ht="20.25" x14ac:dyDescent="0.3">
      <c r="A427" s="108" t="s">
        <v>336</v>
      </c>
    </row>
    <row r="429" spans="1:4" x14ac:dyDescent="0.25">
      <c r="A429" t="s">
        <v>337</v>
      </c>
      <c r="B429">
        <v>0</v>
      </c>
    </row>
    <row r="430" spans="1:4" x14ac:dyDescent="0.25">
      <c r="A430" t="s">
        <v>338</v>
      </c>
      <c r="B430">
        <v>0</v>
      </c>
    </row>
    <row r="432" spans="1:4" x14ac:dyDescent="0.25">
      <c r="A432" t="s">
        <v>339</v>
      </c>
      <c r="B432">
        <f>B409-B429-B430-B417</f>
        <v>16514.201485103938</v>
      </c>
      <c r="D432" t="s">
        <v>110</v>
      </c>
    </row>
    <row r="434" spans="1:4" ht="20.25" x14ac:dyDescent="0.3">
      <c r="A434" s="108" t="s">
        <v>340</v>
      </c>
    </row>
    <row r="436" spans="1:4" x14ac:dyDescent="0.25">
      <c r="A436" s="6" t="s">
        <v>302</v>
      </c>
      <c r="B436" s="6">
        <v>0.24</v>
      </c>
    </row>
    <row r="438" spans="1:4" x14ac:dyDescent="0.25">
      <c r="A438" t="s">
        <v>173</v>
      </c>
      <c r="B438">
        <f>B432*B436</f>
        <v>3963.4083564249449</v>
      </c>
      <c r="D438" t="s">
        <v>110</v>
      </c>
    </row>
    <row r="440" spans="1:4" ht="20.25" x14ac:dyDescent="0.3">
      <c r="A440" s="108" t="s">
        <v>341</v>
      </c>
    </row>
    <row r="442" spans="1:4" x14ac:dyDescent="0.25">
      <c r="A442" s="6" t="s">
        <v>342</v>
      </c>
      <c r="B442" s="6">
        <v>0.03</v>
      </c>
    </row>
    <row r="444" spans="1:4" x14ac:dyDescent="0.25">
      <c r="A444" t="s">
        <v>343</v>
      </c>
      <c r="B444">
        <f>(B409-B429-B430-B425-B438)*B442</f>
        <v>376.4636023603698</v>
      </c>
      <c r="D444" t="s">
        <v>110</v>
      </c>
    </row>
    <row r="446" spans="1:4" ht="20.25" x14ac:dyDescent="0.3">
      <c r="A446" s="108" t="s">
        <v>344</v>
      </c>
    </row>
    <row r="448" spans="1:4" x14ac:dyDescent="0.25">
      <c r="A448" s="6" t="s">
        <v>345</v>
      </c>
      <c r="B448" s="6">
        <v>0.05</v>
      </c>
    </row>
    <row r="449" spans="1:4" x14ac:dyDescent="0.25">
      <c r="A449" s="6" t="s">
        <v>346</v>
      </c>
      <c r="B449" s="6">
        <v>0.3</v>
      </c>
    </row>
    <row r="450" spans="1:4" x14ac:dyDescent="0.25">
      <c r="A450" s="6" t="s">
        <v>347</v>
      </c>
      <c r="B450" s="6">
        <v>0.35</v>
      </c>
    </row>
    <row r="452" spans="1:4" x14ac:dyDescent="0.25">
      <c r="A452" s="90" t="s">
        <v>348</v>
      </c>
      <c r="B452">
        <f>B409-B425-B438-B444</f>
        <v>12172.323142985289</v>
      </c>
      <c r="D452" t="s">
        <v>110</v>
      </c>
    </row>
    <row r="454" spans="1:4" ht="20.25" x14ac:dyDescent="0.3">
      <c r="A454" s="108" t="s">
        <v>349</v>
      </c>
    </row>
    <row r="456" spans="1:4" x14ac:dyDescent="0.25">
      <c r="A456" t="s">
        <v>350</v>
      </c>
      <c r="B456">
        <f>(B359-B349)/B349</f>
        <v>0.19999999999999996</v>
      </c>
      <c r="C456">
        <f>B456*100</f>
        <v>19.999999999999996</v>
      </c>
    </row>
    <row r="458" spans="1:4" ht="20.25" x14ac:dyDescent="0.3">
      <c r="A458" s="108" t="s">
        <v>351</v>
      </c>
    </row>
    <row r="460" spans="1:4" x14ac:dyDescent="0.25">
      <c r="A460" t="s">
        <v>353</v>
      </c>
      <c r="B460">
        <f>(B415+C158)/2</f>
        <v>4808.4599999999991</v>
      </c>
    </row>
    <row r="462" spans="1:4" x14ac:dyDescent="0.25">
      <c r="A462" t="s">
        <v>352</v>
      </c>
      <c r="B462">
        <f>B452/(B460+B383)</f>
        <v>1.6868238254055214</v>
      </c>
      <c r="C462">
        <f>B462*100</f>
        <v>168.68238254055214</v>
      </c>
    </row>
    <row r="464" spans="1:4" ht="20.25" x14ac:dyDescent="0.3">
      <c r="A464" s="108" t="s">
        <v>354</v>
      </c>
    </row>
    <row r="466" spans="1:4" x14ac:dyDescent="0.25">
      <c r="A466" t="s">
        <v>355</v>
      </c>
      <c r="B466">
        <f>B391/B460</f>
        <v>22.172757563343154</v>
      </c>
      <c r="D466" t="s">
        <v>110</v>
      </c>
    </row>
    <row r="468" spans="1:4" ht="19.5" x14ac:dyDescent="0.35">
      <c r="A468" s="109" t="s">
        <v>356</v>
      </c>
    </row>
    <row r="469" spans="1:4" ht="15.75" thickBot="1" x14ac:dyDescent="0.3"/>
    <row r="470" spans="1:4" ht="48.75" thickTop="1" thickBot="1" x14ac:dyDescent="0.3">
      <c r="A470" s="36" t="s">
        <v>357</v>
      </c>
      <c r="B470" s="104" t="s">
        <v>193</v>
      </c>
      <c r="C470" s="104" t="s">
        <v>358</v>
      </c>
    </row>
    <row r="471" spans="1:4" ht="48.75" thickTop="1" thickBot="1" x14ac:dyDescent="0.3">
      <c r="A471" s="68" t="s">
        <v>359</v>
      </c>
      <c r="B471" s="39" t="s">
        <v>360</v>
      </c>
      <c r="C471" s="39">
        <f>E2</f>
        <v>1600</v>
      </c>
    </row>
    <row r="472" spans="1:4" ht="48" thickBot="1" x14ac:dyDescent="0.3">
      <c r="A472" s="68" t="s">
        <v>361</v>
      </c>
      <c r="B472" s="39" t="s">
        <v>110</v>
      </c>
      <c r="C472" s="73">
        <f>B391</f>
        <v>106616.817833033</v>
      </c>
    </row>
    <row r="473" spans="1:4" ht="79.5" thickBot="1" x14ac:dyDescent="0.3">
      <c r="A473" s="68" t="s">
        <v>362</v>
      </c>
      <c r="B473" s="39" t="s">
        <v>110</v>
      </c>
      <c r="C473" s="73">
        <f>B387</f>
        <v>71818.273123640276</v>
      </c>
    </row>
    <row r="474" spans="1:4" ht="63.75" thickBot="1" x14ac:dyDescent="0.3">
      <c r="A474" s="68" t="s">
        <v>363</v>
      </c>
      <c r="B474" s="39" t="s">
        <v>110</v>
      </c>
      <c r="C474" s="39">
        <f>B395</f>
        <v>0.67361111111111105</v>
      </c>
    </row>
    <row r="475" spans="1:4" ht="63.75" thickBot="1" x14ac:dyDescent="0.3">
      <c r="A475" s="68" t="s">
        <v>364</v>
      </c>
      <c r="B475" s="39" t="s">
        <v>365</v>
      </c>
      <c r="C475" s="39">
        <f>B349</f>
        <v>44.886420702275174</v>
      </c>
    </row>
    <row r="476" spans="1:4" ht="63.75" thickBot="1" x14ac:dyDescent="0.3">
      <c r="A476" s="68" t="s">
        <v>366</v>
      </c>
      <c r="B476" s="39" t="s">
        <v>110</v>
      </c>
      <c r="C476" s="39">
        <f>B359</f>
        <v>53.863704842730208</v>
      </c>
    </row>
    <row r="477" spans="1:4" ht="95.25" thickBot="1" x14ac:dyDescent="0.3">
      <c r="A477" s="68" t="s">
        <v>367</v>
      </c>
      <c r="B477" s="39" t="s">
        <v>110</v>
      </c>
      <c r="C477" s="39">
        <f>B377</f>
        <v>66.635511145645623</v>
      </c>
    </row>
    <row r="478" spans="1:4" ht="63.75" thickBot="1" x14ac:dyDescent="0.3">
      <c r="A478" s="68" t="s">
        <v>368</v>
      </c>
      <c r="B478" s="39" t="s">
        <v>110</v>
      </c>
      <c r="C478" s="73">
        <f>B405</f>
        <v>16518.202818437272</v>
      </c>
    </row>
    <row r="479" spans="1:4" ht="48" thickBot="1" x14ac:dyDescent="0.3">
      <c r="A479" s="68" t="s">
        <v>369</v>
      </c>
      <c r="B479" s="39" t="s">
        <v>110</v>
      </c>
      <c r="C479" s="73">
        <f>B452</f>
        <v>12172.323142985289</v>
      </c>
    </row>
    <row r="480" spans="1:4" ht="63.75" thickBot="1" x14ac:dyDescent="0.3">
      <c r="A480" s="68" t="s">
        <v>370</v>
      </c>
      <c r="B480" s="39" t="s">
        <v>9</v>
      </c>
      <c r="C480" s="39">
        <f>C462</f>
        <v>168.68238254055214</v>
      </c>
    </row>
    <row r="481" spans="1:3" ht="48" thickBot="1" x14ac:dyDescent="0.3">
      <c r="A481" s="68" t="s">
        <v>371</v>
      </c>
      <c r="B481" s="39" t="s">
        <v>9</v>
      </c>
      <c r="C481" s="39">
        <f>C456</f>
        <v>19.999999999999996</v>
      </c>
    </row>
    <row r="482" spans="1:3" ht="63.75" thickBot="1" x14ac:dyDescent="0.3">
      <c r="A482" s="68" t="s">
        <v>372</v>
      </c>
      <c r="B482" s="39" t="s">
        <v>110</v>
      </c>
      <c r="C482" s="39">
        <f>B466</f>
        <v>22.172757563343154</v>
      </c>
    </row>
    <row r="483" spans="1:3" ht="47.25" x14ac:dyDescent="0.25">
      <c r="A483" s="110" t="s">
        <v>373</v>
      </c>
      <c r="B483" s="70" t="s">
        <v>374</v>
      </c>
      <c r="C483" s="70">
        <f>SUM(C485:C487)</f>
        <v>12</v>
      </c>
    </row>
    <row r="484" spans="1:3" ht="15.75" x14ac:dyDescent="0.25">
      <c r="A484" s="110" t="s">
        <v>375</v>
      </c>
      <c r="B484" s="70"/>
      <c r="C484" s="70"/>
    </row>
    <row r="485" spans="1:3" ht="47.25" x14ac:dyDescent="0.25">
      <c r="A485" s="110" t="s">
        <v>376</v>
      </c>
      <c r="B485" s="70"/>
      <c r="C485" s="70">
        <f>B175</f>
        <v>9</v>
      </c>
    </row>
    <row r="486" spans="1:3" ht="78.75" x14ac:dyDescent="0.25">
      <c r="A486" s="110" t="s">
        <v>377</v>
      </c>
      <c r="B486" s="70"/>
      <c r="C486" s="70">
        <f>B177</f>
        <v>2</v>
      </c>
    </row>
    <row r="487" spans="1:3" ht="48" thickBot="1" x14ac:dyDescent="0.3">
      <c r="A487" s="68" t="s">
        <v>378</v>
      </c>
      <c r="B487" s="39"/>
      <c r="C487" s="39">
        <f>B178</f>
        <v>1</v>
      </c>
    </row>
    <row r="488" spans="1:3" ht="111" thickBot="1" x14ac:dyDescent="0.3">
      <c r="A488" s="68" t="s">
        <v>379</v>
      </c>
      <c r="B488" s="39" t="s">
        <v>380</v>
      </c>
      <c r="C488" s="113">
        <f>C472/C485</f>
        <v>11846.313092559221</v>
      </c>
    </row>
    <row r="489" spans="1:3" ht="63.75" thickBot="1" x14ac:dyDescent="0.3">
      <c r="A489" s="68" t="s">
        <v>381</v>
      </c>
      <c r="B489" s="39" t="s">
        <v>380</v>
      </c>
      <c r="C489" s="113">
        <f>C472/C483</f>
        <v>8884.7348194194165</v>
      </c>
    </row>
    <row r="490" spans="1:3" ht="48" thickBot="1" x14ac:dyDescent="0.3">
      <c r="A490" s="68" t="s">
        <v>382</v>
      </c>
      <c r="B490" s="39" t="s">
        <v>110</v>
      </c>
      <c r="C490" s="39">
        <f>B305*E2</f>
        <v>1082.0938783199999</v>
      </c>
    </row>
    <row r="491" spans="1:3" ht="79.5" thickBot="1" x14ac:dyDescent="0.3">
      <c r="A491" s="68" t="s">
        <v>383</v>
      </c>
      <c r="B491" s="39" t="s">
        <v>110</v>
      </c>
      <c r="C491" s="39">
        <f>B365*E2</f>
        <v>2665.4204458258246</v>
      </c>
    </row>
    <row r="492" spans="1:3" ht="16.5" thickBot="1" x14ac:dyDescent="0.3">
      <c r="A492" s="68" t="s">
        <v>187</v>
      </c>
      <c r="B492" s="39" t="s">
        <v>110</v>
      </c>
      <c r="C492" s="73">
        <f>B373*E2</f>
        <v>17769.469638838833</v>
      </c>
    </row>
    <row r="493" spans="1:3" ht="48" thickBot="1" x14ac:dyDescent="0.3">
      <c r="A493" s="68" t="s">
        <v>384</v>
      </c>
      <c r="B493" s="39" t="s">
        <v>110</v>
      </c>
      <c r="C493" s="73">
        <f>B438</f>
        <v>3963.4083564249449</v>
      </c>
    </row>
    <row r="494" spans="1:3" ht="63.75" thickBot="1" x14ac:dyDescent="0.3">
      <c r="A494" s="68" t="s">
        <v>385</v>
      </c>
      <c r="B494" s="39" t="s">
        <v>110</v>
      </c>
      <c r="C494" s="39">
        <f>B425</f>
        <v>6.007716666666667</v>
      </c>
    </row>
    <row r="495" spans="1:3" ht="79.5" thickBot="1" x14ac:dyDescent="0.3">
      <c r="A495" s="68" t="s">
        <v>386</v>
      </c>
      <c r="B495" s="39" t="s">
        <v>110</v>
      </c>
      <c r="C495" s="39">
        <f>C158</f>
        <v>4815.32</v>
      </c>
    </row>
    <row r="496" spans="1:3" ht="79.5" thickBot="1" x14ac:dyDescent="0.3">
      <c r="A496" s="68" t="s">
        <v>387</v>
      </c>
      <c r="B496" s="39" t="s">
        <v>110</v>
      </c>
      <c r="C496" s="43">
        <v>1958.16</v>
      </c>
    </row>
    <row r="497" spans="1:3" ht="63.75" thickBot="1" x14ac:dyDescent="0.3">
      <c r="A497" s="68" t="s">
        <v>388</v>
      </c>
      <c r="B497" s="39" t="s">
        <v>110</v>
      </c>
      <c r="C497" s="111">
        <v>1960.8</v>
      </c>
    </row>
    <row r="498" spans="1:3" ht="95.25" thickBot="1" x14ac:dyDescent="0.3">
      <c r="A498" s="76" t="s">
        <v>389</v>
      </c>
      <c r="B498" s="41" t="s">
        <v>110</v>
      </c>
      <c r="C498" s="41">
        <f>C497/C483</f>
        <v>163.4</v>
      </c>
    </row>
    <row r="499" spans="1:3" ht="15.75" thickTop="1" x14ac:dyDescent="0.25"/>
  </sheetData>
  <mergeCells count="16">
    <mergeCell ref="H119:H120"/>
    <mergeCell ref="I119:I120"/>
    <mergeCell ref="G119:G120"/>
    <mergeCell ref="A119:A120"/>
    <mergeCell ref="B119:B120"/>
    <mergeCell ref="C119:C120"/>
    <mergeCell ref="D119:E119"/>
    <mergeCell ref="F119:F120"/>
    <mergeCell ref="A216:B216"/>
    <mergeCell ref="C216:C217"/>
    <mergeCell ref="D216:D217"/>
    <mergeCell ref="F94:F95"/>
    <mergeCell ref="B94:B95"/>
    <mergeCell ref="C94:C95"/>
    <mergeCell ref="D94:D95"/>
    <mergeCell ref="E94:E9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30" r:id="rId4">
          <objectPr defaultSize="0" autoPict="0" r:id="rId5">
            <anchor moveWithCells="1" sizeWithCells="1">
              <from>
                <xdr:col>1</xdr:col>
                <xdr:colOff>0</xdr:colOff>
                <xdr:row>151</xdr:row>
                <xdr:rowOff>0</xdr:rowOff>
              </from>
              <to>
                <xdr:col>1</xdr:col>
                <xdr:colOff>295275</xdr:colOff>
                <xdr:row>151</xdr:row>
                <xdr:rowOff>238125</xdr:rowOff>
              </to>
            </anchor>
          </objectPr>
        </oleObject>
      </mc:Choice>
      <mc:Fallback>
        <oleObject progId="Equation.3" shapeId="1030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 sizeWithCells="1">
              <from>
                <xdr:col>1</xdr:col>
                <xdr:colOff>0</xdr:colOff>
                <xdr:row>152</xdr:row>
                <xdr:rowOff>0</xdr:rowOff>
              </from>
              <to>
                <xdr:col>1</xdr:col>
                <xdr:colOff>304800</xdr:colOff>
                <xdr:row>152</xdr:row>
                <xdr:rowOff>238125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</xdr:col>
                <xdr:colOff>0</xdr:colOff>
                <xdr:row>153</xdr:row>
                <xdr:rowOff>0</xdr:rowOff>
              </from>
              <to>
                <xdr:col>1</xdr:col>
                <xdr:colOff>238125</xdr:colOff>
                <xdr:row>153</xdr:row>
                <xdr:rowOff>238125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7" r:id="rId10">
          <objectPr defaultSize="0" autoPict="0" r:id="rId11">
            <anchor moveWithCells="1" sizeWithCells="1">
              <from>
                <xdr:col>1</xdr:col>
                <xdr:colOff>0</xdr:colOff>
                <xdr:row>154</xdr:row>
                <xdr:rowOff>0</xdr:rowOff>
              </from>
              <to>
                <xdr:col>1</xdr:col>
                <xdr:colOff>295275</xdr:colOff>
                <xdr:row>154</xdr:row>
                <xdr:rowOff>238125</xdr:rowOff>
              </to>
            </anchor>
          </objectPr>
        </oleObject>
      </mc:Choice>
      <mc:Fallback>
        <oleObject progId="Equation.3" shapeId="1027" r:id="rId10"/>
      </mc:Fallback>
    </mc:AlternateContent>
    <mc:AlternateContent xmlns:mc="http://schemas.openxmlformats.org/markup-compatibility/2006">
      <mc:Choice Requires="x14">
        <oleObject progId="Equation.3" shapeId="1026" r:id="rId12">
          <objectPr defaultSize="0" autoPict="0" r:id="rId13">
            <anchor moveWithCells="1" sizeWithCells="1">
              <from>
                <xdr:col>1</xdr:col>
                <xdr:colOff>0</xdr:colOff>
                <xdr:row>155</xdr:row>
                <xdr:rowOff>0</xdr:rowOff>
              </from>
              <to>
                <xdr:col>1</xdr:col>
                <xdr:colOff>295275</xdr:colOff>
                <xdr:row>155</xdr:row>
                <xdr:rowOff>238125</xdr:rowOff>
              </to>
            </anchor>
          </objectPr>
        </oleObject>
      </mc:Choice>
      <mc:Fallback>
        <oleObject progId="Equation.3" shapeId="1026" r:id="rId12"/>
      </mc:Fallback>
    </mc:AlternateContent>
    <mc:AlternateContent xmlns:mc="http://schemas.openxmlformats.org/markup-compatibility/2006">
      <mc:Choice Requires="x14">
        <oleObject progId="Equation.3" shapeId="1025" r:id="rId14">
          <objectPr defaultSize="0" autoPict="0" r:id="rId15">
            <anchor moveWithCells="1" sizeWithCells="1">
              <from>
                <xdr:col>1</xdr:col>
                <xdr:colOff>0</xdr:colOff>
                <xdr:row>156</xdr:row>
                <xdr:rowOff>0</xdr:rowOff>
              </from>
              <to>
                <xdr:col>1</xdr:col>
                <xdr:colOff>304800</xdr:colOff>
                <xdr:row>156</xdr:row>
                <xdr:rowOff>238125</xdr:rowOff>
              </to>
            </anchor>
          </objectPr>
        </oleObject>
      </mc:Choice>
      <mc:Fallback>
        <oleObject progId="Equation.3" shapeId="1025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25</vt:i4>
      </vt:variant>
    </vt:vector>
  </HeadingPairs>
  <TitlesOfParts>
    <vt:vector size="26" baseType="lpstr">
      <vt:lpstr>Лист1</vt:lpstr>
      <vt:lpstr>Лист1!_Toc184396039</vt:lpstr>
      <vt:lpstr>Лист1!_Toc184396043</vt:lpstr>
      <vt:lpstr>Лист1!_Toc184396045</vt:lpstr>
      <vt:lpstr>Лист1!_Toc184396046</vt:lpstr>
      <vt:lpstr>Лист1!_Toc184396047</vt:lpstr>
      <vt:lpstr>Лист1!_Toc184396048</vt:lpstr>
      <vt:lpstr>Лист1!_Toc184396049</vt:lpstr>
      <vt:lpstr>Лист1!_Toc184396050</vt:lpstr>
      <vt:lpstr>Лист1!_Toc184396051</vt:lpstr>
      <vt:lpstr>Лист1!_Toc184396052</vt:lpstr>
      <vt:lpstr>Лист1!_Toc184396053</vt:lpstr>
      <vt:lpstr>Лист1!_Toc184396055</vt:lpstr>
      <vt:lpstr>Лист1!_Toc184396056</vt:lpstr>
      <vt:lpstr>Лист1!_Toc184396057</vt:lpstr>
      <vt:lpstr>Лист1!_Toc184396058</vt:lpstr>
      <vt:lpstr>Лист1!_Toc184396059</vt:lpstr>
      <vt:lpstr>Лист1!_Toc184396060</vt:lpstr>
      <vt:lpstr>Лист1!_Toc184396061</vt:lpstr>
      <vt:lpstr>Лист1!_Toc184396062</vt:lpstr>
      <vt:lpstr>Лист1!_Toc184396064</vt:lpstr>
      <vt:lpstr>Лист1!_Toc184396068</vt:lpstr>
      <vt:lpstr>Лист1!_Toc184396069</vt:lpstr>
      <vt:lpstr>Лист1!_Toc184396071</vt:lpstr>
      <vt:lpstr>Лист1!_Toc184396072</vt:lpstr>
      <vt:lpstr>Лист1!_Toc184396074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2015-12-09T21:07:26Z</dcterms:modified>
</cp:coreProperties>
</file>