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/>
  <bookViews>
    <workbookView xWindow="0" yWindow="0" windowWidth="15600" windowHeight="8190" activeTab="2"/>
  </bookViews>
  <sheets>
    <sheet name="РАСЧЕТЫ" sheetId="1" r:id="rId1"/>
    <sheet name="МЕНЮ" sheetId="2" r:id="rId2"/>
    <sheet name="НОМ" sheetId="3" r:id="rId3"/>
    <sheet name="остатки" sheetId="4" r:id="rId4"/>
  </sheets>
  <definedNames>
    <definedName name="_xlnm._FilterDatabase" localSheetId="2" hidden="1">НОМ!$A$1:$O$70</definedName>
    <definedName name="_xlnm.Print_Titles" localSheetId="2">НОМ!$1:$2</definedName>
    <definedName name="_xlnm.Print_Area" localSheetId="1">МЕНЮ!$A$1:$L$264</definedName>
    <definedName name="_xlnm.Print_Area" localSheetId="2">НОМ!$A$1:$I$90</definedName>
    <definedName name="_xlnm.Print_Area" localSheetId="0">РАСЧЕТЫ!$A$1:$AA$36</definedName>
  </definedNames>
  <calcPr calcId="124519"/>
</workbook>
</file>

<file path=xl/calcChain.xml><?xml version="1.0" encoding="utf-8"?>
<calcChain xmlns="http://schemas.openxmlformats.org/spreadsheetml/2006/main">
  <c r="B18" i="2"/>
  <c r="B4" i="3"/>
  <c r="I10" i="1"/>
  <c r="G9"/>
  <c r="H9"/>
  <c r="J9"/>
  <c r="K9"/>
  <c r="L9"/>
  <c r="M9"/>
  <c r="N9"/>
  <c r="O9"/>
  <c r="P9"/>
  <c r="Q9"/>
  <c r="Z9"/>
  <c r="B174" i="2"/>
  <c r="B102"/>
  <c r="B28"/>
  <c r="P3" i="1"/>
  <c r="Q3"/>
  <c r="P4"/>
  <c r="P36" s="1"/>
  <c r="Q4"/>
  <c r="P5"/>
  <c r="Q5"/>
  <c r="P6"/>
  <c r="Q6"/>
  <c r="P7"/>
  <c r="Q7"/>
  <c r="P8"/>
  <c r="Q8"/>
  <c r="P10"/>
  <c r="Q10"/>
  <c r="P11"/>
  <c r="Q11"/>
  <c r="P12"/>
  <c r="Q12"/>
  <c r="P13"/>
  <c r="Q13"/>
  <c r="P14"/>
  <c r="Q14"/>
  <c r="P15"/>
  <c r="Q15"/>
  <c r="P16"/>
  <c r="Q16"/>
  <c r="P17"/>
  <c r="Q17"/>
  <c r="P18"/>
  <c r="Q18"/>
  <c r="P19"/>
  <c r="Q19"/>
  <c r="P20"/>
  <c r="Q20"/>
  <c r="P21"/>
  <c r="Q21"/>
  <c r="P22"/>
  <c r="Q22"/>
  <c r="P23"/>
  <c r="Q23"/>
  <c r="P24"/>
  <c r="Q24"/>
  <c r="P25"/>
  <c r="Q25"/>
  <c r="P26"/>
  <c r="Q26"/>
  <c r="P27"/>
  <c r="Q27"/>
  <c r="P28"/>
  <c r="Q28"/>
  <c r="P29"/>
  <c r="Q29"/>
  <c r="P30"/>
  <c r="Q30"/>
  <c r="P31"/>
  <c r="Q31"/>
  <c r="P32"/>
  <c r="Q32"/>
  <c r="P33"/>
  <c r="Q33"/>
  <c r="P34"/>
  <c r="Q34"/>
  <c r="P35"/>
  <c r="Q35"/>
  <c r="A222" i="2"/>
  <c r="Z10" i="1"/>
  <c r="N10"/>
  <c r="M10"/>
  <c r="L10"/>
  <c r="K10"/>
  <c r="J10"/>
  <c r="H10"/>
  <c r="G10"/>
  <c r="G7"/>
  <c r="H7"/>
  <c r="I7"/>
  <c r="J7"/>
  <c r="K7"/>
  <c r="L7"/>
  <c r="M7"/>
  <c r="N7"/>
  <c r="O7"/>
  <c r="Z7"/>
  <c r="A77" i="2"/>
  <c r="B77" s="1"/>
  <c r="A88"/>
  <c r="B84"/>
  <c r="M22" i="1"/>
  <c r="M21"/>
  <c r="O8"/>
  <c r="L5"/>
  <c r="I86" i="3"/>
  <c r="B240" i="2"/>
  <c r="B214"/>
  <c r="B165"/>
  <c r="B140"/>
  <c r="B93"/>
  <c r="B67"/>
  <c r="B19"/>
  <c r="C56" i="3"/>
  <c r="C55"/>
  <c r="A117" i="2"/>
  <c r="B117"/>
  <c r="A94"/>
  <c r="B155"/>
  <c r="B208"/>
  <c r="O66" i="3"/>
  <c r="O67"/>
  <c r="O68"/>
  <c r="O69"/>
  <c r="O71"/>
  <c r="O72"/>
  <c r="B82" i="2"/>
  <c r="A82"/>
  <c r="A224"/>
  <c r="B224" s="1"/>
  <c r="B41"/>
  <c r="B115"/>
  <c r="B187"/>
  <c r="B256"/>
  <c r="A187"/>
  <c r="Q36" i="1" l="1"/>
  <c r="H32" i="3"/>
  <c r="A159" i="2" l="1"/>
  <c r="M5" i="1"/>
  <c r="J3"/>
  <c r="J4"/>
  <c r="J5"/>
  <c r="J6"/>
  <c r="J8"/>
  <c r="J11"/>
  <c r="J12"/>
  <c r="J13"/>
  <c r="J14"/>
  <c r="J15"/>
  <c r="J16"/>
  <c r="J17"/>
  <c r="J18"/>
  <c r="J19"/>
  <c r="J20"/>
  <c r="J23"/>
  <c r="J24"/>
  <c r="J25"/>
  <c r="J26"/>
  <c r="J27"/>
  <c r="J28"/>
  <c r="J29"/>
  <c r="J30"/>
  <c r="J31"/>
  <c r="J32"/>
  <c r="J33"/>
  <c r="J34"/>
  <c r="J35"/>
  <c r="M3"/>
  <c r="M4"/>
  <c r="M6"/>
  <c r="M8"/>
  <c r="M11"/>
  <c r="M12"/>
  <c r="M13"/>
  <c r="M14"/>
  <c r="M15"/>
  <c r="M16"/>
  <c r="M17"/>
  <c r="M18"/>
  <c r="M19"/>
  <c r="M20"/>
  <c r="M28"/>
  <c r="M29"/>
  <c r="M30"/>
  <c r="M31"/>
  <c r="M32"/>
  <c r="M33"/>
  <c r="M34"/>
  <c r="M35"/>
  <c r="I89" i="3"/>
  <c r="I88"/>
  <c r="I87"/>
  <c r="I85"/>
  <c r="I84"/>
  <c r="I83"/>
  <c r="I82"/>
  <c r="I81"/>
  <c r="I80"/>
  <c r="I79"/>
  <c r="O79" s="1"/>
  <c r="I78"/>
  <c r="O78" s="1"/>
  <c r="I77"/>
  <c r="O77" s="1"/>
  <c r="I76"/>
  <c r="I75"/>
  <c r="I74"/>
  <c r="I73"/>
  <c r="R36" i="1"/>
  <c r="S36"/>
  <c r="T36"/>
  <c r="G4"/>
  <c r="H4"/>
  <c r="G5"/>
  <c r="H5"/>
  <c r="G6"/>
  <c r="H6"/>
  <c r="G8"/>
  <c r="H8"/>
  <c r="G11"/>
  <c r="H11"/>
  <c r="G12"/>
  <c r="H12"/>
  <c r="G13"/>
  <c r="H13"/>
  <c r="G14"/>
  <c r="H14"/>
  <c r="G15"/>
  <c r="H15"/>
  <c r="G16"/>
  <c r="H16"/>
  <c r="G17"/>
  <c r="H17"/>
  <c r="G18"/>
  <c r="G19"/>
  <c r="G20"/>
  <c r="G21"/>
  <c r="G22"/>
  <c r="G23"/>
  <c r="H23"/>
  <c r="G24"/>
  <c r="H24"/>
  <c r="G25"/>
  <c r="H25"/>
  <c r="G26"/>
  <c r="H26"/>
  <c r="G27"/>
  <c r="H27"/>
  <c r="G28"/>
  <c r="H28"/>
  <c r="G29"/>
  <c r="H29"/>
  <c r="G30"/>
  <c r="H30"/>
  <c r="G31"/>
  <c r="H31"/>
  <c r="G32"/>
  <c r="H32"/>
  <c r="G33"/>
  <c r="H33"/>
  <c r="G34"/>
  <c r="H34"/>
  <c r="G35"/>
  <c r="H35"/>
  <c r="H3"/>
  <c r="G3"/>
  <c r="I4"/>
  <c r="K4"/>
  <c r="N4"/>
  <c r="O4"/>
  <c r="I5"/>
  <c r="K5"/>
  <c r="N5"/>
  <c r="O5"/>
  <c r="I6"/>
  <c r="K6"/>
  <c r="L6"/>
  <c r="N6"/>
  <c r="O6"/>
  <c r="K8"/>
  <c r="L8"/>
  <c r="N8"/>
  <c r="I11"/>
  <c r="K11"/>
  <c r="L11"/>
  <c r="N11"/>
  <c r="O11"/>
  <c r="I12"/>
  <c r="K12"/>
  <c r="L12"/>
  <c r="N12"/>
  <c r="O12"/>
  <c r="I13"/>
  <c r="K13"/>
  <c r="N13"/>
  <c r="O13"/>
  <c r="I14"/>
  <c r="K14"/>
  <c r="L14"/>
  <c r="N14"/>
  <c r="I15"/>
  <c r="K15"/>
  <c r="L15"/>
  <c r="N15"/>
  <c r="I16"/>
  <c r="K16"/>
  <c r="L16"/>
  <c r="N16"/>
  <c r="O16"/>
  <c r="I17"/>
  <c r="K17"/>
  <c r="L17"/>
  <c r="N17"/>
  <c r="O17"/>
  <c r="I18"/>
  <c r="K18"/>
  <c r="L18"/>
  <c r="N18"/>
  <c r="O18"/>
  <c r="I19"/>
  <c r="K19"/>
  <c r="L19"/>
  <c r="N19"/>
  <c r="O19"/>
  <c r="I20"/>
  <c r="K20"/>
  <c r="L20"/>
  <c r="N20"/>
  <c r="O20"/>
  <c r="K21"/>
  <c r="L21"/>
  <c r="N21"/>
  <c r="O21"/>
  <c r="K22"/>
  <c r="L22"/>
  <c r="N22"/>
  <c r="O22"/>
  <c r="K23"/>
  <c r="L23"/>
  <c r="N23"/>
  <c r="O23"/>
  <c r="K24"/>
  <c r="L24"/>
  <c r="N24"/>
  <c r="O24"/>
  <c r="K25"/>
  <c r="L25"/>
  <c r="N25"/>
  <c r="O25"/>
  <c r="K26"/>
  <c r="L26"/>
  <c r="N26"/>
  <c r="O26"/>
  <c r="K27"/>
  <c r="L27"/>
  <c r="N27"/>
  <c r="O27"/>
  <c r="I28"/>
  <c r="K28"/>
  <c r="L28"/>
  <c r="N28"/>
  <c r="I29"/>
  <c r="K29"/>
  <c r="L29"/>
  <c r="N29"/>
  <c r="O29"/>
  <c r="I30"/>
  <c r="K30"/>
  <c r="L30"/>
  <c r="N30"/>
  <c r="O30"/>
  <c r="I31"/>
  <c r="K31"/>
  <c r="L31"/>
  <c r="N31"/>
  <c r="O31"/>
  <c r="I32"/>
  <c r="K32"/>
  <c r="L32"/>
  <c r="N32"/>
  <c r="O32"/>
  <c r="I33"/>
  <c r="K33"/>
  <c r="L33"/>
  <c r="N33"/>
  <c r="O33"/>
  <c r="I34"/>
  <c r="K34"/>
  <c r="L34"/>
  <c r="N34"/>
  <c r="O34"/>
  <c r="I35"/>
  <c r="K35"/>
  <c r="L35"/>
  <c r="N35"/>
  <c r="O35"/>
  <c r="O3"/>
  <c r="N3"/>
  <c r="L3"/>
  <c r="K3"/>
  <c r="I3"/>
  <c r="Z21"/>
  <c r="A212" i="2"/>
  <c r="X36" i="1"/>
  <c r="A92" i="2"/>
  <c r="A164"/>
  <c r="A89"/>
  <c r="A258"/>
  <c r="A257"/>
  <c r="A256"/>
  <c r="A255"/>
  <c r="B255" s="1"/>
  <c r="A254"/>
  <c r="B254" s="1"/>
  <c r="A253"/>
  <c r="A252"/>
  <c r="A251"/>
  <c r="A250"/>
  <c r="B250" s="1"/>
  <c r="A249"/>
  <c r="B249" s="1"/>
  <c r="A243"/>
  <c r="A242"/>
  <c r="A241"/>
  <c r="A240"/>
  <c r="A239"/>
  <c r="A238"/>
  <c r="B238" s="1"/>
  <c r="A226"/>
  <c r="A225"/>
  <c r="A223"/>
  <c r="B223" s="1"/>
  <c r="A216"/>
  <c r="A215"/>
  <c r="A214"/>
  <c r="A213"/>
  <c r="B213" s="1"/>
  <c r="A211"/>
  <c r="A210"/>
  <c r="A209"/>
  <c r="A208"/>
  <c r="A207"/>
  <c r="A206"/>
  <c r="A205"/>
  <c r="A204"/>
  <c r="B204" s="1"/>
  <c r="A203"/>
  <c r="A202"/>
  <c r="A201"/>
  <c r="A200"/>
  <c r="A199"/>
  <c r="B199" s="1"/>
  <c r="A198"/>
  <c r="B198" s="1"/>
  <c r="A197"/>
  <c r="A196"/>
  <c r="B196" s="1"/>
  <c r="A195"/>
  <c r="B195" s="1"/>
  <c r="A189"/>
  <c r="A188"/>
  <c r="A186"/>
  <c r="A185"/>
  <c r="B185" s="1"/>
  <c r="A184"/>
  <c r="B184" s="1"/>
  <c r="A183"/>
  <c r="A182"/>
  <c r="A181"/>
  <c r="A180"/>
  <c r="A179"/>
  <c r="A178"/>
  <c r="B178" s="1"/>
  <c r="A177"/>
  <c r="B177" s="1"/>
  <c r="A176"/>
  <c r="A175"/>
  <c r="A174"/>
  <c r="A168"/>
  <c r="A167"/>
  <c r="A166"/>
  <c r="A165"/>
  <c r="A163"/>
  <c r="A162"/>
  <c r="B162" s="1"/>
  <c r="A161"/>
  <c r="A160"/>
  <c r="A158"/>
  <c r="A157"/>
  <c r="A156"/>
  <c r="A155"/>
  <c r="A154"/>
  <c r="B154" s="1"/>
  <c r="A153"/>
  <c r="A152"/>
  <c r="A151"/>
  <c r="A150"/>
  <c r="B150" s="1"/>
  <c r="A149"/>
  <c r="B149" s="1"/>
  <c r="A148"/>
  <c r="B148" s="1"/>
  <c r="A142"/>
  <c r="A141"/>
  <c r="A140"/>
  <c r="A139"/>
  <c r="B139" s="1"/>
  <c r="A138"/>
  <c r="A137"/>
  <c r="A136"/>
  <c r="B136" s="1"/>
  <c r="A135"/>
  <c r="B135" s="1"/>
  <c r="A134"/>
  <c r="B134" s="1"/>
  <c r="A133"/>
  <c r="A132"/>
  <c r="A131"/>
  <c r="B131" s="1"/>
  <c r="A130"/>
  <c r="B130" s="1"/>
  <c r="A129"/>
  <c r="B129" s="1"/>
  <c r="A128"/>
  <c r="A127"/>
  <c r="A126"/>
  <c r="B126" s="1"/>
  <c r="A125"/>
  <c r="B125" s="1"/>
  <c r="A124"/>
  <c r="B124" s="1"/>
  <c r="A123"/>
  <c r="B123" s="1"/>
  <c r="A116"/>
  <c r="A115"/>
  <c r="A114"/>
  <c r="A113"/>
  <c r="B113" s="1"/>
  <c r="A112"/>
  <c r="B112" s="1"/>
  <c r="A111"/>
  <c r="A110"/>
  <c r="A109"/>
  <c r="A108"/>
  <c r="A107"/>
  <c r="A106"/>
  <c r="B106" s="1"/>
  <c r="A105"/>
  <c r="B105" s="1"/>
  <c r="A104"/>
  <c r="A103"/>
  <c r="A102"/>
  <c r="A96"/>
  <c r="A95"/>
  <c r="A93"/>
  <c r="A91"/>
  <c r="A90"/>
  <c r="B90" s="1"/>
  <c r="A87"/>
  <c r="A86"/>
  <c r="A85"/>
  <c r="A84"/>
  <c r="A83"/>
  <c r="A81"/>
  <c r="A80"/>
  <c r="A79"/>
  <c r="A78"/>
  <c r="B78" s="1"/>
  <c r="A76"/>
  <c r="B76" s="1"/>
  <c r="A75"/>
  <c r="B75" s="1"/>
  <c r="A69"/>
  <c r="A68"/>
  <c r="A67"/>
  <c r="A66"/>
  <c r="B66" s="1"/>
  <c r="A65"/>
  <c r="B65" s="1"/>
  <c r="A64"/>
  <c r="A63"/>
  <c r="B63" s="1"/>
  <c r="A62"/>
  <c r="B62" s="1"/>
  <c r="A61"/>
  <c r="B61" s="1"/>
  <c r="A60"/>
  <c r="A59"/>
  <c r="B59" s="1"/>
  <c r="A58"/>
  <c r="B58" s="1"/>
  <c r="A57"/>
  <c r="A56"/>
  <c r="A55"/>
  <c r="A54"/>
  <c r="A53"/>
  <c r="B53" s="1"/>
  <c r="A52"/>
  <c r="B52" s="1"/>
  <c r="A51"/>
  <c r="B51" s="1"/>
  <c r="A50"/>
  <c r="B50" s="1"/>
  <c r="A49"/>
  <c r="A43"/>
  <c r="A42"/>
  <c r="A41"/>
  <c r="A40"/>
  <c r="A39"/>
  <c r="B39" s="1"/>
  <c r="A38"/>
  <c r="B38" s="1"/>
  <c r="A37"/>
  <c r="A36"/>
  <c r="A35"/>
  <c r="A34"/>
  <c r="A33"/>
  <c r="A32"/>
  <c r="B32" s="1"/>
  <c r="A31"/>
  <c r="B31" s="1"/>
  <c r="A30"/>
  <c r="A29"/>
  <c r="A28"/>
  <c r="A22"/>
  <c r="A21"/>
  <c r="A20"/>
  <c r="A19"/>
  <c r="A18"/>
  <c r="A17"/>
  <c r="B17" s="1"/>
  <c r="A16"/>
  <c r="A15"/>
  <c r="A14"/>
  <c r="B14" s="1"/>
  <c r="A13"/>
  <c r="B13" s="1"/>
  <c r="A12"/>
  <c r="B12" s="1"/>
  <c r="A11"/>
  <c r="B11" s="1"/>
  <c r="A10"/>
  <c r="A9"/>
  <c r="A8"/>
  <c r="B8" s="1"/>
  <c r="A7"/>
  <c r="B7" s="1"/>
  <c r="A6"/>
  <c r="B6" s="1"/>
  <c r="A5"/>
  <c r="Z4" i="1"/>
  <c r="Z5"/>
  <c r="Z8"/>
  <c r="Z11"/>
  <c r="Z12"/>
  <c r="Z15"/>
  <c r="Z16"/>
  <c r="Z17"/>
  <c r="Z18"/>
  <c r="Z19"/>
  <c r="Z20"/>
  <c r="Z22"/>
  <c r="Z23"/>
  <c r="Z24"/>
  <c r="Z25"/>
  <c r="Z26"/>
  <c r="Z27"/>
  <c r="Z28"/>
  <c r="Z29"/>
  <c r="Z30"/>
  <c r="Z31"/>
  <c r="Z32"/>
  <c r="Z33"/>
  <c r="Z34"/>
  <c r="Z35"/>
  <c r="B40" i="2"/>
  <c r="B114"/>
  <c r="B186"/>
  <c r="B239"/>
  <c r="C2" i="4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D27"/>
  <c r="Z3" i="1" s="1"/>
  <c r="E27" i="4"/>
  <c r="Z6" i="1" s="1"/>
  <c r="F27" i="4"/>
  <c r="Z13" i="1"/>
  <c r="G27" i="4"/>
  <c r="Z14" i="1" s="1"/>
  <c r="H27" i="4"/>
  <c r="A36" i="1"/>
  <c r="F36"/>
  <c r="Y36"/>
  <c r="G36"/>
  <c r="B3" i="2" s="1"/>
  <c r="B83"/>
  <c r="J36" i="1" l="1"/>
  <c r="B73" i="2" s="1"/>
  <c r="C88" s="1"/>
  <c r="F8" i="3" s="1"/>
  <c r="G8" s="1"/>
  <c r="I8" s="1"/>
  <c r="E88" i="2" s="1"/>
  <c r="B5"/>
  <c r="C5" s="1"/>
  <c r="N36" i="1"/>
  <c r="B172" i="2" s="1"/>
  <c r="C175" s="1"/>
  <c r="F175" s="1"/>
  <c r="I90" i="3"/>
  <c r="J75"/>
  <c r="O75" s="1"/>
  <c r="J83"/>
  <c r="O83" s="1"/>
  <c r="J87"/>
  <c r="O87" s="1"/>
  <c r="J74"/>
  <c r="O74" s="1"/>
  <c r="J82"/>
  <c r="O82" s="1"/>
  <c r="J86"/>
  <c r="O86" s="1"/>
  <c r="J73"/>
  <c r="O73" s="1"/>
  <c r="J81"/>
  <c r="O81" s="1"/>
  <c r="J85"/>
  <c r="O85" s="1"/>
  <c r="J89"/>
  <c r="O89" s="1"/>
  <c r="J76"/>
  <c r="O76" s="1"/>
  <c r="J80"/>
  <c r="O80" s="1"/>
  <c r="J84"/>
  <c r="O84" s="1"/>
  <c r="J88"/>
  <c r="O88" s="1"/>
  <c r="B247" i="2"/>
  <c r="C249" s="1"/>
  <c r="B220"/>
  <c r="I36" i="1"/>
  <c r="B47" i="2" s="1"/>
  <c r="C59" s="1"/>
  <c r="K36" i="1"/>
  <c r="B100" i="2" s="1"/>
  <c r="O36" i="1"/>
  <c r="B193" i="2" s="1"/>
  <c r="C206" s="1"/>
  <c r="L36" i="1"/>
  <c r="B121" i="2" s="1"/>
  <c r="C131" s="1"/>
  <c r="H36" i="1"/>
  <c r="B26" i="2" s="1"/>
  <c r="C32" s="1"/>
  <c r="K32" s="1"/>
  <c r="C13"/>
  <c r="C16"/>
  <c r="C17"/>
  <c r="F17" s="1"/>
  <c r="C18"/>
  <c r="K18" s="1"/>
  <c r="C7"/>
  <c r="C6"/>
  <c r="K6" s="1"/>
  <c r="C11"/>
  <c r="C20"/>
  <c r="F20" s="1"/>
  <c r="C15"/>
  <c r="C19"/>
  <c r="C9"/>
  <c r="C12"/>
  <c r="K12" s="1"/>
  <c r="C21"/>
  <c r="F21" s="1"/>
  <c r="C22"/>
  <c r="F22" s="1"/>
  <c r="C8"/>
  <c r="K8" s="1"/>
  <c r="C10"/>
  <c r="F10" s="1"/>
  <c r="C14"/>
  <c r="M36" i="1"/>
  <c r="B146" i="2" s="1"/>
  <c r="C27" i="4"/>
  <c r="C163" i="2"/>
  <c r="C96"/>
  <c r="C78"/>
  <c r="K78" s="1"/>
  <c r="C90"/>
  <c r="C76"/>
  <c r="K76" s="1"/>
  <c r="C75"/>
  <c r="K75" s="1"/>
  <c r="C83"/>
  <c r="C87"/>
  <c r="C79"/>
  <c r="K79" s="1"/>
  <c r="C95"/>
  <c r="C93"/>
  <c r="C168"/>
  <c r="C167"/>
  <c r="C84"/>
  <c r="K84" s="1"/>
  <c r="C89"/>
  <c r="C164"/>
  <c r="C80"/>
  <c r="C86"/>
  <c r="C162"/>
  <c r="C91"/>
  <c r="C92"/>
  <c r="C85"/>
  <c r="C82"/>
  <c r="C165"/>
  <c r="C166"/>
  <c r="C81"/>
  <c r="Z36" i="1"/>
  <c r="C187" i="2" l="1"/>
  <c r="F187" s="1"/>
  <c r="C77"/>
  <c r="F77" s="1"/>
  <c r="C94"/>
  <c r="F94" s="1"/>
  <c r="C182"/>
  <c r="F182" s="1"/>
  <c r="C189"/>
  <c r="F189" s="1"/>
  <c r="C185"/>
  <c r="F185" s="1"/>
  <c r="F88"/>
  <c r="C188"/>
  <c r="F188" s="1"/>
  <c r="C181"/>
  <c r="F181" s="1"/>
  <c r="C174"/>
  <c r="K174" s="1"/>
  <c r="C180"/>
  <c r="F180" s="1"/>
  <c r="C186"/>
  <c r="F186" s="1"/>
  <c r="C176"/>
  <c r="F176" s="1"/>
  <c r="C178"/>
  <c r="F178" s="1"/>
  <c r="C184"/>
  <c r="F184" s="1"/>
  <c r="C179"/>
  <c r="F179" s="1"/>
  <c r="K5"/>
  <c r="F5"/>
  <c r="F9"/>
  <c r="K9"/>
  <c r="C177"/>
  <c r="K177" s="1"/>
  <c r="C183"/>
  <c r="F183" s="1"/>
  <c r="C115"/>
  <c r="F115" s="1"/>
  <c r="C117"/>
  <c r="F117" s="1"/>
  <c r="C61"/>
  <c r="K11"/>
  <c r="F11"/>
  <c r="C54"/>
  <c r="F54" s="1"/>
  <c r="C57"/>
  <c r="C49"/>
  <c r="F13" i="3" s="1"/>
  <c r="C60" i="2"/>
  <c r="F60" s="1"/>
  <c r="C58"/>
  <c r="F249"/>
  <c r="K249"/>
  <c r="F8"/>
  <c r="F7"/>
  <c r="K7"/>
  <c r="F131"/>
  <c r="K131"/>
  <c r="F19" i="3"/>
  <c r="B19" s="1"/>
  <c r="K82" i="2"/>
  <c r="F14"/>
  <c r="K14"/>
  <c r="F6"/>
  <c r="C258"/>
  <c r="F258" s="1"/>
  <c r="C254"/>
  <c r="F254" s="1"/>
  <c r="F13"/>
  <c r="K13"/>
  <c r="F206"/>
  <c r="K206"/>
  <c r="F19"/>
  <c r="C222"/>
  <c r="C253"/>
  <c r="F253" s="1"/>
  <c r="C151"/>
  <c r="C159"/>
  <c r="F159" s="1"/>
  <c r="C257"/>
  <c r="F257" s="1"/>
  <c r="C251"/>
  <c r="F251" s="1"/>
  <c r="C252"/>
  <c r="F252" s="1"/>
  <c r="C242"/>
  <c r="F242" s="1"/>
  <c r="C256"/>
  <c r="F256" s="1"/>
  <c r="C255"/>
  <c r="F255" s="1"/>
  <c r="C250"/>
  <c r="C243"/>
  <c r="F243" s="1"/>
  <c r="C226"/>
  <c r="C225"/>
  <c r="F225" s="1"/>
  <c r="C51"/>
  <c r="K51" s="1"/>
  <c r="C223"/>
  <c r="C241"/>
  <c r="F241" s="1"/>
  <c r="C224"/>
  <c r="C239"/>
  <c r="F239" s="1"/>
  <c r="C62"/>
  <c r="C65"/>
  <c r="C238"/>
  <c r="F238" s="1"/>
  <c r="C240"/>
  <c r="F240" s="1"/>
  <c r="C50"/>
  <c r="C53"/>
  <c r="C64"/>
  <c r="F64" s="1"/>
  <c r="C56"/>
  <c r="C55"/>
  <c r="F55" s="1"/>
  <c r="C52"/>
  <c r="C68"/>
  <c r="F68" s="1"/>
  <c r="C69"/>
  <c r="F69" s="1"/>
  <c r="C66"/>
  <c r="F66" s="1"/>
  <c r="C63"/>
  <c r="C67"/>
  <c r="F67" s="1"/>
  <c r="C126"/>
  <c r="C210"/>
  <c r="C113"/>
  <c r="F113" s="1"/>
  <c r="C116"/>
  <c r="F116" s="1"/>
  <c r="C104"/>
  <c r="F104" s="1"/>
  <c r="C141"/>
  <c r="F141" s="1"/>
  <c r="C205"/>
  <c r="C103"/>
  <c r="F103" s="1"/>
  <c r="C212"/>
  <c r="F212" s="1"/>
  <c r="C215"/>
  <c r="F215" s="1"/>
  <c r="C124"/>
  <c r="C201"/>
  <c r="C195"/>
  <c r="C209"/>
  <c r="C137"/>
  <c r="F137" s="1"/>
  <c r="C197"/>
  <c r="F197" s="1"/>
  <c r="C202"/>
  <c r="F202" s="1"/>
  <c r="C200"/>
  <c r="F200" s="1"/>
  <c r="C111"/>
  <c r="F111" s="1"/>
  <c r="C107"/>
  <c r="F107" s="1"/>
  <c r="C106"/>
  <c r="C196"/>
  <c r="C198"/>
  <c r="C203"/>
  <c r="F203" s="1"/>
  <c r="C216"/>
  <c r="F216" s="1"/>
  <c r="C199"/>
  <c r="C207"/>
  <c r="C112"/>
  <c r="F112" s="1"/>
  <c r="C110"/>
  <c r="F110" s="1"/>
  <c r="C102"/>
  <c r="C114"/>
  <c r="F114" s="1"/>
  <c r="C140"/>
  <c r="F140" s="1"/>
  <c r="C204"/>
  <c r="F7" i="3" s="1"/>
  <c r="C211" i="2"/>
  <c r="F211" s="1"/>
  <c r="C208"/>
  <c r="C213"/>
  <c r="F213" s="1"/>
  <c r="C214"/>
  <c r="F214" s="1"/>
  <c r="C109"/>
  <c r="F109" s="1"/>
  <c r="C108"/>
  <c r="F108" s="1"/>
  <c r="C105"/>
  <c r="C128"/>
  <c r="C125"/>
  <c r="K125" s="1"/>
  <c r="C138"/>
  <c r="F138" s="1"/>
  <c r="C127"/>
  <c r="F127" s="1"/>
  <c r="C123"/>
  <c r="C136"/>
  <c r="C139"/>
  <c r="F139" s="1"/>
  <c r="C129"/>
  <c r="C133"/>
  <c r="F133" s="1"/>
  <c r="C135"/>
  <c r="C134"/>
  <c r="C142"/>
  <c r="F142" s="1"/>
  <c r="C130"/>
  <c r="C132"/>
  <c r="F132" s="1"/>
  <c r="C38"/>
  <c r="F38" s="1"/>
  <c r="C31"/>
  <c r="C40"/>
  <c r="F40" s="1"/>
  <c r="C43"/>
  <c r="F43" s="1"/>
  <c r="C29"/>
  <c r="C39"/>
  <c r="C30"/>
  <c r="C152"/>
  <c r="F152" s="1"/>
  <c r="C33"/>
  <c r="F33" s="1"/>
  <c r="C28"/>
  <c r="C37"/>
  <c r="F37" s="1"/>
  <c r="C161"/>
  <c r="F52" i="3" s="1"/>
  <c r="C36" i="2"/>
  <c r="F36" s="1"/>
  <c r="C35"/>
  <c r="F35" s="1"/>
  <c r="C153"/>
  <c r="F59" i="3" s="1"/>
  <c r="C155" i="2"/>
  <c r="F155" s="1"/>
  <c r="C149"/>
  <c r="C157"/>
  <c r="F157" s="1"/>
  <c r="C41"/>
  <c r="F41" s="1"/>
  <c r="C42"/>
  <c r="C34"/>
  <c r="F34" s="1"/>
  <c r="C154"/>
  <c r="C158"/>
  <c r="F158" s="1"/>
  <c r="C156"/>
  <c r="F156" s="1"/>
  <c r="C160"/>
  <c r="F46" i="3" s="1"/>
  <c r="F12" i="2"/>
  <c r="F15"/>
  <c r="F16"/>
  <c r="F57"/>
  <c r="F64" i="3"/>
  <c r="C150" i="2"/>
  <c r="F35" i="3" s="1"/>
  <c r="B35" s="1"/>
  <c r="C148" i="2"/>
  <c r="F32" i="3"/>
  <c r="B32" s="1"/>
  <c r="F18" i="2"/>
  <c r="F32"/>
  <c r="F165"/>
  <c r="F91"/>
  <c r="F164"/>
  <c r="F167"/>
  <c r="F95"/>
  <c r="F75"/>
  <c r="F96"/>
  <c r="F92"/>
  <c r="F24" i="3"/>
  <c r="F80" i="2"/>
  <c r="F84"/>
  <c r="F23" i="3"/>
  <c r="B23" s="1"/>
  <c r="F83" i="2"/>
  <c r="F78"/>
  <c r="F166"/>
  <c r="F85"/>
  <c r="F47" i="3"/>
  <c r="F86" i="2"/>
  <c r="F93"/>
  <c r="F48" i="3"/>
  <c r="F87" i="2"/>
  <c r="F90"/>
  <c r="F81"/>
  <c r="F63" i="3"/>
  <c r="F82" i="2"/>
  <c r="F162"/>
  <c r="F89"/>
  <c r="F21" i="3"/>
  <c r="F168" i="2"/>
  <c r="F79"/>
  <c r="F76"/>
  <c r="F163"/>
  <c r="F44" i="3" l="1"/>
  <c r="B44" s="1"/>
  <c r="H66" i="2"/>
  <c r="I66" s="1"/>
  <c r="F222"/>
  <c r="F62" i="3"/>
  <c r="G62" s="1"/>
  <c r="I62" s="1"/>
  <c r="K77" i="2"/>
  <c r="H179"/>
  <c r="I179" s="1"/>
  <c r="F41" i="3"/>
  <c r="F11"/>
  <c r="B11" s="1"/>
  <c r="F49" i="2"/>
  <c r="F28" i="3"/>
  <c r="B28" s="1"/>
  <c r="F49"/>
  <c r="F174" i="2"/>
  <c r="K178"/>
  <c r="B7" i="3"/>
  <c r="G7"/>
  <c r="H81" i="2"/>
  <c r="F30"/>
  <c r="B54" i="3"/>
  <c r="F29" i="2"/>
  <c r="B53" i="3"/>
  <c r="F128" i="2"/>
  <c r="K128"/>
  <c r="F201"/>
  <c r="K201"/>
  <c r="F56"/>
  <c r="K56"/>
  <c r="F226"/>
  <c r="K226"/>
  <c r="F151"/>
  <c r="K151"/>
  <c r="B5" i="3"/>
  <c r="B60"/>
  <c r="F177" i="2"/>
  <c r="F25" i="3"/>
  <c r="B25" s="1"/>
  <c r="F125" i="2"/>
  <c r="F20" i="3"/>
  <c r="G20" s="1"/>
  <c r="I20" s="1"/>
  <c r="F10"/>
  <c r="B10" s="1"/>
  <c r="F16"/>
  <c r="F42"/>
  <c r="G42" s="1"/>
  <c r="I42" s="1"/>
  <c r="F58"/>
  <c r="G58" s="1"/>
  <c r="I58" s="1"/>
  <c r="H238" i="2"/>
  <c r="F160"/>
  <c r="F39"/>
  <c r="F26" i="3"/>
  <c r="F123" i="2"/>
  <c r="K123"/>
  <c r="F9" i="3"/>
  <c r="B9" s="1"/>
  <c r="F51" i="2"/>
  <c r="F14" i="3"/>
  <c r="G14" s="1"/>
  <c r="I14" s="1"/>
  <c r="H213" i="2"/>
  <c r="I213" s="1"/>
  <c r="F250"/>
  <c r="H249" s="1"/>
  <c r="K250"/>
  <c r="G19" i="3"/>
  <c r="I19" s="1"/>
  <c r="E82" i="2" s="1"/>
  <c r="H5"/>
  <c r="I5" s="1"/>
  <c r="F136"/>
  <c r="K136"/>
  <c r="F207"/>
  <c r="K207"/>
  <c r="F198"/>
  <c r="K198"/>
  <c r="F59"/>
  <c r="K59"/>
  <c r="F150"/>
  <c r="K150"/>
  <c r="F154"/>
  <c r="K154"/>
  <c r="F135"/>
  <c r="K135"/>
  <c r="F195"/>
  <c r="K195"/>
  <c r="F63"/>
  <c r="K63"/>
  <c r="F58"/>
  <c r="K58"/>
  <c r="F62"/>
  <c r="K62"/>
  <c r="F223"/>
  <c r="K223"/>
  <c r="F148"/>
  <c r="K148"/>
  <c r="F149"/>
  <c r="K149"/>
  <c r="F134"/>
  <c r="K134"/>
  <c r="F105"/>
  <c r="K105"/>
  <c r="F204"/>
  <c r="K204"/>
  <c r="F205"/>
  <c r="K205"/>
  <c r="F50"/>
  <c r="K50"/>
  <c r="F28"/>
  <c r="K28"/>
  <c r="F31"/>
  <c r="K31"/>
  <c r="F129"/>
  <c r="K129"/>
  <c r="F102"/>
  <c r="K102"/>
  <c r="F196"/>
  <c r="K196"/>
  <c r="F124"/>
  <c r="K124"/>
  <c r="F126"/>
  <c r="K126"/>
  <c r="F53"/>
  <c r="K53"/>
  <c r="F65"/>
  <c r="K65"/>
  <c r="F224"/>
  <c r="K224"/>
  <c r="F210"/>
  <c r="K210"/>
  <c r="F209"/>
  <c r="K209"/>
  <c r="F208"/>
  <c r="K208"/>
  <c r="F3" i="3"/>
  <c r="K199" i="2"/>
  <c r="F199"/>
  <c r="F130"/>
  <c r="K130"/>
  <c r="F106"/>
  <c r="K106"/>
  <c r="F61"/>
  <c r="K61"/>
  <c r="F52"/>
  <c r="K52"/>
  <c r="G63" i="3"/>
  <c r="I63" s="1"/>
  <c r="E81" i="2" s="1"/>
  <c r="G21" i="3"/>
  <c r="I21" s="1"/>
  <c r="E89" i="2" s="1"/>
  <c r="G23" i="3"/>
  <c r="I23" s="1"/>
  <c r="E84" i="2" s="1"/>
  <c r="G24" i="3"/>
  <c r="I24" s="1"/>
  <c r="G46"/>
  <c r="I46" s="1"/>
  <c r="E160" i="2" s="1"/>
  <c r="G59" i="3"/>
  <c r="I59" s="1"/>
  <c r="E153" i="2" s="1"/>
  <c r="G48" i="3"/>
  <c r="I48" s="1"/>
  <c r="E87" i="2" s="1"/>
  <c r="G47" i="3"/>
  <c r="I47" s="1"/>
  <c r="E86" i="2" s="1"/>
  <c r="G35" i="3"/>
  <c r="I35" s="1"/>
  <c r="I7"/>
  <c r="G10"/>
  <c r="I10" s="1"/>
  <c r="E159" i="2" s="1"/>
  <c r="G52" i="3"/>
  <c r="I52" s="1"/>
  <c r="G11"/>
  <c r="I11" s="1"/>
  <c r="E54" i="2" s="1"/>
  <c r="G32" i="3"/>
  <c r="G13"/>
  <c r="I13" s="1"/>
  <c r="E49" i="2" s="1"/>
  <c r="G44" i="3"/>
  <c r="I44" s="1"/>
  <c r="G64"/>
  <c r="I64" s="1"/>
  <c r="E57" i="2" s="1"/>
  <c r="G41" i="3"/>
  <c r="I41" s="1"/>
  <c r="G49"/>
  <c r="I49" s="1"/>
  <c r="H251" i="2"/>
  <c r="F54" i="3"/>
  <c r="F40"/>
  <c r="F61"/>
  <c r="B61" s="1"/>
  <c r="F161" i="2"/>
  <c r="H161" s="1"/>
  <c r="I161" s="1"/>
  <c r="F22" i="3"/>
  <c r="B22" s="1"/>
  <c r="F38"/>
  <c r="B38" s="1"/>
  <c r="F39"/>
  <c r="F5"/>
  <c r="F45"/>
  <c r="F15"/>
  <c r="B15" s="1"/>
  <c r="F34"/>
  <c r="B34" s="1"/>
  <c r="F27"/>
  <c r="B27" s="1"/>
  <c r="F4"/>
  <c r="F30"/>
  <c r="B30" s="1"/>
  <c r="F65"/>
  <c r="B65" s="1"/>
  <c r="F42" i="2"/>
  <c r="F36" i="3"/>
  <c r="B36" s="1"/>
  <c r="H17" i="2"/>
  <c r="I17" s="1"/>
  <c r="H139"/>
  <c r="I139" s="1"/>
  <c r="H107"/>
  <c r="I107" s="1"/>
  <c r="F56" i="3"/>
  <c r="F57"/>
  <c r="F153" i="2"/>
  <c r="F50" i="3"/>
  <c r="F55"/>
  <c r="F31"/>
  <c r="B31" s="1"/>
  <c r="F53"/>
  <c r="F18"/>
  <c r="B18" s="1"/>
  <c r="F60"/>
  <c r="F33"/>
  <c r="F6"/>
  <c r="B6" s="1"/>
  <c r="F51"/>
  <c r="F12"/>
  <c r="F37"/>
  <c r="F43"/>
  <c r="B43" s="1"/>
  <c r="F17"/>
  <c r="B17" s="1"/>
  <c r="H133" i="2"/>
  <c r="I133" s="1"/>
  <c r="F29" i="3"/>
  <c r="B29" s="1"/>
  <c r="H202" i="2"/>
  <c r="I202" s="1"/>
  <c r="H90"/>
  <c r="I90" s="1"/>
  <c r="F143"/>
  <c r="H143" s="1"/>
  <c r="F23"/>
  <c r="H23" s="1"/>
  <c r="H11"/>
  <c r="I11" s="1"/>
  <c r="H174"/>
  <c r="I174" s="1"/>
  <c r="F190"/>
  <c r="H190" s="1"/>
  <c r="F97"/>
  <c r="H97" s="1"/>
  <c r="H75"/>
  <c r="I75" s="1"/>
  <c r="I81"/>
  <c r="I32" i="3" l="1"/>
  <c r="E18" i="2" s="1"/>
  <c r="H208"/>
  <c r="I208" s="1"/>
  <c r="L62" i="3"/>
  <c r="O62" s="1"/>
  <c r="G28"/>
  <c r="I28" s="1"/>
  <c r="E157" i="2" s="1"/>
  <c r="G25" i="3"/>
  <c r="I25" s="1"/>
  <c r="H129" i="2"/>
  <c r="I129" s="1"/>
  <c r="H222"/>
  <c r="B16" i="3"/>
  <c r="G16"/>
  <c r="H123" i="2"/>
  <c r="I123" s="1"/>
  <c r="F244"/>
  <c r="F217"/>
  <c r="H217" s="1"/>
  <c r="I16" i="3"/>
  <c r="E125" i="2" s="1"/>
  <c r="G26" i="3"/>
  <c r="I26" s="1"/>
  <c r="E36" i="2" s="1"/>
  <c r="B26" i="3"/>
  <c r="H195" i="2"/>
  <c r="I195" s="1"/>
  <c r="H153"/>
  <c r="I153" s="1"/>
  <c r="F259"/>
  <c r="G3" i="3"/>
  <c r="I3" s="1"/>
  <c r="E199" i="2" s="1"/>
  <c r="B3" i="3"/>
  <c r="F118" i="2"/>
  <c r="H118" s="1"/>
  <c r="H102"/>
  <c r="I102" s="1"/>
  <c r="H148"/>
  <c r="I148" s="1"/>
  <c r="F169"/>
  <c r="H169" s="1"/>
  <c r="H61"/>
  <c r="I61" s="1"/>
  <c r="H28"/>
  <c r="I28" s="1"/>
  <c r="F70"/>
  <c r="H70" s="1"/>
  <c r="H57"/>
  <c r="I57" s="1"/>
  <c r="F44"/>
  <c r="H44" s="1"/>
  <c r="H49"/>
  <c r="I49" s="1"/>
  <c r="G9" i="3"/>
  <c r="I9" s="1"/>
  <c r="E61" i="2" s="1"/>
  <c r="L19" i="3"/>
  <c r="O19" s="1"/>
  <c r="E161" i="2"/>
  <c r="O20" i="3"/>
  <c r="E156" i="2"/>
  <c r="E85"/>
  <c r="E197"/>
  <c r="E174"/>
  <c r="E249"/>
  <c r="E239"/>
  <c r="E163"/>
  <c r="E91"/>
  <c r="E41"/>
  <c r="E187"/>
  <c r="E115"/>
  <c r="E256"/>
  <c r="E185"/>
  <c r="E113"/>
  <c r="E255"/>
  <c r="E39"/>
  <c r="E242"/>
  <c r="E20"/>
  <c r="E167"/>
  <c r="E95"/>
  <c r="E204"/>
  <c r="E11"/>
  <c r="E164"/>
  <c r="E92"/>
  <c r="E152"/>
  <c r="E80"/>
  <c r="E127"/>
  <c r="E225"/>
  <c r="E55"/>
  <c r="E10"/>
  <c r="E200"/>
  <c r="E60"/>
  <c r="E182"/>
  <c r="E8"/>
  <c r="E150"/>
  <c r="E78"/>
  <c r="J11" i="3"/>
  <c r="O11" s="1"/>
  <c r="J58"/>
  <c r="O58" s="1"/>
  <c r="J47"/>
  <c r="O47" s="1"/>
  <c r="M64"/>
  <c r="O64" s="1"/>
  <c r="J52"/>
  <c r="O52" s="1"/>
  <c r="J41"/>
  <c r="O41" s="1"/>
  <c r="K7"/>
  <c r="N59"/>
  <c r="O59" s="1"/>
  <c r="J24"/>
  <c r="O24" s="1"/>
  <c r="L13"/>
  <c r="O13" s="1"/>
  <c r="J25"/>
  <c r="O25" s="1"/>
  <c r="J16"/>
  <c r="O16" s="1"/>
  <c r="J10"/>
  <c r="O10" s="1"/>
  <c r="J46"/>
  <c r="O46" s="1"/>
  <c r="J49"/>
  <c r="O49" s="1"/>
  <c r="L44"/>
  <c r="O44" s="1"/>
  <c r="J14"/>
  <c r="O14" s="1"/>
  <c r="K23"/>
  <c r="O23" s="1"/>
  <c r="O32"/>
  <c r="L35"/>
  <c r="O35" s="1"/>
  <c r="J21"/>
  <c r="O21" s="1"/>
  <c r="L28"/>
  <c r="O28" s="1"/>
  <c r="J42"/>
  <c r="O42" s="1"/>
  <c r="J48"/>
  <c r="O48" s="1"/>
  <c r="M63"/>
  <c r="O63" s="1"/>
  <c r="G29"/>
  <c r="I29" s="1"/>
  <c r="G37"/>
  <c r="I37" s="1"/>
  <c r="G33"/>
  <c r="I33" s="1"/>
  <c r="G31"/>
  <c r="I31" s="1"/>
  <c r="G57"/>
  <c r="I57" s="1"/>
  <c r="G27"/>
  <c r="I27" s="1"/>
  <c r="G5"/>
  <c r="I5" s="1"/>
  <c r="G22"/>
  <c r="I22" s="1"/>
  <c r="G43"/>
  <c r="I43" s="1"/>
  <c r="G6"/>
  <c r="I6" s="1"/>
  <c r="G53"/>
  <c r="I53" s="1"/>
  <c r="G4"/>
  <c r="I4" s="1"/>
  <c r="G45"/>
  <c r="I45" s="1"/>
  <c r="E158" i="2" s="1"/>
  <c r="G61" i="3"/>
  <c r="I61" s="1"/>
  <c r="G17"/>
  <c r="I17" s="1"/>
  <c r="G51"/>
  <c r="I51" s="1"/>
  <c r="G18"/>
  <c r="I18" s="1"/>
  <c r="E62" i="2" s="1"/>
  <c r="G50" i="3"/>
  <c r="I50" s="1"/>
  <c r="G36"/>
  <c r="I36" s="1"/>
  <c r="E53" i="2" s="1"/>
  <c r="G30" i="3"/>
  <c r="I30" s="1"/>
  <c r="G15"/>
  <c r="I15" s="1"/>
  <c r="E123" i="2" s="1"/>
  <c r="G38" i="3"/>
  <c r="I38" s="1"/>
  <c r="E77" i="2" s="1"/>
  <c r="G54" i="3"/>
  <c r="I54" s="1"/>
  <c r="G12"/>
  <c r="I12" s="1"/>
  <c r="G60"/>
  <c r="I60" s="1"/>
  <c r="G55"/>
  <c r="I55" s="1"/>
  <c r="G56"/>
  <c r="I56" s="1"/>
  <c r="G65"/>
  <c r="I65" s="1"/>
  <c r="G34"/>
  <c r="I34" s="1"/>
  <c r="G39"/>
  <c r="I39" s="1"/>
  <c r="G40"/>
  <c r="I40" s="1"/>
  <c r="H33" i="2"/>
  <c r="I33" s="1"/>
  <c r="F70" i="3"/>
  <c r="J26" l="1"/>
  <c r="O26" s="1"/>
  <c r="E252" i="2"/>
  <c r="K9" i="3"/>
  <c r="O9" s="1"/>
  <c r="E59" i="2"/>
  <c r="E110"/>
  <c r="E94"/>
  <c r="E117"/>
  <c r="E51"/>
  <c r="N3" i="3"/>
  <c r="N91" s="1"/>
  <c r="E208" i="2"/>
  <c r="E130"/>
  <c r="H264"/>
  <c r="E138"/>
  <c r="E16"/>
  <c r="E212"/>
  <c r="E257"/>
  <c r="E42"/>
  <c r="E188"/>
  <c r="E116"/>
  <c r="E213"/>
  <c r="E238"/>
  <c r="E139"/>
  <c r="E66"/>
  <c r="E17"/>
  <c r="E162"/>
  <c r="E90"/>
  <c r="E203"/>
  <c r="E30"/>
  <c r="E176"/>
  <c r="E104"/>
  <c r="E195"/>
  <c r="E129"/>
  <c r="E198"/>
  <c r="E126"/>
  <c r="E32"/>
  <c r="E178"/>
  <c r="E106"/>
  <c r="E250"/>
  <c r="E52"/>
  <c r="E251"/>
  <c r="E33"/>
  <c r="E179"/>
  <c r="E107"/>
  <c r="E224"/>
  <c r="E50"/>
  <c r="E148"/>
  <c r="E124"/>
  <c r="E75"/>
  <c r="E5"/>
  <c r="E181"/>
  <c r="E109"/>
  <c r="E35"/>
  <c r="E211"/>
  <c r="E137"/>
  <c r="E64"/>
  <c r="E15"/>
  <c r="E209"/>
  <c r="E206"/>
  <c r="E135"/>
  <c r="E131"/>
  <c r="E58"/>
  <c r="E13"/>
  <c r="E154"/>
  <c r="E63"/>
  <c r="E34"/>
  <c r="E180"/>
  <c r="E108"/>
  <c r="E19"/>
  <c r="E214"/>
  <c r="E165"/>
  <c r="E93"/>
  <c r="E140"/>
  <c r="E67"/>
  <c r="E240"/>
  <c r="E177"/>
  <c r="E149"/>
  <c r="E105"/>
  <c r="E76"/>
  <c r="E207"/>
  <c r="E136"/>
  <c r="E14"/>
  <c r="E7"/>
  <c r="E31"/>
  <c r="E28"/>
  <c r="E102"/>
  <c r="E205"/>
  <c r="E134"/>
  <c r="E65"/>
  <c r="E210"/>
  <c r="E12"/>
  <c r="E241"/>
  <c r="E189"/>
  <c r="E258"/>
  <c r="E166"/>
  <c r="E21"/>
  <c r="E43"/>
  <c r="E254"/>
  <c r="E38"/>
  <c r="E184"/>
  <c r="E112"/>
  <c r="E6"/>
  <c r="E223"/>
  <c r="E196"/>
  <c r="E253"/>
  <c r="E37"/>
  <c r="E183"/>
  <c r="E111"/>
  <c r="E155"/>
  <c r="E83"/>
  <c r="E40"/>
  <c r="E186"/>
  <c r="E114"/>
  <c r="E216"/>
  <c r="E142"/>
  <c r="E69"/>
  <c r="E132"/>
  <c r="E133"/>
  <c r="E202"/>
  <c r="E29"/>
  <c r="E175"/>
  <c r="E103"/>
  <c r="E201"/>
  <c r="E9"/>
  <c r="E128"/>
  <c r="E226"/>
  <c r="E151"/>
  <c r="E79"/>
  <c r="E56"/>
  <c r="E168"/>
  <c r="E141"/>
  <c r="E96"/>
  <c r="E68"/>
  <c r="E243"/>
  <c r="E215"/>
  <c r="E22"/>
  <c r="M91" i="3"/>
  <c r="O3"/>
  <c r="J15"/>
  <c r="O15" s="1"/>
  <c r="O7"/>
  <c r="L5"/>
  <c r="L17"/>
  <c r="O17" s="1"/>
  <c r="L60"/>
  <c r="O60" s="1"/>
  <c r="J53"/>
  <c r="O53" s="1"/>
  <c r="L36"/>
  <c r="O36" s="1"/>
  <c r="L56"/>
  <c r="O56" s="1"/>
  <c r="L18"/>
  <c r="O18" s="1"/>
  <c r="J33"/>
  <c r="O33" s="1"/>
  <c r="L12"/>
  <c r="O12" s="1"/>
  <c r="L51"/>
  <c r="O51" s="1"/>
  <c r="K22"/>
  <c r="O22" s="1"/>
  <c r="J39"/>
  <c r="O39" s="1"/>
  <c r="L38"/>
  <c r="O38" s="1"/>
  <c r="J61"/>
  <c r="O61" s="1"/>
  <c r="J27"/>
  <c r="O27" s="1"/>
  <c r="L65"/>
  <c r="O65" s="1"/>
  <c r="L30"/>
  <c r="O30" s="1"/>
  <c r="O4"/>
  <c r="I70"/>
  <c r="J31"/>
  <c r="O31" s="1"/>
  <c r="L55"/>
  <c r="O55" s="1"/>
  <c r="L50"/>
  <c r="O50" s="1"/>
  <c r="J6"/>
  <c r="J37"/>
  <c r="O37" s="1"/>
  <c r="L34"/>
  <c r="O34" s="1"/>
  <c r="K29"/>
  <c r="O29" s="1"/>
  <c r="J57"/>
  <c r="O57" s="1"/>
  <c r="L43"/>
  <c r="O43" s="1"/>
  <c r="J45"/>
  <c r="O45" s="1"/>
  <c r="J40"/>
  <c r="O40" s="1"/>
  <c r="J54"/>
  <c r="O54" s="1"/>
  <c r="I91" l="1"/>
  <c r="E70" i="2"/>
  <c r="D45" i="1" s="1"/>
  <c r="E244" i="2"/>
  <c r="E47" i="1" s="1"/>
  <c r="E259" i="2"/>
  <c r="C48" i="1" s="1"/>
  <c r="E97" i="2"/>
  <c r="E45" i="1" s="1"/>
  <c r="H45" s="1"/>
  <c r="K45" s="1"/>
  <c r="E23" i="2"/>
  <c r="E44" i="1" s="1"/>
  <c r="E169" i="2"/>
  <c r="E46" i="1" s="1"/>
  <c r="H46" s="1"/>
  <c r="K46" s="1"/>
  <c r="E217" i="2"/>
  <c r="D47" i="1" s="1"/>
  <c r="G47" s="1"/>
  <c r="J47" s="1"/>
  <c r="O6" i="3"/>
  <c r="J91"/>
  <c r="K91"/>
  <c r="O5"/>
  <c r="L91"/>
  <c r="E118" i="2"/>
  <c r="C46" i="1" s="1"/>
  <c r="F46" s="1"/>
  <c r="I46" s="1"/>
  <c r="E44" i="2"/>
  <c r="C45" i="1" s="1"/>
  <c r="F45" s="1"/>
  <c r="I45" s="1"/>
  <c r="E190" i="2"/>
  <c r="C47" i="1" s="1"/>
  <c r="F47" s="1"/>
  <c r="I47" s="1"/>
  <c r="E143" i="2"/>
  <c r="D46" i="1" s="1"/>
  <c r="G46" s="1"/>
  <c r="J46" s="1"/>
  <c r="G45"/>
  <c r="J45" s="1"/>
  <c r="U9" l="1"/>
  <c r="V9" s="1"/>
  <c r="U3"/>
  <c r="V3" s="1"/>
  <c r="U31"/>
  <c r="V31" s="1"/>
  <c r="W31" s="1"/>
  <c r="AA31" s="1"/>
  <c r="U4"/>
  <c r="U6"/>
  <c r="U8"/>
  <c r="V8" s="1"/>
  <c r="W8" s="1"/>
  <c r="AA8" s="1"/>
  <c r="U11"/>
  <c r="V11" s="1"/>
  <c r="W11" s="1"/>
  <c r="AA11" s="1"/>
  <c r="U13"/>
  <c r="V13" s="1"/>
  <c r="W13" s="1"/>
  <c r="AA13" s="1"/>
  <c r="U15"/>
  <c r="U17"/>
  <c r="V17" s="1"/>
  <c r="W17" s="1"/>
  <c r="AA17" s="1"/>
  <c r="U19"/>
  <c r="V19" s="1"/>
  <c r="W19" s="1"/>
  <c r="AA19" s="1"/>
  <c r="U21"/>
  <c r="V21" s="1"/>
  <c r="W21" s="1"/>
  <c r="AA21" s="1"/>
  <c r="U23"/>
  <c r="V23" s="1"/>
  <c r="W23" s="1"/>
  <c r="AA23" s="1"/>
  <c r="U25"/>
  <c r="V25" s="1"/>
  <c r="W25" s="1"/>
  <c r="AA25" s="1"/>
  <c r="U27"/>
  <c r="V27" s="1"/>
  <c r="W27" s="1"/>
  <c r="AA27" s="1"/>
  <c r="U29"/>
  <c r="V29" s="1"/>
  <c r="W29" s="1"/>
  <c r="AA29" s="1"/>
  <c r="U33"/>
  <c r="V33" s="1"/>
  <c r="W33" s="1"/>
  <c r="AA33" s="1"/>
  <c r="U35"/>
  <c r="V35" s="1"/>
  <c r="W35" s="1"/>
  <c r="AA35" s="1"/>
  <c r="U5"/>
  <c r="V5" s="1"/>
  <c r="W5" s="1"/>
  <c r="AA5" s="1"/>
  <c r="U7"/>
  <c r="U10"/>
  <c r="U12"/>
  <c r="V12" s="1"/>
  <c r="W12" s="1"/>
  <c r="AA12" s="1"/>
  <c r="U14"/>
  <c r="V14" s="1"/>
  <c r="W14" s="1"/>
  <c r="AA14" s="1"/>
  <c r="U16"/>
  <c r="U18"/>
  <c r="U20"/>
  <c r="V20" s="1"/>
  <c r="W20" s="1"/>
  <c r="AA20" s="1"/>
  <c r="U22"/>
  <c r="V22" s="1"/>
  <c r="W22" s="1"/>
  <c r="AA22" s="1"/>
  <c r="U24"/>
  <c r="V24" s="1"/>
  <c r="W24" s="1"/>
  <c r="AA24" s="1"/>
  <c r="U26"/>
  <c r="U28"/>
  <c r="V28" s="1"/>
  <c r="W28" s="1"/>
  <c r="AA28" s="1"/>
  <c r="U30"/>
  <c r="V30" s="1"/>
  <c r="W30" s="1"/>
  <c r="AA30" s="1"/>
  <c r="U32"/>
  <c r="V32" s="1"/>
  <c r="W32" s="1"/>
  <c r="AA32" s="1"/>
  <c r="U34"/>
  <c r="H44"/>
  <c r="K44" s="1"/>
  <c r="E49"/>
  <c r="O91" i="3"/>
  <c r="C49" i="1"/>
  <c r="V16"/>
  <c r="W16" s="1"/>
  <c r="AA16" s="1"/>
  <c r="V15"/>
  <c r="W15" s="1"/>
  <c r="AA15" s="1"/>
  <c r="D49"/>
  <c r="V26"/>
  <c r="W26" s="1"/>
  <c r="AA26" s="1"/>
  <c r="V34"/>
  <c r="W34" s="1"/>
  <c r="AA34" s="1"/>
  <c r="V18"/>
  <c r="W18" s="1"/>
  <c r="AA18" s="1"/>
  <c r="V6"/>
  <c r="W6" s="1"/>
  <c r="AA6" s="1"/>
  <c r="E264" i="2"/>
  <c r="W9" i="1" l="1"/>
  <c r="AA9" s="1"/>
  <c r="U36"/>
  <c r="V4"/>
  <c r="W4" s="1"/>
  <c r="AA4" s="1"/>
  <c r="V10"/>
  <c r="W10" s="1"/>
  <c r="AA10" s="1"/>
  <c r="V7"/>
  <c r="W7" s="1"/>
  <c r="AA7" s="1"/>
  <c r="W3"/>
  <c r="V36" l="1"/>
  <c r="X37" s="1"/>
  <c r="W36"/>
  <c r="AA3"/>
  <c r="AA36" s="1"/>
</calcChain>
</file>

<file path=xl/sharedStrings.xml><?xml version="1.0" encoding="utf-8"?>
<sst xmlns="http://schemas.openxmlformats.org/spreadsheetml/2006/main" count="512" uniqueCount="259">
  <si>
    <t>№ п.п.</t>
  </si>
  <si>
    <t>Ф.И.О.</t>
  </si>
  <si>
    <t>Дата выезда</t>
  </si>
  <si>
    <t>ВЫЕЗД</t>
  </si>
  <si>
    <t>Дата отъезда</t>
  </si>
  <si>
    <t>ОТЪЕЗД</t>
  </si>
  <si>
    <t>Присутствие на приемах пищи</t>
  </si>
  <si>
    <t>ПИТАНИЕ</t>
  </si>
  <si>
    <t>НАКЛ. РАСХ.</t>
  </si>
  <si>
    <t>ВСЕГО</t>
  </si>
  <si>
    <t>СДАНО</t>
  </si>
  <si>
    <t>ПОТРАЧЕНО</t>
  </si>
  <si>
    <t>ОСТАТКИ</t>
  </si>
  <si>
    <t>СДАТЬ</t>
  </si>
  <si>
    <t>Ужин</t>
  </si>
  <si>
    <t>Завтрак</t>
  </si>
  <si>
    <t>Обед</t>
  </si>
  <si>
    <t>Подуздов Константин</t>
  </si>
  <si>
    <t>Подуздова Екатерина</t>
  </si>
  <si>
    <t>Семенов Андрей</t>
  </si>
  <si>
    <t>Семенова т.Женя</t>
  </si>
  <si>
    <t>Семенова Анна</t>
  </si>
  <si>
    <t>Чернов Федор</t>
  </si>
  <si>
    <t>Чернова Лариска</t>
  </si>
  <si>
    <t>Семенов Сергей</t>
  </si>
  <si>
    <t>Потапов Дмитрий</t>
  </si>
  <si>
    <t>Тангян Ани</t>
  </si>
  <si>
    <t>Потапова Ирина</t>
  </si>
  <si>
    <t>Назаренко т.Надя</t>
  </si>
  <si>
    <t>Назаренко д.Юра</t>
  </si>
  <si>
    <t>Назаренко Дмитрий</t>
  </si>
  <si>
    <t>Ира (подруга Дмитрия)</t>
  </si>
  <si>
    <t>Блинова Аленка</t>
  </si>
  <si>
    <t>ИТОГО</t>
  </si>
  <si>
    <t>СВОД по меню</t>
  </si>
  <si>
    <t>завтрак</t>
  </si>
  <si>
    <t>обед</t>
  </si>
  <si>
    <t>ужин</t>
  </si>
  <si>
    <t xml:space="preserve">Ужин </t>
  </si>
  <si>
    <t>человек</t>
  </si>
  <si>
    <t>Наименование</t>
  </si>
  <si>
    <t>Норма</t>
  </si>
  <si>
    <t>Итого</t>
  </si>
  <si>
    <t>Сумма</t>
  </si>
  <si>
    <t>ВЕС</t>
  </si>
  <si>
    <t>уварка</t>
  </si>
  <si>
    <t>ИТОГО:</t>
  </si>
  <si>
    <t>ОБЕД</t>
  </si>
  <si>
    <t>УЖИН</t>
  </si>
  <si>
    <t>ВСЕГО:</t>
  </si>
  <si>
    <t>Фас. грамм</t>
  </si>
  <si>
    <t>ед. изм.</t>
  </si>
  <si>
    <t>КОЛ-ВО</t>
  </si>
  <si>
    <t xml:space="preserve">Цена </t>
  </si>
  <si>
    <t>СУММА ФАКТ</t>
  </si>
  <si>
    <t>ж/б</t>
  </si>
  <si>
    <t>Грибы шампиньоны свежие</t>
  </si>
  <si>
    <t>кг.</t>
  </si>
  <si>
    <t>Грибы белые, черные, сухие</t>
  </si>
  <si>
    <t>Зелень свежая</t>
  </si>
  <si>
    <t>Какао</t>
  </si>
  <si>
    <t>уп.</t>
  </si>
  <si>
    <t>Капуста свежая</t>
  </si>
  <si>
    <t>Картофель свежий</t>
  </si>
  <si>
    <t xml:space="preserve">Соус томатный - кетчуп </t>
  </si>
  <si>
    <t>бан.</t>
  </si>
  <si>
    <t>Квас хлебный</t>
  </si>
  <si>
    <t>бут.</t>
  </si>
  <si>
    <t>Колбаса вар.копченая</t>
  </si>
  <si>
    <t>Кофе сублимированный</t>
  </si>
  <si>
    <t>Маккона,Якобс, Нескаф</t>
  </si>
  <si>
    <t>ст/б</t>
  </si>
  <si>
    <t>Кукуруза консервированная</t>
  </si>
  <si>
    <t>Лаваш армянский</t>
  </si>
  <si>
    <t>Лук репчатый</t>
  </si>
  <si>
    <t>Лимон</t>
  </si>
  <si>
    <t>Майонез "Провансаль"</t>
  </si>
  <si>
    <t>Масло сливочное</t>
  </si>
  <si>
    <t>пач.</t>
  </si>
  <si>
    <t>Миниральная вода</t>
  </si>
  <si>
    <t>Морковь по корейски</t>
  </si>
  <si>
    <t>Морковь свежая</t>
  </si>
  <si>
    <t>Огурцы коротоплодные свежие</t>
  </si>
  <si>
    <t>Паштет печеночный</t>
  </si>
  <si>
    <t>Конд.изд. (ш.конф.печ.ваф.шок.и т.д.)</t>
  </si>
  <si>
    <t>хорошие вкусняшки</t>
  </si>
  <si>
    <t>Томаты свежие</t>
  </si>
  <si>
    <t>Редис свежий</t>
  </si>
  <si>
    <t>Рис длиннозерный пропаренный</t>
  </si>
  <si>
    <t>Мистраль</t>
  </si>
  <si>
    <t>Сахар рафинад</t>
  </si>
  <si>
    <t>Сгущенное молоко</t>
  </si>
  <si>
    <t>только мол.цельн и сах.</t>
  </si>
  <si>
    <t>Семечки подсолнечника жареные</t>
  </si>
  <si>
    <r>
      <t xml:space="preserve">only </t>
    </r>
    <r>
      <rPr>
        <sz val="10"/>
        <rFont val="Arial"/>
        <family val="2"/>
      </rPr>
      <t>Бабкины (+солен.)</t>
    </r>
  </si>
  <si>
    <t>Сок фруктовый</t>
  </si>
  <si>
    <t>Сосиски в вакумной упаковке</t>
  </si>
  <si>
    <t>Соус томатный - сацибели</t>
  </si>
  <si>
    <t>Соус сливочный тар-тар</t>
  </si>
  <si>
    <t>Кальве</t>
  </si>
  <si>
    <t>Соус сырный</t>
  </si>
  <si>
    <t>только Хейнц</t>
  </si>
  <si>
    <t>Сухарики в салат</t>
  </si>
  <si>
    <t>мягкие(снеки)</t>
  </si>
  <si>
    <t>Сыр твердый</t>
  </si>
  <si>
    <t>Сыр плавленый</t>
  </si>
  <si>
    <t>Томаты в собственном соку</t>
  </si>
  <si>
    <t>Говядина тушеная</t>
  </si>
  <si>
    <t>Свинина тушеная</t>
  </si>
  <si>
    <t>Хлеб - батон в нарезке</t>
  </si>
  <si>
    <t>Сормовск, Городец.</t>
  </si>
  <si>
    <t>шт.</t>
  </si>
  <si>
    <t>Хлеб - ржаной в нарезке</t>
  </si>
  <si>
    <t>Чай черный крупнолистовой</t>
  </si>
  <si>
    <t>Grinfild, Ahmad</t>
  </si>
  <si>
    <t>Чай черный в пактиках</t>
  </si>
  <si>
    <t>в индивид.упаков.</t>
  </si>
  <si>
    <t>Мясо - свинина для шашлыка</t>
  </si>
  <si>
    <t>Мясо - свинина ребрышки</t>
  </si>
  <si>
    <t>Уголь березовый+ж.д/р.</t>
  </si>
  <si>
    <t>Рыба - форель, семга (шашлык)</t>
  </si>
  <si>
    <t>Рыба - форель, семга (суповой набор)</t>
  </si>
  <si>
    <t>Яйцо куриное</t>
  </si>
  <si>
    <t>НАКЛАДНЫЕ РАСХОДЫ</t>
  </si>
  <si>
    <t>Макароны (аварийный случ.)</t>
  </si>
  <si>
    <t>Губка для мытья посуды</t>
  </si>
  <si>
    <t>8-12 шт.</t>
  </si>
  <si>
    <t>Масло растительное</t>
  </si>
  <si>
    <t>есть дома</t>
  </si>
  <si>
    <t>Масло Льняное</t>
  </si>
  <si>
    <t xml:space="preserve">Мешки для мусора </t>
  </si>
  <si>
    <t>90-120 литров</t>
  </si>
  <si>
    <t xml:space="preserve">Пакет полиэтиленовый </t>
  </si>
  <si>
    <t>25х40 (100шт.)</t>
  </si>
  <si>
    <t>Полотенца бумажные</t>
  </si>
  <si>
    <t>рул.</t>
  </si>
  <si>
    <t>Салфетки бумажные</t>
  </si>
  <si>
    <t>Скотч</t>
  </si>
  <si>
    <t>Прозрачный 50х66</t>
  </si>
  <si>
    <t>Соль каменная</t>
  </si>
  <si>
    <t>не мелкая, не йодир.</t>
  </si>
  <si>
    <t>Специи (лавр,пер,мол.,плов, орегано)</t>
  </si>
  <si>
    <t>Kamis</t>
  </si>
  <si>
    <t>Средство для мытья посуды</t>
  </si>
  <si>
    <t>"Ушастый нянь"</t>
  </si>
  <si>
    <r>
      <t xml:space="preserve">Туалетная бумага </t>
    </r>
    <r>
      <rPr>
        <b/>
        <u/>
        <sz val="10"/>
        <rFont val="Arial"/>
        <family val="2"/>
        <charset val="204"/>
      </rPr>
      <t>(3слоя.)</t>
    </r>
  </si>
  <si>
    <t>Чеснок свежий</t>
  </si>
  <si>
    <t>ИТОГО НАКЛАДНЫЕ</t>
  </si>
  <si>
    <t>СУММА</t>
  </si>
  <si>
    <t>Пахомова т.Света</t>
  </si>
  <si>
    <t>Колбаса вареная</t>
  </si>
  <si>
    <t>Докторская</t>
  </si>
  <si>
    <t xml:space="preserve">Сосиски свежие </t>
  </si>
  <si>
    <t>АВЕДОВ</t>
  </si>
  <si>
    <t>(60шт.)</t>
  </si>
  <si>
    <t>Соус пикантный+грибы</t>
  </si>
  <si>
    <t>ТРЕСТ В</t>
  </si>
  <si>
    <t>Лимонад, газ</t>
  </si>
  <si>
    <t>Кокакола, Швепс</t>
  </si>
  <si>
    <t>Хол.закуски (лечо, б/икра, соте)</t>
  </si>
  <si>
    <t>Гамиль</t>
  </si>
  <si>
    <t>Степка</t>
  </si>
  <si>
    <r>
      <rPr>
        <b/>
        <u/>
        <sz val="10"/>
        <rFont val="Arial"/>
        <family val="2"/>
        <charset val="204"/>
      </rPr>
      <t>белая</t>
    </r>
    <r>
      <rPr>
        <sz val="10"/>
        <rFont val="Arial"/>
        <family val="2"/>
      </rPr>
      <t xml:space="preserve"> ZEVA </t>
    </r>
    <r>
      <rPr>
        <b/>
        <sz val="10"/>
        <rFont val="Arial"/>
        <family val="2"/>
        <charset val="204"/>
      </rPr>
      <t>Delux</t>
    </r>
  </si>
  <si>
    <t>День приезда 30.05.2014г.</t>
  </si>
  <si>
    <t>День первый 01.05.2014г.</t>
  </si>
  <si>
    <t>День второй 02.05.2014г.</t>
  </si>
  <si>
    <t>День третий 03.05.2014г.</t>
  </si>
  <si>
    <t>День четвертый 04.05.2014г.</t>
  </si>
  <si>
    <t>Пироги из столовой Гидромаш</t>
  </si>
  <si>
    <t>гр.</t>
  </si>
  <si>
    <t xml:space="preserve">Антон (друг И.Потаповой) </t>
  </si>
  <si>
    <t>Назаренко Лена</t>
  </si>
  <si>
    <t>ВАЗ2105</t>
  </si>
  <si>
    <t>ford focus</t>
  </si>
  <si>
    <t>Моссковская</t>
  </si>
  <si>
    <t>Тонус, ВИКО</t>
  </si>
  <si>
    <t>Салат "айсберг"</t>
  </si>
  <si>
    <t>Плановая масса</t>
  </si>
  <si>
    <t>контроль</t>
  </si>
  <si>
    <t>ОКТАВИЯ</t>
  </si>
  <si>
    <t>ЛОГАН</t>
  </si>
  <si>
    <t xml:space="preserve"> "Pasta ZARA" перья</t>
  </si>
  <si>
    <t>ХОНДА</t>
  </si>
  <si>
    <t>Ершова Наталья</t>
  </si>
  <si>
    <t>Родители Лариски (мама)</t>
  </si>
  <si>
    <t>Родители Лариски (папа)</t>
  </si>
  <si>
    <t>Никитина Вика</t>
  </si>
  <si>
    <t>Пименов Николай</t>
  </si>
  <si>
    <t>батон</t>
  </si>
  <si>
    <t>буханка</t>
  </si>
  <si>
    <t>Куриные грудки, замароженные</t>
  </si>
  <si>
    <t>Куриные бедра,  замароженные</t>
  </si>
  <si>
    <t>Пакет с ручками, лента</t>
  </si>
  <si>
    <t>Уксус (маринад для мяса)</t>
  </si>
  <si>
    <t>Ветчина свиная в в/у</t>
  </si>
  <si>
    <t>Куриные крылья, на гриль</t>
  </si>
  <si>
    <t>привезет Ани</t>
  </si>
  <si>
    <t>грудки</t>
  </si>
  <si>
    <t>яиц</t>
  </si>
  <si>
    <t>огурца</t>
  </si>
  <si>
    <t>помидоры</t>
  </si>
  <si>
    <t>от одного качана</t>
  </si>
  <si>
    <t>луковицы</t>
  </si>
  <si>
    <t>Перец болгарский, светофор</t>
  </si>
  <si>
    <t>качан</t>
  </si>
  <si>
    <t>ср. вес штуки, гр</t>
  </si>
  <si>
    <t>морковка</t>
  </si>
  <si>
    <t>луковица</t>
  </si>
  <si>
    <t>помидор</t>
  </si>
  <si>
    <t>пирожка</t>
  </si>
  <si>
    <t>сосиски</t>
  </si>
  <si>
    <t>огурцов</t>
  </si>
  <si>
    <t>картофилин</t>
  </si>
  <si>
    <t>редисок</t>
  </si>
  <si>
    <t>бедрышек</t>
  </si>
  <si>
    <t>морковки</t>
  </si>
  <si>
    <t>перчик</t>
  </si>
  <si>
    <t>крылошек</t>
  </si>
  <si>
    <t>лимона</t>
  </si>
  <si>
    <t>сосисок</t>
  </si>
  <si>
    <t>помидорки</t>
  </si>
  <si>
    <t>банка</t>
  </si>
  <si>
    <t>луковиц</t>
  </si>
  <si>
    <t>грудка</t>
  </si>
  <si>
    <t>помидорка</t>
  </si>
  <si>
    <t>яица</t>
  </si>
  <si>
    <t>от перца</t>
  </si>
  <si>
    <t>Крабовые палочки  VICI</t>
  </si>
  <si>
    <t>пачки</t>
  </si>
  <si>
    <t>качана</t>
  </si>
  <si>
    <t>грибочка</t>
  </si>
  <si>
    <t>Примечание</t>
  </si>
  <si>
    <t>Соевый Соус (маринад для мяса)</t>
  </si>
  <si>
    <t>Юля (подруга Гамиля)</t>
  </si>
  <si>
    <t>Таня (из Питера)</t>
  </si>
  <si>
    <t>Леша (из Питера)</t>
  </si>
  <si>
    <t>МПС</t>
  </si>
  <si>
    <t>на чем туда</t>
  </si>
  <si>
    <t>на том и обратно</t>
  </si>
  <si>
    <t>MПC new</t>
  </si>
  <si>
    <t>цельной упаковкой</t>
  </si>
  <si>
    <t>пуч</t>
  </si>
  <si>
    <t>пучка</t>
  </si>
  <si>
    <t>кочан</t>
  </si>
  <si>
    <t>перчика</t>
  </si>
  <si>
    <t>Капуста квашеная</t>
  </si>
  <si>
    <t>в мяснове</t>
  </si>
  <si>
    <t>зип.пак.</t>
  </si>
  <si>
    <t>рыбина целиком</t>
  </si>
  <si>
    <t>Олтермани</t>
  </si>
  <si>
    <t>сливочный</t>
  </si>
  <si>
    <t>Семенова д.Игорь</t>
  </si>
  <si>
    <t>Семенова Юля</t>
  </si>
  <si>
    <t>нива шеви</t>
  </si>
  <si>
    <t>жук</t>
  </si>
  <si>
    <t>приора</t>
  </si>
  <si>
    <t>нексия</t>
  </si>
  <si>
    <t>1 есть дома</t>
  </si>
  <si>
    <t>Сомова Юля</t>
  </si>
</sst>
</file>

<file path=xl/styles.xml><?xml version="1.0" encoding="utf-8"?>
<styleSheet xmlns="http://schemas.openxmlformats.org/spreadsheetml/2006/main">
  <numFmts count="16">
    <numFmt numFmtId="43" formatCode="_-* #,##0.00_р_._-;\-* #,##0.00_р_._-;_-* &quot;-&quot;??_р_._-;_-@_-"/>
    <numFmt numFmtId="164" formatCode="d\ mmmm"/>
    <numFmt numFmtId="165" formatCode="d\ mmm;@"/>
    <numFmt numFmtId="166" formatCode="_(* #,##0.00_);_(* \(#,##0.00\);_(* \-??_);_(@_)"/>
    <numFmt numFmtId="167" formatCode="_-* #,##0_р_._-;\-* #,##0_р_._-;_-* \-_р_._-;_-@_-"/>
    <numFmt numFmtId="168" formatCode="#,##0_ ;[Red]\-#,##0\ "/>
    <numFmt numFmtId="169" formatCode="_-* #,##0_р_._-;\-* #,##0_р_._-;_-* \-??_р_._-;_-@_-"/>
    <numFmt numFmtId="170" formatCode="#,##0_ ;\-#,##0\ "/>
    <numFmt numFmtId="171" formatCode="0.000"/>
    <numFmt numFmtId="172" formatCode="0.0000"/>
    <numFmt numFmtId="173" formatCode="_(* #,##0_);_(* \(#,##0\);_(* \-??_);_(@_)"/>
    <numFmt numFmtId="174" formatCode="#,##0.000_ ;[Red]\-#,##0.000\ "/>
    <numFmt numFmtId="175" formatCode="_-* #,##0.0000_р_._-;\-* #,##0.0000_р_._-;_-* \-????_р_._-;_-@_-"/>
    <numFmt numFmtId="176" formatCode="#,##0.0000_р_.;[Red]\-#,##0.0000_р_."/>
    <numFmt numFmtId="177" formatCode="0.0%"/>
    <numFmt numFmtId="178" formatCode="0.0"/>
  </numFmts>
  <fonts count="26">
    <font>
      <sz val="10"/>
      <name val="Arial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u/>
      <sz val="10"/>
      <name val="Arial"/>
      <family val="2"/>
      <charset val="204"/>
    </font>
    <font>
      <b/>
      <sz val="12"/>
      <name val="Arial"/>
      <family val="2"/>
      <charset val="204"/>
    </font>
    <font>
      <sz val="10"/>
      <name val="Arial Narrow"/>
      <family val="2"/>
      <charset val="204"/>
    </font>
    <font>
      <u/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13"/>
        <bgColor indexed="34"/>
      </patternFill>
    </fill>
    <fill>
      <patternFill patternType="solid">
        <fgColor rgb="FFCCFF99"/>
        <bgColor indexed="51"/>
      </patternFill>
    </fill>
    <fill>
      <patternFill patternType="solid">
        <fgColor rgb="FFFFFFCC"/>
        <bgColor indexed="34"/>
      </patternFill>
    </fill>
    <fill>
      <patternFill patternType="solid">
        <fgColor theme="9" tint="0.59999389629810485"/>
        <bgColor indexed="13"/>
      </patternFill>
    </fill>
    <fill>
      <patternFill patternType="solid">
        <fgColor rgb="FFFD7D73"/>
        <bgColor indexed="60"/>
      </patternFill>
    </fill>
    <fill>
      <patternFill patternType="solid">
        <fgColor theme="9" tint="0.79998168889431442"/>
        <bgColor indexed="13"/>
      </patternFill>
    </fill>
  </fills>
  <borders count="1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/>
      <bottom style="thin">
        <color indexed="59"/>
      </bottom>
      <diagonal/>
    </border>
    <border>
      <left style="thin">
        <color indexed="59"/>
      </left>
      <right/>
      <top/>
      <bottom/>
      <diagonal/>
    </border>
    <border>
      <left/>
      <right style="thin">
        <color indexed="59"/>
      </right>
      <top/>
      <bottom/>
      <diagonal/>
    </border>
    <border>
      <left/>
      <right style="thin">
        <color indexed="59"/>
      </right>
      <top/>
      <bottom style="thin">
        <color indexed="59"/>
      </bottom>
      <diagonal/>
    </border>
    <border>
      <left style="thin">
        <color indexed="59"/>
      </left>
      <right/>
      <top/>
      <bottom style="thin">
        <color indexed="59"/>
      </bottom>
      <diagonal/>
    </border>
    <border>
      <left/>
      <right/>
      <top/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7" borderId="1" applyNumberFormat="0" applyAlignment="0" applyProtection="0"/>
    <xf numFmtId="0" fontId="4" fillId="20" borderId="2" applyNumberFormat="0" applyAlignment="0" applyProtection="0"/>
    <xf numFmtId="0" fontId="5" fillId="20" borderId="1" applyNumberFormat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6" applyNumberFormat="0" applyFill="0" applyAlignment="0" applyProtection="0"/>
    <xf numFmtId="0" fontId="10" fillId="21" borderId="7" applyNumberFormat="0" applyAlignment="0" applyProtection="0"/>
    <xf numFmtId="0" fontId="11" fillId="0" borderId="0" applyNumberFormat="0" applyFill="0" applyBorder="0" applyAlignment="0" applyProtection="0"/>
    <xf numFmtId="0" fontId="12" fillId="22" borderId="0" applyNumberFormat="0" applyBorder="0" applyAlignment="0" applyProtection="0"/>
    <xf numFmtId="0" fontId="13" fillId="3" borderId="0" applyNumberFormat="0" applyBorder="0" applyAlignment="0" applyProtection="0"/>
    <xf numFmtId="0" fontId="14" fillId="0" borderId="0" applyNumberFormat="0" applyFill="0" applyBorder="0" applyAlignment="0" applyProtection="0"/>
    <xf numFmtId="0" fontId="24" fillId="23" borderId="8" applyNumberFormat="0" applyAlignment="0" applyProtection="0"/>
    <xf numFmtId="9" fontId="24" fillId="0" borderId="0" applyFill="0" applyBorder="0" applyAlignment="0" applyProtection="0"/>
    <xf numFmtId="0" fontId="15" fillId="0" borderId="9" applyNumberFormat="0" applyFill="0" applyAlignment="0" applyProtection="0"/>
    <xf numFmtId="0" fontId="16" fillId="0" borderId="0" applyNumberFormat="0" applyFill="0" applyBorder="0" applyAlignment="0" applyProtection="0"/>
    <xf numFmtId="166" fontId="24" fillId="0" borderId="0" applyFill="0" applyBorder="0" applyAlignment="0" applyProtection="0"/>
    <xf numFmtId="0" fontId="17" fillId="4" borderId="0" applyNumberFormat="0" applyBorder="0" applyAlignment="0" applyProtection="0"/>
  </cellStyleXfs>
  <cellXfs count="215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Fill="1"/>
    <xf numFmtId="0" fontId="0" fillId="0" borderId="0" xfId="0" applyBorder="1"/>
    <xf numFmtId="0" fontId="18" fillId="0" borderId="10" xfId="0" applyFont="1" applyBorder="1" applyAlignment="1">
      <alignment horizontal="center" vertical="center" wrapText="1"/>
    </xf>
    <xf numFmtId="0" fontId="18" fillId="22" borderId="10" xfId="0" applyFont="1" applyFill="1" applyBorder="1" applyAlignment="1">
      <alignment horizontal="center" vertical="center" shrinkToFit="1"/>
    </xf>
    <xf numFmtId="0" fontId="18" fillId="4" borderId="10" xfId="0" applyFont="1" applyFill="1" applyBorder="1" applyAlignment="1">
      <alignment horizontal="center" vertical="center" shrinkToFit="1"/>
    </xf>
    <xf numFmtId="0" fontId="18" fillId="3" borderId="10" xfId="0" applyFont="1" applyFill="1" applyBorder="1" applyAlignment="1">
      <alignment horizontal="center" vertical="center" shrinkToFit="1"/>
    </xf>
    <xf numFmtId="0" fontId="18" fillId="6" borderId="10" xfId="0" applyFont="1" applyFill="1" applyBorder="1" applyAlignment="1">
      <alignment horizontal="center" vertical="center" shrinkToFit="1"/>
    </xf>
    <xf numFmtId="0" fontId="18" fillId="7" borderId="10" xfId="0" applyFont="1" applyFill="1" applyBorder="1" applyAlignment="1">
      <alignment horizontal="center" vertical="center" shrinkToFit="1"/>
    </xf>
    <xf numFmtId="0" fontId="0" fillId="0" borderId="10" xfId="0" applyBorder="1" applyAlignment="1">
      <alignment horizontal="center"/>
    </xf>
    <xf numFmtId="0" fontId="0" fillId="0" borderId="10" xfId="0" applyFont="1" applyBorder="1"/>
    <xf numFmtId="165" fontId="0" fillId="0" borderId="10" xfId="0" applyNumberFormat="1" applyBorder="1" applyAlignment="1">
      <alignment horizontal="center"/>
    </xf>
    <xf numFmtId="49" fontId="19" fillId="0" borderId="10" xfId="0" applyNumberFormat="1" applyFont="1" applyFill="1" applyBorder="1" applyAlignment="1">
      <alignment horizontal="center" vertical="center"/>
    </xf>
    <xf numFmtId="165" fontId="19" fillId="0" borderId="10" xfId="0" applyNumberFormat="1" applyFont="1" applyFill="1" applyBorder="1" applyAlignment="1">
      <alignment horizontal="center"/>
    </xf>
    <xf numFmtId="166" fontId="19" fillId="0" borderId="10" xfId="42" applyFont="1" applyFill="1" applyBorder="1" applyAlignment="1" applyProtection="1">
      <alignment horizontal="center" vertical="center"/>
    </xf>
    <xf numFmtId="0" fontId="0" fillId="22" borderId="10" xfId="0" applyNumberFormat="1" applyFont="1" applyFill="1" applyBorder="1" applyAlignment="1">
      <alignment horizontal="center" vertical="center" wrapText="1"/>
    </xf>
    <xf numFmtId="0" fontId="19" fillId="4" borderId="10" xfId="0" applyNumberFormat="1" applyFont="1" applyFill="1" applyBorder="1" applyAlignment="1">
      <alignment horizontal="center" vertical="center" wrapText="1"/>
    </xf>
    <xf numFmtId="0" fontId="19" fillId="3" borderId="10" xfId="0" applyNumberFormat="1" applyFont="1" applyFill="1" applyBorder="1" applyAlignment="1">
      <alignment horizontal="center" vertical="center" wrapText="1"/>
    </xf>
    <xf numFmtId="0" fontId="19" fillId="22" borderId="10" xfId="0" applyNumberFormat="1" applyFont="1" applyFill="1" applyBorder="1" applyAlignment="1">
      <alignment horizontal="center" vertical="center" wrapText="1"/>
    </xf>
    <xf numFmtId="0" fontId="19" fillId="6" borderId="10" xfId="0" applyNumberFormat="1" applyFont="1" applyFill="1" applyBorder="1" applyAlignment="1">
      <alignment horizontal="center" vertical="center" wrapText="1"/>
    </xf>
    <xf numFmtId="0" fontId="19" fillId="7" borderId="10" xfId="0" applyNumberFormat="1" applyFont="1" applyFill="1" applyBorder="1" applyAlignment="1">
      <alignment horizontal="center" vertical="center" wrapText="1"/>
    </xf>
    <xf numFmtId="167" fontId="0" fillId="0" borderId="10" xfId="0" applyNumberFormat="1" applyBorder="1"/>
    <xf numFmtId="167" fontId="0" fillId="24" borderId="10" xfId="0" applyNumberFormat="1" applyFill="1" applyBorder="1"/>
    <xf numFmtId="167" fontId="0" fillId="0" borderId="10" xfId="0" applyNumberFormat="1" applyFill="1" applyBorder="1"/>
    <xf numFmtId="168" fontId="0" fillId="0" borderId="10" xfId="0" applyNumberFormat="1" applyBorder="1"/>
    <xf numFmtId="0" fontId="19" fillId="0" borderId="10" xfId="0" applyFont="1" applyBorder="1"/>
    <xf numFmtId="49" fontId="19" fillId="0" borderId="10" xfId="0" applyNumberFormat="1" applyFont="1" applyFill="1" applyBorder="1" applyAlignment="1">
      <alignment horizontal="center"/>
    </xf>
    <xf numFmtId="167" fontId="0" fillId="0" borderId="11" xfId="0" applyNumberFormat="1" applyBorder="1"/>
    <xf numFmtId="167" fontId="0" fillId="24" borderId="11" xfId="0" applyNumberFormat="1" applyFill="1" applyBorder="1"/>
    <xf numFmtId="167" fontId="0" fillId="0" borderId="11" xfId="0" applyNumberFormat="1" applyFill="1" applyBorder="1"/>
    <xf numFmtId="49" fontId="0" fillId="0" borderId="10" xfId="0" applyNumberFormat="1" applyFont="1" applyBorder="1" applyAlignment="1">
      <alignment horizontal="center"/>
    </xf>
    <xf numFmtId="0" fontId="19" fillId="0" borderId="10" xfId="0" applyFont="1" applyFill="1" applyBorder="1"/>
    <xf numFmtId="0" fontId="0" fillId="0" borderId="10" xfId="0" applyFont="1" applyFill="1" applyBorder="1"/>
    <xf numFmtId="0" fontId="20" fillId="24" borderId="10" xfId="0" applyFont="1" applyFill="1" applyBorder="1" applyAlignment="1">
      <alignment horizontal="center" vertical="center"/>
    </xf>
    <xf numFmtId="0" fontId="18" fillId="24" borderId="10" xfId="0" applyFont="1" applyFill="1" applyBorder="1"/>
    <xf numFmtId="0" fontId="0" fillId="24" borderId="10" xfId="0" applyFill="1" applyBorder="1"/>
    <xf numFmtId="49" fontId="0" fillId="24" borderId="10" xfId="0" applyNumberFormat="1" applyFill="1" applyBorder="1"/>
    <xf numFmtId="166" fontId="0" fillId="24" borderId="10" xfId="0" applyNumberFormat="1" applyFill="1" applyBorder="1"/>
    <xf numFmtId="1" fontId="0" fillId="22" borderId="10" xfId="0" applyNumberFormat="1" applyFont="1" applyFill="1" applyBorder="1" applyAlignment="1">
      <alignment horizontal="center" vertical="center" wrapText="1"/>
    </xf>
    <xf numFmtId="1" fontId="19" fillId="4" borderId="10" xfId="0" applyNumberFormat="1" applyFont="1" applyFill="1" applyBorder="1" applyAlignment="1">
      <alignment horizontal="center" vertical="center" wrapText="1"/>
    </xf>
    <xf numFmtId="1" fontId="19" fillId="3" borderId="10" xfId="0" applyNumberFormat="1" applyFont="1" applyFill="1" applyBorder="1" applyAlignment="1">
      <alignment horizontal="center" vertical="center" wrapText="1"/>
    </xf>
    <xf numFmtId="1" fontId="19" fillId="22" borderId="10" xfId="0" applyNumberFormat="1" applyFont="1" applyFill="1" applyBorder="1" applyAlignment="1">
      <alignment horizontal="center" vertical="center" wrapText="1"/>
    </xf>
    <xf numFmtId="1" fontId="19" fillId="6" borderId="10" xfId="0" applyNumberFormat="1" applyFont="1" applyFill="1" applyBorder="1" applyAlignment="1">
      <alignment horizontal="center" vertical="center" wrapText="1"/>
    </xf>
    <xf numFmtId="1" fontId="19" fillId="7" borderId="10" xfId="0" applyNumberFormat="1" applyFont="1" applyFill="1" applyBorder="1" applyAlignment="1">
      <alignment horizontal="center" vertical="center" wrapText="1"/>
    </xf>
    <xf numFmtId="167" fontId="18" fillId="24" borderId="10" xfId="0" applyNumberFormat="1" applyFont="1" applyFill="1" applyBorder="1"/>
    <xf numFmtId="168" fontId="18" fillId="24" borderId="10" xfId="0" applyNumberFormat="1" applyFont="1" applyFill="1" applyBorder="1"/>
    <xf numFmtId="167" fontId="0" fillId="0" borderId="0" xfId="0" applyNumberFormat="1"/>
    <xf numFmtId="167" fontId="0" fillId="0" borderId="0" xfId="0" applyNumberFormat="1" applyFill="1"/>
    <xf numFmtId="169" fontId="0" fillId="0" borderId="0" xfId="0" applyNumberFormat="1" applyBorder="1"/>
    <xf numFmtId="167" fontId="18" fillId="0" borderId="0" xfId="42" applyNumberFormat="1" applyFont="1" applyFill="1" applyBorder="1" applyAlignment="1" applyProtection="1"/>
    <xf numFmtId="0" fontId="18" fillId="0" borderId="10" xfId="0" applyFont="1" applyBorder="1" applyAlignment="1">
      <alignment horizontal="center"/>
    </xf>
    <xf numFmtId="49" fontId="18" fillId="0" borderId="10" xfId="0" applyNumberFormat="1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14" fontId="18" fillId="0" borderId="10" xfId="0" applyNumberFormat="1" applyFont="1" applyBorder="1" applyAlignment="1">
      <alignment horizontal="center"/>
    </xf>
    <xf numFmtId="167" fontId="0" fillId="0" borderId="10" xfId="42" applyNumberFormat="1" applyFont="1" applyFill="1" applyBorder="1" applyAlignment="1" applyProtection="1"/>
    <xf numFmtId="166" fontId="0" fillId="0" borderId="0" xfId="42" applyFont="1" applyFill="1" applyBorder="1" applyAlignment="1" applyProtection="1">
      <alignment shrinkToFit="1"/>
    </xf>
    <xf numFmtId="0" fontId="18" fillId="0" borderId="10" xfId="0" applyFont="1" applyFill="1" applyBorder="1" applyAlignment="1">
      <alignment horizontal="center"/>
    </xf>
    <xf numFmtId="167" fontId="18" fillId="0" borderId="10" xfId="42" applyNumberFormat="1" applyFont="1" applyFill="1" applyBorder="1" applyAlignment="1" applyProtection="1"/>
    <xf numFmtId="166" fontId="18" fillId="0" borderId="0" xfId="42" applyFont="1" applyFill="1" applyBorder="1" applyAlignment="1" applyProtection="1">
      <alignment shrinkToFit="1"/>
    </xf>
    <xf numFmtId="168" fontId="0" fillId="0" borderId="0" xfId="0" applyNumberFormat="1"/>
    <xf numFmtId="0" fontId="0" fillId="0" borderId="0" xfId="0" applyFill="1" applyBorder="1" applyAlignment="1">
      <alignment horizontal="center"/>
    </xf>
    <xf numFmtId="0" fontId="19" fillId="0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right" vertical="center" wrapText="1"/>
    </xf>
    <xf numFmtId="170" fontId="18" fillId="0" borderId="0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168" fontId="0" fillId="0" borderId="0" xfId="0" applyNumberFormat="1" applyBorder="1" applyAlignment="1"/>
    <xf numFmtId="0" fontId="0" fillId="0" borderId="0" xfId="0" applyBorder="1" applyAlignment="1">
      <alignment horizontal="center"/>
    </xf>
    <xf numFmtId="171" fontId="18" fillId="0" borderId="10" xfId="0" applyNumberFormat="1" applyFont="1" applyBorder="1" applyAlignment="1">
      <alignment horizontal="center" vertical="center" wrapText="1"/>
    </xf>
    <xf numFmtId="168" fontId="18" fillId="0" borderId="10" xfId="0" applyNumberFormat="1" applyFont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 wrapText="1"/>
    </xf>
    <xf numFmtId="9" fontId="0" fillId="0" borderId="12" xfId="39" applyFont="1" applyFill="1" applyBorder="1" applyAlignment="1" applyProtection="1">
      <alignment horizontal="center"/>
    </xf>
    <xf numFmtId="1" fontId="0" fillId="0" borderId="12" xfId="0" applyNumberFormat="1" applyFill="1" applyBorder="1" applyAlignment="1">
      <alignment horizontal="center"/>
    </xf>
    <xf numFmtId="0" fontId="0" fillId="0" borderId="10" xfId="0" applyBorder="1" applyAlignment="1"/>
    <xf numFmtId="172" fontId="0" fillId="0" borderId="10" xfId="0" applyNumberFormat="1" applyFill="1" applyBorder="1" applyAlignment="1"/>
    <xf numFmtId="172" fontId="0" fillId="0" borderId="10" xfId="0" applyNumberFormat="1" applyBorder="1" applyAlignment="1"/>
    <xf numFmtId="2" fontId="0" fillId="0" borderId="10" xfId="0" applyNumberFormat="1" applyBorder="1" applyAlignment="1"/>
    <xf numFmtId="168" fontId="0" fillId="0" borderId="10" xfId="0" applyNumberFormat="1" applyBorder="1" applyAlignment="1"/>
    <xf numFmtId="1" fontId="0" fillId="0" borderId="10" xfId="0" applyNumberFormat="1" applyBorder="1" applyAlignment="1">
      <alignment horizontal="center"/>
    </xf>
    <xf numFmtId="0" fontId="0" fillId="11" borderId="10" xfId="0" applyFill="1" applyBorder="1" applyAlignment="1"/>
    <xf numFmtId="172" fontId="0" fillId="11" borderId="10" xfId="0" applyNumberFormat="1" applyFill="1" applyBorder="1" applyAlignment="1"/>
    <xf numFmtId="2" fontId="0" fillId="11" borderId="10" xfId="0" applyNumberFormat="1" applyFill="1" applyBorder="1" applyAlignment="1"/>
    <xf numFmtId="168" fontId="0" fillId="11" borderId="10" xfId="0" applyNumberFormat="1" applyFill="1" applyBorder="1" applyAlignment="1"/>
    <xf numFmtId="1" fontId="0" fillId="11" borderId="10" xfId="0" applyNumberFormat="1" applyFill="1" applyBorder="1" applyAlignment="1">
      <alignment horizontal="center"/>
    </xf>
    <xf numFmtId="0" fontId="0" fillId="0" borderId="10" xfId="0" applyFill="1" applyBorder="1" applyAlignment="1"/>
    <xf numFmtId="2" fontId="0" fillId="0" borderId="10" xfId="0" applyNumberFormat="1" applyFill="1" applyBorder="1" applyAlignment="1"/>
    <xf numFmtId="168" fontId="0" fillId="0" borderId="10" xfId="0" applyNumberFormat="1" applyFill="1" applyBorder="1" applyAlignment="1"/>
    <xf numFmtId="1" fontId="0" fillId="0" borderId="10" xfId="0" applyNumberFormat="1" applyFill="1" applyBorder="1" applyAlignment="1">
      <alignment horizontal="center"/>
    </xf>
    <xf numFmtId="0" fontId="18" fillId="0" borderId="10" xfId="0" applyFont="1" applyBorder="1" applyAlignment="1"/>
    <xf numFmtId="168" fontId="18" fillId="0" borderId="10" xfId="0" applyNumberFormat="1" applyFont="1" applyBorder="1" applyAlignment="1"/>
    <xf numFmtId="1" fontId="18" fillId="0" borderId="10" xfId="0" applyNumberFormat="1" applyFont="1" applyBorder="1" applyAlignment="1">
      <alignment horizontal="center"/>
    </xf>
    <xf numFmtId="1" fontId="18" fillId="0" borderId="12" xfId="0" applyNumberFormat="1" applyFont="1" applyFill="1" applyBorder="1" applyAlignment="1">
      <alignment horizontal="center"/>
    </xf>
    <xf numFmtId="168" fontId="0" fillId="0" borderId="0" xfId="0" applyNumberFormat="1" applyBorder="1"/>
    <xf numFmtId="0" fontId="0" fillId="22" borderId="10" xfId="0" applyFill="1" applyBorder="1" applyAlignment="1"/>
    <xf numFmtId="172" fontId="0" fillId="22" borderId="10" xfId="0" applyNumberFormat="1" applyFill="1" applyBorder="1" applyAlignment="1"/>
    <xf numFmtId="2" fontId="0" fillId="22" borderId="10" xfId="0" applyNumberFormat="1" applyFill="1" applyBorder="1" applyAlignment="1"/>
    <xf numFmtId="168" fontId="0" fillId="22" borderId="10" xfId="0" applyNumberFormat="1" applyFill="1" applyBorder="1" applyAlignment="1"/>
    <xf numFmtId="1" fontId="0" fillId="22" borderId="10" xfId="0" applyNumberFormat="1" applyFill="1" applyBorder="1" applyAlignment="1">
      <alignment horizontal="center"/>
    </xf>
    <xf numFmtId="173" fontId="0" fillId="0" borderId="0" xfId="42" applyNumberFormat="1" applyFont="1" applyFill="1" applyBorder="1" applyAlignment="1" applyProtection="1"/>
    <xf numFmtId="0" fontId="0" fillId="11" borderId="10" xfId="0" applyFill="1" applyBorder="1" applyAlignment="1">
      <alignment horizontal="left"/>
    </xf>
    <xf numFmtId="0" fontId="0" fillId="7" borderId="10" xfId="0" applyFill="1" applyBorder="1" applyAlignment="1"/>
    <xf numFmtId="172" fontId="0" fillId="7" borderId="10" xfId="0" applyNumberFormat="1" applyFill="1" applyBorder="1" applyAlignment="1"/>
    <xf numFmtId="2" fontId="0" fillId="7" borderId="10" xfId="0" applyNumberFormat="1" applyFill="1" applyBorder="1" applyAlignment="1"/>
    <xf numFmtId="168" fontId="0" fillId="7" borderId="10" xfId="0" applyNumberFormat="1" applyFill="1" applyBorder="1" applyAlignment="1"/>
    <xf numFmtId="1" fontId="0" fillId="7" borderId="10" xfId="0" applyNumberFormat="1" applyFill="1" applyBorder="1" applyAlignment="1">
      <alignment horizontal="center"/>
    </xf>
    <xf numFmtId="0" fontId="0" fillId="8" borderId="10" xfId="0" applyFill="1" applyBorder="1" applyAlignment="1"/>
    <xf numFmtId="172" fontId="0" fillId="8" borderId="10" xfId="0" applyNumberFormat="1" applyFill="1" applyBorder="1" applyAlignment="1"/>
    <xf numFmtId="2" fontId="0" fillId="8" borderId="10" xfId="0" applyNumberFormat="1" applyFill="1" applyBorder="1" applyAlignment="1"/>
    <xf numFmtId="168" fontId="0" fillId="8" borderId="10" xfId="0" applyNumberFormat="1" applyFill="1" applyBorder="1" applyAlignment="1"/>
    <xf numFmtId="1" fontId="0" fillId="8" borderId="10" xfId="0" applyNumberFormat="1" applyFill="1" applyBorder="1" applyAlignment="1">
      <alignment horizontal="center"/>
    </xf>
    <xf numFmtId="1" fontId="0" fillId="0" borderId="12" xfId="42" applyNumberFormat="1" applyFont="1" applyFill="1" applyBorder="1" applyAlignment="1" applyProtection="1">
      <alignment horizontal="center"/>
    </xf>
    <xf numFmtId="0" fontId="18" fillId="0" borderId="0" xfId="0" applyFont="1" applyBorder="1" applyAlignment="1"/>
    <xf numFmtId="168" fontId="18" fillId="0" borderId="0" xfId="0" applyNumberFormat="1" applyFont="1" applyBorder="1" applyAlignment="1"/>
    <xf numFmtId="1" fontId="18" fillId="0" borderId="0" xfId="0" applyNumberFormat="1" applyFont="1" applyBorder="1" applyAlignment="1">
      <alignment horizontal="center"/>
    </xf>
    <xf numFmtId="1" fontId="18" fillId="0" borderId="0" xfId="0" applyNumberFormat="1" applyFont="1" applyFill="1" applyBorder="1" applyAlignment="1">
      <alignment horizontal="center"/>
    </xf>
    <xf numFmtId="168" fontId="18" fillId="24" borderId="10" xfId="42" applyNumberFormat="1" applyFont="1" applyFill="1" applyBorder="1" applyAlignment="1" applyProtection="1"/>
    <xf numFmtId="0" fontId="0" fillId="0" borderId="0" xfId="0" applyAlignment="1">
      <alignment horizontal="center" shrinkToFit="1"/>
    </xf>
    <xf numFmtId="174" fontId="0" fillId="0" borderId="0" xfId="0" applyNumberFormat="1"/>
    <xf numFmtId="166" fontId="19" fillId="0" borderId="0" xfId="42" applyNumberFormat="1" applyFont="1" applyFill="1" applyBorder="1" applyAlignment="1" applyProtection="1"/>
    <xf numFmtId="0" fontId="0" fillId="0" borderId="10" xfId="0" applyFont="1" applyBorder="1" applyAlignment="1">
      <alignment horizontal="center" shrinkToFit="1"/>
    </xf>
    <xf numFmtId="166" fontId="0" fillId="0" borderId="10" xfId="0" applyNumberFormat="1" applyBorder="1"/>
    <xf numFmtId="166" fontId="19" fillId="0" borderId="10" xfId="42" applyNumberFormat="1" applyFont="1" applyFill="1" applyBorder="1" applyAlignment="1" applyProtection="1"/>
    <xf numFmtId="175" fontId="0" fillId="0" borderId="10" xfId="0" applyNumberFormat="1" applyBorder="1"/>
    <xf numFmtId="0" fontId="22" fillId="0" borderId="10" xfId="0" applyFont="1" applyBorder="1" applyAlignment="1">
      <alignment horizontal="center" shrinkToFit="1"/>
    </xf>
    <xf numFmtId="0" fontId="20" fillId="0" borderId="10" xfId="0" applyFont="1" applyBorder="1" applyAlignment="1">
      <alignment horizontal="center"/>
    </xf>
    <xf numFmtId="1" fontId="0" fillId="0" borderId="10" xfId="0" applyNumberFormat="1" applyBorder="1" applyAlignment="1">
      <alignment horizontal="center" shrinkToFit="1"/>
    </xf>
    <xf numFmtId="0" fontId="18" fillId="24" borderId="10" xfId="0" applyFont="1" applyFill="1" applyBorder="1" applyAlignment="1">
      <alignment horizontal="center" shrinkToFit="1"/>
    </xf>
    <xf numFmtId="0" fontId="0" fillId="24" borderId="10" xfId="0" applyFill="1" applyBorder="1" applyAlignment="1">
      <alignment horizontal="center"/>
    </xf>
    <xf numFmtId="176" fontId="18" fillId="24" borderId="10" xfId="0" applyNumberFormat="1" applyFont="1" applyFill="1" applyBorder="1"/>
    <xf numFmtId="166" fontId="18" fillId="24" borderId="10" xfId="0" applyNumberFormat="1" applyFont="1" applyFill="1" applyBorder="1"/>
    <xf numFmtId="166" fontId="19" fillId="24" borderId="10" xfId="42" applyNumberFormat="1" applyFont="1" applyFill="1" applyBorder="1" applyAlignment="1" applyProtection="1"/>
    <xf numFmtId="174" fontId="0" fillId="0" borderId="10" xfId="0" applyNumberFormat="1" applyBorder="1"/>
    <xf numFmtId="166" fontId="0" fillId="0" borderId="10" xfId="42" applyFont="1" applyFill="1" applyBorder="1" applyAlignment="1" applyProtection="1"/>
    <xf numFmtId="0" fontId="23" fillId="0" borderId="10" xfId="0" applyFont="1" applyBorder="1" applyAlignment="1">
      <alignment horizontal="center" shrinkToFit="1"/>
    </xf>
    <xf numFmtId="174" fontId="18" fillId="24" borderId="10" xfId="0" applyNumberFormat="1" applyFont="1" applyFill="1" applyBorder="1"/>
    <xf numFmtId="171" fontId="0" fillId="0" borderId="10" xfId="0" applyNumberFormat="1" applyBorder="1"/>
    <xf numFmtId="173" fontId="0" fillId="0" borderId="10" xfId="42" applyNumberFormat="1" applyFont="1" applyFill="1" applyBorder="1" applyAlignment="1" applyProtection="1"/>
    <xf numFmtId="173" fontId="18" fillId="24" borderId="10" xfId="0" applyNumberFormat="1" applyFont="1" applyFill="1" applyBorder="1"/>
    <xf numFmtId="0" fontId="18" fillId="0" borderId="0" xfId="0" applyFont="1"/>
    <xf numFmtId="0" fontId="0" fillId="0" borderId="10" xfId="0" applyBorder="1"/>
    <xf numFmtId="0" fontId="0" fillId="0" borderId="10" xfId="0" applyBorder="1" applyAlignment="1">
      <alignment horizontal="center" shrinkToFit="1"/>
    </xf>
    <xf numFmtId="0" fontId="18" fillId="0" borderId="10" xfId="0" applyFont="1" applyBorder="1"/>
    <xf numFmtId="0" fontId="19" fillId="0" borderId="10" xfId="0" applyFont="1" applyBorder="1" applyAlignment="1">
      <alignment horizontal="center" shrinkToFit="1"/>
    </xf>
    <xf numFmtId="173" fontId="0" fillId="0" borderId="0" xfId="42" applyNumberFormat="1" applyFont="1" applyFill="1" applyBorder="1" applyAlignment="1" applyProtection="1">
      <alignment horizontal="center" shrinkToFit="1"/>
    </xf>
    <xf numFmtId="166" fontId="0" fillId="0" borderId="0" xfId="0" applyNumberFormat="1"/>
    <xf numFmtId="43" fontId="0" fillId="0" borderId="0" xfId="0" applyNumberFormat="1"/>
    <xf numFmtId="177" fontId="18" fillId="0" borderId="0" xfId="39" applyNumberFormat="1" applyFont="1"/>
    <xf numFmtId="0" fontId="0" fillId="25" borderId="10" xfId="0" applyFill="1" applyBorder="1" applyAlignment="1"/>
    <xf numFmtId="172" fontId="0" fillId="25" borderId="10" xfId="0" applyNumberFormat="1" applyFill="1" applyBorder="1" applyAlignment="1"/>
    <xf numFmtId="2" fontId="0" fillId="25" borderId="10" xfId="0" applyNumberFormat="1" applyFill="1" applyBorder="1" applyAlignment="1"/>
    <xf numFmtId="168" fontId="0" fillId="25" borderId="10" xfId="0" applyNumberFormat="1" applyFill="1" applyBorder="1" applyAlignment="1"/>
    <xf numFmtId="1" fontId="0" fillId="25" borderId="10" xfId="0" applyNumberFormat="1" applyFill="1" applyBorder="1" applyAlignment="1">
      <alignment horizontal="center"/>
    </xf>
    <xf numFmtId="0" fontId="0" fillId="26" borderId="10" xfId="0" applyFill="1" applyBorder="1" applyAlignment="1"/>
    <xf numFmtId="172" fontId="0" fillId="26" borderId="10" xfId="0" applyNumberFormat="1" applyFill="1" applyBorder="1" applyAlignment="1"/>
    <xf numFmtId="2" fontId="0" fillId="26" borderId="10" xfId="0" applyNumberFormat="1" applyFill="1" applyBorder="1" applyAlignment="1"/>
    <xf numFmtId="168" fontId="0" fillId="26" borderId="10" xfId="0" applyNumberFormat="1" applyFill="1" applyBorder="1" applyAlignment="1"/>
    <xf numFmtId="1" fontId="0" fillId="26" borderId="10" xfId="0" applyNumberFormat="1" applyFill="1" applyBorder="1" applyAlignment="1">
      <alignment horizontal="center"/>
    </xf>
    <xf numFmtId="0" fontId="0" fillId="27" borderId="10" xfId="0" applyFill="1" applyBorder="1" applyAlignment="1"/>
    <xf numFmtId="172" fontId="0" fillId="27" borderId="10" xfId="0" applyNumberFormat="1" applyFill="1" applyBorder="1" applyAlignment="1"/>
    <xf numFmtId="2" fontId="0" fillId="27" borderId="10" xfId="0" applyNumberFormat="1" applyFill="1" applyBorder="1" applyAlignment="1"/>
    <xf numFmtId="168" fontId="0" fillId="27" borderId="10" xfId="0" applyNumberFormat="1" applyFill="1" applyBorder="1" applyAlignment="1"/>
    <xf numFmtId="1" fontId="0" fillId="27" borderId="10" xfId="0" applyNumberFormat="1" applyFill="1" applyBorder="1" applyAlignment="1">
      <alignment horizontal="center"/>
    </xf>
    <xf numFmtId="0" fontId="0" fillId="28" borderId="10" xfId="0" applyFont="1" applyFill="1" applyBorder="1" applyAlignment="1"/>
    <xf numFmtId="172" fontId="0" fillId="28" borderId="10" xfId="0" applyNumberFormat="1" applyFont="1" applyFill="1" applyBorder="1" applyAlignment="1"/>
    <xf numFmtId="2" fontId="0" fillId="28" borderId="10" xfId="0" applyNumberFormat="1" applyFont="1" applyFill="1" applyBorder="1" applyAlignment="1"/>
    <xf numFmtId="168" fontId="0" fillId="28" borderId="10" xfId="0" applyNumberFormat="1" applyFont="1" applyFill="1" applyBorder="1" applyAlignment="1"/>
    <xf numFmtId="1" fontId="0" fillId="28" borderId="10" xfId="0" applyNumberFormat="1" applyFont="1" applyFill="1" applyBorder="1" applyAlignment="1">
      <alignment horizontal="center"/>
    </xf>
    <xf numFmtId="0" fontId="0" fillId="29" borderId="10" xfId="0" applyFill="1" applyBorder="1" applyAlignment="1"/>
    <xf numFmtId="172" fontId="0" fillId="29" borderId="10" xfId="0" applyNumberFormat="1" applyFill="1" applyBorder="1" applyAlignment="1"/>
    <xf numFmtId="2" fontId="0" fillId="29" borderId="10" xfId="0" applyNumberFormat="1" applyFill="1" applyBorder="1" applyAlignment="1"/>
    <xf numFmtId="168" fontId="0" fillId="29" borderId="10" xfId="0" applyNumberFormat="1" applyFill="1" applyBorder="1" applyAlignment="1"/>
    <xf numFmtId="1" fontId="0" fillId="29" borderId="10" xfId="0" applyNumberFormat="1" applyFill="1" applyBorder="1" applyAlignment="1">
      <alignment horizontal="center"/>
    </xf>
    <xf numFmtId="166" fontId="18" fillId="24" borderId="10" xfId="42" applyFont="1" applyFill="1" applyBorder="1"/>
    <xf numFmtId="0" fontId="0" fillId="0" borderId="10" xfId="0" applyFill="1" applyBorder="1"/>
    <xf numFmtId="2" fontId="0" fillId="0" borderId="0" xfId="0" applyNumberFormat="1"/>
    <xf numFmtId="0" fontId="0" fillId="0" borderId="0" xfId="0" applyAlignment="1">
      <alignment horizontal="left"/>
    </xf>
    <xf numFmtId="9" fontId="24" fillId="0" borderId="0" xfId="39" applyAlignment="1">
      <alignment horizontal="right"/>
    </xf>
    <xf numFmtId="1" fontId="24" fillId="0" borderId="0" xfId="39" applyNumberFormat="1" applyAlignment="1">
      <alignment horizontal="right"/>
    </xf>
    <xf numFmtId="178" fontId="24" fillId="0" borderId="0" xfId="39" applyNumberFormat="1" applyAlignment="1">
      <alignment horizontal="right"/>
    </xf>
    <xf numFmtId="0" fontId="18" fillId="0" borderId="10" xfId="0" applyFont="1" applyFill="1" applyBorder="1"/>
    <xf numFmtId="49" fontId="19" fillId="0" borderId="10" xfId="0" applyNumberFormat="1" applyFont="1" applyFill="1" applyBorder="1" applyAlignment="1">
      <alignment horizontal="center" vertical="center" shrinkToFit="1"/>
    </xf>
    <xf numFmtId="49" fontId="19" fillId="0" borderId="10" xfId="0" applyNumberFormat="1" applyFont="1" applyFill="1" applyBorder="1" applyAlignment="1">
      <alignment horizontal="center" shrinkToFit="1"/>
    </xf>
    <xf numFmtId="166" fontId="18" fillId="0" borderId="10" xfId="42" applyFont="1" applyFill="1" applyBorder="1" applyAlignment="1" applyProtection="1"/>
    <xf numFmtId="166" fontId="18" fillId="0" borderId="0" xfId="42" applyFont="1" applyFill="1" applyBorder="1" applyAlignment="1" applyProtection="1"/>
    <xf numFmtId="49" fontId="0" fillId="0" borderId="10" xfId="0" applyNumberFormat="1" applyBorder="1" applyAlignment="1">
      <alignment horizontal="center"/>
    </xf>
    <xf numFmtId="0" fontId="18" fillId="0" borderId="10" xfId="0" applyFont="1" applyFill="1" applyBorder="1" applyAlignment="1">
      <alignment horizontal="center" vertical="center" wrapText="1"/>
    </xf>
    <xf numFmtId="2" fontId="18" fillId="0" borderId="10" xfId="0" applyNumberFormat="1" applyFont="1" applyBorder="1" applyAlignment="1">
      <alignment horizontal="center" vertical="center" wrapText="1"/>
    </xf>
    <xf numFmtId="0" fontId="18" fillId="24" borderId="10" xfId="0" applyFont="1" applyFill="1" applyBorder="1" applyAlignment="1">
      <alignment horizontal="center" vertical="center" wrapText="1"/>
    </xf>
    <xf numFmtId="49" fontId="19" fillId="0" borderId="10" xfId="0" applyNumberFormat="1" applyFont="1" applyBorder="1" applyAlignment="1">
      <alignment horizontal="center" vertical="center" wrapText="1"/>
    </xf>
    <xf numFmtId="164" fontId="19" fillId="0" borderId="10" xfId="0" applyNumberFormat="1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1" fontId="0" fillId="0" borderId="13" xfId="0" applyNumberFormat="1" applyFill="1" applyBorder="1" applyAlignment="1">
      <alignment horizontal="center" vertical="center" textRotation="90"/>
    </xf>
    <xf numFmtId="1" fontId="18" fillId="0" borderId="12" xfId="0" applyNumberFormat="1" applyFont="1" applyFill="1" applyBorder="1" applyAlignment="1">
      <alignment horizontal="center" vertical="center" textRotation="90"/>
    </xf>
    <xf numFmtId="1" fontId="18" fillId="0" borderId="10" xfId="0" applyNumberFormat="1" applyFont="1" applyBorder="1" applyAlignment="1">
      <alignment horizontal="center"/>
    </xf>
    <xf numFmtId="1" fontId="0" fillId="0" borderId="14" xfId="0" applyNumberFormat="1" applyBorder="1" applyAlignment="1">
      <alignment horizontal="center" vertical="center" textRotation="90"/>
    </xf>
    <xf numFmtId="1" fontId="18" fillId="0" borderId="15" xfId="0" applyNumberFormat="1" applyFont="1" applyBorder="1" applyAlignment="1">
      <alignment horizontal="center" vertical="center" textRotation="90"/>
    </xf>
    <xf numFmtId="1" fontId="0" fillId="0" borderId="13" xfId="0" applyNumberFormat="1" applyBorder="1" applyAlignment="1">
      <alignment horizontal="center" vertical="center" textRotation="90"/>
    </xf>
    <xf numFmtId="1" fontId="18" fillId="0" borderId="12" xfId="0" applyNumberFormat="1" applyFont="1" applyBorder="1" applyAlignment="1">
      <alignment horizontal="center" vertical="center" textRotation="90"/>
    </xf>
    <xf numFmtId="1" fontId="18" fillId="0" borderId="15" xfId="0" applyNumberFormat="1" applyFont="1" applyFill="1" applyBorder="1" applyAlignment="1">
      <alignment horizontal="center" vertical="center" textRotation="90"/>
    </xf>
    <xf numFmtId="1" fontId="0" fillId="0" borderId="14" xfId="0" applyNumberFormat="1" applyFill="1" applyBorder="1" applyAlignment="1">
      <alignment horizontal="center" vertical="center" textRotation="90"/>
    </xf>
    <xf numFmtId="0" fontId="21" fillId="0" borderId="0" xfId="0" applyFont="1" applyBorder="1" applyAlignment="1">
      <alignment horizontal="center" vertical="center" wrapText="1"/>
    </xf>
    <xf numFmtId="14" fontId="0" fillId="0" borderId="10" xfId="42" applyNumberFormat="1" applyFont="1" applyBorder="1" applyAlignment="1">
      <alignment horizontal="center" vertical="center" wrapText="1"/>
    </xf>
    <xf numFmtId="14" fontId="24" fillId="0" borderId="10" xfId="42" applyNumberFormat="1" applyBorder="1" applyAlignment="1">
      <alignment horizontal="center" vertical="center" wrapText="1"/>
    </xf>
    <xf numFmtId="166" fontId="18" fillId="0" borderId="10" xfId="42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/>
    </xf>
    <xf numFmtId="0" fontId="18" fillId="0" borderId="10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center" vertical="center" wrapText="1" shrinkToFit="1"/>
    </xf>
    <xf numFmtId="174" fontId="18" fillId="0" borderId="10" xfId="0" applyNumberFormat="1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shrinkToFit="1"/>
    </xf>
    <xf numFmtId="0" fontId="0" fillId="0" borderId="11" xfId="0" applyFont="1" applyBorder="1" applyAlignment="1">
      <alignment horizontal="center" vertical="center" shrinkToFit="1"/>
    </xf>
    <xf numFmtId="0" fontId="20" fillId="4" borderId="10" xfId="0" applyNumberFormat="1" applyFont="1" applyFill="1" applyBorder="1" applyAlignment="1">
      <alignment horizontal="center" vertical="center" wrapText="1"/>
    </xf>
    <xf numFmtId="0" fontId="20" fillId="3" borderId="10" xfId="0" applyNumberFormat="1" applyFont="1" applyFill="1" applyBorder="1" applyAlignment="1">
      <alignment horizontal="center" vertical="center" wrapText="1"/>
    </xf>
  </cellXfs>
  <cellStyles count="44">
    <cellStyle name="20% - Акцент1" xfId="1" builtinId="30" customBuiltin="1"/>
    <cellStyle name="20% - Акцент2" xfId="2" builtinId="34" customBuiltin="1"/>
    <cellStyle name="20% - Акцент3" xfId="3" builtinId="38" customBuiltin="1"/>
    <cellStyle name="20% - Акцент4" xfId="4" builtinId="42" customBuiltin="1"/>
    <cellStyle name="20% - Акцент5" xfId="5" builtinId="46" customBuiltin="1"/>
    <cellStyle name="20% - Акцент6" xfId="6" builtinId="50" customBuiltin="1"/>
    <cellStyle name="40% - Акцент1" xfId="7" builtinId="31" customBuiltin="1"/>
    <cellStyle name="40% - Акцент2" xfId="8" builtinId="35" customBuiltin="1"/>
    <cellStyle name="40% - Акцент3" xfId="9" builtinId="39" customBuiltin="1"/>
    <cellStyle name="40% - Акцент4" xfId="10" builtinId="43" customBuiltin="1"/>
    <cellStyle name="40% - Акцент5" xfId="11" builtinId="47" customBuiltin="1"/>
    <cellStyle name="40% - Акцент6" xfId="12" builtinId="51" customBuiltin="1"/>
    <cellStyle name="60% - Акцент1" xfId="13" builtinId="32" customBuiltin="1"/>
    <cellStyle name="60% - Акцент2" xfId="14" builtinId="36" customBuiltin="1"/>
    <cellStyle name="60% - Акцент3" xfId="15" builtinId="40" customBuiltin="1"/>
    <cellStyle name="60% - Акцент4" xfId="16" builtinId="44" customBuiltin="1"/>
    <cellStyle name="60% - Акцент5" xfId="17" builtinId="48" customBuiltin="1"/>
    <cellStyle name="60% -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Плохой" xfId="36" builtinId="27" customBuiltin="1"/>
    <cellStyle name="Пояснение" xfId="37" builtinId="53" customBuiltin="1"/>
    <cellStyle name="Примечание" xfId="38" builtinId="10" customBuiltin="1"/>
    <cellStyle name="Процентный" xfId="39" builtinId="5"/>
    <cellStyle name="Связанная ячейка" xfId="40" builtinId="24" customBuiltin="1"/>
    <cellStyle name="Текст предупреждения" xfId="41" builtinId="11" customBuiltin="1"/>
    <cellStyle name="Финансовый" xfId="42" builtinId="3"/>
    <cellStyle name="Хороший" xfId="43" builtinId="26" customBuiltin="1"/>
  </cellStyles>
  <dxfs count="5">
    <dxf>
      <fill>
        <patternFill patternType="gray125">
          <fgColor auto="1"/>
          <bgColor theme="0" tint="-0.14996795556505021"/>
        </patternFill>
      </fill>
    </dxf>
    <dxf>
      <fill>
        <patternFill patternType="gray125">
          <fgColor auto="1"/>
          <bgColor theme="0" tint="-0.14996795556505021"/>
        </patternFill>
      </fill>
    </dxf>
    <dxf>
      <fill>
        <patternFill patternType="gray125">
          <fgColor auto="1"/>
          <bgColor theme="0" tint="-0.14996795556505021"/>
        </patternFill>
      </fill>
    </dxf>
    <dxf>
      <fill>
        <patternFill patternType="gray125">
          <fgColor auto="1"/>
          <bgColor theme="0" tint="-0.14996795556505021"/>
        </patternFill>
      </fill>
    </dxf>
    <dxf>
      <fill>
        <patternFill patternType="gray125">
          <fgColor auto="1"/>
          <bgColor theme="0" tint="-0.1499679555650502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7F7FBF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CCFF99"/>
      <color rgb="FFFD7D73"/>
      <color rgb="FFFEB9B4"/>
      <color rgb="FFFF9966"/>
      <color rgb="FFFFFFCC"/>
      <color rgb="FFE8FFD1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49"/>
  <sheetViews>
    <sheetView view="pageBreakPreview" topLeftCell="A4" zoomScale="115" zoomScaleSheetLayoutView="115" workbookViewId="0">
      <selection activeCell="A3" sqref="A3:A32"/>
    </sheetView>
  </sheetViews>
  <sheetFormatPr defaultRowHeight="12.75"/>
  <cols>
    <col min="1" max="1" width="5" style="1" customWidth="1"/>
    <col min="2" max="2" width="33.42578125" customWidth="1"/>
    <col min="3" max="3" width="10.5703125" customWidth="1"/>
    <col min="4" max="4" width="9.7109375" style="2" bestFit="1" customWidth="1"/>
    <col min="5" max="6" width="10.5703125" customWidth="1"/>
    <col min="7" max="17" width="3.85546875" customWidth="1"/>
    <col min="18" max="20" width="6.42578125" hidden="1" customWidth="1"/>
    <col min="21" max="21" width="10.85546875" customWidth="1"/>
    <col min="22" max="22" width="10.42578125" customWidth="1"/>
    <col min="23" max="23" width="10.28515625" customWidth="1"/>
    <col min="24" max="24" width="10.28515625" style="3" customWidth="1"/>
    <col min="25" max="25" width="12.5703125" style="4" customWidth="1"/>
    <col min="26" max="27" width="10.28515625" style="4" customWidth="1"/>
    <col min="28" max="16384" width="9.140625" style="4"/>
  </cols>
  <sheetData>
    <row r="1" spans="1:27" ht="12.75" customHeight="1">
      <c r="A1" s="192" t="s">
        <v>0</v>
      </c>
      <c r="B1" s="192" t="s">
        <v>1</v>
      </c>
      <c r="C1" s="192" t="s">
        <v>2</v>
      </c>
      <c r="D1" s="189" t="s">
        <v>3</v>
      </c>
      <c r="E1" s="190" t="s">
        <v>4</v>
      </c>
      <c r="F1" s="191" t="s">
        <v>5</v>
      </c>
      <c r="G1" s="187" t="s">
        <v>6</v>
      </c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6" t="s">
        <v>7</v>
      </c>
      <c r="V1" s="186" t="s">
        <v>8</v>
      </c>
      <c r="W1" s="188" t="s">
        <v>9</v>
      </c>
      <c r="X1" s="186" t="s">
        <v>10</v>
      </c>
      <c r="Y1" s="186" t="s">
        <v>11</v>
      </c>
      <c r="Z1" s="186" t="s">
        <v>12</v>
      </c>
      <c r="AA1" s="186" t="s">
        <v>13</v>
      </c>
    </row>
    <row r="2" spans="1:27">
      <c r="A2" s="192"/>
      <c r="B2" s="192"/>
      <c r="C2" s="192"/>
      <c r="D2" s="189"/>
      <c r="E2" s="190"/>
      <c r="F2" s="191"/>
      <c r="G2" s="6" t="s">
        <v>14</v>
      </c>
      <c r="H2" s="7" t="s">
        <v>15</v>
      </c>
      <c r="I2" s="7" t="s">
        <v>16</v>
      </c>
      <c r="J2" s="7" t="s">
        <v>14</v>
      </c>
      <c r="K2" s="8" t="s">
        <v>15</v>
      </c>
      <c r="L2" s="8" t="s">
        <v>16</v>
      </c>
      <c r="M2" s="8" t="s">
        <v>14</v>
      </c>
      <c r="N2" s="6" t="s">
        <v>15</v>
      </c>
      <c r="O2" s="6" t="s">
        <v>16</v>
      </c>
      <c r="P2" s="6" t="s">
        <v>14</v>
      </c>
      <c r="Q2" s="9" t="s">
        <v>15</v>
      </c>
      <c r="R2" s="9" t="s">
        <v>16</v>
      </c>
      <c r="S2" s="9" t="s">
        <v>14</v>
      </c>
      <c r="T2" s="10" t="s">
        <v>15</v>
      </c>
      <c r="U2" s="186"/>
      <c r="V2" s="186"/>
      <c r="W2" s="188"/>
      <c r="X2" s="186"/>
      <c r="Y2" s="186"/>
      <c r="Z2" s="186"/>
      <c r="AA2" s="186"/>
    </row>
    <row r="3" spans="1:27">
      <c r="A3" s="11">
        <v>1</v>
      </c>
      <c r="B3" s="142" t="s">
        <v>17</v>
      </c>
      <c r="C3" s="13">
        <v>41759</v>
      </c>
      <c r="D3" s="181" t="s">
        <v>239</v>
      </c>
      <c r="E3" s="15">
        <v>41762</v>
      </c>
      <c r="F3" s="181" t="s">
        <v>239</v>
      </c>
      <c r="G3" s="17">
        <f>IF(C3=DATE(2014,4,30),1,0)</f>
        <v>1</v>
      </c>
      <c r="H3" s="18">
        <f>IF(C3=DATE(2014,4,30),IF(E3&gt;DATE(2014,4,30),1,0),0)</f>
        <v>1</v>
      </c>
      <c r="I3" s="18">
        <f>IF(C3&lt;=DATE(2014,5,1),IF(E3&gt;DATE(2014,5,1),1,0),0)</f>
        <v>1</v>
      </c>
      <c r="J3" s="18">
        <f>IF(C3&lt;=DATE(2014,5,1),IF(E3&gt;DATE(2014,5,1),1,0),0)</f>
        <v>1</v>
      </c>
      <c r="K3" s="19">
        <f>IF(C3&lt;=DATE(2014,5,1),IF(E3&gt;DATE(2014,5,1),1,0),0)</f>
        <v>1</v>
      </c>
      <c r="L3" s="19">
        <f>IF(C3&lt;=DATE(2014,5,2),IF(E3&gt;=DATE(2014,5,2),1,0),0)</f>
        <v>1</v>
      </c>
      <c r="M3" s="19">
        <f>IF(C3&lt;=DATE(2014,5,2),IF(E3&gt;DATE(2014,5,2),1,0),0)</f>
        <v>1</v>
      </c>
      <c r="N3" s="20">
        <f>IF(C3&lt;=DATE(2014,5,2),IF(E3&gt;DATE(2014,5,2),1,0),0)</f>
        <v>1</v>
      </c>
      <c r="O3" s="20">
        <f>IF(C3&lt;=DATE(2014,5,3),IF(E3&gt;=DATE(2014,5,3),1,0),0)</f>
        <v>1</v>
      </c>
      <c r="P3" s="20">
        <f>IF(C3&lt;=DATE(2014,5,3),IF(E3&gt;DATE(2014,5,3),1,0),0)</f>
        <v>0</v>
      </c>
      <c r="Q3" s="21">
        <f>IF(C3&lt;=DATE(2014,5,3),IF(E3&gt;=DATE(2014,5,4),1,0),0)</f>
        <v>0</v>
      </c>
      <c r="R3" s="21"/>
      <c r="S3" s="21"/>
      <c r="T3" s="22"/>
      <c r="U3" s="23">
        <f t="shared" ref="U3:U35" si="0">$E$44/$G$36*G3+$C$45/$H$36*H3+$D$45/$I$36*I3+$E$45/$J$36*J3+$C$46/$K$36*K3+$D$46/$L$36*L3+$E$46/$M$36*M3+$C$47/$N$36*N3+$D$47/$O$36*O3</f>
        <v>994.61444258138249</v>
      </c>
      <c r="V3" s="23">
        <f>НОМ!$I$90/НОМ!$I$70*РАСЧЕТЫ!U3</f>
        <v>59.965666127421343</v>
      </c>
      <c r="W3" s="24">
        <f t="shared" ref="W3:W35" si="1">U3+V3</f>
        <v>1054.5801087088039</v>
      </c>
      <c r="X3" s="25"/>
      <c r="Y3" s="23"/>
      <c r="Z3" s="23">
        <f>IF(ISNA(HLOOKUP(B3,остатки!$A$1:$U$28,27,FALSE))=TRUE,0,HLOOKUP(B3,остатки!$A$1:$U$28,27,FALSE))</f>
        <v>0</v>
      </c>
      <c r="AA3" s="26">
        <f t="shared" ref="AA3:AA35" si="2">X3+Y3-W3-Z3</f>
        <v>-1054.5801087088039</v>
      </c>
    </row>
    <row r="4" spans="1:27">
      <c r="A4" s="11">
        <v>2</v>
      </c>
      <c r="B4" s="142" t="s">
        <v>18</v>
      </c>
      <c r="C4" s="13">
        <v>41759</v>
      </c>
      <c r="D4" s="181" t="s">
        <v>239</v>
      </c>
      <c r="E4" s="13">
        <v>41761</v>
      </c>
      <c r="F4" s="182" t="s">
        <v>182</v>
      </c>
      <c r="G4" s="17">
        <f t="shared" ref="G4:G35" si="3">IF(C4=DATE(2014,4,30),1,0)</f>
        <v>1</v>
      </c>
      <c r="H4" s="18">
        <f t="shared" ref="H4:H35" si="4">IF(C4=DATE(2014,4,30),IF(E4&gt;DATE(2014,4,30),1,0),0)</f>
        <v>1</v>
      </c>
      <c r="I4" s="18">
        <f t="shared" ref="I4:I35" si="5">IF(C4&lt;=DATE(2014,5,1),IF(E4&gt;DATE(2014,5,1),1,0),0)</f>
        <v>1</v>
      </c>
      <c r="J4" s="18">
        <f t="shared" ref="J4:J35" si="6">IF(C4&lt;=DATE(2014,5,1),IF(E4&gt;DATE(2014,5,1),1,0),0)</f>
        <v>1</v>
      </c>
      <c r="K4" s="19">
        <f t="shared" ref="K4:K35" si="7">IF(C4&lt;=DATE(2014,5,1),IF(E4&gt;DATE(2014,5,1),1,0),0)</f>
        <v>1</v>
      </c>
      <c r="L4" s="214">
        <v>0</v>
      </c>
      <c r="M4" s="19">
        <f t="shared" ref="M4:M35" si="8">IF(C4&lt;=DATE(2014,5,2),IF(E4&gt;DATE(2014,5,2),1,0),0)</f>
        <v>0</v>
      </c>
      <c r="N4" s="20">
        <f t="shared" ref="N4:N35" si="9">IF(C4&lt;=DATE(2014,5,2),IF(E4&gt;DATE(2014,5,2),1,0),0)</f>
        <v>0</v>
      </c>
      <c r="O4" s="20">
        <f t="shared" ref="O4:O35" si="10">IF(C4&lt;=DATE(2014,5,3),IF(E4&gt;=DATE(2014,5,3),1,0),0)</f>
        <v>0</v>
      </c>
      <c r="P4" s="20">
        <f t="shared" ref="P4:P35" si="11">IF(C4&lt;=DATE(2014,5,3),IF(E4&gt;DATE(2014,5,3),1,0),0)</f>
        <v>0</v>
      </c>
      <c r="Q4" s="21">
        <f t="shared" ref="Q4:Q35" si="12">IF(C4&lt;=DATE(2014,5,3),IF(E4&gt;=DATE(2014,5,4),1,0),0)</f>
        <v>0</v>
      </c>
      <c r="R4" s="21"/>
      <c r="S4" s="21"/>
      <c r="T4" s="22"/>
      <c r="U4" s="23">
        <f t="shared" si="0"/>
        <v>592.77314381734686</v>
      </c>
      <c r="V4" s="23">
        <f>НОМ!$I$90/НОМ!$I$70*РАСЧЕТЫ!U4</f>
        <v>35.738508219524924</v>
      </c>
      <c r="W4" s="24">
        <f t="shared" si="1"/>
        <v>628.51165203687174</v>
      </c>
      <c r="X4" s="25"/>
      <c r="Y4" s="23"/>
      <c r="Z4" s="23">
        <f>IF(ISNA(HLOOKUP(B4,остатки!$A$1:$U$28,27,FALSE))=TRUE,0,HLOOKUP(B4,остатки!$A$1:$U$28,27,FALSE))</f>
        <v>0</v>
      </c>
      <c r="AA4" s="26">
        <f t="shared" si="2"/>
        <v>-628.51165203687174</v>
      </c>
    </row>
    <row r="5" spans="1:27">
      <c r="A5" s="11">
        <v>3</v>
      </c>
      <c r="B5" s="142" t="s">
        <v>19</v>
      </c>
      <c r="C5" s="13">
        <v>41759</v>
      </c>
      <c r="D5" s="181" t="s">
        <v>239</v>
      </c>
      <c r="E5" s="15">
        <v>41761</v>
      </c>
      <c r="F5" s="182" t="s">
        <v>173</v>
      </c>
      <c r="G5" s="17">
        <f t="shared" si="3"/>
        <v>1</v>
      </c>
      <c r="H5" s="18">
        <f t="shared" si="4"/>
        <v>1</v>
      </c>
      <c r="I5" s="18">
        <f t="shared" si="5"/>
        <v>1</v>
      </c>
      <c r="J5" s="18">
        <f t="shared" si="6"/>
        <v>1</v>
      </c>
      <c r="K5" s="19">
        <f t="shared" si="7"/>
        <v>1</v>
      </c>
      <c r="L5" s="19">
        <f t="shared" ref="L4:L35" si="13">IF(C5&lt;=DATE(2014,5,2),IF(E5&gt;=DATE(2014,5,2),1,0),0)</f>
        <v>1</v>
      </c>
      <c r="M5" s="19">
        <f t="shared" si="8"/>
        <v>0</v>
      </c>
      <c r="N5" s="20">
        <f t="shared" si="9"/>
        <v>0</v>
      </c>
      <c r="O5" s="20">
        <f t="shared" si="10"/>
        <v>0</v>
      </c>
      <c r="P5" s="20">
        <f t="shared" si="11"/>
        <v>0</v>
      </c>
      <c r="Q5" s="21">
        <f t="shared" si="12"/>
        <v>0</v>
      </c>
      <c r="R5" s="21"/>
      <c r="S5" s="21"/>
      <c r="T5" s="22"/>
      <c r="U5" s="23">
        <f t="shared" si="0"/>
        <v>667.67467128120916</v>
      </c>
      <c r="V5" s="23">
        <f>НОМ!$I$90/НОМ!$I$70*РАСЧЕТЫ!U5</f>
        <v>40.254348525115837</v>
      </c>
      <c r="W5" s="24">
        <f t="shared" si="1"/>
        <v>707.92901980632496</v>
      </c>
      <c r="X5" s="25"/>
      <c r="Y5" s="23"/>
      <c r="Z5" s="23">
        <f>IF(ISNA(HLOOKUP(B5,остатки!$A$1:$U$28,27,FALSE))=TRUE,0,HLOOKUP(B5,остатки!$A$1:$U$28,27,FALSE))</f>
        <v>0</v>
      </c>
      <c r="AA5" s="26">
        <f t="shared" si="2"/>
        <v>-707.92901980632496</v>
      </c>
    </row>
    <row r="6" spans="1:27">
      <c r="A6" s="11">
        <v>4</v>
      </c>
      <c r="B6" s="142" t="s">
        <v>251</v>
      </c>
      <c r="C6" s="13">
        <v>41759</v>
      </c>
      <c r="D6" s="181" t="s">
        <v>161</v>
      </c>
      <c r="E6" s="15">
        <v>41762</v>
      </c>
      <c r="F6" s="181" t="s">
        <v>161</v>
      </c>
      <c r="G6" s="17">
        <f t="shared" si="3"/>
        <v>1</v>
      </c>
      <c r="H6" s="18">
        <f t="shared" si="4"/>
        <v>1</v>
      </c>
      <c r="I6" s="18">
        <f t="shared" si="5"/>
        <v>1</v>
      </c>
      <c r="J6" s="18">
        <f t="shared" si="6"/>
        <v>1</v>
      </c>
      <c r="K6" s="19">
        <f t="shared" si="7"/>
        <v>1</v>
      </c>
      <c r="L6" s="19">
        <f t="shared" si="13"/>
        <v>1</v>
      </c>
      <c r="M6" s="19">
        <f t="shared" si="8"/>
        <v>1</v>
      </c>
      <c r="N6" s="20">
        <f t="shared" si="9"/>
        <v>1</v>
      </c>
      <c r="O6" s="20">
        <f t="shared" si="10"/>
        <v>1</v>
      </c>
      <c r="P6" s="20">
        <f t="shared" si="11"/>
        <v>0</v>
      </c>
      <c r="Q6" s="21">
        <f t="shared" si="12"/>
        <v>0</v>
      </c>
      <c r="R6" s="21"/>
      <c r="S6" s="21"/>
      <c r="T6" s="22"/>
      <c r="U6" s="23">
        <f t="shared" si="0"/>
        <v>994.61444258138249</v>
      </c>
      <c r="V6" s="23">
        <f>НОМ!$I$90/НОМ!$I$70*РАСЧЕТЫ!U6</f>
        <v>59.965666127421343</v>
      </c>
      <c r="W6" s="24">
        <f t="shared" si="1"/>
        <v>1054.5801087088039</v>
      </c>
      <c r="X6" s="25"/>
      <c r="Y6" s="23"/>
      <c r="Z6" s="23">
        <f>IF(ISNA(HLOOKUP(B6,остатки!$A$1:$U$28,27,FALSE))=TRUE,0,HLOOKUP(B6,остатки!$A$1:$U$28,27,FALSE))</f>
        <v>0</v>
      </c>
      <c r="AA6" s="26">
        <f t="shared" si="2"/>
        <v>-1054.5801087088039</v>
      </c>
    </row>
    <row r="7" spans="1:27">
      <c r="A7" s="11">
        <v>5</v>
      </c>
      <c r="B7" s="142" t="s">
        <v>20</v>
      </c>
      <c r="C7" s="13">
        <v>41759</v>
      </c>
      <c r="D7" s="181" t="s">
        <v>161</v>
      </c>
      <c r="E7" s="15">
        <v>41762</v>
      </c>
      <c r="F7" s="181" t="s">
        <v>161</v>
      </c>
      <c r="G7" s="17">
        <f t="shared" ref="G7" si="14">IF(C7=DATE(2014,4,30),1,0)</f>
        <v>1</v>
      </c>
      <c r="H7" s="18">
        <f t="shared" ref="H7" si="15">IF(C7=DATE(2014,4,30),IF(E7&gt;DATE(2014,4,30),1,0),0)</f>
        <v>1</v>
      </c>
      <c r="I7" s="18">
        <f t="shared" ref="I7" si="16">IF(C7&lt;=DATE(2014,5,1),IF(E7&gt;DATE(2014,5,1),1,0),0)</f>
        <v>1</v>
      </c>
      <c r="J7" s="18">
        <f t="shared" ref="J7" si="17">IF(C7&lt;=DATE(2014,5,1),IF(E7&gt;DATE(2014,5,1),1,0),0)</f>
        <v>1</v>
      </c>
      <c r="K7" s="19">
        <f t="shared" ref="K7" si="18">IF(C7&lt;=DATE(2014,5,1),IF(E7&gt;DATE(2014,5,1),1,0),0)</f>
        <v>1</v>
      </c>
      <c r="L7" s="19">
        <f t="shared" ref="L7" si="19">IF(C7&lt;=DATE(2014,5,2),IF(E7&gt;=DATE(2014,5,2),1,0),0)</f>
        <v>1</v>
      </c>
      <c r="M7" s="19">
        <f t="shared" ref="M7" si="20">IF(C7&lt;=DATE(2014,5,2),IF(E7&gt;DATE(2014,5,2),1,0),0)</f>
        <v>1</v>
      </c>
      <c r="N7" s="20">
        <f t="shared" ref="N7" si="21">IF(C7&lt;=DATE(2014,5,2),IF(E7&gt;DATE(2014,5,2),1,0),0)</f>
        <v>1</v>
      </c>
      <c r="O7" s="20">
        <f t="shared" ref="O7" si="22">IF(C7&lt;=DATE(2014,5,3),IF(E7&gt;=DATE(2014,5,3),1,0),0)</f>
        <v>1</v>
      </c>
      <c r="P7" s="20">
        <f t="shared" ref="P7" si="23">IF(C7&lt;=DATE(2014,5,3),IF(E7&gt;DATE(2014,5,3),1,0),0)</f>
        <v>0</v>
      </c>
      <c r="Q7" s="21">
        <f t="shared" ref="Q7" si="24">IF(C7&lt;=DATE(2014,5,3),IF(E7&gt;=DATE(2014,5,4),1,0),0)</f>
        <v>0</v>
      </c>
      <c r="R7" s="21"/>
      <c r="S7" s="21"/>
      <c r="T7" s="22"/>
      <c r="U7" s="23">
        <f t="shared" si="0"/>
        <v>994.61444258138249</v>
      </c>
      <c r="V7" s="23">
        <f>НОМ!$I$90/НОМ!$I$70*РАСЧЕТЫ!U7</f>
        <v>59.965666127421343</v>
      </c>
      <c r="W7" s="24">
        <f t="shared" ref="W7" si="25">U7+V7</f>
        <v>1054.5801087088039</v>
      </c>
      <c r="X7" s="25"/>
      <c r="Y7" s="23"/>
      <c r="Z7" s="23">
        <f>IF(ISNA(HLOOKUP(B7,остатки!$A$1:$U$28,27,FALSE))=TRUE,0,HLOOKUP(B7,остатки!$A$1:$U$28,27,FALSE))</f>
        <v>0</v>
      </c>
      <c r="AA7" s="26">
        <f t="shared" ref="AA7" si="26">X7+Y7-W7-Z7</f>
        <v>-1054.5801087088039</v>
      </c>
    </row>
    <row r="8" spans="1:27">
      <c r="A8" s="11">
        <v>6</v>
      </c>
      <c r="B8" s="142" t="s">
        <v>21</v>
      </c>
      <c r="C8" s="13">
        <v>41760</v>
      </c>
      <c r="D8" s="182" t="s">
        <v>236</v>
      </c>
      <c r="E8" s="15">
        <v>41762</v>
      </c>
      <c r="F8" s="182" t="s">
        <v>238</v>
      </c>
      <c r="G8" s="17">
        <f t="shared" si="3"/>
        <v>0</v>
      </c>
      <c r="H8" s="18">
        <f t="shared" si="4"/>
        <v>0</v>
      </c>
      <c r="I8" s="214">
        <v>0</v>
      </c>
      <c r="J8" s="18">
        <f t="shared" si="6"/>
        <v>1</v>
      </c>
      <c r="K8" s="19">
        <f t="shared" si="7"/>
        <v>1</v>
      </c>
      <c r="L8" s="19">
        <f t="shared" si="13"/>
        <v>1</v>
      </c>
      <c r="M8" s="19">
        <f t="shared" si="8"/>
        <v>1</v>
      </c>
      <c r="N8" s="20">
        <f t="shared" si="9"/>
        <v>1</v>
      </c>
      <c r="O8" s="20">
        <f t="shared" si="10"/>
        <v>1</v>
      </c>
      <c r="P8" s="20">
        <f t="shared" si="11"/>
        <v>0</v>
      </c>
      <c r="Q8" s="21">
        <f t="shared" si="12"/>
        <v>0</v>
      </c>
      <c r="R8" s="21"/>
      <c r="S8" s="21"/>
      <c r="T8" s="22"/>
      <c r="U8" s="23">
        <f t="shared" si="0"/>
        <v>652.97592369952099</v>
      </c>
      <c r="V8" s="23">
        <f>НОМ!$I$90/НОМ!$I$70*РАСЧЕТЫ!U8</f>
        <v>39.36815569275845</v>
      </c>
      <c r="W8" s="24">
        <f t="shared" si="1"/>
        <v>692.34407939227947</v>
      </c>
      <c r="X8" s="25">
        <v>700</v>
      </c>
      <c r="Y8" s="23"/>
      <c r="Z8" s="23">
        <f>IF(ISNA(HLOOKUP(B8,остатки!$A$1:$U$28,27,FALSE))=TRUE,0,HLOOKUP(B8,остатки!$A$1:$U$28,27,FALSE))</f>
        <v>0</v>
      </c>
      <c r="AA8" s="26">
        <f t="shared" si="2"/>
        <v>7.6559206077205317</v>
      </c>
    </row>
    <row r="9" spans="1:27">
      <c r="A9" s="11">
        <v>7</v>
      </c>
      <c r="B9" s="142" t="s">
        <v>258</v>
      </c>
      <c r="C9" s="13">
        <v>41760</v>
      </c>
      <c r="D9" s="182" t="s">
        <v>236</v>
      </c>
      <c r="E9" s="15">
        <v>41762</v>
      </c>
      <c r="F9" s="182" t="s">
        <v>238</v>
      </c>
      <c r="G9" s="17">
        <f t="shared" ref="G9" si="27">IF(C9=DATE(2014,4,30),1,0)</f>
        <v>0</v>
      </c>
      <c r="H9" s="18">
        <f t="shared" ref="H9" si="28">IF(C9=DATE(2014,4,30),IF(E9&gt;DATE(2014,4,30),1,0),0)</f>
        <v>0</v>
      </c>
      <c r="I9" s="214">
        <v>0</v>
      </c>
      <c r="J9" s="18">
        <f t="shared" ref="J9" si="29">IF(C9&lt;=DATE(2014,5,1),IF(E9&gt;DATE(2014,5,1),1,0),0)</f>
        <v>1</v>
      </c>
      <c r="K9" s="19">
        <f t="shared" ref="K9" si="30">IF(C9&lt;=DATE(2014,5,1),IF(E9&gt;DATE(2014,5,1),1,0),0)</f>
        <v>1</v>
      </c>
      <c r="L9" s="19">
        <f t="shared" ref="L9" si="31">IF(C9&lt;=DATE(2014,5,2),IF(E9&gt;=DATE(2014,5,2),1,0),0)</f>
        <v>1</v>
      </c>
      <c r="M9" s="19">
        <f t="shared" ref="M9" si="32">IF(C9&lt;=DATE(2014,5,2),IF(E9&gt;DATE(2014,5,2),1,0),0)</f>
        <v>1</v>
      </c>
      <c r="N9" s="20">
        <f t="shared" ref="N9" si="33">IF(C9&lt;=DATE(2014,5,2),IF(E9&gt;DATE(2014,5,2),1,0),0)</f>
        <v>1</v>
      </c>
      <c r="O9" s="20">
        <f t="shared" ref="O9" si="34">IF(C9&lt;=DATE(2014,5,3),IF(E9&gt;=DATE(2014,5,3),1,0),0)</f>
        <v>1</v>
      </c>
      <c r="P9" s="20">
        <f t="shared" ref="P9" si="35">IF(C9&lt;=DATE(2014,5,3),IF(E9&gt;DATE(2014,5,3),1,0),0)</f>
        <v>0</v>
      </c>
      <c r="Q9" s="21">
        <f t="shared" ref="Q9" si="36">IF(C9&lt;=DATE(2014,5,3),IF(E9&gt;=DATE(2014,5,4),1,0),0)</f>
        <v>0</v>
      </c>
      <c r="R9" s="21"/>
      <c r="S9" s="21"/>
      <c r="T9" s="22"/>
      <c r="U9" s="23">
        <f t="shared" ref="U9" si="37">$E$44/$G$36*G9+$C$45/$H$36*H9+$D$45/$I$36*I9+$E$45/$J$36*J9+$C$46/$K$36*K9+$D$46/$L$36*L9+$E$46/$M$36*M9+$C$47/$N$36*N9+$D$47/$O$36*O9</f>
        <v>652.97592369952099</v>
      </c>
      <c r="V9" s="23">
        <f>НОМ!$I$90/НОМ!$I$70*РАСЧЕТЫ!U9</f>
        <v>39.36815569275845</v>
      </c>
      <c r="W9" s="24">
        <f t="shared" ref="W9" si="38">U9+V9</f>
        <v>692.34407939227947</v>
      </c>
      <c r="X9" s="25">
        <v>700</v>
      </c>
      <c r="Y9" s="23"/>
      <c r="Z9" s="23">
        <f>IF(ISNA(HLOOKUP(B9,остатки!$A$1:$U$28,27,FALSE))=TRUE,0,HLOOKUP(B9,остатки!$A$1:$U$28,27,FALSE))</f>
        <v>0</v>
      </c>
      <c r="AA9" s="26">
        <f t="shared" ref="AA9" si="39">X9+Y9-W9-Z9</f>
        <v>7.6559206077205317</v>
      </c>
    </row>
    <row r="10" spans="1:27">
      <c r="A10" s="11">
        <v>8</v>
      </c>
      <c r="B10" s="142" t="s">
        <v>252</v>
      </c>
      <c r="C10" s="13">
        <v>41760</v>
      </c>
      <c r="D10" s="182" t="s">
        <v>180</v>
      </c>
      <c r="E10" s="15">
        <v>41762</v>
      </c>
      <c r="F10" s="182" t="s">
        <v>180</v>
      </c>
      <c r="G10" s="17">
        <f t="shared" ref="G10" si="40">IF(C10=DATE(2014,4,30),1,0)</f>
        <v>0</v>
      </c>
      <c r="H10" s="18">
        <f t="shared" ref="H10" si="41">IF(C10=DATE(2014,4,30),IF(E10&gt;DATE(2014,4,30),1,0),0)</f>
        <v>0</v>
      </c>
      <c r="I10" s="18">
        <f t="shared" si="5"/>
        <v>1</v>
      </c>
      <c r="J10" s="18">
        <f t="shared" ref="J10" si="42">IF(C10&lt;=DATE(2014,5,1),IF(E10&gt;DATE(2014,5,1),1,0),0)</f>
        <v>1</v>
      </c>
      <c r="K10" s="19">
        <f t="shared" ref="K10" si="43">IF(C10&lt;=DATE(2014,5,1),IF(E10&gt;DATE(2014,5,1),1,0),0)</f>
        <v>1</v>
      </c>
      <c r="L10" s="19">
        <f t="shared" ref="L10" si="44">IF(C10&lt;=DATE(2014,5,2),IF(E10&gt;=DATE(2014,5,2),1,0),0)</f>
        <v>1</v>
      </c>
      <c r="M10" s="19">
        <f t="shared" ref="M10" si="45">IF(C10&lt;=DATE(2014,5,2),IF(E10&gt;DATE(2014,5,2),1,0),0)</f>
        <v>1</v>
      </c>
      <c r="N10" s="20">
        <f t="shared" ref="N10" si="46">IF(C10&lt;=DATE(2014,5,2),IF(E10&gt;DATE(2014,5,2),1,0),0)</f>
        <v>1</v>
      </c>
      <c r="O10" s="214">
        <v>0</v>
      </c>
      <c r="P10" s="20">
        <f t="shared" ref="P10" si="47">IF(C10&lt;=DATE(2014,5,3),IF(E10&gt;DATE(2014,5,3),1,0),0)</f>
        <v>0</v>
      </c>
      <c r="Q10" s="21">
        <f t="shared" ref="Q10" si="48">IF(C10&lt;=DATE(2014,5,3),IF(E10&gt;=DATE(2014,5,4),1,0),0)</f>
        <v>0</v>
      </c>
      <c r="R10" s="21"/>
      <c r="S10" s="21"/>
      <c r="T10" s="22"/>
      <c r="U10" s="23">
        <f t="shared" si="0"/>
        <v>650.20722013546163</v>
      </c>
      <c r="V10" s="23">
        <f>НОМ!$I$90/НОМ!$I$70*РАСЧЕТЫ!U10</f>
        <v>39.201229548897835</v>
      </c>
      <c r="W10" s="24">
        <f t="shared" ref="W10" si="49">U10+V10</f>
        <v>689.40844968435943</v>
      </c>
      <c r="X10" s="25"/>
      <c r="Y10" s="23"/>
      <c r="Z10" s="23">
        <f>IF(ISNA(HLOOKUP(B10,остатки!$A$1:$U$28,27,FALSE))=TRUE,0,HLOOKUP(B10,остатки!$A$1:$U$28,27,FALSE))</f>
        <v>0</v>
      </c>
      <c r="AA10" s="26">
        <f t="shared" ref="AA10" si="50">X10+Y10-W10-Z10</f>
        <v>-689.40844968435943</v>
      </c>
    </row>
    <row r="11" spans="1:27">
      <c r="A11" s="11">
        <v>9</v>
      </c>
      <c r="B11" s="142" t="s">
        <v>22</v>
      </c>
      <c r="C11" s="13">
        <v>41760</v>
      </c>
      <c r="D11" s="181" t="s">
        <v>179</v>
      </c>
      <c r="E11" s="13">
        <v>41761</v>
      </c>
      <c r="F11" s="181" t="s">
        <v>179</v>
      </c>
      <c r="G11" s="17">
        <f t="shared" si="3"/>
        <v>0</v>
      </c>
      <c r="H11" s="18">
        <f t="shared" si="4"/>
        <v>0</v>
      </c>
      <c r="I11" s="18">
        <f t="shared" si="5"/>
        <v>1</v>
      </c>
      <c r="J11" s="18">
        <f t="shared" si="6"/>
        <v>1</v>
      </c>
      <c r="K11" s="19">
        <f t="shared" si="7"/>
        <v>1</v>
      </c>
      <c r="L11" s="19">
        <f t="shared" si="13"/>
        <v>1</v>
      </c>
      <c r="M11" s="19">
        <f t="shared" si="8"/>
        <v>0</v>
      </c>
      <c r="N11" s="20">
        <f t="shared" si="9"/>
        <v>0</v>
      </c>
      <c r="O11" s="20">
        <f t="shared" si="10"/>
        <v>0</v>
      </c>
      <c r="P11" s="20">
        <f t="shared" si="11"/>
        <v>0</v>
      </c>
      <c r="Q11" s="21">
        <f t="shared" si="12"/>
        <v>0</v>
      </c>
      <c r="R11" s="21"/>
      <c r="S11" s="21"/>
      <c r="T11" s="22"/>
      <c r="U11" s="23">
        <f t="shared" si="0"/>
        <v>412.54457023801029</v>
      </c>
      <c r="V11" s="23">
        <f>НОМ!$I$90/НОМ!$I$70*РАСЧЕТЫ!U11</f>
        <v>24.872462033999536</v>
      </c>
      <c r="W11" s="24">
        <f t="shared" si="1"/>
        <v>437.41703227200981</v>
      </c>
      <c r="X11" s="25"/>
      <c r="Y11" s="23"/>
      <c r="Z11" s="23">
        <f>IF(ISNA(HLOOKUP(B11,остатки!$A$1:$U$28,27,FALSE))=TRUE,0,HLOOKUP(B11,остатки!$A$1:$U$28,27,FALSE))</f>
        <v>0</v>
      </c>
      <c r="AA11" s="26">
        <f t="shared" si="2"/>
        <v>-437.41703227200981</v>
      </c>
    </row>
    <row r="12" spans="1:27">
      <c r="A12" s="11">
        <v>10</v>
      </c>
      <c r="B12" s="142" t="s">
        <v>23</v>
      </c>
      <c r="C12" s="13">
        <v>41760</v>
      </c>
      <c r="D12" s="181" t="s">
        <v>179</v>
      </c>
      <c r="E12" s="13">
        <v>41761</v>
      </c>
      <c r="F12" s="181" t="s">
        <v>179</v>
      </c>
      <c r="G12" s="17">
        <f t="shared" si="3"/>
        <v>0</v>
      </c>
      <c r="H12" s="18">
        <f t="shared" si="4"/>
        <v>0</v>
      </c>
      <c r="I12" s="18">
        <f t="shared" si="5"/>
        <v>1</v>
      </c>
      <c r="J12" s="18">
        <f t="shared" si="6"/>
        <v>1</v>
      </c>
      <c r="K12" s="19">
        <f t="shared" si="7"/>
        <v>1</v>
      </c>
      <c r="L12" s="19">
        <f t="shared" si="13"/>
        <v>1</v>
      </c>
      <c r="M12" s="19">
        <f t="shared" si="8"/>
        <v>0</v>
      </c>
      <c r="N12" s="20">
        <f t="shared" si="9"/>
        <v>0</v>
      </c>
      <c r="O12" s="20">
        <f t="shared" si="10"/>
        <v>0</v>
      </c>
      <c r="P12" s="20">
        <f t="shared" si="11"/>
        <v>0</v>
      </c>
      <c r="Q12" s="21">
        <f t="shared" si="12"/>
        <v>0</v>
      </c>
      <c r="R12" s="21"/>
      <c r="S12" s="21"/>
      <c r="T12" s="22"/>
      <c r="U12" s="23">
        <f t="shared" si="0"/>
        <v>412.54457023801029</v>
      </c>
      <c r="V12" s="23">
        <f>НОМ!$I$90/НОМ!$I$70*РАСЧЕТЫ!U12</f>
        <v>24.872462033999536</v>
      </c>
      <c r="W12" s="24">
        <f t="shared" si="1"/>
        <v>437.41703227200981</v>
      </c>
      <c r="X12" s="25"/>
      <c r="Y12" s="23"/>
      <c r="Z12" s="23">
        <f>IF(ISNA(HLOOKUP(B12,остатки!$A$1:$U$28,27,FALSE))=TRUE,0,HLOOKUP(B12,остатки!$A$1:$U$28,27,FALSE))</f>
        <v>0</v>
      </c>
      <c r="AA12" s="26">
        <f t="shared" si="2"/>
        <v>-437.41703227200981</v>
      </c>
    </row>
    <row r="13" spans="1:27">
      <c r="A13" s="11">
        <v>11</v>
      </c>
      <c r="B13" s="142" t="s">
        <v>24</v>
      </c>
      <c r="C13" s="13">
        <v>41759</v>
      </c>
      <c r="D13" s="182" t="s">
        <v>182</v>
      </c>
      <c r="E13" s="13">
        <v>41761</v>
      </c>
      <c r="F13" s="182" t="s">
        <v>182</v>
      </c>
      <c r="G13" s="17">
        <f t="shared" si="3"/>
        <v>1</v>
      </c>
      <c r="H13" s="18">
        <f t="shared" si="4"/>
        <v>1</v>
      </c>
      <c r="I13" s="18">
        <f t="shared" si="5"/>
        <v>1</v>
      </c>
      <c r="J13" s="18">
        <f t="shared" si="6"/>
        <v>1</v>
      </c>
      <c r="K13" s="19">
        <f t="shared" si="7"/>
        <v>1</v>
      </c>
      <c r="L13" s="214">
        <v>0</v>
      </c>
      <c r="M13" s="19">
        <f t="shared" si="8"/>
        <v>0</v>
      </c>
      <c r="N13" s="20">
        <f t="shared" si="9"/>
        <v>0</v>
      </c>
      <c r="O13" s="20">
        <f t="shared" si="10"/>
        <v>0</v>
      </c>
      <c r="P13" s="20">
        <f t="shared" si="11"/>
        <v>0</v>
      </c>
      <c r="Q13" s="21">
        <f t="shared" si="12"/>
        <v>0</v>
      </c>
      <c r="R13" s="21"/>
      <c r="S13" s="21"/>
      <c r="T13" s="22"/>
      <c r="U13" s="23">
        <f t="shared" si="0"/>
        <v>592.77314381734686</v>
      </c>
      <c r="V13" s="23">
        <f>НОМ!$I$90/НОМ!$I$70*РАСЧЕТЫ!U13</f>
        <v>35.738508219524924</v>
      </c>
      <c r="W13" s="24">
        <f t="shared" si="1"/>
        <v>628.51165203687174</v>
      </c>
      <c r="X13" s="25"/>
      <c r="Y13" s="23"/>
      <c r="Z13" s="23">
        <f>IF(ISNA(HLOOKUP(B13,остатки!$A$1:$U$28,27,FALSE))=TRUE,0,HLOOKUP(B13,остатки!$A$1:$U$28,27,FALSE))</f>
        <v>0</v>
      </c>
      <c r="AA13" s="26">
        <f t="shared" si="2"/>
        <v>-628.51165203687174</v>
      </c>
    </row>
    <row r="14" spans="1:27">
      <c r="A14" s="11">
        <v>12</v>
      </c>
      <c r="B14" s="142" t="s">
        <v>25</v>
      </c>
      <c r="C14" s="13">
        <v>41760</v>
      </c>
      <c r="D14" s="182" t="s">
        <v>180</v>
      </c>
      <c r="E14" s="15">
        <v>41762</v>
      </c>
      <c r="F14" s="182" t="s">
        <v>180</v>
      </c>
      <c r="G14" s="17">
        <f t="shared" si="3"/>
        <v>0</v>
      </c>
      <c r="H14" s="18">
        <f t="shared" si="4"/>
        <v>0</v>
      </c>
      <c r="I14" s="18">
        <f t="shared" si="5"/>
        <v>1</v>
      </c>
      <c r="J14" s="18">
        <f t="shared" si="6"/>
        <v>1</v>
      </c>
      <c r="K14" s="19">
        <f t="shared" si="7"/>
        <v>1</v>
      </c>
      <c r="L14" s="19">
        <f t="shared" si="13"/>
        <v>1</v>
      </c>
      <c r="M14" s="19">
        <f t="shared" si="8"/>
        <v>1</v>
      </c>
      <c r="N14" s="20">
        <f t="shared" si="9"/>
        <v>1</v>
      </c>
      <c r="O14" s="214">
        <v>0</v>
      </c>
      <c r="P14" s="20">
        <f t="shared" si="11"/>
        <v>0</v>
      </c>
      <c r="Q14" s="21">
        <f t="shared" si="12"/>
        <v>0</v>
      </c>
      <c r="R14" s="21"/>
      <c r="S14" s="21"/>
      <c r="T14" s="22"/>
      <c r="U14" s="23">
        <f t="shared" si="0"/>
        <v>650.20722013546163</v>
      </c>
      <c r="V14" s="23">
        <f>НОМ!$I$90/НОМ!$I$70*РАСЧЕТЫ!U14</f>
        <v>39.201229548897835</v>
      </c>
      <c r="W14" s="24">
        <f t="shared" si="1"/>
        <v>689.40844968435943</v>
      </c>
      <c r="X14" s="25">
        <v>750</v>
      </c>
      <c r="Y14" s="23"/>
      <c r="Z14" s="23">
        <f>IF(ISNA(HLOOKUP(B14,остатки!$A$1:$U$28,27,FALSE))=TRUE,0,HLOOKUP(B14,остатки!$A$1:$U$28,27,FALSE))</f>
        <v>0</v>
      </c>
      <c r="AA14" s="26">
        <f t="shared" si="2"/>
        <v>60.591550315640575</v>
      </c>
    </row>
    <row r="15" spans="1:27">
      <c r="A15" s="11">
        <v>13</v>
      </c>
      <c r="B15" s="142" t="s">
        <v>26</v>
      </c>
      <c r="C15" s="13">
        <v>41760</v>
      </c>
      <c r="D15" s="182" t="s">
        <v>180</v>
      </c>
      <c r="E15" s="15">
        <v>41762</v>
      </c>
      <c r="F15" s="182" t="s">
        <v>180</v>
      </c>
      <c r="G15" s="17">
        <f t="shared" si="3"/>
        <v>0</v>
      </c>
      <c r="H15" s="18">
        <f t="shared" si="4"/>
        <v>0</v>
      </c>
      <c r="I15" s="18">
        <f t="shared" si="5"/>
        <v>1</v>
      </c>
      <c r="J15" s="18">
        <f t="shared" si="6"/>
        <v>1</v>
      </c>
      <c r="K15" s="19">
        <f t="shared" si="7"/>
        <v>1</v>
      </c>
      <c r="L15" s="19">
        <f t="shared" si="13"/>
        <v>1</v>
      </c>
      <c r="M15" s="19">
        <f t="shared" si="8"/>
        <v>1</v>
      </c>
      <c r="N15" s="20">
        <f t="shared" si="9"/>
        <v>1</v>
      </c>
      <c r="O15" s="214">
        <v>0</v>
      </c>
      <c r="P15" s="20">
        <f t="shared" si="11"/>
        <v>0</v>
      </c>
      <c r="Q15" s="21">
        <f t="shared" si="12"/>
        <v>0</v>
      </c>
      <c r="R15" s="21"/>
      <c r="S15" s="21"/>
      <c r="T15" s="22"/>
      <c r="U15" s="23">
        <f t="shared" si="0"/>
        <v>650.20722013546163</v>
      </c>
      <c r="V15" s="23">
        <f>НОМ!$I$90/НОМ!$I$70*РАСЧЕТЫ!U15</f>
        <v>39.201229548897835</v>
      </c>
      <c r="W15" s="24">
        <f t="shared" si="1"/>
        <v>689.40844968435943</v>
      </c>
      <c r="X15" s="25">
        <v>750</v>
      </c>
      <c r="Y15" s="23"/>
      <c r="Z15" s="23">
        <f>IF(ISNA(HLOOKUP(B15,остатки!$A$1:$U$28,27,FALSE))=TRUE,0,HLOOKUP(B15,остатки!$A$1:$U$28,27,FALSE))</f>
        <v>0</v>
      </c>
      <c r="AA15" s="26">
        <f t="shared" si="2"/>
        <v>60.591550315640575</v>
      </c>
    </row>
    <row r="16" spans="1:27">
      <c r="A16" s="11">
        <v>14</v>
      </c>
      <c r="B16" s="142" t="s">
        <v>27</v>
      </c>
      <c r="C16" s="13">
        <v>41759</v>
      </c>
      <c r="D16" s="182" t="s">
        <v>253</v>
      </c>
      <c r="E16" s="15">
        <v>41762</v>
      </c>
      <c r="F16" s="182" t="s">
        <v>253</v>
      </c>
      <c r="G16" s="17">
        <f t="shared" si="3"/>
        <v>1</v>
      </c>
      <c r="H16" s="18">
        <f t="shared" si="4"/>
        <v>1</v>
      </c>
      <c r="I16" s="18">
        <f t="shared" si="5"/>
        <v>1</v>
      </c>
      <c r="J16" s="18">
        <f t="shared" si="6"/>
        <v>1</v>
      </c>
      <c r="K16" s="19">
        <f t="shared" si="7"/>
        <v>1</v>
      </c>
      <c r="L16" s="19">
        <f t="shared" si="13"/>
        <v>1</v>
      </c>
      <c r="M16" s="19">
        <f t="shared" si="8"/>
        <v>1</v>
      </c>
      <c r="N16" s="20">
        <f t="shared" si="9"/>
        <v>1</v>
      </c>
      <c r="O16" s="20">
        <f t="shared" si="10"/>
        <v>1</v>
      </c>
      <c r="P16" s="20">
        <f t="shared" si="11"/>
        <v>0</v>
      </c>
      <c r="Q16" s="21">
        <f t="shared" si="12"/>
        <v>0</v>
      </c>
      <c r="R16" s="21"/>
      <c r="S16" s="21"/>
      <c r="T16" s="22"/>
      <c r="U16" s="23">
        <f t="shared" si="0"/>
        <v>994.61444258138249</v>
      </c>
      <c r="V16" s="23">
        <f>НОМ!$I$90/НОМ!$I$70*РАСЧЕТЫ!U16</f>
        <v>59.965666127421343</v>
      </c>
      <c r="W16" s="24">
        <f t="shared" si="1"/>
        <v>1054.5801087088039</v>
      </c>
      <c r="X16" s="25">
        <v>1000</v>
      </c>
      <c r="Y16" s="23"/>
      <c r="Z16" s="23">
        <f>IF(ISNA(HLOOKUP(B16,остатки!$A$1:$U$28,27,FALSE))=TRUE,0,HLOOKUP(B16,остатки!$A$1:$U$28,27,FALSE))</f>
        <v>0</v>
      </c>
      <c r="AA16" s="26">
        <f t="shared" si="2"/>
        <v>-54.580108708803891</v>
      </c>
    </row>
    <row r="17" spans="1:27">
      <c r="A17" s="11">
        <v>15</v>
      </c>
      <c r="B17" s="142" t="s">
        <v>170</v>
      </c>
      <c r="C17" s="13">
        <v>41759</v>
      </c>
      <c r="D17" s="182" t="s">
        <v>253</v>
      </c>
      <c r="E17" s="15">
        <v>41762</v>
      </c>
      <c r="F17" s="182" t="s">
        <v>253</v>
      </c>
      <c r="G17" s="17">
        <f t="shared" si="3"/>
        <v>1</v>
      </c>
      <c r="H17" s="18">
        <f t="shared" si="4"/>
        <v>1</v>
      </c>
      <c r="I17" s="18">
        <f t="shared" si="5"/>
        <v>1</v>
      </c>
      <c r="J17" s="18">
        <f t="shared" si="6"/>
        <v>1</v>
      </c>
      <c r="K17" s="19">
        <f t="shared" si="7"/>
        <v>1</v>
      </c>
      <c r="L17" s="19">
        <f t="shared" si="13"/>
        <v>1</v>
      </c>
      <c r="M17" s="19">
        <f t="shared" si="8"/>
        <v>1</v>
      </c>
      <c r="N17" s="20">
        <f t="shared" si="9"/>
        <v>1</v>
      </c>
      <c r="O17" s="20">
        <f t="shared" si="10"/>
        <v>1</v>
      </c>
      <c r="P17" s="20">
        <f t="shared" si="11"/>
        <v>0</v>
      </c>
      <c r="Q17" s="21">
        <f t="shared" si="12"/>
        <v>0</v>
      </c>
      <c r="R17" s="21"/>
      <c r="S17" s="21"/>
      <c r="T17" s="22"/>
      <c r="U17" s="23">
        <f t="shared" si="0"/>
        <v>994.61444258138249</v>
      </c>
      <c r="V17" s="23">
        <f>НОМ!$I$90/НОМ!$I$70*РАСЧЕТЫ!U17</f>
        <v>59.965666127421343</v>
      </c>
      <c r="W17" s="24">
        <f t="shared" si="1"/>
        <v>1054.5801087088039</v>
      </c>
      <c r="X17" s="25">
        <v>1000</v>
      </c>
      <c r="Y17" s="23"/>
      <c r="Z17" s="23">
        <f>IF(ISNA(HLOOKUP(B17,остатки!$A$1:$U$28,27,FALSE))=TRUE,0,HLOOKUP(B17,остатки!$A$1:$U$28,27,FALSE))</f>
        <v>0</v>
      </c>
      <c r="AA17" s="26">
        <f t="shared" si="2"/>
        <v>-54.580108708803891</v>
      </c>
    </row>
    <row r="18" spans="1:27">
      <c r="A18" s="11">
        <v>16</v>
      </c>
      <c r="B18" s="12" t="s">
        <v>28</v>
      </c>
      <c r="C18" s="13">
        <v>41760</v>
      </c>
      <c r="D18" s="182" t="s">
        <v>172</v>
      </c>
      <c r="E18" s="15">
        <v>41762</v>
      </c>
      <c r="F18" s="182" t="s">
        <v>172</v>
      </c>
      <c r="G18" s="17">
        <f t="shared" si="3"/>
        <v>0</v>
      </c>
      <c r="H18" s="213">
        <v>1</v>
      </c>
      <c r="I18" s="18">
        <f t="shared" si="5"/>
        <v>1</v>
      </c>
      <c r="J18" s="18">
        <f t="shared" si="6"/>
        <v>1</v>
      </c>
      <c r="K18" s="19">
        <f t="shared" si="7"/>
        <v>1</v>
      </c>
      <c r="L18" s="19">
        <f t="shared" si="13"/>
        <v>1</v>
      </c>
      <c r="M18" s="19">
        <f t="shared" si="8"/>
        <v>1</v>
      </c>
      <c r="N18" s="20">
        <f t="shared" si="9"/>
        <v>1</v>
      </c>
      <c r="O18" s="20">
        <f t="shared" si="10"/>
        <v>1</v>
      </c>
      <c r="P18" s="20">
        <f t="shared" si="11"/>
        <v>0</v>
      </c>
      <c r="Q18" s="21">
        <f t="shared" si="12"/>
        <v>0</v>
      </c>
      <c r="R18" s="21"/>
      <c r="S18" s="21"/>
      <c r="T18" s="22"/>
      <c r="U18" s="23">
        <f t="shared" si="0"/>
        <v>834.47657816009962</v>
      </c>
      <c r="V18" s="23">
        <f>НОМ!$I$90/НОМ!$I$70*РАСЧЕТЫ!U18</f>
        <v>50.310896096813039</v>
      </c>
      <c r="W18" s="24">
        <f t="shared" si="1"/>
        <v>884.78747425691267</v>
      </c>
      <c r="X18" s="25"/>
      <c r="Y18" s="23"/>
      <c r="Z18" s="23">
        <f>IF(ISNA(HLOOKUP(B18,остатки!$A$1:$U$28,27,FALSE))=TRUE,0,HLOOKUP(B18,остатки!$A$1:$U$28,27,FALSE))</f>
        <v>0</v>
      </c>
      <c r="AA18" s="26">
        <f t="shared" si="2"/>
        <v>-884.78747425691267</v>
      </c>
    </row>
    <row r="19" spans="1:27">
      <c r="A19" s="11">
        <v>17</v>
      </c>
      <c r="B19" s="12" t="s">
        <v>29</v>
      </c>
      <c r="C19" s="13">
        <v>41760</v>
      </c>
      <c r="D19" s="182" t="s">
        <v>172</v>
      </c>
      <c r="E19" s="15">
        <v>41762</v>
      </c>
      <c r="F19" s="182" t="s">
        <v>172</v>
      </c>
      <c r="G19" s="17">
        <f t="shared" si="3"/>
        <v>0</v>
      </c>
      <c r="H19" s="213">
        <v>1</v>
      </c>
      <c r="I19" s="18">
        <f t="shared" si="5"/>
        <v>1</v>
      </c>
      <c r="J19" s="18">
        <f t="shared" si="6"/>
        <v>1</v>
      </c>
      <c r="K19" s="19">
        <f t="shared" si="7"/>
        <v>1</v>
      </c>
      <c r="L19" s="19">
        <f t="shared" si="13"/>
        <v>1</v>
      </c>
      <c r="M19" s="19">
        <f t="shared" si="8"/>
        <v>1</v>
      </c>
      <c r="N19" s="20">
        <f t="shared" si="9"/>
        <v>1</v>
      </c>
      <c r="O19" s="20">
        <f t="shared" si="10"/>
        <v>1</v>
      </c>
      <c r="P19" s="20">
        <f t="shared" si="11"/>
        <v>0</v>
      </c>
      <c r="Q19" s="21">
        <f t="shared" si="12"/>
        <v>0</v>
      </c>
      <c r="R19" s="21"/>
      <c r="S19" s="21"/>
      <c r="T19" s="22"/>
      <c r="U19" s="23">
        <f t="shared" si="0"/>
        <v>834.47657816009962</v>
      </c>
      <c r="V19" s="23">
        <f>НОМ!$I$90/НОМ!$I$70*РАСЧЕТЫ!U19</f>
        <v>50.310896096813039</v>
      </c>
      <c r="W19" s="24">
        <f t="shared" si="1"/>
        <v>884.78747425691267</v>
      </c>
      <c r="X19" s="25"/>
      <c r="Y19" s="23"/>
      <c r="Z19" s="23">
        <f>IF(ISNA(HLOOKUP(B19,остатки!$A$1:$U$28,27,FALSE))=TRUE,0,HLOOKUP(B19,остатки!$A$1:$U$28,27,FALSE))</f>
        <v>0</v>
      </c>
      <c r="AA19" s="26">
        <f t="shared" si="2"/>
        <v>-884.78747425691267</v>
      </c>
    </row>
    <row r="20" spans="1:27">
      <c r="A20" s="11">
        <v>18</v>
      </c>
      <c r="B20" s="140" t="s">
        <v>171</v>
      </c>
      <c r="C20" s="13">
        <v>41760</v>
      </c>
      <c r="D20" s="182" t="s">
        <v>172</v>
      </c>
      <c r="E20" s="15">
        <v>41762</v>
      </c>
      <c r="F20" s="182" t="s">
        <v>172</v>
      </c>
      <c r="G20" s="17">
        <f t="shared" si="3"/>
        <v>0</v>
      </c>
      <c r="H20" s="213">
        <v>1</v>
      </c>
      <c r="I20" s="18">
        <f t="shared" si="5"/>
        <v>1</v>
      </c>
      <c r="J20" s="18">
        <f t="shared" si="6"/>
        <v>1</v>
      </c>
      <c r="K20" s="19">
        <f t="shared" si="7"/>
        <v>1</v>
      </c>
      <c r="L20" s="19">
        <f t="shared" si="13"/>
        <v>1</v>
      </c>
      <c r="M20" s="19">
        <f t="shared" si="8"/>
        <v>1</v>
      </c>
      <c r="N20" s="20">
        <f t="shared" si="9"/>
        <v>1</v>
      </c>
      <c r="O20" s="20">
        <f t="shared" si="10"/>
        <v>1</v>
      </c>
      <c r="P20" s="20">
        <f t="shared" si="11"/>
        <v>0</v>
      </c>
      <c r="Q20" s="21">
        <f t="shared" si="12"/>
        <v>0</v>
      </c>
      <c r="R20" s="21"/>
      <c r="S20" s="21"/>
      <c r="T20" s="22"/>
      <c r="U20" s="23">
        <f t="shared" si="0"/>
        <v>834.47657816009962</v>
      </c>
      <c r="V20" s="23">
        <f>НОМ!$I$90/НОМ!$I$70*РАСЧЕТЫ!U20</f>
        <v>50.310896096813039</v>
      </c>
      <c r="W20" s="24">
        <f t="shared" si="1"/>
        <v>884.78747425691267</v>
      </c>
      <c r="X20" s="25"/>
      <c r="Y20" s="23"/>
      <c r="Z20" s="23">
        <f>IF(ISNA(HLOOKUP(B20,остатки!$A$1:$U$28,27,FALSE))=TRUE,0,HLOOKUP(B20,остатки!$A$1:$U$28,27,FALSE))</f>
        <v>0</v>
      </c>
      <c r="AA20" s="26">
        <f t="shared" si="2"/>
        <v>-884.78747425691267</v>
      </c>
    </row>
    <row r="21" spans="1:27">
      <c r="A21" s="11">
        <v>19</v>
      </c>
      <c r="B21" s="142" t="s">
        <v>30</v>
      </c>
      <c r="C21" s="13">
        <v>41760</v>
      </c>
      <c r="D21" s="182" t="s">
        <v>173</v>
      </c>
      <c r="E21" s="13">
        <v>41760</v>
      </c>
      <c r="F21" s="182" t="s">
        <v>173</v>
      </c>
      <c r="G21" s="17">
        <f t="shared" si="3"/>
        <v>0</v>
      </c>
      <c r="H21" s="213">
        <v>1</v>
      </c>
      <c r="I21" s="213">
        <v>1</v>
      </c>
      <c r="J21" s="213">
        <v>1</v>
      </c>
      <c r="K21" s="19">
        <f t="shared" si="7"/>
        <v>0</v>
      </c>
      <c r="L21" s="19">
        <f t="shared" si="13"/>
        <v>0</v>
      </c>
      <c r="M21" s="19">
        <f t="shared" si="8"/>
        <v>0</v>
      </c>
      <c r="N21" s="20">
        <f t="shared" si="9"/>
        <v>0</v>
      </c>
      <c r="O21" s="20">
        <f t="shared" si="10"/>
        <v>0</v>
      </c>
      <c r="P21" s="20">
        <f t="shared" si="11"/>
        <v>0</v>
      </c>
      <c r="Q21" s="21">
        <f t="shared" si="12"/>
        <v>0</v>
      </c>
      <c r="R21" s="21"/>
      <c r="S21" s="21"/>
      <c r="T21" s="22"/>
      <c r="U21" s="23">
        <f t="shared" si="0"/>
        <v>337.64304277414794</v>
      </c>
      <c r="V21" s="23">
        <f>НОМ!$I$90/НОМ!$I$70*РАСЧЕТЫ!U21</f>
        <v>20.356621728408619</v>
      </c>
      <c r="W21" s="24">
        <f>U21+V21</f>
        <v>357.99966450255658</v>
      </c>
      <c r="X21" s="25"/>
      <c r="Y21" s="23"/>
      <c r="Z21" s="23">
        <f>IF(ISNA(HLOOKUP(B21,остатки!$A$1:$U$28,27,FALSE))=TRUE,0,HLOOKUP(B21,остатки!$A$1:$U$28,27,FALSE))</f>
        <v>0</v>
      </c>
      <c r="AA21" s="26">
        <f>X21+Y21-W21-Z21</f>
        <v>-357.99966450255658</v>
      </c>
    </row>
    <row r="22" spans="1:27">
      <c r="A22" s="11">
        <v>20</v>
      </c>
      <c r="B22" s="142" t="s">
        <v>31</v>
      </c>
      <c r="C22" s="13">
        <v>41760</v>
      </c>
      <c r="D22" s="182" t="s">
        <v>173</v>
      </c>
      <c r="E22" s="13">
        <v>41760</v>
      </c>
      <c r="F22" s="182" t="s">
        <v>173</v>
      </c>
      <c r="G22" s="17">
        <f t="shared" si="3"/>
        <v>0</v>
      </c>
      <c r="H22" s="213">
        <v>1</v>
      </c>
      <c r="I22" s="213">
        <v>1</v>
      </c>
      <c r="J22" s="213">
        <v>1</v>
      </c>
      <c r="K22" s="19">
        <f t="shared" si="7"/>
        <v>0</v>
      </c>
      <c r="L22" s="19">
        <f t="shared" si="13"/>
        <v>0</v>
      </c>
      <c r="M22" s="19">
        <f t="shared" si="8"/>
        <v>0</v>
      </c>
      <c r="N22" s="20">
        <f t="shared" si="9"/>
        <v>0</v>
      </c>
      <c r="O22" s="20">
        <f t="shared" si="10"/>
        <v>0</v>
      </c>
      <c r="P22" s="20">
        <f t="shared" si="11"/>
        <v>0</v>
      </c>
      <c r="Q22" s="21">
        <f t="shared" si="12"/>
        <v>0</v>
      </c>
      <c r="R22" s="21"/>
      <c r="S22" s="21"/>
      <c r="T22" s="22"/>
      <c r="U22" s="23">
        <f t="shared" si="0"/>
        <v>337.64304277414794</v>
      </c>
      <c r="V22" s="23">
        <f>НОМ!$I$90/НОМ!$I$70*РАСЧЕТЫ!U22</f>
        <v>20.356621728408619</v>
      </c>
      <c r="W22" s="24">
        <f t="shared" si="1"/>
        <v>357.99966450255658</v>
      </c>
      <c r="X22" s="25"/>
      <c r="Y22" s="23"/>
      <c r="Z22" s="23">
        <f>IF(ISNA(HLOOKUP(B22,остатки!$A$1:$U$28,27,FALSE))=TRUE,0,HLOOKUP(B22,остатки!$A$1:$U$28,27,FALSE))</f>
        <v>0</v>
      </c>
      <c r="AA22" s="26">
        <f t="shared" si="2"/>
        <v>-357.99966450255658</v>
      </c>
    </row>
    <row r="23" spans="1:27">
      <c r="A23" s="11">
        <v>21</v>
      </c>
      <c r="B23" s="142" t="s">
        <v>32</v>
      </c>
      <c r="C23" s="13">
        <v>41760</v>
      </c>
      <c r="D23" s="182" t="s">
        <v>236</v>
      </c>
      <c r="E23" s="13">
        <v>41761</v>
      </c>
      <c r="F23" s="182" t="s">
        <v>236</v>
      </c>
      <c r="G23" s="17">
        <f t="shared" si="3"/>
        <v>0</v>
      </c>
      <c r="H23" s="18">
        <f t="shared" si="4"/>
        <v>0</v>
      </c>
      <c r="I23" s="214">
        <v>0</v>
      </c>
      <c r="J23" s="18">
        <f t="shared" si="6"/>
        <v>1</v>
      </c>
      <c r="K23" s="19">
        <f t="shared" si="7"/>
        <v>1</v>
      </c>
      <c r="L23" s="19">
        <f t="shared" si="13"/>
        <v>1</v>
      </c>
      <c r="M23" s="214">
        <v>1</v>
      </c>
      <c r="N23" s="20">
        <f t="shared" si="9"/>
        <v>0</v>
      </c>
      <c r="O23" s="20">
        <f t="shared" si="10"/>
        <v>0</v>
      </c>
      <c r="P23" s="20">
        <f t="shared" si="11"/>
        <v>0</v>
      </c>
      <c r="Q23" s="21">
        <f t="shared" si="12"/>
        <v>0</v>
      </c>
      <c r="R23" s="21"/>
      <c r="S23" s="21"/>
      <c r="T23" s="22"/>
      <c r="U23" s="23">
        <f t="shared" si="0"/>
        <v>469.71266323585866</v>
      </c>
      <c r="V23" s="23">
        <f>НОМ!$I$90/НОМ!$I$70*РАСЧЕТЫ!U23</f>
        <v>28.319147132350949</v>
      </c>
      <c r="W23" s="24">
        <f t="shared" si="1"/>
        <v>498.03181036820962</v>
      </c>
      <c r="X23" s="25"/>
      <c r="Y23" s="23"/>
      <c r="Z23" s="23">
        <f>IF(ISNA(HLOOKUP(B23,остатки!$A$1:$U$28,27,FALSE))=TRUE,0,HLOOKUP(B23,остатки!$A$1:$U$28,27,FALSE))</f>
        <v>0</v>
      </c>
      <c r="AA23" s="26">
        <f t="shared" si="2"/>
        <v>-498.03181036820962</v>
      </c>
    </row>
    <row r="24" spans="1:27">
      <c r="A24" s="11">
        <v>22</v>
      </c>
      <c r="B24" s="142" t="s">
        <v>160</v>
      </c>
      <c r="C24" s="13">
        <v>41760</v>
      </c>
      <c r="D24" s="182" t="s">
        <v>236</v>
      </c>
      <c r="E24" s="13">
        <v>41761</v>
      </c>
      <c r="F24" s="182" t="s">
        <v>236</v>
      </c>
      <c r="G24" s="17">
        <f t="shared" si="3"/>
        <v>0</v>
      </c>
      <c r="H24" s="18">
        <f t="shared" si="4"/>
        <v>0</v>
      </c>
      <c r="I24" s="214">
        <v>0</v>
      </c>
      <c r="J24" s="18">
        <f t="shared" si="6"/>
        <v>1</v>
      </c>
      <c r="K24" s="19">
        <f t="shared" si="7"/>
        <v>1</v>
      </c>
      <c r="L24" s="19">
        <f t="shared" si="13"/>
        <v>1</v>
      </c>
      <c r="M24" s="214">
        <v>1</v>
      </c>
      <c r="N24" s="20">
        <f t="shared" si="9"/>
        <v>0</v>
      </c>
      <c r="O24" s="20">
        <f t="shared" si="10"/>
        <v>0</v>
      </c>
      <c r="P24" s="20">
        <f t="shared" si="11"/>
        <v>0</v>
      </c>
      <c r="Q24" s="21">
        <f t="shared" si="12"/>
        <v>0</v>
      </c>
      <c r="R24" s="21"/>
      <c r="S24" s="21"/>
      <c r="T24" s="22"/>
      <c r="U24" s="23">
        <f t="shared" si="0"/>
        <v>469.71266323585866</v>
      </c>
      <c r="V24" s="23">
        <f>НОМ!$I$90/НОМ!$I$70*РАСЧЕТЫ!U24</f>
        <v>28.319147132350949</v>
      </c>
      <c r="W24" s="24">
        <f t="shared" si="1"/>
        <v>498.03181036820962</v>
      </c>
      <c r="X24" s="25"/>
      <c r="Y24" s="23"/>
      <c r="Z24" s="23">
        <f>IF(ISNA(HLOOKUP(B24,остатки!$A$1:$U$28,27,FALSE))=TRUE,0,HLOOKUP(B24,остатки!$A$1:$U$28,27,FALSE))</f>
        <v>0</v>
      </c>
      <c r="AA24" s="26">
        <f t="shared" si="2"/>
        <v>-498.03181036820962</v>
      </c>
    </row>
    <row r="25" spans="1:27">
      <c r="A25" s="11">
        <v>23</v>
      </c>
      <c r="B25" s="180" t="s">
        <v>233</v>
      </c>
      <c r="C25" s="13">
        <v>41760</v>
      </c>
      <c r="D25" s="182" t="s">
        <v>236</v>
      </c>
      <c r="E25" s="13">
        <v>41761</v>
      </c>
      <c r="F25" s="182" t="s">
        <v>236</v>
      </c>
      <c r="G25" s="17">
        <f t="shared" si="3"/>
        <v>0</v>
      </c>
      <c r="H25" s="18">
        <f t="shared" si="4"/>
        <v>0</v>
      </c>
      <c r="I25" s="214">
        <v>0</v>
      </c>
      <c r="J25" s="18">
        <f t="shared" si="6"/>
        <v>1</v>
      </c>
      <c r="K25" s="19">
        <f t="shared" si="7"/>
        <v>1</v>
      </c>
      <c r="L25" s="19">
        <f t="shared" si="13"/>
        <v>1</v>
      </c>
      <c r="M25" s="214">
        <v>1</v>
      </c>
      <c r="N25" s="20">
        <f t="shared" si="9"/>
        <v>0</v>
      </c>
      <c r="O25" s="20">
        <f t="shared" si="10"/>
        <v>0</v>
      </c>
      <c r="P25" s="20">
        <f t="shared" si="11"/>
        <v>0</v>
      </c>
      <c r="Q25" s="21">
        <f t="shared" si="12"/>
        <v>0</v>
      </c>
      <c r="R25" s="21"/>
      <c r="S25" s="21"/>
      <c r="T25" s="22"/>
      <c r="U25" s="23">
        <f t="shared" si="0"/>
        <v>469.71266323585866</v>
      </c>
      <c r="V25" s="23">
        <f>НОМ!$I$90/НОМ!$I$70*РАСЧЕТЫ!U25</f>
        <v>28.319147132350949</v>
      </c>
      <c r="W25" s="24">
        <f t="shared" si="1"/>
        <v>498.03181036820962</v>
      </c>
      <c r="X25" s="25"/>
      <c r="Y25" s="23"/>
      <c r="Z25" s="23">
        <f>IF(ISNA(HLOOKUP(B25,остатки!$A$1:$U$28,27,FALSE))=TRUE,0,HLOOKUP(B25,остатки!$A$1:$U$28,27,FALSE))</f>
        <v>0</v>
      </c>
      <c r="AA25" s="26">
        <f t="shared" si="2"/>
        <v>-498.03181036820962</v>
      </c>
    </row>
    <row r="26" spans="1:27">
      <c r="A26" s="11">
        <v>24</v>
      </c>
      <c r="B26" s="180" t="s">
        <v>234</v>
      </c>
      <c r="C26" s="13">
        <v>41760</v>
      </c>
      <c r="D26" s="182" t="s">
        <v>237</v>
      </c>
      <c r="E26" s="13">
        <v>41761</v>
      </c>
      <c r="F26" s="182" t="s">
        <v>238</v>
      </c>
      <c r="G26" s="17">
        <f t="shared" si="3"/>
        <v>0</v>
      </c>
      <c r="H26" s="18">
        <f t="shared" si="4"/>
        <v>0</v>
      </c>
      <c r="I26" s="214">
        <v>0</v>
      </c>
      <c r="J26" s="18">
        <f t="shared" si="6"/>
        <v>1</v>
      </c>
      <c r="K26" s="19">
        <f t="shared" si="7"/>
        <v>1</v>
      </c>
      <c r="L26" s="19">
        <f t="shared" si="13"/>
        <v>1</v>
      </c>
      <c r="M26" s="214">
        <v>1</v>
      </c>
      <c r="N26" s="20">
        <f t="shared" si="9"/>
        <v>0</v>
      </c>
      <c r="O26" s="20">
        <f t="shared" si="10"/>
        <v>0</v>
      </c>
      <c r="P26" s="20">
        <f t="shared" si="11"/>
        <v>0</v>
      </c>
      <c r="Q26" s="21">
        <f t="shared" si="12"/>
        <v>0</v>
      </c>
      <c r="R26" s="21"/>
      <c r="S26" s="21"/>
      <c r="T26" s="22"/>
      <c r="U26" s="23">
        <f t="shared" si="0"/>
        <v>469.71266323585866</v>
      </c>
      <c r="V26" s="23">
        <f>НОМ!$I$90/НОМ!$I$70*РАСЧЕТЫ!U26</f>
        <v>28.319147132350949</v>
      </c>
      <c r="W26" s="24">
        <f t="shared" si="1"/>
        <v>498.03181036820962</v>
      </c>
      <c r="X26" s="25"/>
      <c r="Y26" s="23"/>
      <c r="Z26" s="23">
        <f>IF(ISNA(HLOOKUP(B26,остатки!$A$1:$U$28,27,FALSE))=TRUE,0,HLOOKUP(B26,остатки!$A$1:$U$28,27,FALSE))</f>
        <v>0</v>
      </c>
      <c r="AA26" s="26">
        <f t="shared" si="2"/>
        <v>-498.03181036820962</v>
      </c>
    </row>
    <row r="27" spans="1:27">
      <c r="A27" s="11">
        <v>25</v>
      </c>
      <c r="B27" s="180" t="s">
        <v>235</v>
      </c>
      <c r="C27" s="13">
        <v>41760</v>
      </c>
      <c r="D27" s="182" t="s">
        <v>237</v>
      </c>
      <c r="E27" s="13">
        <v>41761</v>
      </c>
      <c r="F27" s="182" t="s">
        <v>238</v>
      </c>
      <c r="G27" s="17">
        <f t="shared" si="3"/>
        <v>0</v>
      </c>
      <c r="H27" s="18">
        <f t="shared" si="4"/>
        <v>0</v>
      </c>
      <c r="I27" s="214">
        <v>0</v>
      </c>
      <c r="J27" s="18">
        <f t="shared" si="6"/>
        <v>1</v>
      </c>
      <c r="K27" s="19">
        <f t="shared" si="7"/>
        <v>1</v>
      </c>
      <c r="L27" s="19">
        <f t="shared" si="13"/>
        <v>1</v>
      </c>
      <c r="M27" s="214">
        <v>1</v>
      </c>
      <c r="N27" s="20">
        <f t="shared" si="9"/>
        <v>0</v>
      </c>
      <c r="O27" s="20">
        <f t="shared" si="10"/>
        <v>0</v>
      </c>
      <c r="P27" s="20">
        <f t="shared" si="11"/>
        <v>0</v>
      </c>
      <c r="Q27" s="21">
        <f t="shared" si="12"/>
        <v>0</v>
      </c>
      <c r="R27" s="21"/>
      <c r="S27" s="21"/>
      <c r="T27" s="22"/>
      <c r="U27" s="23">
        <f t="shared" si="0"/>
        <v>469.71266323585866</v>
      </c>
      <c r="V27" s="23">
        <f>НОМ!$I$90/НОМ!$I$70*РАСЧЕТЫ!U27</f>
        <v>28.319147132350949</v>
      </c>
      <c r="W27" s="30">
        <f t="shared" si="1"/>
        <v>498.03181036820962</v>
      </c>
      <c r="X27" s="31"/>
      <c r="Y27" s="29"/>
      <c r="Z27" s="29">
        <f>IF(ISNA(HLOOKUP(B27,остатки!$A$1:$U$28,27,FALSE))=TRUE,0,HLOOKUP(B27,остатки!$A$1:$U$28,27,FALSE))</f>
        <v>0</v>
      </c>
      <c r="AA27" s="26">
        <f t="shared" si="2"/>
        <v>-498.03181036820962</v>
      </c>
    </row>
    <row r="28" spans="1:27">
      <c r="A28" s="11">
        <v>26</v>
      </c>
      <c r="B28" s="27" t="s">
        <v>183</v>
      </c>
      <c r="C28" s="13">
        <v>41760</v>
      </c>
      <c r="D28" s="185" t="s">
        <v>254</v>
      </c>
      <c r="E28" s="15">
        <v>41762</v>
      </c>
      <c r="F28" s="16" t="s">
        <v>254</v>
      </c>
      <c r="G28" s="17">
        <f t="shared" si="3"/>
        <v>0</v>
      </c>
      <c r="H28" s="18">
        <f t="shared" si="4"/>
        <v>0</v>
      </c>
      <c r="I28" s="18">
        <f t="shared" si="5"/>
        <v>1</v>
      </c>
      <c r="J28" s="18">
        <f t="shared" si="6"/>
        <v>1</v>
      </c>
      <c r="K28" s="19">
        <f t="shared" si="7"/>
        <v>1</v>
      </c>
      <c r="L28" s="19">
        <f t="shared" si="13"/>
        <v>1</v>
      </c>
      <c r="M28" s="19">
        <f t="shared" si="8"/>
        <v>1</v>
      </c>
      <c r="N28" s="20">
        <f t="shared" si="9"/>
        <v>1</v>
      </c>
      <c r="O28" s="214">
        <v>0</v>
      </c>
      <c r="P28" s="20">
        <f t="shared" si="11"/>
        <v>0</v>
      </c>
      <c r="Q28" s="21">
        <f t="shared" si="12"/>
        <v>0</v>
      </c>
      <c r="R28" s="21"/>
      <c r="S28" s="21"/>
      <c r="T28" s="22"/>
      <c r="U28" s="23">
        <f t="shared" si="0"/>
        <v>650.20722013546163</v>
      </c>
      <c r="V28" s="23">
        <f>НОМ!$I$90/НОМ!$I$70*РАСЧЕТЫ!U28</f>
        <v>39.201229548897835</v>
      </c>
      <c r="W28" s="24">
        <f t="shared" si="1"/>
        <v>689.40844968435943</v>
      </c>
      <c r="X28" s="25"/>
      <c r="Y28" s="23"/>
      <c r="Z28" s="23">
        <f>IF(ISNA(HLOOKUP(B28,остатки!$A$1:$U$28,27,FALSE))=TRUE,0,HLOOKUP(B28,остатки!$A$1:$U$28,27,FALSE))</f>
        <v>0</v>
      </c>
      <c r="AA28" s="26">
        <f t="shared" si="2"/>
        <v>-689.40844968435943</v>
      </c>
    </row>
    <row r="29" spans="1:27">
      <c r="A29" s="11">
        <v>27</v>
      </c>
      <c r="B29" s="27" t="s">
        <v>184</v>
      </c>
      <c r="C29" s="13">
        <v>41760</v>
      </c>
      <c r="D29" s="185" t="s">
        <v>255</v>
      </c>
      <c r="E29" s="13">
        <v>41761</v>
      </c>
      <c r="F29" s="185" t="s">
        <v>255</v>
      </c>
      <c r="G29" s="17">
        <f t="shared" si="3"/>
        <v>0</v>
      </c>
      <c r="H29" s="18">
        <f t="shared" si="4"/>
        <v>0</v>
      </c>
      <c r="I29" s="18">
        <f t="shared" si="5"/>
        <v>1</v>
      </c>
      <c r="J29" s="18">
        <f t="shared" si="6"/>
        <v>1</v>
      </c>
      <c r="K29" s="19">
        <f t="shared" si="7"/>
        <v>1</v>
      </c>
      <c r="L29" s="19">
        <f t="shared" si="13"/>
        <v>1</v>
      </c>
      <c r="M29" s="19">
        <f t="shared" si="8"/>
        <v>0</v>
      </c>
      <c r="N29" s="20">
        <f t="shared" si="9"/>
        <v>0</v>
      </c>
      <c r="O29" s="20">
        <f t="shared" si="10"/>
        <v>0</v>
      </c>
      <c r="P29" s="20">
        <f t="shared" si="11"/>
        <v>0</v>
      </c>
      <c r="Q29" s="21">
        <f t="shared" si="12"/>
        <v>0</v>
      </c>
      <c r="R29" s="21"/>
      <c r="S29" s="21"/>
      <c r="T29" s="22"/>
      <c r="U29" s="23">
        <f t="shared" si="0"/>
        <v>412.54457023801029</v>
      </c>
      <c r="V29" s="23">
        <f>НОМ!$I$90/НОМ!$I$70*РАСЧЕТЫ!U29</f>
        <v>24.872462033999536</v>
      </c>
      <c r="W29" s="24">
        <f t="shared" si="1"/>
        <v>437.41703227200981</v>
      </c>
      <c r="X29" s="25"/>
      <c r="Y29" s="23"/>
      <c r="Z29" s="23">
        <f>IF(ISNA(HLOOKUP(B29,остатки!$A$1:$U$28,27,FALSE))=TRUE,0,HLOOKUP(B29,остатки!$A$1:$U$28,27,FALSE))</f>
        <v>0</v>
      </c>
      <c r="AA29" s="26">
        <f t="shared" si="2"/>
        <v>-437.41703227200981</v>
      </c>
    </row>
    <row r="30" spans="1:27">
      <c r="A30" s="11">
        <v>28</v>
      </c>
      <c r="B30" s="27" t="s">
        <v>185</v>
      </c>
      <c r="C30" s="13">
        <v>41760</v>
      </c>
      <c r="D30" s="185" t="s">
        <v>255</v>
      </c>
      <c r="E30" s="13">
        <v>41761</v>
      </c>
      <c r="F30" s="185" t="s">
        <v>255</v>
      </c>
      <c r="G30" s="17">
        <f t="shared" si="3"/>
        <v>0</v>
      </c>
      <c r="H30" s="18">
        <f t="shared" si="4"/>
        <v>0</v>
      </c>
      <c r="I30" s="18">
        <f t="shared" si="5"/>
        <v>1</v>
      </c>
      <c r="J30" s="18">
        <f t="shared" si="6"/>
        <v>1</v>
      </c>
      <c r="K30" s="19">
        <f t="shared" si="7"/>
        <v>1</v>
      </c>
      <c r="L30" s="19">
        <f t="shared" si="13"/>
        <v>1</v>
      </c>
      <c r="M30" s="19">
        <f t="shared" si="8"/>
        <v>0</v>
      </c>
      <c r="N30" s="20">
        <f t="shared" si="9"/>
        <v>0</v>
      </c>
      <c r="O30" s="20">
        <f t="shared" si="10"/>
        <v>0</v>
      </c>
      <c r="P30" s="20">
        <f t="shared" si="11"/>
        <v>0</v>
      </c>
      <c r="Q30" s="21">
        <f t="shared" si="12"/>
        <v>0</v>
      </c>
      <c r="R30" s="21"/>
      <c r="S30" s="21"/>
      <c r="T30" s="22"/>
      <c r="U30" s="23">
        <f t="shared" si="0"/>
        <v>412.54457023801029</v>
      </c>
      <c r="V30" s="23">
        <f>НОМ!$I$90/НОМ!$I$70*РАСЧЕТЫ!U30</f>
        <v>24.872462033999536</v>
      </c>
      <c r="W30" s="24">
        <f t="shared" si="1"/>
        <v>437.41703227200981</v>
      </c>
      <c r="X30" s="25"/>
      <c r="Y30" s="23"/>
      <c r="Z30" s="23">
        <f>IF(ISNA(HLOOKUP(B30,остатки!$A$1:$U$28,27,FALSE))=TRUE,0,HLOOKUP(B30,остатки!$A$1:$U$28,27,FALSE))</f>
        <v>0</v>
      </c>
      <c r="AA30" s="26">
        <f t="shared" si="2"/>
        <v>-437.41703227200981</v>
      </c>
    </row>
    <row r="31" spans="1:27">
      <c r="A31" s="11">
        <v>29</v>
      </c>
      <c r="B31" s="33" t="s">
        <v>187</v>
      </c>
      <c r="C31" s="13">
        <v>41760</v>
      </c>
      <c r="D31" s="14" t="s">
        <v>256</v>
      </c>
      <c r="E31" s="15">
        <v>41762</v>
      </c>
      <c r="F31" s="14" t="s">
        <v>256</v>
      </c>
      <c r="G31" s="17">
        <f t="shared" si="3"/>
        <v>0</v>
      </c>
      <c r="H31" s="18">
        <f t="shared" si="4"/>
        <v>0</v>
      </c>
      <c r="I31" s="18">
        <f t="shared" si="5"/>
        <v>1</v>
      </c>
      <c r="J31" s="18">
        <f t="shared" si="6"/>
        <v>1</v>
      </c>
      <c r="K31" s="19">
        <f t="shared" si="7"/>
        <v>1</v>
      </c>
      <c r="L31" s="19">
        <f t="shared" si="13"/>
        <v>1</v>
      </c>
      <c r="M31" s="19">
        <f t="shared" si="8"/>
        <v>1</v>
      </c>
      <c r="N31" s="20">
        <f t="shared" si="9"/>
        <v>1</v>
      </c>
      <c r="O31" s="20">
        <f t="shared" si="10"/>
        <v>1</v>
      </c>
      <c r="P31" s="20">
        <f t="shared" si="11"/>
        <v>0</v>
      </c>
      <c r="Q31" s="21">
        <f t="shared" si="12"/>
        <v>0</v>
      </c>
      <c r="R31" s="21"/>
      <c r="S31" s="21"/>
      <c r="T31" s="22"/>
      <c r="U31" s="23">
        <f t="shared" si="0"/>
        <v>739.48434153818357</v>
      </c>
      <c r="V31" s="23">
        <f>НОМ!$I$90/НОМ!$I$70*РАСЧЕТЫ!U31</f>
        <v>44.583779636305039</v>
      </c>
      <c r="W31" s="24">
        <f t="shared" si="1"/>
        <v>784.06812117448862</v>
      </c>
      <c r="X31" s="25"/>
      <c r="Y31" s="23"/>
      <c r="Z31" s="23">
        <f>IF(ISNA(HLOOKUP(B31,остатки!$A$1:$U$28,27,FALSE))=TRUE,0,HLOOKUP(B31,остатки!$A$1:$U$28,27,FALSE))</f>
        <v>0</v>
      </c>
      <c r="AA31" s="26">
        <f t="shared" si="2"/>
        <v>-784.06812117448862</v>
      </c>
    </row>
    <row r="32" spans="1:27">
      <c r="A32" s="11">
        <v>30</v>
      </c>
      <c r="B32" s="174" t="s">
        <v>186</v>
      </c>
      <c r="C32" s="13">
        <v>41760</v>
      </c>
      <c r="D32" s="14" t="s">
        <v>256</v>
      </c>
      <c r="E32" s="15">
        <v>41762</v>
      </c>
      <c r="F32" s="14" t="s">
        <v>256</v>
      </c>
      <c r="G32" s="17">
        <f t="shared" si="3"/>
        <v>0</v>
      </c>
      <c r="H32" s="18">
        <f t="shared" si="4"/>
        <v>0</v>
      </c>
      <c r="I32" s="18">
        <f t="shared" si="5"/>
        <v>1</v>
      </c>
      <c r="J32" s="18">
        <f t="shared" si="6"/>
        <v>1</v>
      </c>
      <c r="K32" s="19">
        <f t="shared" si="7"/>
        <v>1</v>
      </c>
      <c r="L32" s="19">
        <f t="shared" si="13"/>
        <v>1</v>
      </c>
      <c r="M32" s="19">
        <f t="shared" si="8"/>
        <v>1</v>
      </c>
      <c r="N32" s="20">
        <f t="shared" si="9"/>
        <v>1</v>
      </c>
      <c r="O32" s="20">
        <f t="shared" si="10"/>
        <v>1</v>
      </c>
      <c r="P32" s="20">
        <f t="shared" si="11"/>
        <v>0</v>
      </c>
      <c r="Q32" s="21">
        <f t="shared" si="12"/>
        <v>0</v>
      </c>
      <c r="R32" s="21"/>
      <c r="S32" s="21"/>
      <c r="T32" s="22"/>
      <c r="U32" s="23">
        <f t="shared" si="0"/>
        <v>739.48434153818357</v>
      </c>
      <c r="V32" s="23">
        <f>НОМ!$I$90/НОМ!$I$70*РАСЧЕТЫ!U32</f>
        <v>44.583779636305039</v>
      </c>
      <c r="W32" s="24">
        <f t="shared" si="1"/>
        <v>784.06812117448862</v>
      </c>
      <c r="X32" s="25"/>
      <c r="Y32" s="23"/>
      <c r="Z32" s="23">
        <f>IF(ISNA(HLOOKUP(B32,остатки!$A$1:$U$28,27,FALSE))=TRUE,0,HLOOKUP(B32,остатки!$A$1:$U$28,27,FALSE))</f>
        <v>0</v>
      </c>
      <c r="AA32" s="26">
        <f t="shared" si="2"/>
        <v>-784.06812117448862</v>
      </c>
    </row>
    <row r="33" spans="1:27">
      <c r="A33" s="11"/>
      <c r="B33" s="33"/>
      <c r="C33" s="13"/>
      <c r="D33" s="32"/>
      <c r="E33" s="13"/>
      <c r="F33" s="13"/>
      <c r="G33" s="17">
        <f t="shared" si="3"/>
        <v>0</v>
      </c>
      <c r="H33" s="18">
        <f t="shared" si="4"/>
        <v>0</v>
      </c>
      <c r="I33" s="18">
        <f t="shared" si="5"/>
        <v>0</v>
      </c>
      <c r="J33" s="18">
        <f t="shared" si="6"/>
        <v>0</v>
      </c>
      <c r="K33" s="19">
        <f t="shared" si="7"/>
        <v>0</v>
      </c>
      <c r="L33" s="19">
        <f t="shared" si="13"/>
        <v>0</v>
      </c>
      <c r="M33" s="19">
        <f t="shared" si="8"/>
        <v>0</v>
      </c>
      <c r="N33" s="20">
        <f t="shared" si="9"/>
        <v>0</v>
      </c>
      <c r="O33" s="20">
        <f t="shared" si="10"/>
        <v>0</v>
      </c>
      <c r="P33" s="20">
        <f t="shared" si="11"/>
        <v>0</v>
      </c>
      <c r="Q33" s="21">
        <f t="shared" si="12"/>
        <v>0</v>
      </c>
      <c r="R33" s="21"/>
      <c r="S33" s="21"/>
      <c r="T33" s="22"/>
      <c r="U33" s="23">
        <f t="shared" si="0"/>
        <v>0</v>
      </c>
      <c r="V33" s="23">
        <f>НОМ!$I$90/НОМ!$I$70*РАСЧЕТЫ!U33</f>
        <v>0</v>
      </c>
      <c r="W33" s="24">
        <f t="shared" si="1"/>
        <v>0</v>
      </c>
      <c r="X33" s="25"/>
      <c r="Y33" s="23"/>
      <c r="Z33" s="23">
        <f>IF(ISNA(HLOOKUP(B33,остатки!$A$1:$U$28,27,FALSE))=TRUE,0,HLOOKUP(B33,остатки!$A$1:$U$28,27,FALSE))</f>
        <v>0</v>
      </c>
      <c r="AA33" s="26">
        <f t="shared" si="2"/>
        <v>0</v>
      </c>
    </row>
    <row r="34" spans="1:27">
      <c r="A34" s="11"/>
      <c r="B34" s="33"/>
      <c r="C34" s="13"/>
      <c r="D34" s="28"/>
      <c r="E34" s="15"/>
      <c r="F34" s="28"/>
      <c r="G34" s="17">
        <f t="shared" si="3"/>
        <v>0</v>
      </c>
      <c r="H34" s="18">
        <f t="shared" si="4"/>
        <v>0</v>
      </c>
      <c r="I34" s="18">
        <f t="shared" si="5"/>
        <v>0</v>
      </c>
      <c r="J34" s="18">
        <f t="shared" si="6"/>
        <v>0</v>
      </c>
      <c r="K34" s="19">
        <f t="shared" si="7"/>
        <v>0</v>
      </c>
      <c r="L34" s="19">
        <f t="shared" si="13"/>
        <v>0</v>
      </c>
      <c r="M34" s="19">
        <f t="shared" si="8"/>
        <v>0</v>
      </c>
      <c r="N34" s="20">
        <f t="shared" si="9"/>
        <v>0</v>
      </c>
      <c r="O34" s="20">
        <f t="shared" si="10"/>
        <v>0</v>
      </c>
      <c r="P34" s="20">
        <f t="shared" si="11"/>
        <v>0</v>
      </c>
      <c r="Q34" s="21">
        <f t="shared" si="12"/>
        <v>0</v>
      </c>
      <c r="R34" s="21"/>
      <c r="S34" s="21"/>
      <c r="T34" s="22"/>
      <c r="U34" s="23">
        <f t="shared" si="0"/>
        <v>0</v>
      </c>
      <c r="V34" s="23">
        <f>НОМ!$I$90/НОМ!$I$70*РАСЧЕТЫ!U34</f>
        <v>0</v>
      </c>
      <c r="W34" s="24">
        <f t="shared" si="1"/>
        <v>0</v>
      </c>
      <c r="X34" s="25"/>
      <c r="Y34" s="23"/>
      <c r="Z34" s="23">
        <f>IF(ISNA(HLOOKUP(B34,остатки!$A$1:$U$28,27,FALSE))=TRUE,0,HLOOKUP(B34,остатки!$A$1:$U$28,27,FALSE))</f>
        <v>0</v>
      </c>
      <c r="AA34" s="26">
        <f t="shared" si="2"/>
        <v>0</v>
      </c>
    </row>
    <row r="35" spans="1:27">
      <c r="A35" s="11"/>
      <c r="B35" s="34"/>
      <c r="C35" s="13"/>
      <c r="D35" s="28"/>
      <c r="E35" s="15"/>
      <c r="F35" s="28"/>
      <c r="G35" s="17">
        <f t="shared" si="3"/>
        <v>0</v>
      </c>
      <c r="H35" s="18">
        <f t="shared" si="4"/>
        <v>0</v>
      </c>
      <c r="I35" s="18">
        <f t="shared" si="5"/>
        <v>0</v>
      </c>
      <c r="J35" s="18">
        <f t="shared" si="6"/>
        <v>0</v>
      </c>
      <c r="K35" s="19">
        <f t="shared" si="7"/>
        <v>0</v>
      </c>
      <c r="L35" s="19">
        <f t="shared" si="13"/>
        <v>0</v>
      </c>
      <c r="M35" s="19">
        <f t="shared" si="8"/>
        <v>0</v>
      </c>
      <c r="N35" s="20">
        <f t="shared" si="9"/>
        <v>0</v>
      </c>
      <c r="O35" s="20">
        <f t="shared" si="10"/>
        <v>0</v>
      </c>
      <c r="P35" s="20">
        <f t="shared" si="11"/>
        <v>0</v>
      </c>
      <c r="Q35" s="21">
        <f t="shared" si="12"/>
        <v>0</v>
      </c>
      <c r="R35" s="21"/>
      <c r="S35" s="21"/>
      <c r="T35" s="22"/>
      <c r="U35" s="23">
        <f t="shared" si="0"/>
        <v>0</v>
      </c>
      <c r="V35" s="23">
        <f>НОМ!$I$90/НОМ!$I$70*РАСЧЕТЫ!U35</f>
        <v>0</v>
      </c>
      <c r="W35" s="24">
        <f t="shared" si="1"/>
        <v>0</v>
      </c>
      <c r="X35" s="25"/>
      <c r="Y35" s="23"/>
      <c r="Z35" s="23">
        <f>IF(ISNA(HLOOKUP(B35,остатки!$A$1:$U$28,27,FALSE))=TRUE,0,HLOOKUP(B35,остатки!$A$1:$U$28,27,FALSE))</f>
        <v>0</v>
      </c>
      <c r="AA35" s="26">
        <f t="shared" si="2"/>
        <v>0</v>
      </c>
    </row>
    <row r="36" spans="1:27">
      <c r="A36" s="35">
        <f>MAX(A3:A35)</f>
        <v>30</v>
      </c>
      <c r="B36" s="36" t="s">
        <v>33</v>
      </c>
      <c r="C36" s="37"/>
      <c r="D36" s="38"/>
      <c r="E36" s="37"/>
      <c r="F36" s="39">
        <f>SUM(F3:F35)</f>
        <v>0</v>
      </c>
      <c r="G36" s="40">
        <f>SUM(G3:G35)</f>
        <v>8</v>
      </c>
      <c r="H36" s="41">
        <f>SUM(H3:H35)</f>
        <v>13</v>
      </c>
      <c r="I36" s="41">
        <f t="shared" ref="I36:T36" si="51">SUM(I3:I35)</f>
        <v>23</v>
      </c>
      <c r="J36" s="41">
        <f t="shared" si="51"/>
        <v>30</v>
      </c>
      <c r="K36" s="42">
        <f t="shared" ref="K36:P36" si="52">SUM(K3:K35)</f>
        <v>28</v>
      </c>
      <c r="L36" s="42">
        <f t="shared" si="52"/>
        <v>26</v>
      </c>
      <c r="M36" s="42">
        <f t="shared" si="52"/>
        <v>21</v>
      </c>
      <c r="N36" s="43">
        <f t="shared" si="52"/>
        <v>16</v>
      </c>
      <c r="O36" s="43">
        <f t="shared" si="52"/>
        <v>12</v>
      </c>
      <c r="P36" s="43">
        <f t="shared" si="52"/>
        <v>0</v>
      </c>
      <c r="Q36" s="44">
        <f t="shared" si="51"/>
        <v>0</v>
      </c>
      <c r="R36" s="44">
        <f t="shared" si="51"/>
        <v>0</v>
      </c>
      <c r="S36" s="44">
        <f t="shared" si="51"/>
        <v>0</v>
      </c>
      <c r="T36" s="45">
        <f t="shared" si="51"/>
        <v>0</v>
      </c>
      <c r="U36" s="46">
        <f t="shared" ref="U36:AA36" si="53">SUM(U3:U35)</f>
        <v>19389.5</v>
      </c>
      <c r="V36" s="46">
        <f t="shared" si="53"/>
        <v>1169.0000000000002</v>
      </c>
      <c r="W36" s="46">
        <f t="shared" si="53"/>
        <v>20558.500000000004</v>
      </c>
      <c r="X36" s="46">
        <f t="shared" si="53"/>
        <v>4900</v>
      </c>
      <c r="Y36" s="46">
        <f t="shared" si="53"/>
        <v>0</v>
      </c>
      <c r="Z36" s="46">
        <f t="shared" si="53"/>
        <v>0</v>
      </c>
      <c r="AA36" s="47">
        <f t="shared" si="53"/>
        <v>-15658.499999999998</v>
      </c>
    </row>
    <row r="37" spans="1:27">
      <c r="W37" s="48"/>
      <c r="X37" s="49">
        <f>X36-U36-V36</f>
        <v>-15658.5</v>
      </c>
      <c r="Z37" s="50"/>
    </row>
    <row r="38" spans="1:27">
      <c r="W38" s="48"/>
      <c r="X38" s="49"/>
    </row>
    <row r="39" spans="1:27">
      <c r="W39" s="48"/>
      <c r="X39" s="49"/>
    </row>
    <row r="40" spans="1:27">
      <c r="W40" s="48"/>
      <c r="X40" s="49"/>
    </row>
    <row r="41" spans="1:27">
      <c r="W41" s="48"/>
      <c r="X41" s="49"/>
    </row>
    <row r="42" spans="1:27">
      <c r="V42" s="51"/>
      <c r="W42" s="48"/>
      <c r="X42" s="49"/>
    </row>
    <row r="43" spans="1:27">
      <c r="B43" s="52" t="s">
        <v>34</v>
      </c>
      <c r="C43" s="52" t="s">
        <v>35</v>
      </c>
      <c r="D43" s="53" t="s">
        <v>36</v>
      </c>
      <c r="E43" s="52" t="s">
        <v>37</v>
      </c>
      <c r="F43" s="54"/>
      <c r="W43" s="48"/>
      <c r="X43" s="49"/>
    </row>
    <row r="44" spans="1:27">
      <c r="B44" s="55">
        <v>41394</v>
      </c>
      <c r="C44" s="56">
        <v>0</v>
      </c>
      <c r="D44" s="56">
        <v>0</v>
      </c>
      <c r="E44" s="56">
        <f>МЕНЮ!E23</f>
        <v>1281.1029153702625</v>
      </c>
      <c r="F44" s="57"/>
      <c r="G44" s="57"/>
      <c r="H44" s="57">
        <f>+$E$44/$G$36*G3</f>
        <v>160.13786442128281</v>
      </c>
      <c r="I44" s="144"/>
      <c r="J44" s="144"/>
      <c r="K44" s="144">
        <f>E44/H44</f>
        <v>8</v>
      </c>
      <c r="W44" s="48"/>
      <c r="X44" s="49"/>
    </row>
    <row r="45" spans="1:27">
      <c r="B45" s="55">
        <v>41395</v>
      </c>
      <c r="C45" s="56">
        <f>МЕНЮ!E44</f>
        <v>1234.8990760849085</v>
      </c>
      <c r="D45" s="56">
        <f>МЕНЮ!E70</f>
        <v>1989.6936102892389</v>
      </c>
      <c r="E45" s="56">
        <f>МЕНЮ!E97</f>
        <v>4684.2716494070801</v>
      </c>
      <c r="F45" s="57">
        <f>+$C$45/$H$36*H3</f>
        <v>94.992236621916035</v>
      </c>
      <c r="G45" s="57">
        <f>+$D$45/$I$36*I3</f>
        <v>86.508417838662567</v>
      </c>
      <c r="H45" s="57">
        <f>+$E$45/$J$36*J3</f>
        <v>156.14238831356934</v>
      </c>
      <c r="I45" s="144">
        <f t="shared" ref="I45:J48" si="54">C45/F45</f>
        <v>13</v>
      </c>
      <c r="J45" s="144">
        <f t="shared" si="54"/>
        <v>23</v>
      </c>
      <c r="K45" s="144">
        <f>E45/H45</f>
        <v>30</v>
      </c>
      <c r="W45" s="48"/>
      <c r="X45" s="49"/>
    </row>
    <row r="46" spans="1:27">
      <c r="B46" s="55">
        <v>41396</v>
      </c>
      <c r="C46" s="56">
        <f>МЕНЮ!E118</f>
        <v>2659.7826254136498</v>
      </c>
      <c r="D46" s="56">
        <f>МЕНЮ!E143</f>
        <v>1947.439714060421</v>
      </c>
      <c r="E46" s="56">
        <f>МЕНЮ!E169</f>
        <v>3017.2067275667287</v>
      </c>
      <c r="F46" s="57">
        <f>+$C$46/$K$36*K3</f>
        <v>94.992236621916064</v>
      </c>
      <c r="G46" s="57">
        <f>+$D$46/$L$36*L3</f>
        <v>74.901527463862351</v>
      </c>
      <c r="H46" s="57">
        <f>+$E$46/$M$36*M3</f>
        <v>143.67651083651089</v>
      </c>
      <c r="I46" s="144">
        <f t="shared" si="54"/>
        <v>28</v>
      </c>
      <c r="J46" s="144">
        <f t="shared" si="54"/>
        <v>26</v>
      </c>
      <c r="K46" s="144">
        <f>E46/H46</f>
        <v>21</v>
      </c>
      <c r="W46" s="48"/>
      <c r="X46" s="49"/>
    </row>
    <row r="47" spans="1:27">
      <c r="B47" s="55">
        <v>41397</v>
      </c>
      <c r="C47" s="56">
        <f>МЕНЮ!E190</f>
        <v>1503.7782249750469</v>
      </c>
      <c r="D47" s="56">
        <f>МЕНЮ!E217</f>
        <v>1071.3254568326629</v>
      </c>
      <c r="E47" s="56">
        <f>МЕНЮ!E244</f>
        <v>0</v>
      </c>
      <c r="F47" s="57">
        <f>+$C$47/$N$36*N3</f>
        <v>93.986139060940431</v>
      </c>
      <c r="G47" s="57">
        <f>+$D$47/$O$36*O3</f>
        <v>89.277121402721903</v>
      </c>
      <c r="H47" s="57"/>
      <c r="I47" s="144">
        <f t="shared" si="54"/>
        <v>16</v>
      </c>
      <c r="J47" s="144">
        <f t="shared" si="54"/>
        <v>12</v>
      </c>
      <c r="K47" s="144"/>
      <c r="W47" s="48"/>
      <c r="X47" s="49"/>
    </row>
    <row r="48" spans="1:27">
      <c r="B48" s="55">
        <v>41398</v>
      </c>
      <c r="C48" s="56">
        <f>МЕНЮ!E259</f>
        <v>0</v>
      </c>
      <c r="D48" s="56"/>
      <c r="E48" s="56"/>
      <c r="F48" s="57"/>
      <c r="G48" s="57"/>
      <c r="H48" s="57"/>
      <c r="I48" s="144"/>
      <c r="J48" s="144"/>
      <c r="K48" s="144"/>
      <c r="W48" s="48"/>
      <c r="X48" s="49"/>
    </row>
    <row r="49" spans="2:24">
      <c r="B49" s="58" t="s">
        <v>33</v>
      </c>
      <c r="C49" s="59">
        <f>SUM(C44:C48)</f>
        <v>5398.4599264736053</v>
      </c>
      <c r="D49" s="59">
        <f>SUM(D44:D48)</f>
        <v>5008.458781182323</v>
      </c>
      <c r="E49" s="59">
        <f>SUM(E44:E48)</f>
        <v>8982.5812923440717</v>
      </c>
      <c r="F49" s="60"/>
      <c r="G49" s="57"/>
      <c r="H49" s="57"/>
      <c r="I49" s="57"/>
      <c r="J49" s="57"/>
      <c r="K49" s="57"/>
      <c r="W49" s="48"/>
      <c r="X49" s="49"/>
    </row>
  </sheetData>
  <sheetProtection selectLockedCells="1" selectUnlockedCells="1"/>
  <mergeCells count="14">
    <mergeCell ref="D1:D2"/>
    <mergeCell ref="E1:E2"/>
    <mergeCell ref="F1:F2"/>
    <mergeCell ref="A1:A2"/>
    <mergeCell ref="B1:B2"/>
    <mergeCell ref="C1:C2"/>
    <mergeCell ref="Z1:Z2"/>
    <mergeCell ref="AA1:AA2"/>
    <mergeCell ref="G1:T1"/>
    <mergeCell ref="U1:U2"/>
    <mergeCell ref="V1:V2"/>
    <mergeCell ref="W1:W2"/>
    <mergeCell ref="X1:X2"/>
    <mergeCell ref="Y1:Y2"/>
  </mergeCells>
  <phoneticPr fontId="25" type="noConversion"/>
  <conditionalFormatting sqref="G3:T36">
    <cfRule type="cellIs" dxfId="4" priority="3" stopIfTrue="1" operator="equal">
      <formula>0</formula>
    </cfRule>
  </conditionalFormatting>
  <printOptions horizontalCentered="1" verticalCentered="1"/>
  <pageMargins left="0.2361111111111111" right="0.14000000000000001" top="0.15763888888888888" bottom="0.32013888888888886" header="0.51180555555555551" footer="0.51180555555555551"/>
  <pageSetup paperSize="9" firstPageNumber="0" orientation="landscape" horizontalDpi="300" verticalDpi="300" r:id="rId1"/>
  <headerFooter alignWithMargins="0"/>
  <colBreaks count="1" manualBreakCount="1">
    <brk id="6" max="36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M264"/>
  <sheetViews>
    <sheetView view="pageBreakPreview" zoomScale="130" zoomScaleSheetLayoutView="130" zoomScalePageLayoutView="55" workbookViewId="0">
      <selection activeCell="B19" sqref="B19"/>
    </sheetView>
  </sheetViews>
  <sheetFormatPr defaultRowHeight="12.75"/>
  <cols>
    <col min="1" max="1" width="34.85546875" bestFit="1" customWidth="1"/>
    <col min="2" max="2" width="7.140625" bestFit="1" customWidth="1"/>
    <col min="3" max="3" width="8" bestFit="1" customWidth="1"/>
    <col min="4" max="4" width="1.28515625" hidden="1" customWidth="1"/>
    <col min="5" max="5" width="7.28515625" style="61" bestFit="1" customWidth="1"/>
    <col min="6" max="6" width="6.28515625" style="1" bestFit="1" customWidth="1"/>
    <col min="7" max="7" width="7.5703125" style="62" bestFit="1" customWidth="1"/>
    <col min="8" max="8" width="3.28515625" style="4" customWidth="1"/>
    <col min="9" max="9" width="3.28515625" customWidth="1"/>
    <col min="10" max="10" width="2" customWidth="1"/>
    <col min="11" max="11" width="4.7109375" style="177" bestFit="1" customWidth="1"/>
    <col min="12" max="12" width="15.7109375" style="176" bestFit="1" customWidth="1"/>
    <col min="13" max="13" width="13" bestFit="1" customWidth="1"/>
  </cols>
  <sheetData>
    <row r="1" spans="1:13" ht="15.75" customHeight="1">
      <c r="A1" s="203"/>
      <c r="B1" s="203"/>
      <c r="C1" s="203"/>
      <c r="D1" s="203"/>
      <c r="E1" s="203"/>
      <c r="F1" s="203"/>
      <c r="G1" s="203"/>
      <c r="H1" s="203"/>
      <c r="I1" s="203"/>
    </row>
    <row r="2" spans="1:13" ht="21" customHeight="1">
      <c r="A2" s="193" t="s">
        <v>163</v>
      </c>
      <c r="B2" s="193"/>
      <c r="C2" s="193"/>
      <c r="D2" s="193"/>
      <c r="E2" s="193"/>
      <c r="F2" s="193"/>
      <c r="G2" s="63"/>
    </row>
    <row r="3" spans="1:13">
      <c r="A3" s="64" t="s">
        <v>38</v>
      </c>
      <c r="B3" s="65">
        <f>РАСЧЕТЫ!G36</f>
        <v>8</v>
      </c>
      <c r="C3" s="66" t="s">
        <v>39</v>
      </c>
      <c r="D3" s="66"/>
      <c r="E3" s="67"/>
      <c r="F3" s="68"/>
    </row>
    <row r="4" spans="1:13">
      <c r="A4" s="5" t="s">
        <v>40</v>
      </c>
      <c r="B4" s="69" t="s">
        <v>41</v>
      </c>
      <c r="C4" s="5" t="s">
        <v>42</v>
      </c>
      <c r="D4" s="5"/>
      <c r="E4" s="70" t="s">
        <v>43</v>
      </c>
      <c r="F4" s="5" t="s">
        <v>44</v>
      </c>
      <c r="G4" s="71" t="s">
        <v>45</v>
      </c>
    </row>
    <row r="5" spans="1:13" ht="12.75" customHeight="1">
      <c r="A5" s="148" t="str">
        <f>НОМ!$A$30</f>
        <v>Огурцы коротоплодные свежие</v>
      </c>
      <c r="B5" s="149">
        <f>ROUND(VLOOKUP(A5,НОМ!$A$3:$I$70,3,FALSE)/1000/2,3)</f>
        <v>0.05</v>
      </c>
      <c r="C5" s="149">
        <f>B5*$B$3</f>
        <v>0.4</v>
      </c>
      <c r="D5" s="150"/>
      <c r="E5" s="151">
        <f>VLOOKUP(A5,НОМ!$A$3:$I$89,9,FALSE)/VLOOKUP(A5,НОМ!$A$3:$I$89,6,FALSE)*C5</f>
        <v>65.688635865995181</v>
      </c>
      <c r="F5" s="152">
        <f>IF(G5&lt;1,1000*МЕНЮ!C5*(1-G5),1000*МЕНЮ!C5+G5*$B$73)</f>
        <v>400</v>
      </c>
      <c r="G5" s="72"/>
      <c r="H5" s="194">
        <f>SUM(F5:F10)</f>
        <v>1248</v>
      </c>
      <c r="I5" s="195">
        <f>H5/B3</f>
        <v>156</v>
      </c>
      <c r="K5" s="178">
        <f>ROUND(C5*1000/VLOOKUP(A5,НОМ!$A$3:$I$70,3,FALSE),1)</f>
        <v>4</v>
      </c>
      <c r="L5" s="176" t="s">
        <v>199</v>
      </c>
      <c r="M5" s="175"/>
    </row>
    <row r="6" spans="1:13">
      <c r="A6" s="148" t="str">
        <f>НОМ!$A$38</f>
        <v>Салат "айсберг"</v>
      </c>
      <c r="B6" s="149">
        <f>ROUND(VLOOKUP(A6,НОМ!$A$3:$I$70,3,FALSE)/1000/15,3)</f>
        <v>0.02</v>
      </c>
      <c r="C6" s="149">
        <f t="shared" ref="C6:C21" si="0">B6*$B$3</f>
        <v>0.16</v>
      </c>
      <c r="D6" s="150"/>
      <c r="E6" s="151">
        <f>VLOOKUP(A6,НОМ!$A$3:$I$89,9,FALSE)/VLOOKUP(A6,НОМ!$A$3:$I$89,6,FALSE)*C6</f>
        <v>39.999999999999993</v>
      </c>
      <c r="F6" s="152">
        <f>IF(G6&lt;1,1000*МЕНЮ!C6*(1-G6),1000*МЕНЮ!C6+G6*$B$73)</f>
        <v>160</v>
      </c>
      <c r="G6" s="73"/>
      <c r="H6" s="194"/>
      <c r="I6" s="195"/>
      <c r="K6" s="177">
        <f>ROUND(C6*1000/VLOOKUP(A6,НОМ!$A$3:$I$70,3,FALSE),1)</f>
        <v>0.5</v>
      </c>
      <c r="L6" s="176" t="s">
        <v>201</v>
      </c>
    </row>
    <row r="7" spans="1:13">
      <c r="A7" s="148" t="str">
        <f>НОМ!$A$34</f>
        <v>Томаты свежие</v>
      </c>
      <c r="B7" s="149">
        <f>ROUND(VLOOKUP(A7,НОМ!$A$3:$I$70,3,FALSE)/1000/4,3)</f>
        <v>0.05</v>
      </c>
      <c r="C7" s="149">
        <f t="shared" si="0"/>
        <v>0.4</v>
      </c>
      <c r="D7" s="150"/>
      <c r="E7" s="151">
        <f>VLOOKUP(A7,НОМ!$A$3:$I$89,9,FALSE)/VLOOKUP(A7,НОМ!$A$3:$I$89,6,FALSE)*C7</f>
        <v>55.913978494623656</v>
      </c>
      <c r="F7" s="152">
        <f>IF(G7&lt;1,1000*МЕНЮ!C7*(1-G7),1000*МЕНЮ!C7+G7*$B$73)</f>
        <v>400</v>
      </c>
      <c r="G7" s="73"/>
      <c r="H7" s="194"/>
      <c r="I7" s="195"/>
      <c r="K7" s="178">
        <f>ROUND(C7*1000/VLOOKUP(A7,НОМ!$A$3:$I$70,3,FALSE),1)</f>
        <v>2</v>
      </c>
      <c r="L7" s="176" t="s">
        <v>200</v>
      </c>
      <c r="M7" s="175"/>
    </row>
    <row r="8" spans="1:13">
      <c r="A8" s="148" t="str">
        <f>НОМ!$A$35</f>
        <v>Перец болгарский, светофор</v>
      </c>
      <c r="B8" s="149">
        <f>ROUND(VLOOKUP(A8,НОМ!$A$3:$I$70,3,FALSE)/1000/15,3)</f>
        <v>8.0000000000000002E-3</v>
      </c>
      <c r="C8" s="149">
        <f t="shared" si="0"/>
        <v>6.4000000000000001E-2</v>
      </c>
      <c r="D8" s="150"/>
      <c r="E8" s="151">
        <f>VLOOKUP(A8,НОМ!$A$3:$I$89,9,FALSE)/VLOOKUP(A8,НОМ!$A$3:$I$89,6,FALSE)*C8</f>
        <v>7.4113389626055497</v>
      </c>
      <c r="F8" s="152">
        <f>IF(G8&lt;1,1000*МЕНЮ!C8*(1-G8),1000*МЕНЮ!C8+G8*$B$73)</f>
        <v>64</v>
      </c>
      <c r="G8" s="72"/>
      <c r="H8" s="194"/>
      <c r="I8" s="195"/>
      <c r="K8" s="177">
        <f>ROUND(C8*1000/VLOOKUP(A8,НОМ!$A$3:$I$70,3,FALSE),1)</f>
        <v>0.5</v>
      </c>
      <c r="L8" s="176" t="s">
        <v>226</v>
      </c>
      <c r="M8" s="175"/>
    </row>
    <row r="9" spans="1:13">
      <c r="A9" s="148" t="str">
        <f>НОМ!$A$5</f>
        <v>Зелень свежая</v>
      </c>
      <c r="B9" s="149">
        <v>3.0000000000000001E-3</v>
      </c>
      <c r="C9" s="149">
        <f t="shared" si="0"/>
        <v>2.4E-2</v>
      </c>
      <c r="D9" s="150"/>
      <c r="E9" s="151">
        <f>VLOOKUP(A9,НОМ!$A$3:$I$89,9,FALSE)/VLOOKUP(A9,НОМ!$A$3:$I$89,6,FALSE)*C9</f>
        <v>9.3333333333333339</v>
      </c>
      <c r="F9" s="152">
        <f>IF(G9&lt;1,1000*МЕНЮ!C9*(1-G9),1000*МЕНЮ!C9+G9*$B$73)</f>
        <v>24</v>
      </c>
      <c r="G9" s="73"/>
      <c r="H9" s="194"/>
      <c r="I9" s="195"/>
      <c r="K9" s="179">
        <f>ROUND(C9*1000/VLOOKUP(A9,НОМ!$A$3:$I$70,3,FALSE),1)</f>
        <v>0.5</v>
      </c>
      <c r="L9" s="176" t="s">
        <v>242</v>
      </c>
      <c r="M9" s="175"/>
    </row>
    <row r="10" spans="1:13">
      <c r="A10" s="148" t="str">
        <f>НОМ!$A$25</f>
        <v>Майонез "Провансаль"</v>
      </c>
      <c r="B10" s="149">
        <v>2.5000000000000001E-2</v>
      </c>
      <c r="C10" s="149">
        <f t="shared" si="0"/>
        <v>0.2</v>
      </c>
      <c r="D10" s="150"/>
      <c r="E10" s="151">
        <f>VLOOKUP(A10,НОМ!$A$3:$I$89,9,FALSE)/VLOOKUP(A10,НОМ!$A$3:$I$89,6,FALSE)*C10</f>
        <v>24.277456647398846</v>
      </c>
      <c r="F10" s="152">
        <f>IF(G10&lt;1,1000*МЕНЮ!C10*(1-G10),1000*МЕНЮ!C10+G10*$B$73)</f>
        <v>200</v>
      </c>
      <c r="G10" s="73"/>
      <c r="H10" s="194"/>
      <c r="I10" s="195"/>
      <c r="M10" s="175"/>
    </row>
    <row r="11" spans="1:13" ht="13.5" customHeight="1">
      <c r="A11" s="153" t="str">
        <f>НОМ!$A$7</f>
        <v>Капуста свежая</v>
      </c>
      <c r="B11" s="154">
        <f>ROUND(VLOOKUP(A11,НОМ!$A$3:$I$70,3,FALSE)/1000/10,3)</f>
        <v>0.2</v>
      </c>
      <c r="C11" s="154">
        <f t="shared" si="0"/>
        <v>1.6</v>
      </c>
      <c r="D11" s="155"/>
      <c r="E11" s="156">
        <f>VLOOKUP(A11,НОМ!$A$3:$I$89,9,FALSE)/VLOOKUP(A11,НОМ!$A$3:$I$89,6,FALSE)*C11</f>
        <v>40</v>
      </c>
      <c r="F11" s="157">
        <f>IF(G11&lt;1,1000*МЕНЮ!C11*(1-G11),1000*МЕНЮ!C11+G11*$B$3)</f>
        <v>800</v>
      </c>
      <c r="G11" s="72">
        <v>0.5</v>
      </c>
      <c r="H11" s="199">
        <f>SUM(F11:F16)</f>
        <v>1760</v>
      </c>
      <c r="I11" s="200">
        <f>H11/B3</f>
        <v>220</v>
      </c>
      <c r="K11" s="178">
        <f>ROUND(C11*1000/VLOOKUP(A11,НОМ!$A$3:$I$70,3,FALSE),1)</f>
        <v>0.8</v>
      </c>
      <c r="L11" s="176" t="s">
        <v>243</v>
      </c>
      <c r="M11" s="175"/>
    </row>
    <row r="12" spans="1:13" ht="13.5" customHeight="1">
      <c r="A12" s="153" t="str">
        <f>НОМ!$A$29</f>
        <v>Морковь свежая</v>
      </c>
      <c r="B12" s="154">
        <f>ROUND(VLOOKUP(A12,НОМ!$A$3:$I$70,3,FALSE)/1000/10,3)</f>
        <v>0.01</v>
      </c>
      <c r="C12" s="154">
        <f t="shared" si="0"/>
        <v>0.08</v>
      </c>
      <c r="D12" s="155"/>
      <c r="E12" s="156">
        <f>VLOOKUP(A12,НОМ!$A$3:$I$89,9,FALSE)/VLOOKUP(A12,НОМ!$A$3:$I$89,6,FALSE)*C12</f>
        <v>3.8709677419354844</v>
      </c>
      <c r="F12" s="157">
        <f>IF(G12&lt;1,1000*МЕНЮ!C12*(1-G12),1000*МЕНЮ!C12+G12*$B$3)</f>
        <v>52</v>
      </c>
      <c r="G12" s="72">
        <v>0.35</v>
      </c>
      <c r="H12" s="199"/>
      <c r="I12" s="200"/>
      <c r="K12" s="178">
        <f>ROUND(C12*1000/VLOOKUP(A12,НОМ!$A$3:$I$70,3,FALSE),1)</f>
        <v>0.8</v>
      </c>
      <c r="L12" s="176" t="s">
        <v>206</v>
      </c>
      <c r="M12" s="175"/>
    </row>
    <row r="13" spans="1:13" ht="13.5" customHeight="1">
      <c r="A13" s="153" t="str">
        <f>НОМ!$A$22</f>
        <v>Лук репчатый</v>
      </c>
      <c r="B13" s="154">
        <f>ROUND(VLOOKUP(A13,НОМ!$A$3:$I$70,3,FALSE)/1000/10,3)</f>
        <v>0.01</v>
      </c>
      <c r="C13" s="154">
        <f t="shared" si="0"/>
        <v>0.08</v>
      </c>
      <c r="D13" s="155"/>
      <c r="E13" s="156">
        <f>VLOOKUP(A13,НОМ!$A$3:$I$89,9,FALSE)/VLOOKUP(A13,НОМ!$A$3:$I$89,6,FALSE)*C13</f>
        <v>2.8395646000946524</v>
      </c>
      <c r="F13" s="157">
        <f>IF(G13&lt;1,1000*МЕНЮ!C13*(1-G13),1000*МЕНЮ!C13+G13*$B$3)</f>
        <v>52</v>
      </c>
      <c r="G13" s="72">
        <v>0.35</v>
      </c>
      <c r="H13" s="199"/>
      <c r="I13" s="200"/>
      <c r="K13" s="178">
        <f>ROUND(C13*1000/VLOOKUP(A13,НОМ!$A$3:$I$70,3,FALSE),1)</f>
        <v>0.8</v>
      </c>
      <c r="L13" s="176" t="s">
        <v>207</v>
      </c>
      <c r="M13" s="175"/>
    </row>
    <row r="14" spans="1:13" ht="13.5" customHeight="1">
      <c r="A14" s="153" t="str">
        <f>НОМ!$A$34</f>
        <v>Томаты свежие</v>
      </c>
      <c r="B14" s="154">
        <f>ROUND(VLOOKUP(A14,НОМ!$A$3:$I$70,3,FALSE)/1000/10,3)</f>
        <v>0.02</v>
      </c>
      <c r="C14" s="154">
        <f>B14*$B$3</f>
        <v>0.16</v>
      </c>
      <c r="D14" s="155"/>
      <c r="E14" s="156">
        <f>VLOOKUP(A14,НОМ!$A$3:$I$89,9,FALSE)/VLOOKUP(A14,НОМ!$A$3:$I$89,6,FALSE)*C14</f>
        <v>22.365591397849464</v>
      </c>
      <c r="F14" s="157">
        <f>IF(G14&lt;1,1000*МЕНЮ!C14*(1-G14),1000*МЕНЮ!C14+G14*$B$3)</f>
        <v>104</v>
      </c>
      <c r="G14" s="72">
        <v>0.35</v>
      </c>
      <c r="H14" s="199"/>
      <c r="I14" s="200"/>
      <c r="K14" s="178">
        <f>ROUND(C14*1000/VLOOKUP(A14,НОМ!$A$3:$I$70,3,FALSE),1)</f>
        <v>0.8</v>
      </c>
      <c r="L14" s="176" t="s">
        <v>208</v>
      </c>
      <c r="M14" s="175"/>
    </row>
    <row r="15" spans="1:13" ht="13.5" customHeight="1">
      <c r="A15" s="153" t="str">
        <f>НОМ!$A$4</f>
        <v>Грибы белые, черные, сухие</v>
      </c>
      <c r="B15" s="154">
        <v>3.0000000000000001E-3</v>
      </c>
      <c r="C15" s="154">
        <f t="shared" si="0"/>
        <v>2.4E-2</v>
      </c>
      <c r="D15" s="155"/>
      <c r="E15" s="156">
        <f>VLOOKUP(A15,НОМ!$A$3:$I$89,9,FALSE)/VLOOKUP(A15,НОМ!$A$3:$I$89,6,FALSE)*C15</f>
        <v>0</v>
      </c>
      <c r="F15" s="157">
        <f>IF(G15&lt;1,1000*МЕНЮ!C15*(1-G15),1000*МЕНЮ!C15+G15*$B$3)</f>
        <v>24</v>
      </c>
      <c r="G15" s="72"/>
      <c r="H15" s="199"/>
      <c r="I15" s="200"/>
      <c r="M15" s="175"/>
    </row>
    <row r="16" spans="1:13" ht="13.5" customHeight="1">
      <c r="A16" s="153" t="str">
        <f>НОМ!$A$60</f>
        <v>Мясо - свинина ребрышки</v>
      </c>
      <c r="B16" s="154">
        <v>0.13</v>
      </c>
      <c r="C16" s="154">
        <f t="shared" si="0"/>
        <v>1.04</v>
      </c>
      <c r="D16" s="155"/>
      <c r="E16" s="156">
        <f>VLOOKUP(A16,НОМ!$A$3:$I$89,9,FALSE)/VLOOKUP(A16,НОМ!$A$3:$I$89,6,FALSE)*C16</f>
        <v>209.65517241379308</v>
      </c>
      <c r="F16" s="157">
        <f>IF(G16&lt;1,1000*МЕНЮ!C16*(1-G16),1000*МЕНЮ!C16+G16*$B$3)</f>
        <v>728</v>
      </c>
      <c r="G16" s="72">
        <v>0.3</v>
      </c>
      <c r="H16" s="199"/>
      <c r="I16" s="200"/>
      <c r="M16" s="175"/>
    </row>
    <row r="17" spans="1:13" ht="12.75" customHeight="1">
      <c r="A17" s="74" t="str">
        <f>НОМ!$A$56</f>
        <v>Хлеб - ржаной в нарезке</v>
      </c>
      <c r="B17" s="75">
        <f>VLOOKUP(A17,НОМ!$A$1:$I$70,3,FALSE)*3/1000</f>
        <v>7.4999999999999997E-2</v>
      </c>
      <c r="C17" s="76">
        <f t="shared" si="0"/>
        <v>0.6</v>
      </c>
      <c r="D17" s="77"/>
      <c r="E17" s="78">
        <f>VLOOKUP(A17,НОМ!$A$3:$I$89,9,FALSE)/VLOOKUP(A17,НОМ!$A$3:$I$89,6,FALSE)*C17</f>
        <v>22.471910112359552</v>
      </c>
      <c r="F17" s="79">
        <f>IF(G17&lt;1,1000*МЕНЮ!C17*(1-G17),1000*МЕНЮ!C17+G17*$B$3)</f>
        <v>600</v>
      </c>
      <c r="G17" s="73"/>
      <c r="H17" s="197">
        <f>SUM(F17:F22)</f>
        <v>5640</v>
      </c>
      <c r="I17" s="198">
        <f>H17/B3</f>
        <v>705</v>
      </c>
      <c r="K17" s="178"/>
      <c r="M17" s="175"/>
    </row>
    <row r="18" spans="1:13" ht="12.75" customHeight="1">
      <c r="A18" s="153" t="str">
        <f>НОМ!A32</f>
        <v>Пироги из столовой Гидромаш</v>
      </c>
      <c r="B18" s="154">
        <f>ROUND(VLOOKUP(A18,НОМ!$A$3:$I$70,3,FALSE)/1000*(1+1/$B$3),3)*4</f>
        <v>0.36</v>
      </c>
      <c r="C18" s="154">
        <f t="shared" si="0"/>
        <v>2.88</v>
      </c>
      <c r="D18" s="155"/>
      <c r="E18" s="156">
        <f>VLOOKUP(A18,НОМ!$A$3:$I$89,9,FALSE)/VLOOKUP(A18,НОМ!$A$3:$I$89,6,FALSE)*C18</f>
        <v>648</v>
      </c>
      <c r="F18" s="157">
        <f>IF(G18&lt;1,1000*МЕНЮ!C18*(1-G18),1000*МЕНЮ!C18+G18*$B$3)</f>
        <v>2880</v>
      </c>
      <c r="G18" s="73"/>
      <c r="H18" s="197"/>
      <c r="I18" s="198"/>
      <c r="K18" s="178">
        <f>ROUND(C18*1000/VLOOKUP(A18,НОМ!$A$3:$I$70,3,FALSE),1)</f>
        <v>36</v>
      </c>
      <c r="L18" s="176" t="s">
        <v>209</v>
      </c>
      <c r="M18" s="175"/>
    </row>
    <row r="19" spans="1:13">
      <c r="A19" s="158" t="str">
        <f>НОМ!$A$57</f>
        <v>Чай черный крупнолистовой</v>
      </c>
      <c r="B19" s="159">
        <f>0.002</f>
        <v>2E-3</v>
      </c>
      <c r="C19" s="159">
        <f t="shared" si="0"/>
        <v>1.6E-2</v>
      </c>
      <c r="D19" s="160"/>
      <c r="E19" s="161">
        <f>VLOOKUP(A19,НОМ!$A$3:$I$89,9,FALSE)/VLOOKUP(A19,НОМ!$A$3:$I$89,6,FALSE)*C19</f>
        <v>11.162790697674419</v>
      </c>
      <c r="F19" s="162">
        <f>IF(G19&lt;1,1000*МЕНЮ!C19*(1-G19),1000*МЕНЮ!C19+G19*$B$3)</f>
        <v>1616</v>
      </c>
      <c r="G19" s="73">
        <v>200</v>
      </c>
      <c r="H19" s="197"/>
      <c r="I19" s="198"/>
      <c r="M19" s="175"/>
    </row>
    <row r="20" spans="1:13" s="3" customFormat="1">
      <c r="A20" s="85" t="str">
        <f>НОМ!A41</f>
        <v>Семечки подсолнечника жареные</v>
      </c>
      <c r="B20" s="75">
        <v>3.3000000000000002E-2</v>
      </c>
      <c r="C20" s="75">
        <f t="shared" si="0"/>
        <v>0.26400000000000001</v>
      </c>
      <c r="D20" s="86"/>
      <c r="E20" s="87">
        <f>VLOOKUP(A20,НОМ!$A$3:$I$89,9,FALSE)/VLOOKUP(A20,НОМ!$A$3:$I$89,6,FALSE)*C20</f>
        <v>57.64705882352942</v>
      </c>
      <c r="F20" s="88">
        <f>IF(G20&lt;1,1000*МЕНЮ!C20*(1-G20),1000*МЕНЮ!C20+G20*$B$3)</f>
        <v>264</v>
      </c>
      <c r="G20" s="73"/>
      <c r="H20" s="197"/>
      <c r="I20" s="198"/>
      <c r="K20" s="177"/>
      <c r="L20" s="176"/>
      <c r="M20" s="175"/>
    </row>
    <row r="21" spans="1:13">
      <c r="A21" s="74" t="str">
        <f>НОМ!$A$39</f>
        <v>Сахар рафинад</v>
      </c>
      <c r="B21" s="76">
        <v>5.0000000000000001E-3</v>
      </c>
      <c r="C21" s="76">
        <f t="shared" si="0"/>
        <v>0.04</v>
      </c>
      <c r="D21" s="77"/>
      <c r="E21" s="78">
        <f>VLOOKUP(A21,НОМ!$A$3:$I$89,9,FALSE)/VLOOKUP(A21,НОМ!$A$3:$I$89,6,FALSE)*C21</f>
        <v>0</v>
      </c>
      <c r="F21" s="79">
        <f>IF(G21&lt;1,1000*МЕНЮ!C21*(1-G21),1000*МЕНЮ!C21+G21*$B$3)</f>
        <v>40</v>
      </c>
      <c r="G21" s="73"/>
      <c r="H21" s="197"/>
      <c r="I21" s="198"/>
      <c r="M21" s="175"/>
    </row>
    <row r="22" spans="1:13">
      <c r="A22" s="74" t="str">
        <f>НОМ!$A$33</f>
        <v>Конд.изд. (ш.конф.печ.ваф.шок.и т.д.)</v>
      </c>
      <c r="B22" s="76">
        <v>0.03</v>
      </c>
      <c r="C22" s="76">
        <f>B22*$B$3</f>
        <v>0.24</v>
      </c>
      <c r="D22" s="77"/>
      <c r="E22" s="78">
        <f>VLOOKUP(A22,НОМ!$A$3:$I$89,9,FALSE)/VLOOKUP(A22,НОМ!$A$3:$I$89,6,FALSE)*C22</f>
        <v>60.465116279069768</v>
      </c>
      <c r="F22" s="79">
        <f>IF(G22&lt;1,1000*МЕНЮ!C22*(1-G22),1000*МЕНЮ!C22+G22*$B$3)</f>
        <v>240</v>
      </c>
      <c r="G22" s="73"/>
      <c r="H22" s="197"/>
      <c r="I22" s="198"/>
      <c r="M22" s="175"/>
    </row>
    <row r="23" spans="1:13" ht="12.75" customHeight="1">
      <c r="A23" s="89" t="s">
        <v>46</v>
      </c>
      <c r="B23" s="89"/>
      <c r="C23" s="89"/>
      <c r="D23" s="89"/>
      <c r="E23" s="90">
        <f>SUM(E5:E22)</f>
        <v>1281.1029153702625</v>
      </c>
      <c r="F23" s="91">
        <f>SUM(F11:F22)</f>
        <v>7400</v>
      </c>
      <c r="G23" s="92"/>
      <c r="H23" s="196">
        <f>F23/B3</f>
        <v>925</v>
      </c>
      <c r="I23" s="196"/>
    </row>
    <row r="24" spans="1:13" s="4" customFormat="1">
      <c r="E24" s="93"/>
      <c r="F24" s="68"/>
      <c r="G24" s="62"/>
      <c r="K24" s="177"/>
      <c r="L24" s="176"/>
    </row>
    <row r="25" spans="1:13" ht="20.25" customHeight="1">
      <c r="A25" s="193" t="s">
        <v>164</v>
      </c>
      <c r="B25" s="193"/>
      <c r="C25" s="193"/>
      <c r="D25" s="193"/>
      <c r="E25" s="193"/>
      <c r="F25" s="193"/>
      <c r="G25" s="63"/>
    </row>
    <row r="26" spans="1:13">
      <c r="A26" s="64" t="s">
        <v>15</v>
      </c>
      <c r="B26" s="65">
        <f>РАСЧЕТЫ!H36</f>
        <v>13</v>
      </c>
      <c r="C26" s="66" t="s">
        <v>39</v>
      </c>
      <c r="D26" s="66"/>
      <c r="E26" s="67"/>
      <c r="F26" s="68"/>
    </row>
    <row r="27" spans="1:13">
      <c r="A27" s="5" t="s">
        <v>40</v>
      </c>
      <c r="B27" s="69" t="s">
        <v>41</v>
      </c>
      <c r="C27" s="5" t="s">
        <v>42</v>
      </c>
      <c r="D27" s="5"/>
      <c r="E27" s="70" t="s">
        <v>43</v>
      </c>
      <c r="F27" s="5" t="s">
        <v>44</v>
      </c>
      <c r="G27" s="71"/>
    </row>
    <row r="28" spans="1:13" ht="12.75" customHeight="1">
      <c r="A28" s="94" t="str">
        <f>НОМ!A43</f>
        <v xml:space="preserve">Сосиски свежие </v>
      </c>
      <c r="B28" s="95">
        <f>ROUND(VLOOKUP(A28,НОМ!$A$3:$I$70,3,FALSE)/1000,3)</f>
        <v>6.5000000000000002E-2</v>
      </c>
      <c r="C28" s="95">
        <f>B28*$B$26</f>
        <v>0.84499999999999997</v>
      </c>
      <c r="D28" s="96"/>
      <c r="E28" s="97">
        <f>VLOOKUP(A28,НОМ!$A$3:$I$89,9,FALSE)/VLOOKUP(A28,НОМ!$A$3:$I$89,6,FALSE)*C28</f>
        <v>256.82926829268291</v>
      </c>
      <c r="F28" s="98">
        <f>IF(G28&lt;1,1000*МЕНЮ!C28*(1-G28),1000*МЕНЮ!C28+G28*$B$26)</f>
        <v>845</v>
      </c>
      <c r="G28" s="73"/>
      <c r="H28" s="199">
        <f>SUM(F28:F32)</f>
        <v>1755</v>
      </c>
      <c r="I28" s="200">
        <f>H28/B26</f>
        <v>135</v>
      </c>
      <c r="J28" s="99"/>
      <c r="K28" s="178">
        <f>ROUND(C28*1000/VLOOKUP(A28,НОМ!$A$3:$I$70,3,FALSE),1)</f>
        <v>13</v>
      </c>
      <c r="L28" s="176" t="s">
        <v>210</v>
      </c>
      <c r="M28" s="175"/>
    </row>
    <row r="29" spans="1:13">
      <c r="A29" s="94" t="str">
        <f>НОМ!$A$53</f>
        <v>Говядина тушеная</v>
      </c>
      <c r="B29" s="95">
        <v>0.01</v>
      </c>
      <c r="C29" s="95">
        <f t="shared" ref="C29:C43" si="1">B29*$B$26</f>
        <v>0.13</v>
      </c>
      <c r="D29" s="96"/>
      <c r="E29" s="97">
        <f>VLOOKUP(A29,НОМ!$A$3:$I$89,9,FALSE)/VLOOKUP(A29,НОМ!$A$3:$I$89,6,FALSE)*C29</f>
        <v>83.2</v>
      </c>
      <c r="F29" s="98">
        <f>IF(G29&lt;1,1000*МЕНЮ!C29*(1-G29),1000*МЕНЮ!C29+G29*$B$26)</f>
        <v>130</v>
      </c>
      <c r="G29" s="73"/>
      <c r="H29" s="199"/>
      <c r="I29" s="200"/>
      <c r="J29" s="99"/>
      <c r="M29" s="175"/>
    </row>
    <row r="30" spans="1:13">
      <c r="A30" s="94" t="str">
        <f>НОМ!$A$54</f>
        <v>Свинина тушеная</v>
      </c>
      <c r="B30" s="95">
        <v>0.01</v>
      </c>
      <c r="C30" s="95">
        <f t="shared" si="1"/>
        <v>0.13</v>
      </c>
      <c r="D30" s="96"/>
      <c r="E30" s="97">
        <f>VLOOKUP(A30,НОМ!$A$3:$I$89,9,FALSE)/VLOOKUP(A30,НОМ!$A$3:$I$89,6,FALSE)*C30</f>
        <v>83.2</v>
      </c>
      <c r="F30" s="98">
        <f>IF(G30&lt;1,1000*МЕНЮ!C30*(1-G30),1000*МЕНЮ!C30+G30*$B$26)</f>
        <v>130</v>
      </c>
      <c r="G30" s="73"/>
      <c r="H30" s="199"/>
      <c r="I30" s="200"/>
      <c r="J30" s="99"/>
      <c r="M30" s="175"/>
    </row>
    <row r="31" spans="1:13">
      <c r="A31" s="94" t="str">
        <f>НОМ!$A$34</f>
        <v>Томаты свежие</v>
      </c>
      <c r="B31" s="95">
        <f>ROUND(VLOOKUP(A31,НОМ!$A$3:$I$70,3,FALSE)/1000/10,3)</f>
        <v>0.02</v>
      </c>
      <c r="C31" s="95">
        <f t="shared" si="1"/>
        <v>0.26</v>
      </c>
      <c r="D31" s="96"/>
      <c r="E31" s="97">
        <f>VLOOKUP(A31,НОМ!$A$3:$I$89,9,FALSE)/VLOOKUP(A31,НОМ!$A$3:$I$89,6,FALSE)*C31</f>
        <v>36.344086021505376</v>
      </c>
      <c r="F31" s="98">
        <f>IF(G31&lt;1,1000*МЕНЮ!C31*(1-G31),1000*МЕНЮ!C31+G31*$B$26)</f>
        <v>169</v>
      </c>
      <c r="G31" s="72">
        <v>0.35</v>
      </c>
      <c r="H31" s="199"/>
      <c r="I31" s="200"/>
      <c r="J31" s="99"/>
      <c r="K31" s="178">
        <f>ROUND(C31*1000/VLOOKUP(A31,НОМ!$A$3:$I$70,3,FALSE),1)</f>
        <v>1.3</v>
      </c>
      <c r="L31" s="176" t="s">
        <v>208</v>
      </c>
      <c r="M31" s="175"/>
    </row>
    <row r="32" spans="1:13">
      <c r="A32" s="94" t="str">
        <f>НОМ!$A$65</f>
        <v>Яйцо куриное</v>
      </c>
      <c r="B32" s="95">
        <f>ROUND(VLOOKUP(A32,НОМ!$A$3:$I$70,3,FALSE)/1000/3*2,3)</f>
        <v>3.6999999999999998E-2</v>
      </c>
      <c r="C32" s="95">
        <f t="shared" si="1"/>
        <v>0.48099999999999998</v>
      </c>
      <c r="D32" s="96"/>
      <c r="E32" s="97">
        <f>VLOOKUP(A32,НОМ!$A$3:$I$89,9,FALSE)/VLOOKUP(A32,НОМ!$A$3:$I$89,6,FALSE)*C32</f>
        <v>47.781862121597555</v>
      </c>
      <c r="F32" s="98">
        <f>IF(G32&lt;1,1000*МЕНЮ!C32*(1-G32),1000*МЕНЮ!C32+G32*$B$26)</f>
        <v>481</v>
      </c>
      <c r="G32" s="73"/>
      <c r="H32" s="199"/>
      <c r="I32" s="200"/>
      <c r="J32" s="99"/>
      <c r="K32" s="178">
        <f>ROUND(C32*1000/VLOOKUP(A32,НОМ!$A$3:$I$70,3,FALSE),1)</f>
        <v>8.6999999999999993</v>
      </c>
      <c r="L32" s="176" t="s">
        <v>198</v>
      </c>
      <c r="M32" s="175"/>
    </row>
    <row r="33" spans="1:13" ht="12.75" customHeight="1">
      <c r="A33" s="74" t="str">
        <f>НОМ!$A$12</f>
        <v>Колбаса вар.копченая</v>
      </c>
      <c r="B33" s="76">
        <v>0.03</v>
      </c>
      <c r="C33" s="76">
        <f t="shared" si="1"/>
        <v>0.39</v>
      </c>
      <c r="D33" s="77"/>
      <c r="E33" s="78">
        <f>VLOOKUP(A33,НОМ!$A$3:$I$89,9,FALSE)/VLOOKUP(A33,НОМ!$A$3:$I$89,6,FALSE)*C33</f>
        <v>193.85964912280704</v>
      </c>
      <c r="F33" s="79">
        <f>IF(G33&lt;1,1000*МЕНЮ!C33*(1-G33),1000*МЕНЮ!C33+G33*$B$26)</f>
        <v>390</v>
      </c>
      <c r="G33" s="73"/>
      <c r="H33" s="197">
        <f>SUM(F33:F43)</f>
        <v>6896.5</v>
      </c>
      <c r="I33" s="198">
        <f>H33/B26</f>
        <v>530.5</v>
      </c>
      <c r="J33" s="99"/>
      <c r="M33" s="175"/>
    </row>
    <row r="34" spans="1:13">
      <c r="A34" s="74" t="str">
        <f>НОМ!$A$31</f>
        <v>Паштет печеночный</v>
      </c>
      <c r="B34" s="76">
        <v>0.02</v>
      </c>
      <c r="C34" s="76">
        <f t="shared" si="1"/>
        <v>0.26</v>
      </c>
      <c r="D34" s="77"/>
      <c r="E34" s="78">
        <f>VLOOKUP(A34,НОМ!$A$3:$I$89,9,FALSE)/VLOOKUP(A34,НОМ!$A$3:$I$89,6,FALSE)*C34</f>
        <v>57.017543859649116</v>
      </c>
      <c r="F34" s="79">
        <f>IF(G34&lt;1,1000*МЕНЮ!C34*(1-G34),1000*МЕНЮ!C34+G34*$B$26)</f>
        <v>260</v>
      </c>
      <c r="G34" s="73"/>
      <c r="H34" s="197"/>
      <c r="I34" s="198"/>
      <c r="J34" s="99"/>
      <c r="M34" s="175"/>
    </row>
    <row r="35" spans="1:13">
      <c r="A35" s="74" t="str">
        <f>НОМ!$A$51</f>
        <v>Сыр плавленый</v>
      </c>
      <c r="B35" s="76">
        <v>1.4999999999999999E-2</v>
      </c>
      <c r="C35" s="76">
        <f t="shared" si="1"/>
        <v>0.19500000000000001</v>
      </c>
      <c r="D35" s="77"/>
      <c r="E35" s="78">
        <f>VLOOKUP(A35,НОМ!$A$3:$I$89,9,FALSE)/VLOOKUP(A35,НОМ!$A$3:$I$89,6,FALSE)*C35</f>
        <v>45.614035087719301</v>
      </c>
      <c r="F35" s="79">
        <f>IF(G35&lt;1,1000*МЕНЮ!C35*(1-G35),1000*МЕНЮ!C35+G35*$B$26)</f>
        <v>195</v>
      </c>
      <c r="G35" s="73"/>
      <c r="H35" s="197"/>
      <c r="I35" s="198"/>
      <c r="J35" s="99"/>
      <c r="M35" s="175"/>
    </row>
    <row r="36" spans="1:13">
      <c r="A36" s="74" t="str">
        <f>НОМ!$A$26</f>
        <v>Масло сливочное</v>
      </c>
      <c r="B36" s="76">
        <v>0.01</v>
      </c>
      <c r="C36" s="76">
        <f t="shared" si="1"/>
        <v>0.13</v>
      </c>
      <c r="D36" s="77"/>
      <c r="E36" s="78">
        <f>VLOOKUP(A36,НОМ!$A$3:$I$89,9,FALSE)/VLOOKUP(A36,НОМ!$A$3:$I$89,6,FALSE)*C36</f>
        <v>41.052631578947363</v>
      </c>
      <c r="F36" s="79">
        <f>IF(G36&lt;1,1000*МЕНЮ!C36*(1-G36),1000*МЕНЮ!C36+G36*$B$26)</f>
        <v>130</v>
      </c>
      <c r="G36" s="73"/>
      <c r="H36" s="197"/>
      <c r="I36" s="198"/>
      <c r="J36" s="99"/>
      <c r="M36" s="175"/>
    </row>
    <row r="37" spans="1:13">
      <c r="A37" s="74" t="str">
        <f>НОМ!$A$50</f>
        <v>Сыр твердый</v>
      </c>
      <c r="B37" s="76">
        <v>1.4999999999999999E-2</v>
      </c>
      <c r="C37" s="76">
        <f t="shared" si="1"/>
        <v>0.19500000000000001</v>
      </c>
      <c r="D37" s="77"/>
      <c r="E37" s="78">
        <f>VLOOKUP(A37,НОМ!$A$3:$I$89,9,FALSE)/VLOOKUP(A37,НОМ!$A$3:$I$89,6,FALSE)*C37</f>
        <v>82.10526315789474</v>
      </c>
      <c r="F37" s="79">
        <f>IF(G37&lt;1,1000*МЕНЮ!C37*(1-G37),1000*МЕНЮ!C37+G37*$B$26)</f>
        <v>195</v>
      </c>
      <c r="G37" s="73"/>
      <c r="H37" s="197"/>
      <c r="I37" s="198"/>
      <c r="J37" s="99"/>
      <c r="M37" s="175"/>
    </row>
    <row r="38" spans="1:13">
      <c r="A38" s="74" t="str">
        <f>НОМ!$A$55</f>
        <v>Хлеб - батон в нарезке</v>
      </c>
      <c r="B38" s="75">
        <f>VLOOKUP(A38,НОМ!$A$1:$I$70,3,FALSE)*3.5/1000</f>
        <v>7.3499999999999996E-2</v>
      </c>
      <c r="C38" s="76">
        <f t="shared" si="1"/>
        <v>0.9554999999999999</v>
      </c>
      <c r="D38" s="77"/>
      <c r="E38" s="78">
        <f>VLOOKUP(A38,НОМ!$A$3:$I$89,9,FALSE)/VLOOKUP(A38,НОМ!$A$3:$I$89,6,FALSE)*C38</f>
        <v>57.017543859649123</v>
      </c>
      <c r="F38" s="79">
        <f>IF(G38&lt;1,1000*МЕНЮ!C38*(1-G38),1000*МЕНЮ!C38+G38*$B$26)</f>
        <v>955.49999999999989</v>
      </c>
      <c r="G38" s="73"/>
      <c r="H38" s="197"/>
      <c r="I38" s="198"/>
      <c r="J38" s="99"/>
      <c r="M38" s="175"/>
    </row>
    <row r="39" spans="1:13">
      <c r="A39" s="168" t="str">
        <f>НОМ!$A$58</f>
        <v>Чай черный в пактиках</v>
      </c>
      <c r="B39" s="169">
        <f>VLOOKUP(A39,НОМ!$A$1:$I$70,3,FALSE)*1/1000</f>
        <v>2E-3</v>
      </c>
      <c r="C39" s="169">
        <f t="shared" si="1"/>
        <v>2.6000000000000002E-2</v>
      </c>
      <c r="D39" s="170"/>
      <c r="E39" s="171">
        <f>VLOOKUP(A39,НОМ!$A$3:$I$89,9,FALSE)/VLOOKUP(A39,НОМ!$A$3:$I$89,6,FALSE)*C39</f>
        <v>27.368421052631579</v>
      </c>
      <c r="F39" s="172">
        <f>IF(G39&lt;1,1000*МЕНЮ!C39*(1-G39),1000*МЕНЮ!C39+G39*$B$26)</f>
        <v>1326</v>
      </c>
      <c r="G39" s="73">
        <v>100</v>
      </c>
      <c r="H39" s="197"/>
      <c r="I39" s="198"/>
      <c r="J39" s="99"/>
      <c r="M39" s="175"/>
    </row>
    <row r="40" spans="1:13">
      <c r="A40" s="168" t="str">
        <f>НОМ!$A$6</f>
        <v>Какао</v>
      </c>
      <c r="B40" s="169">
        <f>0.01</f>
        <v>0.01</v>
      </c>
      <c r="C40" s="169">
        <f t="shared" si="1"/>
        <v>0.13</v>
      </c>
      <c r="D40" s="170"/>
      <c r="E40" s="171">
        <f>VLOOKUP(A40,НОМ!$A$3:$I$89,9,FALSE)/VLOOKUP(A40,НОМ!$A$3:$I$89,6,FALSE)*C40</f>
        <v>27.368421052631579</v>
      </c>
      <c r="F40" s="172">
        <f>IF(G40&lt;1,1000*МЕНЮ!C40*(1-G40),1000*МЕНЮ!C40+G40*$B$26)</f>
        <v>1430</v>
      </c>
      <c r="G40" s="73">
        <v>100</v>
      </c>
      <c r="H40" s="197"/>
      <c r="I40" s="198"/>
      <c r="J40" s="99"/>
      <c r="M40" s="175"/>
    </row>
    <row r="41" spans="1:13">
      <c r="A41" s="168" t="str">
        <f>НОМ!$A$14</f>
        <v>Кофе сублимированный</v>
      </c>
      <c r="B41" s="81">
        <f>0.01</f>
        <v>0.01</v>
      </c>
      <c r="C41" s="169">
        <f t="shared" si="1"/>
        <v>0.13</v>
      </c>
      <c r="D41" s="170"/>
      <c r="E41" s="171">
        <f>VLOOKUP(A41,НОМ!$A$3:$I$89,9,FALSE)/VLOOKUP(A41,НОМ!$A$3:$I$89,6,FALSE)*C41</f>
        <v>114.03508771929823</v>
      </c>
      <c r="F41" s="172">
        <f>IF(G41&lt;1,1000*МЕНЮ!C41*(1-G41),1000*МЕНЮ!C41+G41*$B$26)</f>
        <v>1430</v>
      </c>
      <c r="G41" s="73">
        <v>100</v>
      </c>
      <c r="H41" s="197"/>
      <c r="I41" s="198"/>
      <c r="J41" s="99"/>
      <c r="M41" s="175"/>
    </row>
    <row r="42" spans="1:13">
      <c r="A42" s="74" t="str">
        <f>НОМ!$A$40</f>
        <v>Сгущенное молоко</v>
      </c>
      <c r="B42" s="76">
        <v>0.04</v>
      </c>
      <c r="C42" s="76">
        <f t="shared" si="1"/>
        <v>0.52</v>
      </c>
      <c r="D42" s="77"/>
      <c r="E42" s="78">
        <f>VLOOKUP(A42,НОМ!$A$3:$I$89,9,FALSE)/VLOOKUP(A42,НОМ!$A$3:$I$89,6,FALSE)*C42</f>
        <v>82.105263157894726</v>
      </c>
      <c r="F42" s="79">
        <f>IF(G42&lt;1,1000*МЕНЮ!C42*(1-G42),1000*МЕНЮ!C42+G42*$B$26)</f>
        <v>520</v>
      </c>
      <c r="G42" s="73"/>
      <c r="H42" s="197"/>
      <c r="I42" s="198"/>
      <c r="J42" s="99"/>
      <c r="M42" s="175"/>
    </row>
    <row r="43" spans="1:13">
      <c r="A43" s="74" t="str">
        <f>НОМ!$A$39</f>
        <v>Сахар рафинад</v>
      </c>
      <c r="B43" s="76">
        <v>5.0000000000000001E-3</v>
      </c>
      <c r="C43" s="76">
        <f t="shared" si="1"/>
        <v>6.5000000000000002E-2</v>
      </c>
      <c r="D43" s="77"/>
      <c r="E43" s="78">
        <f>VLOOKUP(A43,НОМ!$A$3:$I$89,9,FALSE)/VLOOKUP(A43,НОМ!$A$3:$I$89,6,FALSE)*C43</f>
        <v>0</v>
      </c>
      <c r="F43" s="79">
        <f>IF(G43&lt;1,1000*МЕНЮ!C43*(1-G43),1000*МЕНЮ!C43+G43*$B$26)</f>
        <v>65</v>
      </c>
      <c r="G43" s="73"/>
      <c r="H43" s="197"/>
      <c r="I43" s="198"/>
      <c r="J43" s="99"/>
      <c r="M43" s="175"/>
    </row>
    <row r="44" spans="1:13">
      <c r="A44" s="89" t="s">
        <v>46</v>
      </c>
      <c r="B44" s="89"/>
      <c r="C44" s="89"/>
      <c r="D44" s="89"/>
      <c r="E44" s="90">
        <f>SUM(E28:E43)</f>
        <v>1234.8990760849085</v>
      </c>
      <c r="F44" s="91">
        <f>SUM(F28:F43)</f>
        <v>8651.5</v>
      </c>
      <c r="G44" s="92"/>
      <c r="H44" s="196">
        <f>F44/B26</f>
        <v>665.5</v>
      </c>
      <c r="I44" s="196"/>
    </row>
    <row r="46" spans="1:13" ht="12.75" customHeight="1">
      <c r="A46" s="193" t="s">
        <v>164</v>
      </c>
      <c r="B46" s="193"/>
      <c r="C46" s="193"/>
      <c r="D46" s="193"/>
      <c r="E46" s="193"/>
      <c r="F46" s="193"/>
      <c r="G46" s="63"/>
    </row>
    <row r="47" spans="1:13">
      <c r="A47" s="64" t="s">
        <v>47</v>
      </c>
      <c r="B47" s="65">
        <f>РАСЧЕТЫ!I36</f>
        <v>23</v>
      </c>
      <c r="C47" s="66" t="s">
        <v>39</v>
      </c>
      <c r="D47" s="66"/>
      <c r="E47" s="67"/>
      <c r="F47" s="68"/>
    </row>
    <row r="48" spans="1:13">
      <c r="A48" s="5" t="s">
        <v>40</v>
      </c>
      <c r="B48" s="69" t="s">
        <v>41</v>
      </c>
      <c r="C48" s="5" t="s">
        <v>42</v>
      </c>
      <c r="D48" s="5"/>
      <c r="E48" s="70" t="s">
        <v>43</v>
      </c>
      <c r="F48" s="5" t="s">
        <v>44</v>
      </c>
      <c r="G48" s="71"/>
    </row>
    <row r="49" spans="1:13" s="3" customFormat="1" ht="12.75" customHeight="1">
      <c r="A49" s="148" t="str">
        <f>НОМ!A13</f>
        <v>Колбаса вареная</v>
      </c>
      <c r="B49" s="149">
        <v>0.04</v>
      </c>
      <c r="C49" s="149">
        <f t="shared" ref="C49:C57" si="2">B49*$B$47</f>
        <v>0.92</v>
      </c>
      <c r="D49" s="150"/>
      <c r="E49" s="151">
        <f>VLOOKUP(A49,НОМ!$A$3:$I$89,9,FALSE)/VLOOKUP(A49,НОМ!$A$3:$I$89,6,FALSE)*C49</f>
        <v>270</v>
      </c>
      <c r="F49" s="152">
        <f>IF(G49&lt;1,1000*МЕНЮ!C49*(1-G49),1000*МЕНЮ!C49+G49*$B$47)</f>
        <v>920</v>
      </c>
      <c r="G49" s="73"/>
      <c r="H49" s="194">
        <f>SUM(F49:F56)</f>
        <v>9775</v>
      </c>
      <c r="I49" s="195">
        <f>H49/B47</f>
        <v>425</v>
      </c>
      <c r="K49" s="177"/>
      <c r="L49" s="176"/>
    </row>
    <row r="50" spans="1:13" s="3" customFormat="1">
      <c r="A50" s="148" t="str">
        <f>НОМ!$A$30</f>
        <v>Огурцы коротоплодные свежие</v>
      </c>
      <c r="B50" s="149">
        <f>ROUND(VLOOKUP(A50,НОМ!$A$3:$I$70,3,FALSE)/1000/3,3)</f>
        <v>3.3000000000000002E-2</v>
      </c>
      <c r="C50" s="149">
        <f t="shared" si="2"/>
        <v>0.75900000000000001</v>
      </c>
      <c r="D50" s="150"/>
      <c r="E50" s="151">
        <f>VLOOKUP(A50,НОМ!$A$3:$I$89,9,FALSE)/VLOOKUP(A50,НОМ!$A$3:$I$89,6,FALSE)*C50</f>
        <v>124.64418655572587</v>
      </c>
      <c r="F50" s="152">
        <f>IF(G50&lt;1,1000*МЕНЮ!C50*(1-G50),1000*МЕНЮ!C50+G50*$B$47)</f>
        <v>759</v>
      </c>
      <c r="G50" s="73"/>
      <c r="H50" s="194"/>
      <c r="I50" s="195"/>
      <c r="K50" s="178">
        <f>ROUND(C50*1000/VLOOKUP(A50,НОМ!$A$3:$I$70,3,FALSE),1)</f>
        <v>7.6</v>
      </c>
      <c r="L50" s="176" t="s">
        <v>211</v>
      </c>
    </row>
    <row r="51" spans="1:13" s="3" customFormat="1">
      <c r="A51" s="148" t="str">
        <f>НОМ!$A$9</f>
        <v>Картофель свежий</v>
      </c>
      <c r="B51" s="149">
        <f>ROUND(VLOOKUP(A51,НОМ!$A$3:$I$70,3,FALSE)/1000/3,3)</f>
        <v>0.04</v>
      </c>
      <c r="C51" s="149">
        <f t="shared" si="2"/>
        <v>0.92</v>
      </c>
      <c r="D51" s="150"/>
      <c r="E51" s="151">
        <f>VLOOKUP(A51,НОМ!$A$3:$I$89,9,FALSE)/VLOOKUP(A51,НОМ!$A$3:$I$89,6,FALSE)*C51</f>
        <v>24.420849420849422</v>
      </c>
      <c r="F51" s="152">
        <f>IF(G51&lt;1,1000*МЕНЮ!C51*(1-G51),1000*МЕНЮ!C51+G51*$B$47)</f>
        <v>598</v>
      </c>
      <c r="G51" s="72">
        <v>0.35</v>
      </c>
      <c r="H51" s="194"/>
      <c r="I51" s="195"/>
      <c r="K51" s="178">
        <f>ROUND(C51*1000/VLOOKUP(A51,НОМ!$A$3:$I$70,3,FALSE),1)</f>
        <v>7.7</v>
      </c>
      <c r="L51" s="176" t="s">
        <v>212</v>
      </c>
    </row>
    <row r="52" spans="1:13" s="3" customFormat="1">
      <c r="A52" s="148" t="str">
        <f>НОМ!$A$65</f>
        <v>Яйцо куриное</v>
      </c>
      <c r="B52" s="149">
        <f>ROUND(VLOOKUP(A52,НОМ!$A$3:$I$70,3,FALSE)/1000/2,3)</f>
        <v>2.8000000000000001E-2</v>
      </c>
      <c r="C52" s="149">
        <f t="shared" si="2"/>
        <v>0.64400000000000002</v>
      </c>
      <c r="D52" s="150"/>
      <c r="E52" s="151">
        <f>VLOOKUP(A52,НОМ!$A$3:$I$89,9,FALSE)/VLOOKUP(A52,НОМ!$A$3:$I$89,6,FALSE)*C52</f>
        <v>63.974052403968457</v>
      </c>
      <c r="F52" s="152">
        <f>IF(G52&lt;1,1000*МЕНЮ!C52*(1-G52),1000*МЕНЮ!C52+G52*$B$47)</f>
        <v>644</v>
      </c>
      <c r="G52" s="73"/>
      <c r="H52" s="194"/>
      <c r="I52" s="195"/>
      <c r="K52" s="178">
        <f>ROUND(C52*1000/VLOOKUP(A52,НОМ!$A$3:$I$70,3,FALSE),1)</f>
        <v>11.7</v>
      </c>
      <c r="L52" s="176" t="s">
        <v>198</v>
      </c>
      <c r="M52" s="175"/>
    </row>
    <row r="53" spans="1:13">
      <c r="A53" s="148" t="str">
        <f>НОМ!$A$36</f>
        <v>Редис свежий</v>
      </c>
      <c r="B53" s="149">
        <f>ROUND(VLOOKUP(A53,НОМ!$A$3:$I$70,3,FALSE)/1000/3*2,3)</f>
        <v>0.02</v>
      </c>
      <c r="C53" s="149">
        <f t="shared" si="2"/>
        <v>0.46</v>
      </c>
      <c r="D53" s="150"/>
      <c r="E53" s="151">
        <f>VLOOKUP(A53,НОМ!$A$3:$I$89,9,FALSE)/VLOOKUP(A53,НОМ!$A$3:$I$89,6,FALSE)*C53</f>
        <v>50</v>
      </c>
      <c r="F53" s="152">
        <f>IF(G53&lt;1,1000*МЕНЮ!C53*(1-G53),1000*МЕНЮ!C53+G53*$B$47)</f>
        <v>460</v>
      </c>
      <c r="G53" s="73"/>
      <c r="H53" s="194"/>
      <c r="I53" s="195"/>
      <c r="K53" s="178">
        <f>ROUND(C53*1000/VLOOKUP(A53,НОМ!$A$3:$I$70,3,FALSE),1)</f>
        <v>15.3</v>
      </c>
      <c r="L53" s="176" t="s">
        <v>213</v>
      </c>
    </row>
    <row r="54" spans="1:13">
      <c r="A54" s="148" t="str">
        <f>НОМ!$A$11</f>
        <v>Квас хлебный</v>
      </c>
      <c r="B54" s="149">
        <v>0.25</v>
      </c>
      <c r="C54" s="149">
        <f t="shared" si="2"/>
        <v>5.75</v>
      </c>
      <c r="D54" s="150"/>
      <c r="E54" s="151">
        <f>VLOOKUP(A54,НОМ!$A$3:$I$89,9,FALSE)/VLOOKUP(A54,НОМ!$A$3:$I$89,6,FALSE)*C54</f>
        <v>130</v>
      </c>
      <c r="F54" s="152">
        <f>IF(G54&lt;1,1000*МЕНЮ!C54*(1-G54),1000*МЕНЮ!C54+G54*$B$47)</f>
        <v>5750</v>
      </c>
      <c r="G54" s="73"/>
      <c r="H54" s="194"/>
      <c r="I54" s="195"/>
    </row>
    <row r="55" spans="1:13">
      <c r="A55" s="148" t="str">
        <f>НОМ!$A$25</f>
        <v>Майонез "Провансаль"</v>
      </c>
      <c r="B55" s="149">
        <v>2.5000000000000001E-2</v>
      </c>
      <c r="C55" s="149">
        <f t="shared" si="2"/>
        <v>0.57500000000000007</v>
      </c>
      <c r="D55" s="150"/>
      <c r="E55" s="151">
        <f>VLOOKUP(A55,НОМ!$A$3:$I$89,9,FALSE)/VLOOKUP(A55,НОМ!$A$3:$I$89,6,FALSE)*C55</f>
        <v>69.797687861271683</v>
      </c>
      <c r="F55" s="152">
        <f>IF(G55&lt;1,1000*МЕНЮ!C55*(1-G55),1000*МЕНЮ!C55+G55*$B$47)</f>
        <v>575.00000000000011</v>
      </c>
      <c r="G55" s="73"/>
      <c r="H55" s="194"/>
      <c r="I55" s="195"/>
    </row>
    <row r="56" spans="1:13">
      <c r="A56" s="148" t="str">
        <f>НОМ!$A$5</f>
        <v>Зелень свежая</v>
      </c>
      <c r="B56" s="149">
        <v>3.0000000000000001E-3</v>
      </c>
      <c r="C56" s="149">
        <f t="shared" si="2"/>
        <v>6.9000000000000006E-2</v>
      </c>
      <c r="D56" s="150"/>
      <c r="E56" s="151">
        <f>VLOOKUP(A56,НОМ!$A$3:$I$89,9,FALSE)/VLOOKUP(A56,НОМ!$A$3:$I$89,6,FALSE)*C56</f>
        <v>26.833333333333336</v>
      </c>
      <c r="F56" s="152">
        <f>IF(G56&lt;1,1000*МЕНЮ!C56*(1-G56),1000*МЕНЮ!C56+G56*$B$47)</f>
        <v>69</v>
      </c>
      <c r="G56" s="73"/>
      <c r="H56" s="194"/>
      <c r="I56" s="195"/>
      <c r="K56" s="179">
        <f>ROUND(C56*1000/VLOOKUP(A56,НОМ!$A$3:$I$70,3,FALSE),1)</f>
        <v>1.4</v>
      </c>
      <c r="L56" s="176" t="s">
        <v>242</v>
      </c>
    </row>
    <row r="57" spans="1:13" ht="12.75" customHeight="1">
      <c r="A57" s="101" t="str">
        <f>НОМ!A64</f>
        <v>Рыба - форель, семга (суповой набор)</v>
      </c>
      <c r="B57" s="102">
        <v>0.05</v>
      </c>
      <c r="C57" s="102">
        <f t="shared" si="2"/>
        <v>1.1500000000000001</v>
      </c>
      <c r="D57" s="103"/>
      <c r="E57" s="104">
        <f>VLOOKUP(A57,НОМ!$A$3:$I$89,9,FALSE)/VLOOKUP(A57,НОМ!$A$3:$I$89,6,FALSE)*C57</f>
        <v>240.00000000000003</v>
      </c>
      <c r="F57" s="105">
        <f>IF(G57&lt;1,1000*МЕНЮ!C57*(1-G57),1000*МЕНЮ!C57+G57*$B$47)</f>
        <v>4600</v>
      </c>
      <c r="G57" s="73">
        <v>150</v>
      </c>
      <c r="H57" s="194">
        <f>SUM(F57:F60)</f>
        <v>5658.0230000000001</v>
      </c>
      <c r="I57" s="195">
        <f>H57/B47</f>
        <v>246.001</v>
      </c>
    </row>
    <row r="58" spans="1:13">
      <c r="A58" s="101" t="str">
        <f>НОМ!$A$22</f>
        <v>Лук репчатый</v>
      </c>
      <c r="B58" s="102">
        <f>ROUND(VLOOKUP(A58,НОМ!$A$3:$I$70,3,FALSE)/1000/10,3)</f>
        <v>0.01</v>
      </c>
      <c r="C58" s="102">
        <f t="shared" ref="C58:C60" si="3">B58*$B$47</f>
        <v>0.23</v>
      </c>
      <c r="D58" s="103"/>
      <c r="E58" s="104">
        <f>VLOOKUP(A58,НОМ!$A$3:$I$89,9,FALSE)/VLOOKUP(A58,НОМ!$A$3:$I$89,6,FALSE)*C58</f>
        <v>8.1637482252721245</v>
      </c>
      <c r="F58" s="105">
        <f>IF(G58&lt;1,1000*МЕНЮ!C58*(1-G58),1000*МЕНЮ!C58+G58*$B$47)</f>
        <v>2.2999999999997467E-2</v>
      </c>
      <c r="G58" s="72">
        <v>0.99990000000000001</v>
      </c>
      <c r="H58" s="194"/>
      <c r="I58" s="195"/>
      <c r="K58" s="178">
        <f>ROUND(C58*1000/VLOOKUP(A58,НОМ!$A$3:$I$70,3,FALSE),1)</f>
        <v>2.2999999999999998</v>
      </c>
      <c r="L58" s="176" t="s">
        <v>207</v>
      </c>
    </row>
    <row r="59" spans="1:13">
      <c r="A59" s="101" t="str">
        <f>НОМ!$A$9</f>
        <v>Картофель свежий</v>
      </c>
      <c r="B59" s="102">
        <f>ROUND(VLOOKUP(A59,НОМ!$A$3:$I$70,3,FALSE)/1000/3,3)</f>
        <v>0.04</v>
      </c>
      <c r="C59" s="102">
        <f t="shared" si="3"/>
        <v>0.92</v>
      </c>
      <c r="D59" s="103"/>
      <c r="E59" s="104">
        <f>VLOOKUP(A59,НОМ!$A$3:$I$89,9,FALSE)/VLOOKUP(A59,НОМ!$A$3:$I$89,6,FALSE)*C59</f>
        <v>24.420849420849422</v>
      </c>
      <c r="F59" s="105">
        <f>IF(G59&lt;1,1000*МЕНЮ!C59*(1-G59),1000*МЕНЮ!C59+G59*$B$47)</f>
        <v>598</v>
      </c>
      <c r="G59" s="72">
        <v>0.35</v>
      </c>
      <c r="H59" s="194"/>
      <c r="I59" s="195"/>
      <c r="K59" s="178">
        <f>ROUND(C59*1000/VLOOKUP(A59,НОМ!$A$3:$I$70,3,FALSE),1)</f>
        <v>7.7</v>
      </c>
      <c r="L59" s="176" t="s">
        <v>212</v>
      </c>
    </row>
    <row r="60" spans="1:13">
      <c r="A60" s="101" t="str">
        <f>НОМ!$A$25</f>
        <v>Майонез "Провансаль"</v>
      </c>
      <c r="B60" s="102">
        <v>0.02</v>
      </c>
      <c r="C60" s="102">
        <f t="shared" si="3"/>
        <v>0.46</v>
      </c>
      <c r="D60" s="103"/>
      <c r="E60" s="104">
        <f>VLOOKUP(A60,НОМ!$A$3:$I$89,9,FALSE)/VLOOKUP(A60,НОМ!$A$3:$I$89,6,FALSE)*C60</f>
        <v>55.838150289017342</v>
      </c>
      <c r="F60" s="105">
        <f>IF(G60&lt;1,1000*МЕНЮ!C60*(1-G60),1000*МЕНЮ!C60+G60*$B$47)</f>
        <v>460</v>
      </c>
      <c r="G60" s="73"/>
      <c r="H60" s="194"/>
      <c r="I60" s="195"/>
    </row>
    <row r="61" spans="1:13" ht="12.75" customHeight="1">
      <c r="A61" s="153" t="str">
        <f>НОМ!$A$9</f>
        <v>Картофель свежий</v>
      </c>
      <c r="B61" s="154">
        <f>ROUND(VLOOKUP(A61,НОМ!$A$3:$I$70,3,FALSE)/1000*2,3)</f>
        <v>0.24</v>
      </c>
      <c r="C61" s="154">
        <f t="shared" ref="C61:C69" si="4">B61*$B$47</f>
        <v>5.52</v>
      </c>
      <c r="D61" s="155"/>
      <c r="E61" s="156">
        <f>VLOOKUP(A61,НОМ!$A$3:$I$89,9,FALSE)/VLOOKUP(A61,НОМ!$A$3:$I$89,6,FALSE)*C61</f>
        <v>146.52509652509653</v>
      </c>
      <c r="F61" s="157">
        <f>IF(G61&lt;1,1000*МЕНЮ!C61*(1-G61),1000*МЕНЮ!C61+G61*$B$47)</f>
        <v>6670</v>
      </c>
      <c r="G61" s="73">
        <v>50</v>
      </c>
      <c r="H61" s="199">
        <f>F61+F62+F63+F64+F65</f>
        <v>8935.5</v>
      </c>
      <c r="I61" s="200">
        <f>H61/B47</f>
        <v>388.5</v>
      </c>
      <c r="K61" s="178">
        <f>ROUND(C61*1000/VLOOKUP(A61,НОМ!$A$3:$I$70,3,FALSE),1)</f>
        <v>46</v>
      </c>
      <c r="L61" s="176" t="s">
        <v>212</v>
      </c>
    </row>
    <row r="62" spans="1:13" ht="12.75" customHeight="1">
      <c r="A62" s="153" t="str">
        <f>НОМ!A18</f>
        <v>Куриные бедра,  замароженные</v>
      </c>
      <c r="B62" s="154">
        <f>ROUND(VLOOKUP(A62,НОМ!$A$3:$I$70,3,FALSE)/1000*2/3,3)</f>
        <v>0.12</v>
      </c>
      <c r="C62" s="154">
        <f t="shared" si="4"/>
        <v>2.76</v>
      </c>
      <c r="D62" s="155"/>
      <c r="E62" s="156">
        <f>VLOOKUP(A62,НОМ!$A$3:$I$89,9,FALSE)/VLOOKUP(A62,НОМ!$A$3:$I$89,6,FALSE)*C62</f>
        <v>420</v>
      </c>
      <c r="F62" s="157">
        <f>IF(G62&lt;1,1000*МЕНЮ!C62*(1-G62),1000*МЕНЮ!C62+G62*$B$47)</f>
        <v>1931.9999999999998</v>
      </c>
      <c r="G62" s="72">
        <v>0.3</v>
      </c>
      <c r="H62" s="199"/>
      <c r="I62" s="200"/>
      <c r="K62" s="178">
        <f>ROUND(C62*1000/VLOOKUP(A62,НОМ!$A$3:$I$70,3,FALSE),1)</f>
        <v>15.3</v>
      </c>
      <c r="L62" s="176" t="s">
        <v>214</v>
      </c>
    </row>
    <row r="63" spans="1:13">
      <c r="A63" s="153" t="str">
        <f>НОМ!A22</f>
        <v>Лук репчатый</v>
      </c>
      <c r="B63" s="154">
        <f>ROUND(VLOOKUP(A63,НОМ!$A$3:$I$70,3,FALSE)/1000/10,3)</f>
        <v>0.01</v>
      </c>
      <c r="C63" s="154">
        <f t="shared" si="4"/>
        <v>0.23</v>
      </c>
      <c r="D63" s="155"/>
      <c r="E63" s="156">
        <f>VLOOKUP(A63,НОМ!$A$3:$I$89,9,FALSE)/VLOOKUP(A63,НОМ!$A$3:$I$89,6,FALSE)*C63</f>
        <v>8.1637482252721245</v>
      </c>
      <c r="F63" s="157">
        <f>IF(G63&lt;1,1000*МЕНЮ!C63*(1-G63),1000*МЕНЮ!C63+G63*$B$47)</f>
        <v>149.5</v>
      </c>
      <c r="G63" s="72">
        <v>0.35</v>
      </c>
      <c r="H63" s="199"/>
      <c r="I63" s="200"/>
      <c r="K63" s="178">
        <f>ROUND(C63*1000/VLOOKUP(A63,НОМ!$A$3:$I$70,3,FALSE),1)</f>
        <v>2.2999999999999998</v>
      </c>
      <c r="L63" s="176" t="s">
        <v>202</v>
      </c>
    </row>
    <row r="64" spans="1:13">
      <c r="A64" s="153" t="str">
        <f>НОМ!A4</f>
        <v>Грибы белые, черные, сухие</v>
      </c>
      <c r="B64" s="154">
        <v>3.0000000000000001E-3</v>
      </c>
      <c r="C64" s="154">
        <f t="shared" si="4"/>
        <v>6.9000000000000006E-2</v>
      </c>
      <c r="D64" s="155"/>
      <c r="E64" s="156">
        <f>VLOOKUP(A64,НОМ!$A$3:$I$89,9,FALSE)/VLOOKUP(A64,НОМ!$A$3:$I$89,6,FALSE)*C64</f>
        <v>0</v>
      </c>
      <c r="F64" s="157">
        <f>IF(G64&lt;1,1000*МЕНЮ!C64*(1-G64),1000*МЕНЮ!C64+G64*$B$47)</f>
        <v>34.5</v>
      </c>
      <c r="G64" s="72">
        <v>0.5</v>
      </c>
      <c r="H64" s="199"/>
      <c r="I64" s="200"/>
    </row>
    <row r="65" spans="1:12">
      <c r="A65" s="153" t="str">
        <f>НОМ!A29</f>
        <v>Морковь свежая</v>
      </c>
      <c r="B65" s="154">
        <f>ROUND(VLOOKUP(A65,НОМ!$A$3:$I$70,3,FALSE)/1000/10,3)</f>
        <v>0.01</v>
      </c>
      <c r="C65" s="154">
        <f t="shared" si="4"/>
        <v>0.23</v>
      </c>
      <c r="D65" s="155"/>
      <c r="E65" s="156">
        <f>VLOOKUP(A65,НОМ!$A$3:$I$89,9,FALSE)/VLOOKUP(A65,НОМ!$A$3:$I$89,6,FALSE)*C65</f>
        <v>11.129032258064518</v>
      </c>
      <c r="F65" s="157">
        <f>IF(G65&lt;1,1000*МЕНЮ!C65*(1-G65),1000*МЕНЮ!C65+G65*$B$47)</f>
        <v>149.5</v>
      </c>
      <c r="G65" s="72">
        <v>0.35</v>
      </c>
      <c r="H65" s="199"/>
      <c r="I65" s="200"/>
      <c r="K65" s="178">
        <f>ROUND(C65*1000/VLOOKUP(A65,НОМ!$A$3:$I$70,3,FALSE),1)</f>
        <v>2.2999999999999998</v>
      </c>
      <c r="L65" s="176" t="s">
        <v>215</v>
      </c>
    </row>
    <row r="66" spans="1:12" ht="12.75" customHeight="1">
      <c r="A66" s="85" t="str">
        <f>НОМ!$A$56</f>
        <v>Хлеб - ржаной в нарезке</v>
      </c>
      <c r="B66" s="75">
        <f>VLOOKUP(A66,НОМ!$A$1:$I$70,3,FALSE)*3/1000</f>
        <v>7.4999999999999997E-2</v>
      </c>
      <c r="C66" s="75">
        <f t="shared" si="4"/>
        <v>1.7249999999999999</v>
      </c>
      <c r="D66" s="86"/>
      <c r="E66" s="87">
        <f>VLOOKUP(A66,НОМ!$A$3:$I$89,9,FALSE)/VLOOKUP(A66,НОМ!$A$3:$I$89,6,FALSE)*C66</f>
        <v>64.606741573033702</v>
      </c>
      <c r="F66" s="88">
        <f>IF(G66&lt;1,1000*МЕНЮ!C66*(1-G66),1000*МЕНЮ!C66+G66*$B$47)</f>
        <v>1724.9999999999998</v>
      </c>
      <c r="G66" s="73"/>
      <c r="H66" s="202">
        <f>SUM(F66:F69)</f>
        <v>9361</v>
      </c>
      <c r="I66" s="201">
        <f>H66/B47</f>
        <v>407</v>
      </c>
    </row>
    <row r="67" spans="1:12">
      <c r="A67" s="168" t="str">
        <f>НОМ!$A$57</f>
        <v>Чай черный крупнолистовой</v>
      </c>
      <c r="B67" s="159">
        <f>0.002</f>
        <v>2E-3</v>
      </c>
      <c r="C67" s="169">
        <f t="shared" si="4"/>
        <v>4.5999999999999999E-2</v>
      </c>
      <c r="D67" s="170"/>
      <c r="E67" s="171">
        <f>VLOOKUP(A67,НОМ!$A$3:$I$89,9,FALSE)/VLOOKUP(A67,НОМ!$A$3:$I$89,6,FALSE)*C67</f>
        <v>32.093023255813954</v>
      </c>
      <c r="F67" s="172">
        <f>IF(G67&lt;1,1000*МЕНЮ!C67*(1-G67),1000*МЕНЮ!C67+G67*$B$47)</f>
        <v>4646</v>
      </c>
      <c r="G67" s="73">
        <v>200</v>
      </c>
      <c r="H67" s="202"/>
      <c r="I67" s="201"/>
    </row>
    <row r="68" spans="1:12">
      <c r="A68" s="85" t="str">
        <f>НОМ!$A$33</f>
        <v>Конд.изд. (ш.конф.печ.ваф.шок.и т.д.)</v>
      </c>
      <c r="B68" s="76">
        <v>0.03</v>
      </c>
      <c r="C68" s="75">
        <f t="shared" si="4"/>
        <v>0.69</v>
      </c>
      <c r="D68" s="86"/>
      <c r="E68" s="87">
        <f>VLOOKUP(A68,НОМ!$A$3:$I$89,9,FALSE)/VLOOKUP(A68,НОМ!$A$3:$I$89,6,FALSE)*C68</f>
        <v>173.83720930232559</v>
      </c>
      <c r="F68" s="88">
        <f>IF(G68&lt;1,1000*МЕНЮ!C68*(1-G68),1000*МЕНЮ!C68+G68*$B$47)</f>
        <v>690</v>
      </c>
      <c r="G68" s="73"/>
      <c r="H68" s="202"/>
      <c r="I68" s="201"/>
    </row>
    <row r="69" spans="1:12">
      <c r="A69" s="106" t="str">
        <f>НОМ!$A$27</f>
        <v>Миниральная вода</v>
      </c>
      <c r="B69" s="107">
        <v>0.1</v>
      </c>
      <c r="C69" s="107">
        <f t="shared" si="4"/>
        <v>2.3000000000000003</v>
      </c>
      <c r="D69" s="108"/>
      <c r="E69" s="109">
        <f>VLOOKUP(A69,НОМ!$A$3:$I$89,9,FALSE)/VLOOKUP(A69,НОМ!$A$3:$I$89,6,FALSE)*C69</f>
        <v>45.245901639344261</v>
      </c>
      <c r="F69" s="110">
        <f>IF(G69&lt;1,1000*МЕНЮ!C69*(1-G69),1000*МЕНЮ!C69+G69*$B$47)</f>
        <v>2300.0000000000005</v>
      </c>
      <c r="G69" s="73"/>
      <c r="H69" s="202"/>
      <c r="I69" s="201"/>
    </row>
    <row r="70" spans="1:12">
      <c r="A70" s="89" t="s">
        <v>46</v>
      </c>
      <c r="B70" s="89"/>
      <c r="C70" s="89"/>
      <c r="D70" s="89"/>
      <c r="E70" s="90">
        <f>SUM(E49:E69)</f>
        <v>1989.6936102892389</v>
      </c>
      <c r="F70" s="91">
        <f>SUM(F49:F69)</f>
        <v>33729.523000000001</v>
      </c>
      <c r="G70" s="92"/>
      <c r="H70" s="196">
        <f>F70/B47</f>
        <v>1466.501</v>
      </c>
      <c r="I70" s="196"/>
    </row>
    <row r="72" spans="1:12" ht="12.75" customHeight="1">
      <c r="A72" s="193" t="s">
        <v>164</v>
      </c>
      <c r="B72" s="193"/>
      <c r="C72" s="193"/>
      <c r="D72" s="193"/>
      <c r="E72" s="193"/>
      <c r="F72" s="193"/>
      <c r="G72" s="63"/>
    </row>
    <row r="73" spans="1:12">
      <c r="A73" s="64" t="s">
        <v>48</v>
      </c>
      <c r="B73" s="65">
        <f>РАСЧЕТЫ!J36</f>
        <v>30</v>
      </c>
      <c r="C73" s="66" t="s">
        <v>39</v>
      </c>
      <c r="D73" s="66"/>
      <c r="E73" s="67"/>
      <c r="F73" s="68"/>
    </row>
    <row r="74" spans="1:12">
      <c r="A74" s="5" t="s">
        <v>40</v>
      </c>
      <c r="B74" s="69" t="s">
        <v>41</v>
      </c>
      <c r="C74" s="5" t="s">
        <v>42</v>
      </c>
      <c r="D74" s="5"/>
      <c r="E74" s="70" t="s">
        <v>43</v>
      </c>
      <c r="F74" s="5" t="s">
        <v>44</v>
      </c>
      <c r="G74" s="71"/>
    </row>
    <row r="75" spans="1:12" ht="12.75" customHeight="1">
      <c r="A75" s="148" t="str">
        <f>НОМ!$A$30</f>
        <v>Огурцы коротоплодные свежие</v>
      </c>
      <c r="B75" s="149">
        <f>ROUND(VLOOKUP(A75,НОМ!$A$3:$I$70,3,FALSE)/1000/2,3)</f>
        <v>0.05</v>
      </c>
      <c r="C75" s="149">
        <f t="shared" ref="C75:C96" si="5">B75*$B$73</f>
        <v>1.5</v>
      </c>
      <c r="D75" s="150"/>
      <c r="E75" s="151">
        <f>VLOOKUP(A75,НОМ!$A$3:$I$89,9,FALSE)/VLOOKUP(A75,НОМ!$A$3:$I$89,6,FALSE)*C75</f>
        <v>246.33238449748194</v>
      </c>
      <c r="F75" s="152">
        <f>IF(G75&lt;1,1000*МЕНЮ!C75*(1-G75),1000*МЕНЮ!C75+G75*$B$73)</f>
        <v>1500</v>
      </c>
      <c r="G75" s="72"/>
      <c r="H75" s="194">
        <f>SUM(F75:F80)</f>
        <v>5400</v>
      </c>
      <c r="I75" s="195">
        <f>H75/B73</f>
        <v>180</v>
      </c>
      <c r="K75" s="178">
        <f>ROUND(C75*1000/VLOOKUP(A75,НОМ!$A$3:$I$70,3,FALSE),1)</f>
        <v>15</v>
      </c>
      <c r="L75" s="176" t="s">
        <v>211</v>
      </c>
    </row>
    <row r="76" spans="1:12">
      <c r="A76" s="148" t="str">
        <f>НОМ!$A$34</f>
        <v>Томаты свежие</v>
      </c>
      <c r="B76" s="149">
        <f>ROUND(VLOOKUP(A76,НОМ!$A$3:$I$70,3,FALSE)/1000/3,3)</f>
        <v>6.7000000000000004E-2</v>
      </c>
      <c r="C76" s="149">
        <f t="shared" si="5"/>
        <v>2.0100000000000002</v>
      </c>
      <c r="D76" s="150"/>
      <c r="E76" s="151">
        <f>VLOOKUP(A76,НОМ!$A$3:$I$89,9,FALSE)/VLOOKUP(A76,НОМ!$A$3:$I$89,6,FALSE)*C76</f>
        <v>280.9677419354839</v>
      </c>
      <c r="F76" s="152">
        <f>IF(G76&lt;1,1000*МЕНЮ!C76*(1-G76),1000*МЕНЮ!C76+G76*$B$73)</f>
        <v>2010.0000000000002</v>
      </c>
      <c r="G76" s="73"/>
      <c r="H76" s="194"/>
      <c r="I76" s="195"/>
      <c r="K76" s="178">
        <f>ROUND(C76*1000/VLOOKUP(A76,НОМ!$A$3:$I$70,3,FALSE),1)</f>
        <v>10.1</v>
      </c>
      <c r="L76" s="176" t="s">
        <v>208</v>
      </c>
    </row>
    <row r="77" spans="1:12">
      <c r="A77" s="148" t="str">
        <f>НОМ!$A$38</f>
        <v>Салат "айсберг"</v>
      </c>
      <c r="B77" s="149">
        <f>ROUND(VLOOKUP(A77,НОМ!$A$3:$I$70,3,FALSE)/1000/15,3)</f>
        <v>0.02</v>
      </c>
      <c r="C77" s="149">
        <f t="shared" si="5"/>
        <v>0.6</v>
      </c>
      <c r="D77" s="150"/>
      <c r="E77" s="151">
        <f>VLOOKUP(A77,НОМ!$A$3:$I$89,9,FALSE)/VLOOKUP(A77,НОМ!$A$3:$I$89,6,FALSE)*C77</f>
        <v>149.99999999999997</v>
      </c>
      <c r="F77" s="152">
        <f>IF(G77&lt;1,1000*МЕНЮ!C77*(1-G77),1000*МЕНЮ!C77+G77*$B$73)</f>
        <v>600</v>
      </c>
      <c r="G77" s="73"/>
      <c r="H77" s="194"/>
      <c r="I77" s="195"/>
      <c r="K77" s="178">
        <f>ROUND(C77*1000/VLOOKUP(A77,НОМ!$A$3:$I$70,3,FALSE),1)</f>
        <v>2</v>
      </c>
      <c r="L77" s="176" t="s">
        <v>229</v>
      </c>
    </row>
    <row r="78" spans="1:12">
      <c r="A78" s="148" t="str">
        <f>НОМ!$A$35</f>
        <v>Перец болгарский, светофор</v>
      </c>
      <c r="B78" s="149">
        <f>ROUND(VLOOKUP(A78,НОМ!$A$3:$I$70,3,FALSE)/1000/8,3)</f>
        <v>1.4999999999999999E-2</v>
      </c>
      <c r="C78" s="149">
        <f t="shared" si="5"/>
        <v>0.44999999999999996</v>
      </c>
      <c r="D78" s="150"/>
      <c r="E78" s="151">
        <f>VLOOKUP(A78,НОМ!$A$3:$I$89,9,FALSE)/VLOOKUP(A78,НОМ!$A$3:$I$89,6,FALSE)*C78</f>
        <v>52.110977080820263</v>
      </c>
      <c r="F78" s="152">
        <f>IF(G78&lt;1,1000*МЕНЮ!C78*(1-G78),1000*МЕНЮ!C78+G78*$B$73)</f>
        <v>449.99999999999994</v>
      </c>
      <c r="G78" s="72"/>
      <c r="H78" s="194"/>
      <c r="I78" s="195"/>
      <c r="K78" s="178">
        <f>ROUND(C78*1000/VLOOKUP(A78,НОМ!$A$3:$I$70,3,FALSE),1)</f>
        <v>3.8</v>
      </c>
      <c r="L78" s="176" t="s">
        <v>244</v>
      </c>
    </row>
    <row r="79" spans="1:12">
      <c r="A79" s="148" t="str">
        <f>НОМ!$A$5</f>
        <v>Зелень свежая</v>
      </c>
      <c r="B79" s="149">
        <v>3.0000000000000001E-3</v>
      </c>
      <c r="C79" s="149">
        <f t="shared" si="5"/>
        <v>0.09</v>
      </c>
      <c r="D79" s="150"/>
      <c r="E79" s="151">
        <f>VLOOKUP(A79,НОМ!$A$3:$I$89,9,FALSE)/VLOOKUP(A79,НОМ!$A$3:$I$89,6,FALSE)*C79</f>
        <v>35</v>
      </c>
      <c r="F79" s="152">
        <f>IF(G79&lt;1,1000*МЕНЮ!C79*(1-G79),1000*МЕНЮ!C79+G79*$B$73)</f>
        <v>90</v>
      </c>
      <c r="G79" s="73"/>
      <c r="H79" s="194"/>
      <c r="I79" s="195"/>
      <c r="K79" s="179">
        <f>ROUND(C79*1000/VLOOKUP(A79,НОМ!$A$3:$I$70,3,FALSE),1)</f>
        <v>1.8</v>
      </c>
      <c r="L79" s="176" t="s">
        <v>242</v>
      </c>
    </row>
    <row r="80" spans="1:12">
      <c r="A80" s="148" t="str">
        <f>НОМ!$A$25</f>
        <v>Майонез "Провансаль"</v>
      </c>
      <c r="B80" s="149">
        <v>2.5000000000000001E-2</v>
      </c>
      <c r="C80" s="149">
        <f t="shared" si="5"/>
        <v>0.75</v>
      </c>
      <c r="D80" s="150"/>
      <c r="E80" s="151">
        <f>VLOOKUP(A80,НОМ!$A$3:$I$89,9,FALSE)/VLOOKUP(A80,НОМ!$A$3:$I$89,6,FALSE)*C80</f>
        <v>91.040462427745666</v>
      </c>
      <c r="F80" s="152">
        <f>IF(G80&lt;1,1000*МЕНЮ!C80*(1-G80),1000*МЕНЮ!C80+G80*$B$73)</f>
        <v>750</v>
      </c>
      <c r="G80" s="73"/>
      <c r="H80" s="194"/>
      <c r="I80" s="195"/>
    </row>
    <row r="81" spans="1:13" ht="12.75" customHeight="1">
      <c r="A81" s="163" t="str">
        <f>НОМ!$A$63</f>
        <v>Рыба - форель, семга (шашлык)</v>
      </c>
      <c r="B81" s="164">
        <v>0.15</v>
      </c>
      <c r="C81" s="164">
        <f t="shared" si="5"/>
        <v>4.5</v>
      </c>
      <c r="D81" s="165"/>
      <c r="E81" s="166">
        <f>VLOOKUP(A81,НОМ!$A$3:$I$89,9,FALSE)/VLOOKUP(A81,НОМ!$A$3:$I$89,6,FALSE)*C81</f>
        <v>1800</v>
      </c>
      <c r="F81" s="167">
        <f>IF(G81&lt;1,1000*МЕНЮ!C81*(1-G81),1000*МЕНЮ!C81+G81*$B$73)</f>
        <v>2700</v>
      </c>
      <c r="G81" s="72">
        <v>0.4</v>
      </c>
      <c r="H81" s="194">
        <f>SUM(F81:F89)</f>
        <v>8550.6069230769226</v>
      </c>
      <c r="I81" s="195">
        <f>H81/B73</f>
        <v>285.02023076923075</v>
      </c>
    </row>
    <row r="82" spans="1:13" ht="12.75" customHeight="1">
      <c r="A82" s="163" t="str">
        <f>НОМ!A19</f>
        <v>Куриные крылья, на гриль</v>
      </c>
      <c r="B82" s="164">
        <f>1/10</f>
        <v>0.1</v>
      </c>
      <c r="C82" s="164">
        <f t="shared" si="5"/>
        <v>3</v>
      </c>
      <c r="D82" s="165"/>
      <c r="E82" s="166">
        <f>VLOOKUP(A82,НОМ!$A$3:$I$89,9,FALSE)/VLOOKUP(A82,НОМ!$A$3:$I$89,6,FALSE)*C82</f>
        <v>450</v>
      </c>
      <c r="F82" s="167">
        <f>IF(G82&lt;1,1000*МЕНЮ!C82*(1-G82),1000*МЕНЮ!C82+G82*$B$220)</f>
        <v>1500</v>
      </c>
      <c r="G82" s="72">
        <v>0.5</v>
      </c>
      <c r="H82" s="194"/>
      <c r="I82" s="195"/>
      <c r="K82" s="178">
        <f>ROUND(C82*1000/VLOOKUP(A82,НОМ!$A$3:$I$70,3,FALSE),1)</f>
        <v>30</v>
      </c>
      <c r="L82" s="176" t="s">
        <v>217</v>
      </c>
      <c r="M82" s="175"/>
    </row>
    <row r="83" spans="1:13" ht="12.75" customHeight="1">
      <c r="A83" s="163" t="str">
        <f>НОМ!A61</f>
        <v>Уголь березовый+ж.д/р.</v>
      </c>
      <c r="B83" s="164">
        <f>1000/1300*(B81+B82)</f>
        <v>0.19230769230769232</v>
      </c>
      <c r="C83" s="164">
        <f t="shared" si="5"/>
        <v>5.7692307692307692</v>
      </c>
      <c r="D83" s="165"/>
      <c r="E83" s="166">
        <f>VLOOKUP(A83,НОМ!$A$3:$I$89,9,FALSE)/VLOOKUP(A83,НОМ!$A$3:$I$89,6,FALSE)*C83</f>
        <v>245.94907407407405</v>
      </c>
      <c r="F83" s="167">
        <f>IF(G83&lt;1,1000*МЕНЮ!C83*(1-G83),1000*МЕНЮ!C83+G83*$B$73)</f>
        <v>0.57692307692301337</v>
      </c>
      <c r="G83" s="72">
        <v>0.99990000000000001</v>
      </c>
      <c r="H83" s="194"/>
      <c r="I83" s="195"/>
    </row>
    <row r="84" spans="1:13">
      <c r="A84" s="163" t="str">
        <f>НОМ!A23</f>
        <v>Лимон</v>
      </c>
      <c r="B84" s="164">
        <f>B81/15</f>
        <v>0.01</v>
      </c>
      <c r="C84" s="164">
        <f t="shared" si="5"/>
        <v>0.3</v>
      </c>
      <c r="D84" s="165"/>
      <c r="E84" s="166">
        <f>VLOOKUP(A84,НОМ!$A$3:$I$89,9,FALSE)/VLOOKUP(A84,НОМ!$A$3:$I$89,6,FALSE)*C84</f>
        <v>60</v>
      </c>
      <c r="F84" s="167">
        <f>IF(G84&lt;1,1000*МЕНЮ!C84*(1-G84),1000*МЕНЮ!C84+G84*$B$73)</f>
        <v>2.9999999999996696E-2</v>
      </c>
      <c r="G84" s="72">
        <v>0.99990000000000001</v>
      </c>
      <c r="H84" s="194"/>
      <c r="I84" s="195"/>
      <c r="K84" s="178">
        <f>ROUND(C84*1000/VLOOKUP(A84,НОМ!$A$3:$I$70,3,FALSE),1)</f>
        <v>2.5</v>
      </c>
      <c r="L84" s="176" t="s">
        <v>218</v>
      </c>
    </row>
    <row r="85" spans="1:13">
      <c r="A85" s="163" t="str">
        <f>НОМ!$A$20</f>
        <v>Лаваш армянский</v>
      </c>
      <c r="B85" s="164">
        <v>0.06</v>
      </c>
      <c r="C85" s="164">
        <f t="shared" si="5"/>
        <v>1.7999999999999998</v>
      </c>
      <c r="D85" s="165"/>
      <c r="E85" s="166">
        <f>VLOOKUP(A85,НОМ!$A$3:$I$89,9,FALSE)/VLOOKUP(A85,НОМ!$A$3:$I$89,6,FALSE)*C85</f>
        <v>0</v>
      </c>
      <c r="F85" s="167">
        <f>IF(G85&lt;1,1000*МЕНЮ!C85*(1-G85),1000*МЕНЮ!C85+G85*$B$73)</f>
        <v>1799.9999999999998</v>
      </c>
      <c r="G85" s="73"/>
      <c r="H85" s="194"/>
      <c r="I85" s="195"/>
    </row>
    <row r="86" spans="1:13">
      <c r="A86" s="163" t="str">
        <f>НОМ!$A$47</f>
        <v>Соус сливочный тар-тар</v>
      </c>
      <c r="B86" s="164">
        <v>1.4999999999999999E-2</v>
      </c>
      <c r="C86" s="164">
        <f t="shared" si="5"/>
        <v>0.44999999999999996</v>
      </c>
      <c r="D86" s="165"/>
      <c r="E86" s="166">
        <f>VLOOKUP(A86,НОМ!$A$3:$I$89,9,FALSE)/VLOOKUP(A86,НОМ!$A$3:$I$89,6,FALSE)*C86</f>
        <v>100</v>
      </c>
      <c r="F86" s="167">
        <f>IF(G86&lt;1,1000*МЕНЮ!C86*(1-G86),1000*МЕНЮ!C86+G86*$B$73)</f>
        <v>449.99999999999994</v>
      </c>
      <c r="G86" s="73"/>
      <c r="H86" s="194"/>
      <c r="I86" s="195"/>
    </row>
    <row r="87" spans="1:13">
      <c r="A87" s="163" t="str">
        <f>НОМ!$A$48</f>
        <v>Соус сырный</v>
      </c>
      <c r="B87" s="164">
        <v>1.4999999999999999E-2</v>
      </c>
      <c r="C87" s="164">
        <f t="shared" si="5"/>
        <v>0.44999999999999996</v>
      </c>
      <c r="D87" s="165"/>
      <c r="E87" s="166">
        <f>VLOOKUP(A87,НОМ!$A$3:$I$89,9,FALSE)/VLOOKUP(A87,НОМ!$A$3:$I$89,6,FALSE)*C87</f>
        <v>130</v>
      </c>
      <c r="F87" s="167">
        <f>IF(G87&lt;1,1000*МЕНЮ!C87*(1-G87),1000*МЕНЮ!C87+G87*$B$73)</f>
        <v>449.99999999999994</v>
      </c>
      <c r="G87" s="73"/>
      <c r="H87" s="194"/>
      <c r="I87" s="195"/>
    </row>
    <row r="88" spans="1:13">
      <c r="A88" s="163" t="str">
        <f>НОМ!A8</f>
        <v>Капуста квашеная</v>
      </c>
      <c r="B88" s="164">
        <v>2.5000000000000001E-2</v>
      </c>
      <c r="C88" s="164">
        <f t="shared" si="5"/>
        <v>0.75</v>
      </c>
      <c r="D88" s="165"/>
      <c r="E88" s="166">
        <f>VLOOKUP(A88,НОМ!$A$3:$I$89,9,FALSE)/VLOOKUP(A88,НОМ!$A$3:$I$89,6,FALSE)*C88</f>
        <v>135</v>
      </c>
      <c r="F88" s="167">
        <f>IF(G88&lt;1,1000*МЕНЮ!C88*(1-G88),1000*МЕНЮ!C88+G88*$B$73)</f>
        <v>750</v>
      </c>
      <c r="G88" s="73"/>
      <c r="H88" s="194"/>
      <c r="I88" s="195"/>
    </row>
    <row r="89" spans="1:13">
      <c r="A89" s="163" t="str">
        <f>НОМ!$A$21</f>
        <v>Хол.закуски (лечо, б/икра, соте)</v>
      </c>
      <c r="B89" s="164">
        <v>0.03</v>
      </c>
      <c r="C89" s="164">
        <f t="shared" si="5"/>
        <v>0.89999999999999991</v>
      </c>
      <c r="D89" s="165"/>
      <c r="E89" s="166">
        <f>VLOOKUP(A89,НОМ!$A$3:$I$89,9,FALSE)/VLOOKUP(A89,НОМ!$A$3:$I$89,6,FALSE)*C89</f>
        <v>140</v>
      </c>
      <c r="F89" s="167">
        <f>IF(G89&lt;1,1000*МЕНЮ!C89*(1-G89),1000*МЕНЮ!C89+G89*$B$73)</f>
        <v>899.99999999999989</v>
      </c>
      <c r="G89" s="73"/>
      <c r="H89" s="194"/>
      <c r="I89" s="195"/>
    </row>
    <row r="90" spans="1:13" ht="12.75" customHeight="1">
      <c r="A90" s="85" t="str">
        <f>НОМ!$A$56</f>
        <v>Хлеб - ржаной в нарезке</v>
      </c>
      <c r="B90" s="75">
        <f>VLOOKUP(A90,НОМ!$A$1:$I$70,3,FALSE)*1/1000</f>
        <v>2.5000000000000001E-2</v>
      </c>
      <c r="C90" s="75">
        <f t="shared" si="5"/>
        <v>0.75</v>
      </c>
      <c r="D90" s="86"/>
      <c r="E90" s="87">
        <f>VLOOKUP(A90,НОМ!$A$3:$I$89,9,FALSE)/VLOOKUP(A90,НОМ!$A$3:$I$89,6,FALSE)*C90</f>
        <v>28.08988764044944</v>
      </c>
      <c r="F90" s="88">
        <f>IF(G90&lt;1,1000*МЕНЮ!C90*(1-G90),1000*МЕНЮ!C90+G90*$B$73)</f>
        <v>750</v>
      </c>
      <c r="G90" s="73"/>
      <c r="H90" s="202">
        <f>SUM(F90:F96)</f>
        <v>14553</v>
      </c>
      <c r="I90" s="201">
        <f>H90/B73</f>
        <v>485.1</v>
      </c>
    </row>
    <row r="91" spans="1:13">
      <c r="A91" s="106" t="str">
        <f>НОМ!$A$42</f>
        <v>Сок фруктовый</v>
      </c>
      <c r="B91" s="107">
        <v>0.1</v>
      </c>
      <c r="C91" s="107">
        <f t="shared" si="5"/>
        <v>3</v>
      </c>
      <c r="D91" s="108"/>
      <c r="E91" s="109">
        <f>VLOOKUP(A91,НОМ!$A$3:$I$89,9,FALSE)/VLOOKUP(A91,НОМ!$A$3:$I$89,6,FALSE)*C91</f>
        <v>135</v>
      </c>
      <c r="F91" s="110">
        <f>IF(G91&lt;1,1000*МЕНЮ!C91*(1-G91),1000*МЕНЮ!C91+G91*$B$73)</f>
        <v>3000</v>
      </c>
      <c r="G91" s="73"/>
      <c r="H91" s="202"/>
      <c r="I91" s="201"/>
    </row>
    <row r="92" spans="1:13">
      <c r="A92" s="106" t="str">
        <f>НОМ!$A$24</f>
        <v>Лимонад, газ</v>
      </c>
      <c r="B92" s="107">
        <v>0.1</v>
      </c>
      <c r="C92" s="107">
        <f t="shared" si="5"/>
        <v>3</v>
      </c>
      <c r="D92" s="108"/>
      <c r="E92" s="109">
        <f>VLOOKUP(A92,НОМ!$A$3:$I$89,9,FALSE)/VLOOKUP(A92,НОМ!$A$3:$I$89,6,FALSE)*C92</f>
        <v>120</v>
      </c>
      <c r="F92" s="110">
        <f>IF(G92&lt;1,1000*МЕНЮ!C92*(1-G92),1000*МЕНЮ!C92+G92*$B$73)</f>
        <v>3000</v>
      </c>
      <c r="G92" s="73"/>
      <c r="H92" s="202"/>
      <c r="I92" s="201"/>
    </row>
    <row r="93" spans="1:13">
      <c r="A93" s="168" t="str">
        <f>НОМ!$A$57</f>
        <v>Чай черный крупнолистовой</v>
      </c>
      <c r="B93" s="169">
        <f>0.002</f>
        <v>2E-3</v>
      </c>
      <c r="C93" s="169">
        <f t="shared" si="5"/>
        <v>0.06</v>
      </c>
      <c r="D93" s="170"/>
      <c r="E93" s="171">
        <f>VLOOKUP(A93,НОМ!$A$3:$I$89,9,FALSE)/VLOOKUP(A93,НОМ!$A$3:$I$89,6,FALSE)*C93</f>
        <v>41.860465116279066</v>
      </c>
      <c r="F93" s="172">
        <f>IF(G93&lt;1,1000*МЕНЮ!C93*(1-G93),1000*МЕНЮ!C93+G93*$B$73)</f>
        <v>6060</v>
      </c>
      <c r="G93" s="73">
        <v>200</v>
      </c>
      <c r="H93" s="202"/>
      <c r="I93" s="201"/>
    </row>
    <row r="94" spans="1:13">
      <c r="A94" s="85" t="str">
        <f>НОМ!$A$39</f>
        <v>Сахар рафинад</v>
      </c>
      <c r="B94" s="75">
        <v>5.0000000000000001E-3</v>
      </c>
      <c r="C94" s="75">
        <f t="shared" si="5"/>
        <v>0.15</v>
      </c>
      <c r="D94" s="86"/>
      <c r="E94" s="87">
        <f>VLOOKUP(A94,НОМ!$A$3:$I$89,9,FALSE)/VLOOKUP(A94,НОМ!$A$3:$I$89,6,FALSE)*C94</f>
        <v>0</v>
      </c>
      <c r="F94" s="88">
        <f>IF(G94&lt;1,1000*МЕНЮ!C94*(1-G94),1000*МЕНЮ!C94+G94*$B$73)</f>
        <v>150</v>
      </c>
      <c r="G94" s="73"/>
      <c r="H94" s="202"/>
      <c r="I94" s="201"/>
    </row>
    <row r="95" spans="1:13">
      <c r="A95" s="85" t="str">
        <f>НОМ!$A$41</f>
        <v>Семечки подсолнечника жареные</v>
      </c>
      <c r="B95" s="75">
        <v>3.3000000000000002E-2</v>
      </c>
      <c r="C95" s="75">
        <f t="shared" si="5"/>
        <v>0.99</v>
      </c>
      <c r="D95" s="86"/>
      <c r="E95" s="87">
        <f>VLOOKUP(A95,НОМ!$A$3:$I$89,9,FALSE)/VLOOKUP(A95,НОМ!$A$3:$I$89,6,FALSE)*C95</f>
        <v>216.1764705882353</v>
      </c>
      <c r="F95" s="88">
        <f>IF(G95&lt;1,1000*МЕНЮ!C95*(1-G95),1000*МЕНЮ!C95+G95*$B$73)</f>
        <v>693</v>
      </c>
      <c r="G95" s="72">
        <v>0.3</v>
      </c>
      <c r="H95" s="202"/>
      <c r="I95" s="201"/>
    </row>
    <row r="96" spans="1:13">
      <c r="A96" s="85" t="str">
        <f>НОМ!$A$33</f>
        <v>Конд.изд. (ш.конф.печ.ваф.шок.и т.д.)</v>
      </c>
      <c r="B96" s="76">
        <v>0.03</v>
      </c>
      <c r="C96" s="75">
        <f t="shared" si="5"/>
        <v>0.89999999999999991</v>
      </c>
      <c r="D96" s="86"/>
      <c r="E96" s="87">
        <f>VLOOKUP(A96,НОМ!$A$3:$I$89,9,FALSE)/VLOOKUP(A96,НОМ!$A$3:$I$89,6,FALSE)*C96</f>
        <v>226.74418604651163</v>
      </c>
      <c r="F96" s="88">
        <f>IF(G96&lt;1,1000*МЕНЮ!C96*(1-G96),1000*МЕНЮ!C96+G96*$B$73)</f>
        <v>899.99999999999989</v>
      </c>
      <c r="G96" s="73"/>
      <c r="H96" s="202"/>
      <c r="I96" s="201"/>
    </row>
    <row r="97" spans="1:12">
      <c r="A97" s="89" t="s">
        <v>46</v>
      </c>
      <c r="B97" s="89"/>
      <c r="C97" s="89"/>
      <c r="D97" s="89"/>
      <c r="E97" s="90">
        <f>SUM(E75:E96)</f>
        <v>4684.2716494070801</v>
      </c>
      <c r="F97" s="91">
        <f>SUM(F75:F96)</f>
        <v>28503.606923076924</v>
      </c>
      <c r="G97" s="92"/>
      <c r="H97" s="196">
        <f>F97/B73</f>
        <v>950.12023076923083</v>
      </c>
      <c r="I97" s="196"/>
    </row>
    <row r="98" spans="1:12">
      <c r="A98" s="112"/>
      <c r="B98" s="112"/>
      <c r="C98" s="112"/>
      <c r="D98" s="112"/>
      <c r="E98" s="113"/>
      <c r="F98" s="114"/>
      <c r="G98" s="115"/>
      <c r="H98" s="114"/>
      <c r="I98" s="114"/>
    </row>
    <row r="99" spans="1:12" ht="21" customHeight="1">
      <c r="A99" s="193" t="s">
        <v>165</v>
      </c>
      <c r="B99" s="193"/>
      <c r="C99" s="193"/>
      <c r="D99" s="193"/>
      <c r="E99" s="193"/>
      <c r="F99" s="193"/>
      <c r="G99" s="63"/>
    </row>
    <row r="100" spans="1:12">
      <c r="A100" s="64" t="s">
        <v>15</v>
      </c>
      <c r="B100" s="65">
        <f>РАСЧЕТЫ!K36</f>
        <v>28</v>
      </c>
      <c r="C100" s="66" t="s">
        <v>39</v>
      </c>
      <c r="D100" s="66"/>
      <c r="E100" s="67"/>
      <c r="F100" s="68"/>
    </row>
    <row r="101" spans="1:12" ht="12.75" customHeight="1">
      <c r="A101" s="5" t="s">
        <v>40</v>
      </c>
      <c r="B101" s="69" t="s">
        <v>41</v>
      </c>
      <c r="C101" s="5" t="s">
        <v>42</v>
      </c>
      <c r="D101" s="5"/>
      <c r="E101" s="70" t="s">
        <v>43</v>
      </c>
      <c r="F101" s="5" t="s">
        <v>44</v>
      </c>
      <c r="G101" s="71"/>
    </row>
    <row r="102" spans="1:12" ht="12.75" customHeight="1">
      <c r="A102" s="94" t="str">
        <f>НОМ!A43</f>
        <v xml:space="preserve">Сосиски свежие </v>
      </c>
      <c r="B102" s="95">
        <f>ROUND(VLOOKUP(A102,НОМ!$A$3:$I$70,3,FALSE)/1000,3)</f>
        <v>6.5000000000000002E-2</v>
      </c>
      <c r="C102" s="95">
        <f>B102*$B$100</f>
        <v>1.82</v>
      </c>
      <c r="D102" s="96"/>
      <c r="E102" s="97">
        <f>VLOOKUP(A102,НОМ!$A$3:$I$89,9,FALSE)/VLOOKUP(A102,НОМ!$A$3:$I$89,6,FALSE)*C102</f>
        <v>553.17073170731715</v>
      </c>
      <c r="F102" s="98">
        <f>IF(G102&lt;1,1000*МЕНЮ!C102*(1-G102),1000*МЕНЮ!C102+G102*$B$100)</f>
        <v>1820</v>
      </c>
      <c r="G102" s="73"/>
      <c r="H102" s="199">
        <f>SUM(F102:F106)</f>
        <v>3780</v>
      </c>
      <c r="I102" s="200">
        <f>H102/B100</f>
        <v>135</v>
      </c>
      <c r="J102" s="99"/>
      <c r="K102" s="178">
        <f>ROUND(C102*1000/VLOOKUP(A102,НОМ!$A$3:$I$70,3,FALSE),1)</f>
        <v>28</v>
      </c>
      <c r="L102" s="176" t="s">
        <v>219</v>
      </c>
    </row>
    <row r="103" spans="1:12">
      <c r="A103" s="94" t="str">
        <f>НОМ!$A$53</f>
        <v>Говядина тушеная</v>
      </c>
      <c r="B103" s="95">
        <v>0.01</v>
      </c>
      <c r="C103" s="95">
        <f t="shared" ref="C103:C117" si="6">B103*$B$100</f>
        <v>0.28000000000000003</v>
      </c>
      <c r="D103" s="96"/>
      <c r="E103" s="97">
        <f>VLOOKUP(A103,НОМ!$A$3:$I$89,9,FALSE)/VLOOKUP(A103,НОМ!$A$3:$I$89,6,FALSE)*C103</f>
        <v>179.20000000000002</v>
      </c>
      <c r="F103" s="98">
        <f>IF(G103&lt;1,1000*МЕНЮ!C103*(1-G103),1000*МЕНЮ!C103+G103*$B$100)</f>
        <v>280</v>
      </c>
      <c r="G103" s="73"/>
      <c r="H103" s="199"/>
      <c r="I103" s="200"/>
      <c r="J103" s="99"/>
    </row>
    <row r="104" spans="1:12">
      <c r="A104" s="94" t="str">
        <f>НОМ!$A$54</f>
        <v>Свинина тушеная</v>
      </c>
      <c r="B104" s="95">
        <v>0.01</v>
      </c>
      <c r="C104" s="95">
        <f t="shared" si="6"/>
        <v>0.28000000000000003</v>
      </c>
      <c r="D104" s="96"/>
      <c r="E104" s="97">
        <f>VLOOKUP(A104,НОМ!$A$3:$I$89,9,FALSE)/VLOOKUP(A104,НОМ!$A$3:$I$89,6,FALSE)*C104</f>
        <v>179.20000000000002</v>
      </c>
      <c r="F104" s="98">
        <f>IF(G104&lt;1,1000*МЕНЮ!C104*(1-G104),1000*МЕНЮ!C104+G104*$B$100)</f>
        <v>280</v>
      </c>
      <c r="G104" s="73"/>
      <c r="H104" s="199"/>
      <c r="I104" s="200"/>
      <c r="J104" s="99"/>
    </row>
    <row r="105" spans="1:12">
      <c r="A105" s="94" t="str">
        <f>НОМ!$A$34</f>
        <v>Томаты свежие</v>
      </c>
      <c r="B105" s="95">
        <f>ROUND(VLOOKUP(A105,НОМ!$A$3:$I$70,3,FALSE)/1000/10,3)</f>
        <v>0.02</v>
      </c>
      <c r="C105" s="95">
        <f t="shared" si="6"/>
        <v>0.56000000000000005</v>
      </c>
      <c r="D105" s="96"/>
      <c r="E105" s="97">
        <f>VLOOKUP(A105,НОМ!$A$3:$I$89,9,FALSE)/VLOOKUP(A105,НОМ!$A$3:$I$89,6,FALSE)*C105</f>
        <v>78.27956989247312</v>
      </c>
      <c r="F105" s="98">
        <f>IF(G105&lt;1,1000*МЕНЮ!C105*(1-G105),1000*МЕНЮ!C105+G105*$B$100)</f>
        <v>364</v>
      </c>
      <c r="G105" s="72">
        <v>0.35</v>
      </c>
      <c r="H105" s="199"/>
      <c r="I105" s="200"/>
      <c r="J105" s="99"/>
      <c r="K105" s="178">
        <f>ROUND(C105*1000/VLOOKUP(A105,НОМ!$A$3:$I$70,3,FALSE),1)</f>
        <v>2.8</v>
      </c>
      <c r="L105" s="176" t="s">
        <v>220</v>
      </c>
    </row>
    <row r="106" spans="1:12" ht="12.75" customHeight="1">
      <c r="A106" s="94" t="str">
        <f>НОМ!$A$65</f>
        <v>Яйцо куриное</v>
      </c>
      <c r="B106" s="95">
        <f>ROUND(VLOOKUP(A106,НОМ!$A$3:$I$70,3,FALSE)/1000/3*2,3)</f>
        <v>3.6999999999999998E-2</v>
      </c>
      <c r="C106" s="95">
        <f t="shared" si="6"/>
        <v>1.036</v>
      </c>
      <c r="D106" s="96"/>
      <c r="E106" s="97">
        <f>VLOOKUP(A106,НОМ!$A$3:$I$89,9,FALSE)/VLOOKUP(A106,НОМ!$A$3:$I$89,6,FALSE)*C106</f>
        <v>102.91477995421012</v>
      </c>
      <c r="F106" s="98">
        <f>IF(G106&lt;1,1000*МЕНЮ!C106*(1-G106),1000*МЕНЮ!C106+G106*$B$100)</f>
        <v>1036</v>
      </c>
      <c r="G106" s="73"/>
      <c r="H106" s="199"/>
      <c r="I106" s="200"/>
      <c r="J106" s="99"/>
      <c r="K106" s="178">
        <f>ROUND(C106*1000/VLOOKUP(A106,НОМ!$A$3:$I$70,3,FALSE),1)</f>
        <v>18.8</v>
      </c>
      <c r="L106" s="176" t="s">
        <v>198</v>
      </c>
    </row>
    <row r="107" spans="1:12" ht="12.75" customHeight="1">
      <c r="A107" s="74" t="str">
        <f>НОМ!$A$12</f>
        <v>Колбаса вар.копченая</v>
      </c>
      <c r="B107" s="76">
        <v>0.03</v>
      </c>
      <c r="C107" s="76">
        <f t="shared" si="6"/>
        <v>0.84</v>
      </c>
      <c r="D107" s="77"/>
      <c r="E107" s="78">
        <f>VLOOKUP(A107,НОМ!$A$3:$I$89,9,FALSE)/VLOOKUP(A107,НОМ!$A$3:$I$89,6,FALSE)*C107</f>
        <v>417.54385964912279</v>
      </c>
      <c r="F107" s="79">
        <f>IF(G107&lt;1,1000*МЕНЮ!C107*(1-G107),1000*МЕНЮ!C107+G107*$B$100)</f>
        <v>840</v>
      </c>
      <c r="G107" s="73"/>
      <c r="H107" s="197">
        <f>SUM(F107:F117)</f>
        <v>15047.333333333334</v>
      </c>
      <c r="I107" s="198">
        <f>H107/B100</f>
        <v>537.40476190476193</v>
      </c>
      <c r="J107" s="99"/>
    </row>
    <row r="108" spans="1:12">
      <c r="A108" s="74" t="str">
        <f>НОМ!$A$31</f>
        <v>Паштет печеночный</v>
      </c>
      <c r="B108" s="76">
        <v>0.02</v>
      </c>
      <c r="C108" s="76">
        <f>B108*$B$100</f>
        <v>0.56000000000000005</v>
      </c>
      <c r="D108" s="77"/>
      <c r="E108" s="78">
        <f>VLOOKUP(A108,НОМ!$A$3:$I$89,9,FALSE)/VLOOKUP(A108,НОМ!$A$3:$I$89,6,FALSE)*C108</f>
        <v>122.80701754385964</v>
      </c>
      <c r="F108" s="79">
        <f>IF(G108&lt;1,1000*МЕНЮ!C108*(1-G108),1000*МЕНЮ!C108+G108*$B$100)</f>
        <v>560</v>
      </c>
      <c r="G108" s="73"/>
      <c r="H108" s="197"/>
      <c r="I108" s="198"/>
      <c r="J108" s="99"/>
    </row>
    <row r="109" spans="1:12">
      <c r="A109" s="74" t="str">
        <f>НОМ!$A$51</f>
        <v>Сыр плавленый</v>
      </c>
      <c r="B109" s="76">
        <v>1.4999999999999999E-2</v>
      </c>
      <c r="C109" s="76">
        <f t="shared" si="6"/>
        <v>0.42</v>
      </c>
      <c r="D109" s="77"/>
      <c r="E109" s="78">
        <f>VLOOKUP(A109,НОМ!$A$3:$I$89,9,FALSE)/VLOOKUP(A109,НОМ!$A$3:$I$89,6,FALSE)*C109</f>
        <v>98.245614035087712</v>
      </c>
      <c r="F109" s="79">
        <f>IF(G109&lt;1,1000*МЕНЮ!C109*(1-G109),1000*МЕНЮ!C109+G109*$B$100)</f>
        <v>420</v>
      </c>
      <c r="G109" s="73"/>
      <c r="H109" s="197"/>
      <c r="I109" s="198"/>
      <c r="J109" s="99"/>
    </row>
    <row r="110" spans="1:12">
      <c r="A110" s="74" t="str">
        <f>НОМ!$A$26</f>
        <v>Масло сливочное</v>
      </c>
      <c r="B110" s="76">
        <v>0.01</v>
      </c>
      <c r="C110" s="76">
        <f t="shared" si="6"/>
        <v>0.28000000000000003</v>
      </c>
      <c r="D110" s="77"/>
      <c r="E110" s="78">
        <f>VLOOKUP(A110,НОМ!$A$3:$I$89,9,FALSE)/VLOOKUP(A110,НОМ!$A$3:$I$89,6,FALSE)*C110</f>
        <v>88.421052631578945</v>
      </c>
      <c r="F110" s="79">
        <f>IF(G110&lt;1,1000*МЕНЮ!C110*(1-G110),1000*МЕНЮ!C110+G110*$B$100)</f>
        <v>280</v>
      </c>
      <c r="G110" s="73"/>
      <c r="H110" s="197"/>
      <c r="I110" s="198"/>
      <c r="J110" s="99"/>
    </row>
    <row r="111" spans="1:12">
      <c r="A111" s="74" t="str">
        <f>НОМ!$A$50</f>
        <v>Сыр твердый</v>
      </c>
      <c r="B111" s="76">
        <v>1.4999999999999999E-2</v>
      </c>
      <c r="C111" s="76">
        <f t="shared" si="6"/>
        <v>0.42</v>
      </c>
      <c r="D111" s="77"/>
      <c r="E111" s="78">
        <f>VLOOKUP(A111,НОМ!$A$3:$I$89,9,FALSE)/VLOOKUP(A111,НОМ!$A$3:$I$89,6,FALSE)*C111</f>
        <v>176.84210526315789</v>
      </c>
      <c r="F111" s="79">
        <f>IF(G111&lt;1,1000*МЕНЮ!C111*(1-G111),1000*МЕНЮ!C111+G111*$B$100)</f>
        <v>420</v>
      </c>
      <c r="G111" s="73"/>
      <c r="H111" s="197"/>
      <c r="I111" s="198"/>
      <c r="J111" s="99"/>
    </row>
    <row r="112" spans="1:12">
      <c r="A112" s="74" t="str">
        <f>НОМ!$A$55</f>
        <v>Хлеб - батон в нарезке</v>
      </c>
      <c r="B112" s="75">
        <f>VLOOKUP(A112,НОМ!$A$1:$I$70,3,FALSE)*3.5/1000</f>
        <v>7.3499999999999996E-2</v>
      </c>
      <c r="C112" s="76">
        <f t="shared" si="6"/>
        <v>2.0579999999999998</v>
      </c>
      <c r="D112" s="77"/>
      <c r="E112" s="78">
        <f>VLOOKUP(A112,НОМ!$A$3:$I$89,9,FALSE)/VLOOKUP(A112,НОМ!$A$3:$I$89,6,FALSE)*C112</f>
        <v>122.80701754385964</v>
      </c>
      <c r="F112" s="79">
        <f>IF(G112&lt;1,1000*МЕНЮ!C112*(1-G112),1000*МЕНЮ!C112+G112*$B$100)</f>
        <v>2058</v>
      </c>
      <c r="G112" s="73"/>
      <c r="H112" s="197"/>
      <c r="I112" s="198"/>
      <c r="J112" s="99"/>
    </row>
    <row r="113" spans="1:12">
      <c r="A113" s="80" t="str">
        <f>НОМ!$A$58</f>
        <v>Чай черный в пактиках</v>
      </c>
      <c r="B113" s="81">
        <f>VLOOKUP(A113,НОМ!$A$1:$I$70,3,FALSE)*1/1000</f>
        <v>2E-3</v>
      </c>
      <c r="C113" s="81">
        <f t="shared" si="6"/>
        <v>5.6000000000000001E-2</v>
      </c>
      <c r="D113" s="82"/>
      <c r="E113" s="83">
        <f>VLOOKUP(A113,НОМ!$A$3:$I$89,9,FALSE)/VLOOKUP(A113,НОМ!$A$3:$I$89,6,FALSE)*C113</f>
        <v>58.94736842105263</v>
      </c>
      <c r="F113" s="84">
        <f>IF(G113&lt;1,1000*МЕНЮ!C113*(1-G113),1000*МЕНЮ!C113+G113*$B$100)</f>
        <v>2856</v>
      </c>
      <c r="G113" s="73">
        <v>100</v>
      </c>
      <c r="H113" s="197"/>
      <c r="I113" s="198"/>
      <c r="J113" s="99"/>
    </row>
    <row r="114" spans="1:12">
      <c r="A114" s="100" t="str">
        <f>НОМ!$A$6</f>
        <v>Какао</v>
      </c>
      <c r="B114" s="81">
        <f>0.01</f>
        <v>0.01</v>
      </c>
      <c r="C114" s="81">
        <f t="shared" si="6"/>
        <v>0.28000000000000003</v>
      </c>
      <c r="D114" s="82"/>
      <c r="E114" s="83">
        <f>VLOOKUP(A114,НОМ!$A$3:$I$89,9,FALSE)/VLOOKUP(A114,НОМ!$A$3:$I$89,6,FALSE)*C114</f>
        <v>58.94736842105263</v>
      </c>
      <c r="F114" s="84">
        <f>IF(G114&lt;1,1000*МЕНЮ!C114*(1-G114),1000*МЕНЮ!C114+G114*$B$100)</f>
        <v>3080</v>
      </c>
      <c r="G114" s="73">
        <v>100</v>
      </c>
      <c r="H114" s="197"/>
      <c r="I114" s="198"/>
      <c r="J114" s="99"/>
    </row>
    <row r="115" spans="1:12">
      <c r="A115" s="80" t="str">
        <f>НОМ!$A$14</f>
        <v>Кофе сублимированный</v>
      </c>
      <c r="B115" s="81">
        <f>0.01</f>
        <v>0.01</v>
      </c>
      <c r="C115" s="81">
        <f t="shared" si="6"/>
        <v>0.28000000000000003</v>
      </c>
      <c r="D115" s="82"/>
      <c r="E115" s="83">
        <f>VLOOKUP(A115,НОМ!$A$3:$I$89,9,FALSE)/VLOOKUP(A115,НОМ!$A$3:$I$89,6,FALSE)*C115</f>
        <v>245.61403508771929</v>
      </c>
      <c r="F115" s="84">
        <f>IF(G115&lt;1,1000*МЕНЮ!C115*(1-G115),1000*МЕНЮ!C115+G115*$B$100)</f>
        <v>3080</v>
      </c>
      <c r="G115" s="73">
        <v>100</v>
      </c>
      <c r="H115" s="197"/>
      <c r="I115" s="198"/>
      <c r="J115" s="99"/>
    </row>
    <row r="116" spans="1:12">
      <c r="A116" s="74" t="str">
        <f>НОМ!$A$40</f>
        <v>Сгущенное молоко</v>
      </c>
      <c r="B116" s="76">
        <v>0.04</v>
      </c>
      <c r="C116" s="76">
        <f t="shared" si="6"/>
        <v>1.1200000000000001</v>
      </c>
      <c r="D116" s="77"/>
      <c r="E116" s="78">
        <f>VLOOKUP(A116,НОМ!$A$3:$I$89,9,FALSE)/VLOOKUP(A116,НОМ!$A$3:$I$89,6,FALSE)*C116</f>
        <v>176.84210526315789</v>
      </c>
      <c r="F116" s="79">
        <f>IF(G116&lt;1,1000*МЕНЮ!C116*(1-G116),1000*МЕНЮ!C116+G116*$B$100)</f>
        <v>1120</v>
      </c>
      <c r="G116" s="73"/>
      <c r="H116" s="197"/>
      <c r="I116" s="198"/>
      <c r="J116" s="99"/>
    </row>
    <row r="117" spans="1:12">
      <c r="A117" s="74" t="str">
        <f>НОМ!$A$39</f>
        <v>Сахар рафинад</v>
      </c>
      <c r="B117" s="76">
        <f>1000/168*2/1000</f>
        <v>1.1904761904761906E-2</v>
      </c>
      <c r="C117" s="76">
        <f t="shared" si="6"/>
        <v>0.33333333333333337</v>
      </c>
      <c r="D117" s="77"/>
      <c r="E117" s="78">
        <f>VLOOKUP(A117,НОМ!$A$3:$I$89,9,FALSE)/VLOOKUP(A117,НОМ!$A$3:$I$89,6,FALSE)*C117</f>
        <v>0</v>
      </c>
      <c r="F117" s="79">
        <f>IF(G117&lt;1,1000*МЕНЮ!C117*(1-G117),1000*МЕНЮ!C117+G117*$B$100)</f>
        <v>333.33333333333337</v>
      </c>
      <c r="G117" s="73"/>
      <c r="H117" s="197"/>
      <c r="I117" s="198"/>
      <c r="J117" s="99"/>
    </row>
    <row r="118" spans="1:12">
      <c r="A118" s="89" t="s">
        <v>46</v>
      </c>
      <c r="B118" s="89"/>
      <c r="C118" s="89"/>
      <c r="D118" s="89"/>
      <c r="E118" s="90">
        <f>SUM(E102:E117)</f>
        <v>2659.7826254136498</v>
      </c>
      <c r="F118" s="91">
        <f>SUM(F102:F117)</f>
        <v>18827.333333333332</v>
      </c>
      <c r="G118" s="92"/>
      <c r="H118" s="196">
        <f>F118/B100</f>
        <v>672.40476190476181</v>
      </c>
      <c r="I118" s="196"/>
    </row>
    <row r="120" spans="1:12" ht="12.75" customHeight="1">
      <c r="A120" s="193" t="s">
        <v>165</v>
      </c>
      <c r="B120" s="193"/>
      <c r="C120" s="193"/>
      <c r="D120" s="193"/>
      <c r="E120" s="193"/>
      <c r="F120" s="193"/>
      <c r="G120" s="63"/>
    </row>
    <row r="121" spans="1:12">
      <c r="A121" s="64" t="s">
        <v>47</v>
      </c>
      <c r="B121" s="65">
        <f>РАСЧЕТЫ!L36</f>
        <v>26</v>
      </c>
      <c r="C121" s="66" t="s">
        <v>39</v>
      </c>
      <c r="D121" s="66"/>
      <c r="E121" s="67"/>
      <c r="F121" s="68"/>
    </row>
    <row r="122" spans="1:12">
      <c r="A122" s="5" t="s">
        <v>40</v>
      </c>
      <c r="B122" s="69" t="s">
        <v>41</v>
      </c>
      <c r="C122" s="5" t="s">
        <v>42</v>
      </c>
      <c r="D122" s="5"/>
      <c r="E122" s="70" t="s">
        <v>43</v>
      </c>
      <c r="F122" s="5" t="s">
        <v>44</v>
      </c>
      <c r="G122" s="71"/>
    </row>
    <row r="123" spans="1:12" ht="12.75" customHeight="1">
      <c r="A123" s="148" t="str">
        <f>НОМ!$A$15</f>
        <v>Крабовые палочки  VICI</v>
      </c>
      <c r="B123" s="149">
        <f>ROUND(VLOOKUP(A123,НОМ!$A$3:$I$70,3,FALSE)/1000/5,3)</f>
        <v>0.04</v>
      </c>
      <c r="C123" s="149">
        <f t="shared" ref="C123:C142" si="7">B123*$B$121</f>
        <v>1.04</v>
      </c>
      <c r="D123" s="150"/>
      <c r="E123" s="151">
        <f>VLOOKUP(A123,НОМ!$A$3:$I$89,9,FALSE)/VLOOKUP(A123,НОМ!$A$3:$I$89,6,FALSE)*C123</f>
        <v>300</v>
      </c>
      <c r="F123" s="152">
        <f>IF(G123&lt;1,1000*МЕНЮ!C123*(1-G123),1000*МЕНЮ!C123+G123*$B$3)</f>
        <v>1040</v>
      </c>
      <c r="G123" s="73"/>
      <c r="H123" s="199">
        <f>SUM(F123:F128)</f>
        <v>3926</v>
      </c>
      <c r="I123" s="200">
        <f>H123/B121</f>
        <v>151</v>
      </c>
      <c r="K123" s="178">
        <f>ROUND(C123*1000/VLOOKUP(A123,НОМ!$A$3:$I$70,3,FALSE),1)</f>
        <v>5.2</v>
      </c>
      <c r="L123" s="176" t="s">
        <v>228</v>
      </c>
    </row>
    <row r="124" spans="1:12">
      <c r="A124" s="148" t="str">
        <f>НОМ!$A$30</f>
        <v>Огурцы коротоплодные свежие</v>
      </c>
      <c r="B124" s="149">
        <f>ROUND(VLOOKUP(A124,НОМ!$A$3:$I$70,3,FALSE)/1000/3,3)</f>
        <v>3.3000000000000002E-2</v>
      </c>
      <c r="C124" s="149">
        <f t="shared" si="7"/>
        <v>0.8580000000000001</v>
      </c>
      <c r="D124" s="150"/>
      <c r="E124" s="151">
        <f>VLOOKUP(A124,НОМ!$A$3:$I$89,9,FALSE)/VLOOKUP(A124,НОМ!$A$3:$I$89,6,FALSE)*C124</f>
        <v>140.90212393255968</v>
      </c>
      <c r="F124" s="152">
        <f>IF(G124&lt;1,1000*МЕНЮ!C124*(1-G124),1000*МЕНЮ!C124+G124*$B$3)</f>
        <v>858.00000000000011</v>
      </c>
      <c r="G124" s="73"/>
      <c r="H124" s="199"/>
      <c r="I124" s="200"/>
      <c r="K124" s="178">
        <f>ROUND(C124*1000/VLOOKUP(A124,НОМ!$A$3:$I$70,3,FALSE),1)</f>
        <v>8.6</v>
      </c>
      <c r="L124" s="176" t="s">
        <v>211</v>
      </c>
    </row>
    <row r="125" spans="1:12">
      <c r="A125" s="148" t="str">
        <f>НОМ!$A$16</f>
        <v>Кукуруза консервированная</v>
      </c>
      <c r="B125" s="149">
        <f>ROUND(VLOOKUP(A125,НОМ!$A$3:$I$70,3,FALSE)/1000/20,3)</f>
        <v>1.2999999999999999E-2</v>
      </c>
      <c r="C125" s="149">
        <f t="shared" si="7"/>
        <v>0.33799999999999997</v>
      </c>
      <c r="D125" s="150"/>
      <c r="E125" s="151">
        <f>VLOOKUP(A125,НОМ!$A$3:$I$89,9,FALSE)/VLOOKUP(A125,НОМ!$A$3:$I$89,6,FALSE)*C125</f>
        <v>45</v>
      </c>
      <c r="F125" s="152">
        <f>IF(G125&lt;1,1000*МЕНЮ!C125*(1-G125),1000*МЕНЮ!C125+G125*$B$3)</f>
        <v>337.99999999999994</v>
      </c>
      <c r="G125" s="73"/>
      <c r="H125" s="199"/>
      <c r="I125" s="200"/>
      <c r="K125" s="178">
        <f>ROUND(C125*1000/VLOOKUP(A125,НОМ!$A$3:$I$70,3,FALSE),1)</f>
        <v>1.3</v>
      </c>
      <c r="L125" s="176" t="s">
        <v>221</v>
      </c>
    </row>
    <row r="126" spans="1:12">
      <c r="A126" s="148" t="str">
        <f>НОМ!$A$65</f>
        <v>Яйцо куриное</v>
      </c>
      <c r="B126" s="149">
        <f>ROUND(VLOOKUP(A126,НОМ!$A$3:$I$70,3,FALSE)/1000/3*2,3)</f>
        <v>3.6999999999999998E-2</v>
      </c>
      <c r="C126" s="149">
        <f t="shared" si="7"/>
        <v>0.96199999999999997</v>
      </c>
      <c r="D126" s="150"/>
      <c r="E126" s="151">
        <f>VLOOKUP(A126,НОМ!$A$3:$I$89,9,FALSE)/VLOOKUP(A126,НОМ!$A$3:$I$89,6,FALSE)*C126</f>
        <v>95.563724243195111</v>
      </c>
      <c r="F126" s="152">
        <f>IF(G126&lt;1,1000*МЕНЮ!C126*(1-G126),1000*МЕНЮ!C126+G126*$B$3)</f>
        <v>962</v>
      </c>
      <c r="G126" s="73"/>
      <c r="H126" s="199"/>
      <c r="I126" s="200"/>
      <c r="K126" s="178">
        <f>ROUND(C126*1000/VLOOKUP(A126,НОМ!$A$3:$I$70,3,FALSE),1)</f>
        <v>17.5</v>
      </c>
      <c r="L126" s="176" t="s">
        <v>198</v>
      </c>
    </row>
    <row r="127" spans="1:12">
      <c r="A127" s="148" t="str">
        <f>НОМ!$A$25</f>
        <v>Майонез "Провансаль"</v>
      </c>
      <c r="B127" s="149">
        <v>2.5000000000000001E-2</v>
      </c>
      <c r="C127" s="149">
        <f t="shared" si="7"/>
        <v>0.65</v>
      </c>
      <c r="D127" s="150"/>
      <c r="E127" s="151">
        <f>VLOOKUP(A127,НОМ!$A$3:$I$89,9,FALSE)/VLOOKUP(A127,НОМ!$A$3:$I$89,6,FALSE)*C127</f>
        <v>78.901734104046241</v>
      </c>
      <c r="F127" s="152">
        <f>IF(G127&lt;1,1000*МЕНЮ!C127*(1-G127),1000*МЕНЮ!C127+G127*$B$3)</f>
        <v>650</v>
      </c>
      <c r="G127" s="73"/>
      <c r="H127" s="199"/>
      <c r="I127" s="200"/>
    </row>
    <row r="128" spans="1:12" ht="12.75" customHeight="1">
      <c r="A128" s="148" t="str">
        <f>НОМ!$A$5</f>
        <v>Зелень свежая</v>
      </c>
      <c r="B128" s="149">
        <v>3.0000000000000001E-3</v>
      </c>
      <c r="C128" s="149">
        <f t="shared" si="7"/>
        <v>7.8E-2</v>
      </c>
      <c r="D128" s="150"/>
      <c r="E128" s="151">
        <f>VLOOKUP(A128,НОМ!$A$3:$I$89,9,FALSE)/VLOOKUP(A128,НОМ!$A$3:$I$89,6,FALSE)*C128</f>
        <v>30.333333333333336</v>
      </c>
      <c r="F128" s="152">
        <f>IF(G128&lt;1,1000*МЕНЮ!C128*(1-G128),1000*МЕНЮ!C128+G128*$B$3)</f>
        <v>78</v>
      </c>
      <c r="G128" s="73"/>
      <c r="H128" s="199"/>
      <c r="I128" s="200"/>
      <c r="K128" s="179">
        <f>ROUND(C128*1000/VLOOKUP(A128,НОМ!$A$3:$I$70,3,FALSE),1)</f>
        <v>1.6</v>
      </c>
      <c r="L128" s="176" t="s">
        <v>242</v>
      </c>
    </row>
    <row r="129" spans="1:12" ht="12.75" customHeight="1">
      <c r="A129" s="101" t="str">
        <f>НОМ!A17</f>
        <v>Куриные грудки, замароженные</v>
      </c>
      <c r="B129" s="102">
        <f>ROUND(VLOOKUP(A129,НОМ!$A$3:$I$70,3,FALSE)/1000/8,3)</f>
        <v>6.3E-2</v>
      </c>
      <c r="C129" s="102">
        <f t="shared" si="7"/>
        <v>1.6379999999999999</v>
      </c>
      <c r="D129" s="103"/>
      <c r="E129" s="104">
        <f>VLOOKUP(A129,НОМ!$A$3:$I$89,9,FALSE)/VLOOKUP(A129,НОМ!$A$3:$I$89,6,FALSE)*C129</f>
        <v>241.52815013404822</v>
      </c>
      <c r="F129" s="105">
        <f>IF(G129&lt;1,1000*МЕНЮ!C129*(1-G129),1000*МЕНЮ!C129+G129*$B$3)</f>
        <v>2838</v>
      </c>
      <c r="G129" s="73">
        <v>150</v>
      </c>
      <c r="H129" s="194">
        <f>SUM(F129:F132)</f>
        <v>4918</v>
      </c>
      <c r="I129" s="195">
        <f>H129/B121</f>
        <v>189.15384615384616</v>
      </c>
      <c r="K129" s="179">
        <f>ROUND(C129*1000/VLOOKUP(A129,НОМ!$A$3:$I$70,3,FALSE),1)</f>
        <v>3.3</v>
      </c>
      <c r="L129" s="176" t="s">
        <v>197</v>
      </c>
    </row>
    <row r="130" spans="1:12">
      <c r="A130" s="101" t="str">
        <f>НОМ!A9</f>
        <v>Картофель свежий</v>
      </c>
      <c r="B130" s="102">
        <f>ROUND(VLOOKUP(A130,НОМ!$A$3:$I$70,3,FALSE)/1000/2,3)</f>
        <v>0.06</v>
      </c>
      <c r="C130" s="102">
        <f t="shared" si="7"/>
        <v>1.56</v>
      </c>
      <c r="D130" s="103"/>
      <c r="E130" s="104">
        <f>VLOOKUP(A130,НОМ!$A$3:$I$89,9,FALSE)/VLOOKUP(A130,НОМ!$A$3:$I$89,6,FALSE)*C130</f>
        <v>41.409266409266408</v>
      </c>
      <c r="F130" s="105">
        <f>IF(G130&lt;1,1000*МЕНЮ!C130*(1-G130),1000*МЕНЮ!C130+G130*$B$3)</f>
        <v>1560</v>
      </c>
      <c r="G130" s="72"/>
      <c r="H130" s="194"/>
      <c r="I130" s="195"/>
      <c r="K130" s="178">
        <f>ROUND(C130*1000/VLOOKUP(A130,НОМ!$A$3:$I$70,3,FALSE),1)</f>
        <v>13</v>
      </c>
      <c r="L130" s="176" t="s">
        <v>212</v>
      </c>
    </row>
    <row r="131" spans="1:12">
      <c r="A131" s="101" t="str">
        <f>НОМ!A22</f>
        <v>Лук репчатый</v>
      </c>
      <c r="B131" s="102">
        <f>ROUND(VLOOKUP(A131,НОМ!$A$3:$I$70,3,FALSE)/1000/10,3)</f>
        <v>0.01</v>
      </c>
      <c r="C131" s="102">
        <f t="shared" si="7"/>
        <v>0.26</v>
      </c>
      <c r="D131" s="103"/>
      <c r="E131" s="104">
        <f>VLOOKUP(A131,НОМ!$A$3:$I$89,9,FALSE)/VLOOKUP(A131,НОМ!$A$3:$I$89,6,FALSE)*C131</f>
        <v>9.2285849503076207</v>
      </c>
      <c r="F131" s="105">
        <f>IF(G131&lt;1,1000*МЕНЮ!C131*(1-G131),1000*МЕНЮ!C131+G131*$B$3)</f>
        <v>260</v>
      </c>
      <c r="G131" s="72"/>
      <c r="H131" s="194"/>
      <c r="I131" s="195"/>
      <c r="K131" s="178">
        <f>ROUND(C131*1000/VLOOKUP(A131,НОМ!$A$3:$I$70,3,FALSE),1)</f>
        <v>2.6</v>
      </c>
      <c r="L131" s="176" t="s">
        <v>202</v>
      </c>
    </row>
    <row r="132" spans="1:12">
      <c r="A132" s="101" t="str">
        <f>НОМ!A37</f>
        <v>Рис длиннозерный пропаренный</v>
      </c>
      <c r="B132" s="102">
        <v>0.01</v>
      </c>
      <c r="C132" s="102">
        <f t="shared" si="7"/>
        <v>0.26</v>
      </c>
      <c r="D132" s="103"/>
      <c r="E132" s="104">
        <f>VLOOKUP(A132,НОМ!$A$3:$I$89,9,FALSE)/VLOOKUP(A132,НОМ!$A$3:$I$89,6,FALSE)*C132</f>
        <v>17.142857142857142</v>
      </c>
      <c r="F132" s="105">
        <f>IF(G132&lt;1,1000*МЕНЮ!C132*(1-G132),1000*МЕНЮ!C132+G132*$B$3)</f>
        <v>260</v>
      </c>
      <c r="G132" s="73"/>
      <c r="H132" s="194"/>
      <c r="I132" s="195"/>
    </row>
    <row r="133" spans="1:12" ht="12.75" customHeight="1">
      <c r="A133" s="153" t="str">
        <f>НОМ!$A$37</f>
        <v>Рис длиннозерный пропаренный</v>
      </c>
      <c r="B133" s="154">
        <v>0.06</v>
      </c>
      <c r="C133" s="154">
        <f t="shared" si="7"/>
        <v>1.56</v>
      </c>
      <c r="D133" s="155"/>
      <c r="E133" s="156">
        <f>VLOOKUP(A133,НОМ!$A$3:$I$89,9,FALSE)/VLOOKUP(A133,НОМ!$A$3:$I$89,6,FALSE)*C133</f>
        <v>102.85714285714285</v>
      </c>
      <c r="F133" s="157">
        <f>IF(G133&lt;1,1000*МЕНЮ!C133*(1-G133),1000*МЕНЮ!C133+G133*$B$3)</f>
        <v>3160</v>
      </c>
      <c r="G133" s="111">
        <v>200</v>
      </c>
      <c r="H133" s="199">
        <f>SUM(F133:F138)</f>
        <v>5279</v>
      </c>
      <c r="I133" s="200">
        <f>H133/B121</f>
        <v>203.03846153846155</v>
      </c>
    </row>
    <row r="134" spans="1:12" ht="12.75" customHeight="1">
      <c r="A134" s="153" t="str">
        <f>НОМ!$A$29</f>
        <v>Морковь свежая</v>
      </c>
      <c r="B134" s="154">
        <f>ROUND(VLOOKUP(A134,НОМ!$A$3:$I$70,3,FALSE)/1000/10,3)</f>
        <v>0.01</v>
      </c>
      <c r="C134" s="154">
        <f t="shared" si="7"/>
        <v>0.26</v>
      </c>
      <c r="D134" s="155"/>
      <c r="E134" s="156">
        <f>VLOOKUP(A134,НОМ!$A$3:$I$89,9,FALSE)/VLOOKUP(A134,НОМ!$A$3:$I$89,6,FALSE)*C134</f>
        <v>12.580645161290324</v>
      </c>
      <c r="F134" s="157">
        <f>IF(G134&lt;1,1000*МЕНЮ!C134*(1-G134),1000*МЕНЮ!C134+G134*$B$3)</f>
        <v>169</v>
      </c>
      <c r="G134" s="72">
        <v>0.35</v>
      </c>
      <c r="H134" s="199"/>
      <c r="I134" s="200"/>
      <c r="K134" s="178">
        <f>ROUND(C134*1000/VLOOKUP(A134,НОМ!$A$3:$I$70,3,FALSE),1)</f>
        <v>2.6</v>
      </c>
      <c r="L134" s="176" t="s">
        <v>215</v>
      </c>
    </row>
    <row r="135" spans="1:12" ht="12.75" customHeight="1">
      <c r="A135" s="153" t="str">
        <f>НОМ!$A$22</f>
        <v>Лук репчатый</v>
      </c>
      <c r="B135" s="154">
        <f>ROUND(VLOOKUP(A135,НОМ!$A$3:$I$70,3,FALSE)/1000/10,3)</f>
        <v>0.01</v>
      </c>
      <c r="C135" s="154">
        <f t="shared" si="7"/>
        <v>0.26</v>
      </c>
      <c r="D135" s="155"/>
      <c r="E135" s="156">
        <f>VLOOKUP(A135,НОМ!$A$3:$I$89,9,FALSE)/VLOOKUP(A135,НОМ!$A$3:$I$89,6,FALSE)*C135</f>
        <v>9.2285849503076207</v>
      </c>
      <c r="F135" s="157">
        <f>IF(G135&lt;1,1000*МЕНЮ!C135*(1-G135),1000*МЕНЮ!C135+G135*$B$3)</f>
        <v>169</v>
      </c>
      <c r="G135" s="72">
        <v>0.35</v>
      </c>
      <c r="H135" s="199"/>
      <c r="I135" s="200"/>
      <c r="K135" s="178">
        <f>ROUND(C135*1000/VLOOKUP(A135,НОМ!$A$3:$I$70,3,FALSE),1)</f>
        <v>2.6</v>
      </c>
      <c r="L135" s="176" t="s">
        <v>202</v>
      </c>
    </row>
    <row r="136" spans="1:12">
      <c r="A136" s="153" t="str">
        <f>НОМ!$A$34</f>
        <v>Томаты свежие</v>
      </c>
      <c r="B136" s="154">
        <f>ROUND(VLOOKUP(A136,НОМ!$A$3:$I$70,3,FALSE)/1000/10,3)</f>
        <v>0.02</v>
      </c>
      <c r="C136" s="154">
        <f t="shared" si="7"/>
        <v>0.52</v>
      </c>
      <c r="D136" s="155"/>
      <c r="E136" s="156">
        <f>VLOOKUP(A136,НОМ!$A$3:$I$89,9,FALSE)/VLOOKUP(A136,НОМ!$A$3:$I$89,6,FALSE)*C136</f>
        <v>72.688172043010752</v>
      </c>
      <c r="F136" s="157">
        <f>IF(G136&lt;1,1000*МЕНЮ!C136*(1-G136),1000*МЕНЮ!C136+G136*$B$3)</f>
        <v>338</v>
      </c>
      <c r="G136" s="72">
        <v>0.35</v>
      </c>
      <c r="H136" s="199"/>
      <c r="I136" s="200"/>
      <c r="K136" s="178">
        <f>ROUND(C136*1000/VLOOKUP(A136,НОМ!$A$3:$I$70,3,FALSE),1)</f>
        <v>2.6</v>
      </c>
      <c r="L136" s="176" t="s">
        <v>220</v>
      </c>
    </row>
    <row r="137" spans="1:12">
      <c r="A137" s="153" t="str">
        <f>НОМ!$A$4</f>
        <v>Грибы белые, черные, сухие</v>
      </c>
      <c r="B137" s="154">
        <v>3.0000000000000001E-3</v>
      </c>
      <c r="C137" s="154">
        <f t="shared" si="7"/>
        <v>7.8E-2</v>
      </c>
      <c r="D137" s="155"/>
      <c r="E137" s="156">
        <f>VLOOKUP(A137,НОМ!$A$3:$I$89,9,FALSE)/VLOOKUP(A137,НОМ!$A$3:$I$89,6,FALSE)*C137</f>
        <v>0</v>
      </c>
      <c r="F137" s="157">
        <f>IF(G137&lt;1,1000*МЕНЮ!C137*(1-G137),1000*МЕНЮ!C137+G137*$B$3)</f>
        <v>78</v>
      </c>
      <c r="G137" s="72"/>
      <c r="H137" s="199"/>
      <c r="I137" s="200"/>
    </row>
    <row r="138" spans="1:12">
      <c r="A138" s="153" t="str">
        <f>НОМ!$A$60</f>
        <v>Мясо - свинина ребрышки</v>
      </c>
      <c r="B138" s="154">
        <v>7.4999999999999997E-2</v>
      </c>
      <c r="C138" s="154">
        <f t="shared" si="7"/>
        <v>1.95</v>
      </c>
      <c r="D138" s="155"/>
      <c r="E138" s="156">
        <f>VLOOKUP(A138,НОМ!$A$3:$I$89,9,FALSE)/VLOOKUP(A138,НОМ!$A$3:$I$89,6,FALSE)*C138</f>
        <v>393.10344827586198</v>
      </c>
      <c r="F138" s="157">
        <f>IF(G138&lt;1,1000*МЕНЮ!C138*(1-G138),1000*МЕНЮ!C138+G138*$B$3)</f>
        <v>1365</v>
      </c>
      <c r="G138" s="72">
        <v>0.3</v>
      </c>
      <c r="H138" s="199"/>
      <c r="I138" s="200"/>
    </row>
    <row r="139" spans="1:12" ht="12.75" customHeight="1">
      <c r="A139" s="85" t="str">
        <f>НОМ!$A$56</f>
        <v>Хлеб - ржаной в нарезке</v>
      </c>
      <c r="B139" s="75">
        <f>VLOOKUP(A139,НОМ!$A$1:$I$70,3,FALSE)*3/1000</f>
        <v>7.4999999999999997E-2</v>
      </c>
      <c r="C139" s="75">
        <f t="shared" si="7"/>
        <v>1.95</v>
      </c>
      <c r="D139" s="86"/>
      <c r="E139" s="87">
        <f>VLOOKUP(A139,НОМ!$A$3:$I$89,9,FALSE)/VLOOKUP(A139,НОМ!$A$3:$I$89,6,FALSE)*C139</f>
        <v>73.033707865168537</v>
      </c>
      <c r="F139" s="88">
        <f>IF(G139&lt;1,1000*МЕНЮ!C139*(1-G139),1000*МЕНЮ!C139+G139*$B$3)</f>
        <v>1950</v>
      </c>
      <c r="G139" s="73"/>
      <c r="H139" s="202">
        <f>SUM(F139:F142)</f>
        <v>6982</v>
      </c>
      <c r="I139" s="201">
        <f>H139/B121</f>
        <v>268.53846153846155</v>
      </c>
    </row>
    <row r="140" spans="1:12">
      <c r="A140" s="168" t="str">
        <f>НОМ!$A$57</f>
        <v>Чай черный крупнолистовой</v>
      </c>
      <c r="B140" s="169">
        <f>0.002</f>
        <v>2E-3</v>
      </c>
      <c r="C140" s="169">
        <f t="shared" si="7"/>
        <v>5.2000000000000005E-2</v>
      </c>
      <c r="D140" s="170"/>
      <c r="E140" s="171">
        <f>VLOOKUP(A140,НОМ!$A$3:$I$89,9,FALSE)/VLOOKUP(A140,НОМ!$A$3:$I$89,6,FALSE)*C140</f>
        <v>36.279069767441861</v>
      </c>
      <c r="F140" s="172">
        <f>IF(G140&lt;1,1000*МЕНЮ!C140*(1-G140),1000*МЕНЮ!C140+G140*$B$3)</f>
        <v>1652</v>
      </c>
      <c r="G140" s="73">
        <v>200</v>
      </c>
      <c r="H140" s="202"/>
      <c r="I140" s="201"/>
    </row>
    <row r="141" spans="1:12">
      <c r="A141" s="85" t="str">
        <f>НОМ!$A$33</f>
        <v>Конд.изд. (ш.конф.печ.ваф.шок.и т.д.)</v>
      </c>
      <c r="B141" s="76">
        <v>0.03</v>
      </c>
      <c r="C141" s="75">
        <f t="shared" si="7"/>
        <v>0.78</v>
      </c>
      <c r="D141" s="86"/>
      <c r="E141" s="87">
        <f>VLOOKUP(A141,НОМ!$A$3:$I$89,9,FALSE)/VLOOKUP(A141,НОМ!$A$3:$I$89,6,FALSE)*C141</f>
        <v>196.51162790697677</v>
      </c>
      <c r="F141" s="88">
        <f>IF(G141&lt;1,1000*МЕНЮ!C141*(1-G141),1000*МЕНЮ!C141+G141*$B$3)</f>
        <v>780</v>
      </c>
      <c r="G141" s="73"/>
      <c r="H141" s="202"/>
      <c r="I141" s="201"/>
    </row>
    <row r="142" spans="1:12">
      <c r="A142" s="106" t="str">
        <f>НОМ!$A$27</f>
        <v>Миниральная вода</v>
      </c>
      <c r="B142" s="107">
        <v>0.1</v>
      </c>
      <c r="C142" s="107">
        <f t="shared" si="7"/>
        <v>2.6</v>
      </c>
      <c r="D142" s="108"/>
      <c r="E142" s="109">
        <f>VLOOKUP(A142,НОМ!$A$3:$I$89,9,FALSE)/VLOOKUP(A142,НОМ!$A$3:$I$89,6,FALSE)*C142</f>
        <v>51.147540983606554</v>
      </c>
      <c r="F142" s="110">
        <f>IF(G142&lt;1,1000*МЕНЮ!C142*(1-G142),1000*МЕНЮ!C142+G142*$B$3)</f>
        <v>2600</v>
      </c>
      <c r="G142" s="73"/>
      <c r="H142" s="202"/>
      <c r="I142" s="201"/>
    </row>
    <row r="143" spans="1:12">
      <c r="A143" s="89" t="s">
        <v>46</v>
      </c>
      <c r="B143" s="89"/>
      <c r="C143" s="89"/>
      <c r="D143" s="89"/>
      <c r="E143" s="90">
        <f>SUM(E123:E142)</f>
        <v>1947.439714060421</v>
      </c>
      <c r="F143" s="91">
        <f>SUM(F123:F142)</f>
        <v>21105</v>
      </c>
      <c r="G143" s="92"/>
      <c r="H143" s="196">
        <f>F143/B121</f>
        <v>811.73076923076928</v>
      </c>
      <c r="I143" s="196"/>
    </row>
    <row r="145" spans="1:12" ht="12.75" customHeight="1">
      <c r="A145" s="193" t="s">
        <v>165</v>
      </c>
      <c r="B145" s="193"/>
      <c r="C145" s="193"/>
      <c r="D145" s="193"/>
      <c r="E145" s="193"/>
      <c r="F145" s="193"/>
      <c r="G145" s="63"/>
    </row>
    <row r="146" spans="1:12">
      <c r="A146" s="64" t="s">
        <v>48</v>
      </c>
      <c r="B146" s="65">
        <f>РАСЧЕТЫ!M36</f>
        <v>21</v>
      </c>
      <c r="C146" s="66" t="s">
        <v>39</v>
      </c>
      <c r="D146" s="66"/>
      <c r="E146" s="67"/>
      <c r="F146" s="68"/>
    </row>
    <row r="147" spans="1:12">
      <c r="A147" s="5" t="s">
        <v>40</v>
      </c>
      <c r="B147" s="69" t="s">
        <v>41</v>
      </c>
      <c r="C147" s="5" t="s">
        <v>42</v>
      </c>
      <c r="D147" s="5"/>
      <c r="E147" s="70" t="s">
        <v>43</v>
      </c>
      <c r="F147" s="5" t="s">
        <v>44</v>
      </c>
      <c r="G147" s="71"/>
    </row>
    <row r="148" spans="1:12" ht="12.75" customHeight="1">
      <c r="A148" s="148" t="str">
        <f>НОМ!$A$30</f>
        <v>Огурцы коротоплодные свежие</v>
      </c>
      <c r="B148" s="149">
        <f>ROUND(VLOOKUP(A148,НОМ!$A$3:$I$70,3,FALSE)/1000/2,3)</f>
        <v>0.05</v>
      </c>
      <c r="C148" s="149">
        <f t="shared" ref="C148:C154" si="8">B148*$B$146</f>
        <v>1.05</v>
      </c>
      <c r="D148" s="150"/>
      <c r="E148" s="151">
        <f>VLOOKUP(A148,НОМ!$A$3:$I$89,9,FALSE)/VLOOKUP(A148,НОМ!$A$3:$I$89,6,FALSE)*C148</f>
        <v>172.43266914823735</v>
      </c>
      <c r="F148" s="152">
        <f>IF(G148&lt;1,1000*МЕНЮ!C148*(1-G148),1000*МЕНЮ!C148+G148*$B$73)</f>
        <v>1050</v>
      </c>
      <c r="G148" s="72"/>
      <c r="H148" s="194">
        <f>SUM(F148:F152)</f>
        <v>4053</v>
      </c>
      <c r="I148" s="195">
        <f>H148/B146</f>
        <v>193</v>
      </c>
      <c r="K148" s="178">
        <f>ROUND(C148*1000/VLOOKUP(A148,НОМ!$A$3:$I$70,3,FALSE),1)</f>
        <v>10.5</v>
      </c>
      <c r="L148" s="176" t="s">
        <v>211</v>
      </c>
    </row>
    <row r="149" spans="1:12">
      <c r="A149" s="148" t="str">
        <f>НОМ!$A$34</f>
        <v>Томаты свежие</v>
      </c>
      <c r="B149" s="149">
        <f>ROUND(VLOOKUP(A149,НОМ!$A$3:$I$70,3,FALSE)/1000/2,3)</f>
        <v>0.1</v>
      </c>
      <c r="C149" s="149">
        <f t="shared" si="8"/>
        <v>2.1</v>
      </c>
      <c r="D149" s="150"/>
      <c r="E149" s="151">
        <f>VLOOKUP(A149,НОМ!$A$3:$I$89,9,FALSE)/VLOOKUP(A149,НОМ!$A$3:$I$89,6,FALSE)*C149</f>
        <v>293.54838709677421</v>
      </c>
      <c r="F149" s="152">
        <f>IF(G149&lt;1,1000*МЕНЮ!C149*(1-G149),1000*МЕНЮ!C149+G149*$B$73)</f>
        <v>2100</v>
      </c>
      <c r="G149" s="73"/>
      <c r="H149" s="194"/>
      <c r="I149" s="195"/>
      <c r="K149" s="178">
        <f>ROUND(C149*1000/VLOOKUP(A149,НОМ!$A$3:$I$70,3,FALSE),1)</f>
        <v>10.5</v>
      </c>
      <c r="L149" s="176" t="s">
        <v>220</v>
      </c>
    </row>
    <row r="150" spans="1:12">
      <c r="A150" s="148" t="str">
        <f>НОМ!$A$35</f>
        <v>Перец болгарский, светофор</v>
      </c>
      <c r="B150" s="149">
        <f>ROUND(VLOOKUP(A150,НОМ!$A$3:$I$70,3,FALSE)/1000/8,3)</f>
        <v>1.4999999999999999E-2</v>
      </c>
      <c r="C150" s="149">
        <f t="shared" si="8"/>
        <v>0.315</v>
      </c>
      <c r="D150" s="150"/>
      <c r="E150" s="151">
        <f>VLOOKUP(A150,НОМ!$A$3:$I$89,9,FALSE)/VLOOKUP(A150,НОМ!$A$3:$I$89,6,FALSE)*C150</f>
        <v>36.477683956574189</v>
      </c>
      <c r="F150" s="152">
        <f>IF(G150&lt;1,1000*МЕНЮ!C150*(1-G150),1000*МЕНЮ!C150+G150*$B$73)</f>
        <v>315</v>
      </c>
      <c r="G150" s="72"/>
      <c r="H150" s="194"/>
      <c r="I150" s="195"/>
      <c r="K150" s="178">
        <f>ROUND(C150*1000/VLOOKUP(A150,НОМ!$A$3:$I$70,3,FALSE),1)</f>
        <v>2.6</v>
      </c>
      <c r="L150" s="176" t="s">
        <v>216</v>
      </c>
    </row>
    <row r="151" spans="1:12">
      <c r="A151" s="148" t="str">
        <f>НОМ!$A$5</f>
        <v>Зелень свежая</v>
      </c>
      <c r="B151" s="149">
        <v>3.0000000000000001E-3</v>
      </c>
      <c r="C151" s="149">
        <f t="shared" si="8"/>
        <v>6.3E-2</v>
      </c>
      <c r="D151" s="150"/>
      <c r="E151" s="151">
        <f>VLOOKUP(A151,НОМ!$A$3:$I$89,9,FALSE)/VLOOKUP(A151,НОМ!$A$3:$I$89,6,FALSE)*C151</f>
        <v>24.5</v>
      </c>
      <c r="F151" s="152">
        <f>IF(G151&lt;1,1000*МЕНЮ!C151*(1-G151),1000*МЕНЮ!C151+G151*$B$73)</f>
        <v>63</v>
      </c>
      <c r="G151" s="73"/>
      <c r="H151" s="194"/>
      <c r="I151" s="195"/>
      <c r="K151" s="179">
        <f>ROUND(C151*1000/VLOOKUP(A151,НОМ!$A$3:$I$70,3,FALSE),1)</f>
        <v>1.3</v>
      </c>
      <c r="L151" s="176" t="s">
        <v>242</v>
      </c>
    </row>
    <row r="152" spans="1:12">
      <c r="A152" s="148" t="str">
        <f>НОМ!$A$25</f>
        <v>Майонез "Провансаль"</v>
      </c>
      <c r="B152" s="149">
        <v>2.5000000000000001E-2</v>
      </c>
      <c r="C152" s="149">
        <f t="shared" si="8"/>
        <v>0.52500000000000002</v>
      </c>
      <c r="D152" s="150"/>
      <c r="E152" s="151">
        <f>VLOOKUP(A152,НОМ!$A$3:$I$89,9,FALSE)/VLOOKUP(A152,НОМ!$A$3:$I$89,6,FALSE)*C152</f>
        <v>63.728323699421971</v>
      </c>
      <c r="F152" s="152">
        <f>IF(G152&lt;1,1000*МЕНЮ!C152*(1-G152),1000*МЕНЮ!C152+G152*$B$73)</f>
        <v>525</v>
      </c>
      <c r="G152" s="73"/>
      <c r="H152" s="194"/>
      <c r="I152" s="195"/>
    </row>
    <row r="153" spans="1:12" ht="12.75" customHeight="1">
      <c r="A153" s="163" t="str">
        <f>НОМ!$A$59</f>
        <v>Мясо - свинина для шашлыка</v>
      </c>
      <c r="B153" s="164">
        <v>0.2</v>
      </c>
      <c r="C153" s="164">
        <f t="shared" si="8"/>
        <v>4.2</v>
      </c>
      <c r="D153" s="165"/>
      <c r="E153" s="166">
        <f>VLOOKUP(A153,НОМ!$A$3:$I$89,9,FALSE)/VLOOKUP(A153,НОМ!$A$3:$I$89,6,FALSE)*C153</f>
        <v>1050</v>
      </c>
      <c r="F153" s="167">
        <f>IF(G153&lt;1,1000*МЕНЮ!C153*(1-G153),1000*МЕНЮ!C153+G153*$B$220)</f>
        <v>2520</v>
      </c>
      <c r="G153" s="72">
        <v>0.4</v>
      </c>
      <c r="H153" s="194">
        <f>SUM(F153:F160)</f>
        <v>6048.42</v>
      </c>
      <c r="I153" s="195">
        <f>H153/B146</f>
        <v>288.02</v>
      </c>
    </row>
    <row r="154" spans="1:12" ht="12.75" customHeight="1">
      <c r="A154" s="163" t="str">
        <f>НОМ!A22</f>
        <v>Лук репчатый</v>
      </c>
      <c r="B154" s="164">
        <f>ROUND(VLOOKUP(A154,НОМ!$A$3:$I$70,3,FALSE)/1000/3,3)</f>
        <v>3.3000000000000002E-2</v>
      </c>
      <c r="C154" s="164">
        <f t="shared" si="8"/>
        <v>0.69300000000000006</v>
      </c>
      <c r="D154" s="165"/>
      <c r="E154" s="166">
        <f>VLOOKUP(A154,НОМ!$A$3:$I$89,9,FALSE)/VLOOKUP(A154,НОМ!$A$3:$I$89,6,FALSE)*C154</f>
        <v>24.597728348319926</v>
      </c>
      <c r="F154" s="167">
        <f>IF(G154&lt;1,1000*МЕНЮ!C154*(1-G154),1000*МЕНЮ!C154+G154*$B$220)</f>
        <v>693.00000000000011</v>
      </c>
      <c r="G154" s="72">
        <v>1</v>
      </c>
      <c r="H154" s="194"/>
      <c r="I154" s="195"/>
      <c r="K154" s="178">
        <f>ROUND(C154*1000/VLOOKUP(A154,НОМ!$A$3:$I$70,3,FALSE),1)</f>
        <v>6.9</v>
      </c>
      <c r="L154" s="176" t="s">
        <v>222</v>
      </c>
    </row>
    <row r="155" spans="1:12" ht="12.75" customHeight="1">
      <c r="A155" s="163" t="str">
        <f>НОМ!A61</f>
        <v>Уголь березовый+ж.д/р.</v>
      </c>
      <c r="B155" s="164">
        <f>1000/1000*(B153)</f>
        <v>0.2</v>
      </c>
      <c r="C155" s="164">
        <f t="shared" ref="C155:C161" si="9">B155*$B$146</f>
        <v>4.2</v>
      </c>
      <c r="D155" s="165"/>
      <c r="E155" s="166">
        <f>VLOOKUP(A155,НОМ!$A$3:$I$89,9,FALSE)/VLOOKUP(A155,НОМ!$A$3:$I$89,6,FALSE)*C155</f>
        <v>179.05092592592592</v>
      </c>
      <c r="F155" s="167">
        <f>IF(G155&lt;1,1000*МЕНЮ!C155*(1-G155),1000*МЕНЮ!C155+G155*$B$220)</f>
        <v>0.41999999999995374</v>
      </c>
      <c r="G155" s="72">
        <v>0.99990000000000001</v>
      </c>
      <c r="H155" s="194"/>
      <c r="I155" s="195"/>
    </row>
    <row r="156" spans="1:12">
      <c r="A156" s="163" t="str">
        <f>НОМ!$A$20</f>
        <v>Лаваш армянский</v>
      </c>
      <c r="B156" s="164">
        <v>0.06</v>
      </c>
      <c r="C156" s="164">
        <f t="shared" si="9"/>
        <v>1.26</v>
      </c>
      <c r="D156" s="165"/>
      <c r="E156" s="166">
        <f>VLOOKUP(A156,НОМ!$A$3:$I$89,9,FALSE)/VLOOKUP(A156,НОМ!$A$3:$I$89,6,FALSE)*C156</f>
        <v>0</v>
      </c>
      <c r="F156" s="167">
        <f>IF(G156&lt;1,1000*МЕНЮ!C156*(1-G156),1000*МЕНЮ!C156+G156*$B$220)</f>
        <v>1260</v>
      </c>
      <c r="G156" s="72"/>
      <c r="H156" s="194"/>
      <c r="I156" s="195"/>
    </row>
    <row r="157" spans="1:12">
      <c r="A157" s="163" t="str">
        <f>НОМ!$A$28</f>
        <v>Морковь по корейски</v>
      </c>
      <c r="B157" s="164">
        <v>0.04</v>
      </c>
      <c r="C157" s="164">
        <f t="shared" si="9"/>
        <v>0.84</v>
      </c>
      <c r="D157" s="165"/>
      <c r="E157" s="166">
        <f>VLOOKUP(A157,НОМ!$A$3:$I$89,9,FALSE)/VLOOKUP(A157,НОМ!$A$3:$I$89,6,FALSE)*C157</f>
        <v>150</v>
      </c>
      <c r="F157" s="167">
        <f>IF(G157&lt;1,1000*МЕНЮ!C157*(1-G157),1000*МЕНЮ!C157+G157*$B$220)</f>
        <v>840</v>
      </c>
      <c r="G157" s="73"/>
      <c r="H157" s="194"/>
      <c r="I157" s="195"/>
    </row>
    <row r="158" spans="1:12">
      <c r="A158" s="163" t="str">
        <f>НОМ!$A$45</f>
        <v>Соус томатный - сацибели</v>
      </c>
      <c r="B158" s="164">
        <v>0.01</v>
      </c>
      <c r="C158" s="164">
        <f t="shared" si="9"/>
        <v>0.21</v>
      </c>
      <c r="D158" s="165"/>
      <c r="E158" s="166">
        <f>VLOOKUP(A158,НОМ!$A$3:$I$89,9,FALSE)/VLOOKUP(A158,НОМ!$A$3:$I$89,6,FALSE)*C158</f>
        <v>55</v>
      </c>
      <c r="F158" s="167">
        <f>IF(G158&lt;1,1000*МЕНЮ!C158*(1-G158),1000*МЕНЮ!C158+G158*$B$220)</f>
        <v>210</v>
      </c>
      <c r="G158" s="73"/>
      <c r="H158" s="194"/>
      <c r="I158" s="195"/>
    </row>
    <row r="159" spans="1:12">
      <c r="A159" s="163" t="str">
        <f>НОМ!$A$10</f>
        <v xml:space="preserve">Соус томатный - кетчуп </v>
      </c>
      <c r="B159" s="164">
        <v>1.4999999999999999E-2</v>
      </c>
      <c r="C159" s="164">
        <f t="shared" si="9"/>
        <v>0.315</v>
      </c>
      <c r="D159" s="165"/>
      <c r="E159" s="166">
        <f>VLOOKUP(A159,НОМ!$A$3:$I$89,9,FALSE)/VLOOKUP(A159,НОМ!$A$3:$I$89,6,FALSE)*C159</f>
        <v>50</v>
      </c>
      <c r="F159" s="167">
        <f>IF(G159&lt;1,1000*МЕНЮ!C159*(1-G159),1000*МЕНЮ!C159+G159*$B$220)</f>
        <v>315</v>
      </c>
      <c r="G159" s="73"/>
      <c r="H159" s="194"/>
      <c r="I159" s="195"/>
    </row>
    <row r="160" spans="1:12">
      <c r="A160" s="163" t="str">
        <f>НОМ!$A$46</f>
        <v>Соус пикантный+грибы</v>
      </c>
      <c r="B160" s="164">
        <v>0.01</v>
      </c>
      <c r="C160" s="164">
        <f t="shared" si="9"/>
        <v>0.21</v>
      </c>
      <c r="D160" s="165"/>
      <c r="E160" s="166">
        <f>VLOOKUP(A160,НОМ!$A$3:$I$89,9,FALSE)/VLOOKUP(A160,НОМ!$A$3:$I$89,6,FALSE)*C160</f>
        <v>30</v>
      </c>
      <c r="F160" s="167">
        <f>IF(G160&lt;1,1000*МЕНЮ!C160*(1-G160),1000*МЕНЮ!C160+G160*$B$220)</f>
        <v>210</v>
      </c>
      <c r="G160" s="73"/>
      <c r="H160" s="194"/>
      <c r="I160" s="195"/>
    </row>
    <row r="161" spans="1:12">
      <c r="A161" s="74" t="str">
        <f>НОМ!$A$52</f>
        <v>Томаты в собственном соку</v>
      </c>
      <c r="B161" s="76">
        <v>2.5000000000000001E-2</v>
      </c>
      <c r="C161" s="76">
        <f t="shared" si="9"/>
        <v>0.52500000000000002</v>
      </c>
      <c r="D161" s="77"/>
      <c r="E161" s="78">
        <f>VLOOKUP(A161,НОМ!$A$3:$I$89,9,FALSE)/VLOOKUP(A161,НОМ!$A$3:$I$89,6,FALSE)*C161</f>
        <v>120</v>
      </c>
      <c r="F161" s="79">
        <f>IF(G161&lt;1,1000*МЕНЮ!C161*(1-G161),1000*МЕНЮ!C161+G161*$B$3)</f>
        <v>525</v>
      </c>
      <c r="G161" s="73"/>
      <c r="H161" s="202">
        <f>SUM(F161:F168)</f>
        <v>15078</v>
      </c>
      <c r="I161" s="201">
        <f>H161/B146</f>
        <v>718</v>
      </c>
    </row>
    <row r="162" spans="1:12" ht="12.75" customHeight="1">
      <c r="A162" s="85" t="str">
        <f>НОМ!$A$56</f>
        <v>Хлеб - ржаной в нарезке</v>
      </c>
      <c r="B162" s="75">
        <f>VLOOKUP(A162,НОМ!$A$1:$I$70,3,FALSE)*1/1000</f>
        <v>2.5000000000000001E-2</v>
      </c>
      <c r="C162" s="75">
        <f t="shared" ref="C162:C168" si="10">B162*$B$73</f>
        <v>0.75</v>
      </c>
      <c r="D162" s="86"/>
      <c r="E162" s="87">
        <f>VLOOKUP(A162,НОМ!$A$3:$I$89,9,FALSE)/VLOOKUP(A162,НОМ!$A$3:$I$89,6,FALSE)*C162</f>
        <v>28.08988764044944</v>
      </c>
      <c r="F162" s="88">
        <f>IF(G162&lt;1,1000*МЕНЮ!C162*(1-G162),1000*МЕНЮ!C162+G162*$B$73)</f>
        <v>750</v>
      </c>
      <c r="G162" s="73"/>
      <c r="H162" s="202"/>
      <c r="I162" s="201"/>
    </row>
    <row r="163" spans="1:12">
      <c r="A163" s="106" t="str">
        <f>НОМ!$A$42</f>
        <v>Сок фруктовый</v>
      </c>
      <c r="B163" s="107">
        <v>0.1</v>
      </c>
      <c r="C163" s="107">
        <f t="shared" si="10"/>
        <v>3</v>
      </c>
      <c r="D163" s="108"/>
      <c r="E163" s="109">
        <f>VLOOKUP(A163,НОМ!$A$3:$I$89,9,FALSE)/VLOOKUP(A163,НОМ!$A$3:$I$89,6,FALSE)*C163</f>
        <v>135</v>
      </c>
      <c r="F163" s="110">
        <f>IF(G163&lt;1,1000*МЕНЮ!C163*(1-G163),1000*МЕНЮ!C163+G163*$B$73)</f>
        <v>3000</v>
      </c>
      <c r="G163" s="73"/>
      <c r="H163" s="202"/>
      <c r="I163" s="201"/>
    </row>
    <row r="164" spans="1:12">
      <c r="A164" s="106" t="str">
        <f>НОМ!$A$24</f>
        <v>Лимонад, газ</v>
      </c>
      <c r="B164" s="107">
        <v>0.1</v>
      </c>
      <c r="C164" s="107">
        <f t="shared" si="10"/>
        <v>3</v>
      </c>
      <c r="D164" s="108"/>
      <c r="E164" s="109">
        <f>VLOOKUP(A164,НОМ!$A$3:$I$89,9,FALSE)/VLOOKUP(A164,НОМ!$A$3:$I$89,6,FALSE)*C164</f>
        <v>120</v>
      </c>
      <c r="F164" s="110">
        <f>IF(G164&lt;1,1000*МЕНЮ!C164*(1-G164),1000*МЕНЮ!C164+G164*$B$73)</f>
        <v>3000</v>
      </c>
      <c r="G164" s="73"/>
      <c r="H164" s="202"/>
      <c r="I164" s="201"/>
    </row>
    <row r="165" spans="1:12">
      <c r="A165" s="168" t="str">
        <f>НОМ!$A$57</f>
        <v>Чай черный крупнолистовой</v>
      </c>
      <c r="B165" s="169">
        <f>0.002</f>
        <v>2E-3</v>
      </c>
      <c r="C165" s="169">
        <f t="shared" si="10"/>
        <v>0.06</v>
      </c>
      <c r="D165" s="170"/>
      <c r="E165" s="171">
        <f>VLOOKUP(A165,НОМ!$A$3:$I$89,9,FALSE)/VLOOKUP(A165,НОМ!$A$3:$I$89,6,FALSE)*C165</f>
        <v>41.860465116279066</v>
      </c>
      <c r="F165" s="172">
        <f>IF(G165&lt;1,1000*МЕНЮ!C165*(1-G165),1000*МЕНЮ!C165+G165*$B$73)</f>
        <v>6060</v>
      </c>
      <c r="G165" s="73">
        <v>200</v>
      </c>
      <c r="H165" s="202"/>
      <c r="I165" s="201"/>
    </row>
    <row r="166" spans="1:12">
      <c r="A166" s="85" t="str">
        <f>НОМ!$A$39</f>
        <v>Сахар рафинад</v>
      </c>
      <c r="B166" s="75">
        <v>5.0000000000000001E-3</v>
      </c>
      <c r="C166" s="75">
        <f t="shared" si="10"/>
        <v>0.15</v>
      </c>
      <c r="D166" s="86"/>
      <c r="E166" s="87">
        <f>VLOOKUP(A166,НОМ!$A$3:$I$89,9,FALSE)/VLOOKUP(A166,НОМ!$A$3:$I$89,6,FALSE)*C166</f>
        <v>0</v>
      </c>
      <c r="F166" s="88">
        <f>IF(G166&lt;1,1000*МЕНЮ!C166*(1-G166),1000*МЕНЮ!C166+G166*$B$73)</f>
        <v>150</v>
      </c>
      <c r="G166" s="73"/>
      <c r="H166" s="202"/>
      <c r="I166" s="201"/>
    </row>
    <row r="167" spans="1:12">
      <c r="A167" s="85" t="str">
        <f>НОМ!$A$41</f>
        <v>Семечки подсолнечника жареные</v>
      </c>
      <c r="B167" s="75">
        <v>3.3000000000000002E-2</v>
      </c>
      <c r="C167" s="75">
        <f t="shared" si="10"/>
        <v>0.99</v>
      </c>
      <c r="D167" s="86"/>
      <c r="E167" s="87">
        <f>VLOOKUP(A167,НОМ!$A$3:$I$89,9,FALSE)/VLOOKUP(A167,НОМ!$A$3:$I$89,6,FALSE)*C167</f>
        <v>216.1764705882353</v>
      </c>
      <c r="F167" s="88">
        <f>IF(G167&lt;1,1000*МЕНЮ!C167*(1-G167),1000*МЕНЮ!C167+G167*$B$73)</f>
        <v>693</v>
      </c>
      <c r="G167" s="72">
        <v>0.3</v>
      </c>
      <c r="H167" s="202"/>
      <c r="I167" s="201"/>
    </row>
    <row r="168" spans="1:12">
      <c r="A168" s="85" t="str">
        <f>НОМ!$A$33</f>
        <v>Конд.изд. (ш.конф.печ.ваф.шок.и т.д.)</v>
      </c>
      <c r="B168" s="76">
        <v>0.03</v>
      </c>
      <c r="C168" s="75">
        <f t="shared" si="10"/>
        <v>0.89999999999999991</v>
      </c>
      <c r="D168" s="86"/>
      <c r="E168" s="87">
        <f>VLOOKUP(A168,НОМ!$A$3:$I$89,9,FALSE)/VLOOKUP(A168,НОМ!$A$3:$I$89,6,FALSE)*C168</f>
        <v>226.74418604651163</v>
      </c>
      <c r="F168" s="88">
        <f>IF(G168&lt;1,1000*МЕНЮ!C168*(1-G168),1000*МЕНЮ!C168+G168*$B$73)</f>
        <v>899.99999999999989</v>
      </c>
      <c r="G168" s="73"/>
      <c r="H168" s="202"/>
      <c r="I168" s="201"/>
    </row>
    <row r="169" spans="1:12">
      <c r="A169" s="89" t="s">
        <v>46</v>
      </c>
      <c r="B169" s="89"/>
      <c r="C169" s="89"/>
      <c r="D169" s="89"/>
      <c r="E169" s="90">
        <f>SUM(E148:E168)</f>
        <v>3017.2067275667287</v>
      </c>
      <c r="F169" s="91">
        <f>SUM(F148:F168)</f>
        <v>25179.42</v>
      </c>
      <c r="G169" s="92"/>
      <c r="H169" s="196">
        <f>F169/B146</f>
        <v>1199.02</v>
      </c>
      <c r="I169" s="196"/>
    </row>
    <row r="170" spans="1:12">
      <c r="A170" s="193"/>
      <c r="B170" s="193"/>
      <c r="C170" s="193"/>
      <c r="D170" s="193"/>
      <c r="E170" s="193"/>
      <c r="F170" s="193"/>
      <c r="G170" s="63"/>
    </row>
    <row r="171" spans="1:12" ht="18.75" customHeight="1">
      <c r="A171" s="193" t="s">
        <v>166</v>
      </c>
      <c r="B171" s="193"/>
      <c r="C171" s="193"/>
      <c r="D171" s="193"/>
      <c r="E171" s="193"/>
      <c r="F171" s="193"/>
      <c r="G171" s="63"/>
    </row>
    <row r="172" spans="1:12">
      <c r="A172" s="64" t="s">
        <v>15</v>
      </c>
      <c r="B172" s="65">
        <f>РАСЧЕТЫ!N36</f>
        <v>16</v>
      </c>
      <c r="C172" s="66" t="s">
        <v>39</v>
      </c>
      <c r="D172" s="66"/>
      <c r="E172" s="67"/>
      <c r="F172" s="68"/>
    </row>
    <row r="173" spans="1:12">
      <c r="A173" s="5" t="s">
        <v>40</v>
      </c>
      <c r="B173" s="69" t="s">
        <v>41</v>
      </c>
      <c r="C173" s="5" t="s">
        <v>42</v>
      </c>
      <c r="D173" s="5"/>
      <c r="E173" s="70" t="s">
        <v>43</v>
      </c>
      <c r="F173" s="5" t="s">
        <v>44</v>
      </c>
      <c r="G173" s="71"/>
    </row>
    <row r="174" spans="1:12" ht="12.75" customHeight="1">
      <c r="A174" s="94" t="str">
        <f>НОМ!$A$44</f>
        <v>Сосиски в вакумной упаковке</v>
      </c>
      <c r="B174" s="95">
        <f>ROUND(VLOOKUP(A174,НОМ!$A$3:$I$70,3,FALSE)/1000,3)</f>
        <v>6.5000000000000002E-2</v>
      </c>
      <c r="C174" s="95">
        <f>B174*$B$172</f>
        <v>1.04</v>
      </c>
      <c r="D174" s="96"/>
      <c r="E174" s="97">
        <f>VLOOKUP(A174,НОМ!$A$3:$I$89,9,FALSE)/VLOOKUP(A174,НОМ!$A$3:$I$89,6,FALSE)*C174</f>
        <v>300</v>
      </c>
      <c r="F174" s="98">
        <f>IF(G174&lt;1,1000*МЕНЮ!C174*(1-G174),1000*МЕНЮ!C174+G174*$B$172)</f>
        <v>1040</v>
      </c>
      <c r="G174" s="73"/>
      <c r="H174" s="199">
        <f>SUM(F174:F178)</f>
        <v>2160</v>
      </c>
      <c r="I174" s="200">
        <f>H174/B172</f>
        <v>135</v>
      </c>
      <c r="J174" s="99"/>
      <c r="K174" s="178">
        <f>ROUND(C174*1000/VLOOKUP(A174,НОМ!$A$3:$I$70,3,FALSE),1)</f>
        <v>16</v>
      </c>
      <c r="L174" s="176" t="s">
        <v>219</v>
      </c>
    </row>
    <row r="175" spans="1:12">
      <c r="A175" s="94" t="str">
        <f>НОМ!$A$53</f>
        <v>Говядина тушеная</v>
      </c>
      <c r="B175" s="95">
        <v>0.01</v>
      </c>
      <c r="C175" s="95">
        <f t="shared" ref="C175:C189" si="11">B175*$B$172</f>
        <v>0.16</v>
      </c>
      <c r="D175" s="96"/>
      <c r="E175" s="97">
        <f>VLOOKUP(A175,НОМ!$A$3:$I$89,9,FALSE)/VLOOKUP(A175,НОМ!$A$3:$I$89,6,FALSE)*C175</f>
        <v>102.4</v>
      </c>
      <c r="F175" s="98">
        <f>IF(G175&lt;1,1000*МЕНЮ!C175*(1-G175),1000*МЕНЮ!C175+G175*$B$172)</f>
        <v>160</v>
      </c>
      <c r="G175" s="73"/>
      <c r="H175" s="199"/>
      <c r="I175" s="200"/>
      <c r="J175" s="99"/>
    </row>
    <row r="176" spans="1:12">
      <c r="A176" s="94" t="str">
        <f>НОМ!$A$54</f>
        <v>Свинина тушеная</v>
      </c>
      <c r="B176" s="95">
        <v>0.01</v>
      </c>
      <c r="C176" s="95">
        <f t="shared" si="11"/>
        <v>0.16</v>
      </c>
      <c r="D176" s="96"/>
      <c r="E176" s="97">
        <f>VLOOKUP(A176,НОМ!$A$3:$I$89,9,FALSE)/VLOOKUP(A176,НОМ!$A$3:$I$89,6,FALSE)*C176</f>
        <v>102.4</v>
      </c>
      <c r="F176" s="98">
        <f>IF(G176&lt;1,1000*МЕНЮ!C176*(1-G176),1000*МЕНЮ!C176+G176*$B$172)</f>
        <v>160</v>
      </c>
      <c r="G176" s="73"/>
      <c r="H176" s="199"/>
      <c r="I176" s="200"/>
      <c r="J176" s="99"/>
    </row>
    <row r="177" spans="1:12">
      <c r="A177" s="94" t="str">
        <f>НОМ!$A$34</f>
        <v>Томаты свежие</v>
      </c>
      <c r="B177" s="95">
        <f>ROUND(VLOOKUP(A177,НОМ!$A$3:$I$70,3,FALSE)/1000/10,3)</f>
        <v>0.02</v>
      </c>
      <c r="C177" s="95">
        <f t="shared" si="11"/>
        <v>0.32</v>
      </c>
      <c r="D177" s="96"/>
      <c r="E177" s="97">
        <f>VLOOKUP(A177,НОМ!$A$3:$I$89,9,FALSE)/VLOOKUP(A177,НОМ!$A$3:$I$89,6,FALSE)*C177</f>
        <v>44.731182795698928</v>
      </c>
      <c r="F177" s="98">
        <f>IF(G177&lt;1,1000*МЕНЮ!C177*(1-G177),1000*МЕНЮ!C177+G177*$B$172)</f>
        <v>208</v>
      </c>
      <c r="G177" s="72">
        <v>0.35</v>
      </c>
      <c r="H177" s="199"/>
      <c r="I177" s="200"/>
      <c r="J177" s="99"/>
      <c r="K177" s="178">
        <f>ROUND(C177*1000/VLOOKUP(A177,НОМ!$A$3:$I$70,3,FALSE),1)</f>
        <v>1.6</v>
      </c>
      <c r="L177" s="176" t="s">
        <v>220</v>
      </c>
    </row>
    <row r="178" spans="1:12">
      <c r="A178" s="94" t="str">
        <f>НОМ!$A$65</f>
        <v>Яйцо куриное</v>
      </c>
      <c r="B178" s="95">
        <f>ROUND(VLOOKUP(A178,НОМ!$A$3:$I$70,3,FALSE)/1000/3*2,3)</f>
        <v>3.6999999999999998E-2</v>
      </c>
      <c r="C178" s="95">
        <f t="shared" si="11"/>
        <v>0.59199999999999997</v>
      </c>
      <c r="D178" s="96"/>
      <c r="E178" s="97">
        <f>VLOOKUP(A178,НОМ!$A$3:$I$89,9,FALSE)/VLOOKUP(A178,НОМ!$A$3:$I$89,6,FALSE)*C178</f>
        <v>58.808445688120067</v>
      </c>
      <c r="F178" s="98">
        <f>IF(G178&lt;1,1000*МЕНЮ!C178*(1-G178),1000*МЕНЮ!C178+G178*$B$172)</f>
        <v>592</v>
      </c>
      <c r="G178" s="73"/>
      <c r="H178" s="199"/>
      <c r="I178" s="200"/>
      <c r="J178" s="99"/>
      <c r="K178" s="178">
        <f>ROUND(C178*1000/VLOOKUP(A178,НОМ!$A$3:$I$70,3,FALSE),1)</f>
        <v>10.8</v>
      </c>
      <c r="L178" s="176" t="s">
        <v>198</v>
      </c>
    </row>
    <row r="179" spans="1:12" ht="12.75" customHeight="1">
      <c r="A179" s="74" t="str">
        <f>НОМ!$A$12</f>
        <v>Колбаса вар.копченая</v>
      </c>
      <c r="B179" s="76">
        <v>0.03</v>
      </c>
      <c r="C179" s="76">
        <f t="shared" si="11"/>
        <v>0.48</v>
      </c>
      <c r="D179" s="77"/>
      <c r="E179" s="78">
        <f>VLOOKUP(A179,НОМ!$A$3:$I$89,9,FALSE)/VLOOKUP(A179,НОМ!$A$3:$I$89,6,FALSE)*C179</f>
        <v>238.59649122807019</v>
      </c>
      <c r="F179" s="79">
        <f>IF(G179&lt;1,1000*МЕНЮ!C179*(1-G179),1000*МЕНЮ!C179+G179*$B$172)</f>
        <v>480</v>
      </c>
      <c r="G179" s="73"/>
      <c r="H179" s="197">
        <f>SUM(F179:F189)</f>
        <v>8488</v>
      </c>
      <c r="I179" s="198">
        <f>H179/B172</f>
        <v>530.5</v>
      </c>
      <c r="J179" s="99"/>
    </row>
    <row r="180" spans="1:12">
      <c r="A180" s="74" t="str">
        <f>НОМ!$A$31</f>
        <v>Паштет печеночный</v>
      </c>
      <c r="B180" s="76">
        <v>0.02</v>
      </c>
      <c r="C180" s="76">
        <f t="shared" si="11"/>
        <v>0.32</v>
      </c>
      <c r="D180" s="77"/>
      <c r="E180" s="78">
        <f>VLOOKUP(A180,НОМ!$A$3:$I$89,9,FALSE)/VLOOKUP(A180,НОМ!$A$3:$I$89,6,FALSE)*C180</f>
        <v>70.175438596491219</v>
      </c>
      <c r="F180" s="79">
        <f>IF(G180&lt;1,1000*МЕНЮ!C180*(1-G180),1000*МЕНЮ!C180+G180*$B$172)</f>
        <v>320</v>
      </c>
      <c r="G180" s="73"/>
      <c r="H180" s="197"/>
      <c r="I180" s="198"/>
      <c r="J180" s="99"/>
    </row>
    <row r="181" spans="1:12">
      <c r="A181" s="74" t="str">
        <f>НОМ!$A$51</f>
        <v>Сыр плавленый</v>
      </c>
      <c r="B181" s="76">
        <v>1.4999999999999999E-2</v>
      </c>
      <c r="C181" s="76">
        <f t="shared" si="11"/>
        <v>0.24</v>
      </c>
      <c r="D181" s="77"/>
      <c r="E181" s="78">
        <f>VLOOKUP(A181,НОМ!$A$3:$I$89,9,FALSE)/VLOOKUP(A181,НОМ!$A$3:$I$89,6,FALSE)*C181</f>
        <v>56.140350877192979</v>
      </c>
      <c r="F181" s="79">
        <f>IF(G181&lt;1,1000*МЕНЮ!C181*(1-G181),1000*МЕНЮ!C181+G181*$B$172)</f>
        <v>240</v>
      </c>
      <c r="G181" s="73"/>
      <c r="H181" s="197"/>
      <c r="I181" s="198"/>
      <c r="J181" s="99"/>
    </row>
    <row r="182" spans="1:12">
      <c r="A182" s="74" t="str">
        <f>НОМ!$A$26</f>
        <v>Масло сливочное</v>
      </c>
      <c r="B182" s="76">
        <v>0.01</v>
      </c>
      <c r="C182" s="76">
        <f t="shared" si="11"/>
        <v>0.16</v>
      </c>
      <c r="D182" s="77"/>
      <c r="E182" s="78">
        <f>VLOOKUP(A182,НОМ!$A$3:$I$89,9,FALSE)/VLOOKUP(A182,НОМ!$A$3:$I$89,6,FALSE)*C182</f>
        <v>50.526315789473678</v>
      </c>
      <c r="F182" s="79">
        <f>IF(G182&lt;1,1000*МЕНЮ!C182*(1-G182),1000*МЕНЮ!C182+G182*$B$172)</f>
        <v>160</v>
      </c>
      <c r="G182" s="73"/>
      <c r="H182" s="197"/>
      <c r="I182" s="198"/>
      <c r="J182" s="99"/>
    </row>
    <row r="183" spans="1:12">
      <c r="A183" s="74" t="str">
        <f>НОМ!$A$50</f>
        <v>Сыр твердый</v>
      </c>
      <c r="B183" s="76">
        <v>1.4999999999999999E-2</v>
      </c>
      <c r="C183" s="76">
        <f t="shared" si="11"/>
        <v>0.24</v>
      </c>
      <c r="D183" s="77"/>
      <c r="E183" s="78">
        <f>VLOOKUP(A183,НОМ!$A$3:$I$89,9,FALSE)/VLOOKUP(A183,НОМ!$A$3:$I$89,6,FALSE)*C183</f>
        <v>101.05263157894737</v>
      </c>
      <c r="F183" s="79">
        <f>IF(G183&lt;1,1000*МЕНЮ!C183*(1-G183),1000*МЕНЮ!C183+G183*$B$172)</f>
        <v>240</v>
      </c>
      <c r="G183" s="73"/>
      <c r="H183" s="197"/>
      <c r="I183" s="198"/>
      <c r="J183" s="99"/>
    </row>
    <row r="184" spans="1:12">
      <c r="A184" s="74" t="str">
        <f>НОМ!$A$55</f>
        <v>Хлеб - батон в нарезке</v>
      </c>
      <c r="B184" s="75">
        <f>VLOOKUP(A184,НОМ!$A$1:$I$70,3,FALSE)*3.5/1000</f>
        <v>7.3499999999999996E-2</v>
      </c>
      <c r="C184" s="76">
        <f t="shared" si="11"/>
        <v>1.1759999999999999</v>
      </c>
      <c r="D184" s="77"/>
      <c r="E184" s="78">
        <f>VLOOKUP(A184,НОМ!$A$3:$I$89,9,FALSE)/VLOOKUP(A184,НОМ!$A$3:$I$89,6,FALSE)*C184</f>
        <v>70.175438596491233</v>
      </c>
      <c r="F184" s="79">
        <f>IF(G184&lt;1,1000*МЕНЮ!C184*(1-G184),1000*МЕНЮ!C184+G184*$B$172)</f>
        <v>1176</v>
      </c>
      <c r="G184" s="73"/>
      <c r="H184" s="197"/>
      <c r="I184" s="198"/>
      <c r="J184" s="99"/>
    </row>
    <row r="185" spans="1:12">
      <c r="A185" s="80" t="str">
        <f>НОМ!$A$58</f>
        <v>Чай черный в пактиках</v>
      </c>
      <c r="B185" s="81">
        <f>VLOOKUP(A185,НОМ!$A$1:$I$70,3,FALSE)*1/1000</f>
        <v>2E-3</v>
      </c>
      <c r="C185" s="81">
        <f t="shared" si="11"/>
        <v>3.2000000000000001E-2</v>
      </c>
      <c r="D185" s="82"/>
      <c r="E185" s="83">
        <f>VLOOKUP(A185,НОМ!$A$3:$I$89,9,FALSE)/VLOOKUP(A185,НОМ!$A$3:$I$89,6,FALSE)*C185</f>
        <v>33.684210526315788</v>
      </c>
      <c r="F185" s="84">
        <f>IF(G185&lt;1,1000*МЕНЮ!C185*(1-G185),1000*МЕНЮ!C185+G185*$B$172)</f>
        <v>1632</v>
      </c>
      <c r="G185" s="73">
        <v>100</v>
      </c>
      <c r="H185" s="197"/>
      <c r="I185" s="198"/>
      <c r="J185" s="99"/>
    </row>
    <row r="186" spans="1:12">
      <c r="A186" s="100" t="str">
        <f>НОМ!$A$6</f>
        <v>Какао</v>
      </c>
      <c r="B186" s="81">
        <f>0.01</f>
        <v>0.01</v>
      </c>
      <c r="C186" s="81">
        <f t="shared" si="11"/>
        <v>0.16</v>
      </c>
      <c r="D186" s="82"/>
      <c r="E186" s="83">
        <f>VLOOKUP(A186,НОМ!$A$3:$I$89,9,FALSE)/VLOOKUP(A186,НОМ!$A$3:$I$89,6,FALSE)*C186</f>
        <v>33.684210526315788</v>
      </c>
      <c r="F186" s="84">
        <f>IF(G186&lt;1,1000*МЕНЮ!C186*(1-G186),1000*МЕНЮ!C186+G186*$B$172)</f>
        <v>1760</v>
      </c>
      <c r="G186" s="73">
        <v>100</v>
      </c>
      <c r="H186" s="197"/>
      <c r="I186" s="198"/>
      <c r="J186" s="99"/>
    </row>
    <row r="187" spans="1:12">
      <c r="A187" s="80" t="str">
        <f>НОМ!$A$14</f>
        <v>Кофе сублимированный</v>
      </c>
      <c r="B187" s="81">
        <f>0.01</f>
        <v>0.01</v>
      </c>
      <c r="C187" s="81">
        <f t="shared" si="11"/>
        <v>0.16</v>
      </c>
      <c r="D187" s="82"/>
      <c r="E187" s="83">
        <f>VLOOKUP(A187,НОМ!$A$3:$I$89,9,FALSE)/VLOOKUP(A187,НОМ!$A$3:$I$89,6,FALSE)*C187</f>
        <v>140.35087719298244</v>
      </c>
      <c r="F187" s="84">
        <f>IF(G187&lt;1,1000*МЕНЮ!C187*(1-G187),1000*МЕНЮ!C187+G187*$B$172)</f>
        <v>1760</v>
      </c>
      <c r="G187" s="73">
        <v>100</v>
      </c>
      <c r="H187" s="197"/>
      <c r="I187" s="198"/>
      <c r="J187" s="99"/>
    </row>
    <row r="188" spans="1:12">
      <c r="A188" s="74" t="str">
        <f>НОМ!$A$40</f>
        <v>Сгущенное молоко</v>
      </c>
      <c r="B188" s="76">
        <v>0.04</v>
      </c>
      <c r="C188" s="76">
        <f t="shared" si="11"/>
        <v>0.64</v>
      </c>
      <c r="D188" s="77"/>
      <c r="E188" s="78">
        <f>VLOOKUP(A188,НОМ!$A$3:$I$89,9,FALSE)/VLOOKUP(A188,НОМ!$A$3:$I$89,6,FALSE)*C188</f>
        <v>101.05263157894736</v>
      </c>
      <c r="F188" s="79">
        <f>IF(G188&lt;1,1000*МЕНЮ!C188*(1-G188),1000*МЕНЮ!C188+G188*$B$172)</f>
        <v>640</v>
      </c>
      <c r="G188" s="73"/>
      <c r="H188" s="197"/>
      <c r="I188" s="198"/>
      <c r="J188" s="99"/>
    </row>
    <row r="189" spans="1:12">
      <c r="A189" s="74" t="str">
        <f>НОМ!$A$39</f>
        <v>Сахар рафинад</v>
      </c>
      <c r="B189" s="76">
        <v>5.0000000000000001E-3</v>
      </c>
      <c r="C189" s="76">
        <f t="shared" si="11"/>
        <v>0.08</v>
      </c>
      <c r="D189" s="77"/>
      <c r="E189" s="78">
        <f>VLOOKUP(A189,НОМ!$A$3:$I$89,9,FALSE)/VLOOKUP(A189,НОМ!$A$3:$I$89,6,FALSE)*C189</f>
        <v>0</v>
      </c>
      <c r="F189" s="79">
        <f>IF(G189&lt;1,1000*МЕНЮ!C189*(1-G189),1000*МЕНЮ!C189+G189*$B$172)</f>
        <v>80</v>
      </c>
      <c r="G189" s="73"/>
      <c r="H189" s="197"/>
      <c r="I189" s="198"/>
      <c r="J189" s="99"/>
    </row>
    <row r="190" spans="1:12">
      <c r="A190" s="89" t="s">
        <v>46</v>
      </c>
      <c r="B190" s="89"/>
      <c r="C190" s="89"/>
      <c r="D190" s="89"/>
      <c r="E190" s="90">
        <f>SUM(E174:E189)</f>
        <v>1503.7782249750469</v>
      </c>
      <c r="F190" s="91">
        <f>SUM(F174:F189)</f>
        <v>10648</v>
      </c>
      <c r="G190" s="92"/>
      <c r="H190" s="196">
        <f>F190/B172</f>
        <v>665.5</v>
      </c>
      <c r="I190" s="196"/>
    </row>
    <row r="192" spans="1:12" ht="12.75" customHeight="1">
      <c r="A192" s="193" t="s">
        <v>166</v>
      </c>
      <c r="B192" s="193"/>
      <c r="C192" s="193"/>
      <c r="D192" s="193"/>
      <c r="E192" s="193"/>
      <c r="F192" s="193"/>
      <c r="G192" s="63"/>
    </row>
    <row r="193" spans="1:12">
      <c r="A193" s="64" t="s">
        <v>47</v>
      </c>
      <c r="B193" s="65">
        <f>РАСЧЕТЫ!O36</f>
        <v>12</v>
      </c>
      <c r="C193" s="66" t="s">
        <v>39</v>
      </c>
      <c r="D193" s="66"/>
      <c r="E193" s="67"/>
      <c r="F193" s="68"/>
    </row>
    <row r="194" spans="1:12">
      <c r="A194" s="5" t="s">
        <v>40</v>
      </c>
      <c r="B194" s="69" t="s">
        <v>41</v>
      </c>
      <c r="C194" s="5" t="s">
        <v>42</v>
      </c>
      <c r="D194" s="5"/>
      <c r="E194" s="70" t="s">
        <v>43</v>
      </c>
      <c r="F194" s="5" t="s">
        <v>44</v>
      </c>
      <c r="G194" s="71"/>
    </row>
    <row r="195" spans="1:12" ht="12.75" customHeight="1">
      <c r="A195" s="148" t="str">
        <f>НОМ!$A$17</f>
        <v>Куриные грудки, замароженные</v>
      </c>
      <c r="B195" s="149">
        <f>ROUND(VLOOKUP(A195,НОМ!$A$3:$I$70,3,FALSE)/1000/10,3)</f>
        <v>0.05</v>
      </c>
      <c r="C195" s="149">
        <f>B195*$B$193</f>
        <v>0.60000000000000009</v>
      </c>
      <c r="D195" s="150"/>
      <c r="E195" s="151">
        <f>VLOOKUP(A195,НОМ!$A$3:$I$89,9,FALSE)/VLOOKUP(A195,НОМ!$A$3:$I$89,6,FALSE)*C195</f>
        <v>88.471849865951754</v>
      </c>
      <c r="F195" s="152">
        <f>IF(G195&lt;1,1000*МЕНЮ!C195*(1-G195),1000*МЕНЮ!C195+G195*$B$193)</f>
        <v>420.00000000000006</v>
      </c>
      <c r="G195" s="72">
        <v>0.3</v>
      </c>
      <c r="H195" s="194">
        <f>SUM(F195:F201)</f>
        <v>1614</v>
      </c>
      <c r="I195" s="195">
        <f>H195/B193</f>
        <v>134.5</v>
      </c>
      <c r="K195" s="179">
        <f>ROUND(C195*1000/VLOOKUP(A195,НОМ!$A$3:$I$70,3,FALSE),1)</f>
        <v>1.2</v>
      </c>
      <c r="L195" s="176" t="s">
        <v>223</v>
      </c>
    </row>
    <row r="196" spans="1:12">
      <c r="A196" s="148" t="str">
        <f>НОМ!$A$38</f>
        <v>Салат "айсберг"</v>
      </c>
      <c r="B196" s="149">
        <f>ROUND(VLOOKUP(A196,НОМ!$A$3:$I$70,3,FALSE)/1000/10,3)</f>
        <v>0.03</v>
      </c>
      <c r="C196" s="149">
        <f>B196*$B$193</f>
        <v>0.36</v>
      </c>
      <c r="D196" s="150"/>
      <c r="E196" s="151">
        <f>VLOOKUP(A196,НОМ!$A$3:$I$89,9,FALSE)/VLOOKUP(A196,НОМ!$A$3:$I$89,6,FALSE)*C196</f>
        <v>89.999999999999986</v>
      </c>
      <c r="F196" s="152">
        <f>IF(G196&lt;1,1000*МЕНЮ!C196*(1-G196),1000*МЕНЮ!C196+G196*$B$193)</f>
        <v>360</v>
      </c>
      <c r="G196" s="73"/>
      <c r="H196" s="194"/>
      <c r="I196" s="195"/>
      <c r="K196" s="178">
        <f>ROUND(C196*1000/VLOOKUP(A196,НОМ!$A$3:$I$70,3,FALSE),1)</f>
        <v>1.2</v>
      </c>
      <c r="L196" s="176" t="s">
        <v>229</v>
      </c>
    </row>
    <row r="197" spans="1:12">
      <c r="A197" s="148" t="str">
        <f>НОМ!$A$49</f>
        <v>Сухарики в салат</v>
      </c>
      <c r="B197" s="149">
        <v>0.01</v>
      </c>
      <c r="C197" s="149">
        <f>B197*$B$193</f>
        <v>0.12</v>
      </c>
      <c r="D197" s="150"/>
      <c r="E197" s="151">
        <f>VLOOKUP(A197,НОМ!$A$3:$I$89,9,FALSE)/VLOOKUP(A197,НОМ!$A$3:$I$89,6,FALSE)*C197</f>
        <v>15</v>
      </c>
      <c r="F197" s="152">
        <f>IF(G197&lt;1,1000*МЕНЮ!C197*(1-G197),1000*МЕНЮ!C197+G197*$B$193)</f>
        <v>120</v>
      </c>
      <c r="G197" s="73"/>
      <c r="H197" s="194"/>
      <c r="I197" s="195"/>
      <c r="K197" s="178"/>
    </row>
    <row r="198" spans="1:12">
      <c r="A198" s="148" t="str">
        <f>НОМ!$A$65</f>
        <v>Яйцо куриное</v>
      </c>
      <c r="B198" s="149">
        <f>ROUND(VLOOKUP(A198,НОМ!$A$3:$I$70,3,FALSE)/1000/3,3)</f>
        <v>1.7999999999999999E-2</v>
      </c>
      <c r="C198" s="149">
        <f>B198*$B$193</f>
        <v>0.21599999999999997</v>
      </c>
      <c r="D198" s="150"/>
      <c r="E198" s="151">
        <f>VLOOKUP(A198,НОМ!$A$3:$I$89,9,FALSE)/VLOOKUP(A198,НОМ!$A$3:$I$89,6,FALSE)*C198</f>
        <v>21.45713558890867</v>
      </c>
      <c r="F198" s="152">
        <f>IF(G198&lt;1,1000*МЕНЮ!C198*(1-G198),1000*МЕНЮ!C198+G198*$B$193)</f>
        <v>215.99999999999997</v>
      </c>
      <c r="G198" s="73"/>
      <c r="H198" s="194"/>
      <c r="I198" s="195"/>
      <c r="K198" s="178">
        <f>ROUND(C198*1000/VLOOKUP(A198,НОМ!$A$3:$I$70,3,FALSE),1)</f>
        <v>3.9</v>
      </c>
      <c r="L198" s="176" t="s">
        <v>198</v>
      </c>
    </row>
    <row r="199" spans="1:12">
      <c r="A199" s="148" t="str">
        <f>НОМ!$A$3</f>
        <v>Грибы шампиньоны свежие</v>
      </c>
      <c r="B199" s="149">
        <f>ROUND(VLOOKUP(A199,НОМ!$A$3:$I$70,3,FALSE)/1000*1.5,3)</f>
        <v>4.4999999999999998E-2</v>
      </c>
      <c r="C199" s="149">
        <f>B199*$B$193</f>
        <v>0.54</v>
      </c>
      <c r="D199" s="150"/>
      <c r="E199" s="151">
        <f>VLOOKUP(A199,НОМ!$A$3:$I$89,9,FALSE)/VLOOKUP(A199,НОМ!$A$3:$I$89,6,FALSE)*C199</f>
        <v>100</v>
      </c>
      <c r="F199" s="152">
        <f>IF(G199&lt;1,1000*МЕНЮ!C199*(1-G199),1000*МЕНЮ!C199+G199*$B$193)</f>
        <v>162.00000000000003</v>
      </c>
      <c r="G199" s="72">
        <v>0.7</v>
      </c>
      <c r="H199" s="194"/>
      <c r="I199" s="195"/>
      <c r="K199" s="178">
        <f>ROUND(C199*1000/VLOOKUP(A199,НОМ!$A$3:$I$70,3,FALSE),1)</f>
        <v>18</v>
      </c>
      <c r="L199" s="176" t="s">
        <v>230</v>
      </c>
    </row>
    <row r="200" spans="1:12">
      <c r="A200" s="148" t="str">
        <f>НОМ!$A$25</f>
        <v>Майонез "Провансаль"</v>
      </c>
      <c r="B200" s="149">
        <v>2.5000000000000001E-2</v>
      </c>
      <c r="C200" s="149">
        <f t="shared" ref="C200:C207" si="12">B200*$B$193</f>
        <v>0.30000000000000004</v>
      </c>
      <c r="D200" s="150"/>
      <c r="E200" s="151">
        <f>VLOOKUP(A200,НОМ!$A$3:$I$89,9,FALSE)/VLOOKUP(A200,НОМ!$A$3:$I$89,6,FALSE)*C200</f>
        <v>36.416184971098275</v>
      </c>
      <c r="F200" s="152">
        <f>IF(G200&lt;1,1000*МЕНЮ!C200*(1-G200),1000*МЕНЮ!C200+G200*$B$193)</f>
        <v>300.00000000000006</v>
      </c>
      <c r="G200" s="73"/>
      <c r="H200" s="194"/>
      <c r="I200" s="195"/>
    </row>
    <row r="201" spans="1:12">
      <c r="A201" s="148" t="str">
        <f>НОМ!$A$5</f>
        <v>Зелень свежая</v>
      </c>
      <c r="B201" s="149">
        <v>3.0000000000000001E-3</v>
      </c>
      <c r="C201" s="149">
        <f t="shared" si="12"/>
        <v>3.6000000000000004E-2</v>
      </c>
      <c r="D201" s="150"/>
      <c r="E201" s="151">
        <f>VLOOKUP(A201,НОМ!$A$3:$I$89,9,FALSE)/VLOOKUP(A201,НОМ!$A$3:$I$89,6,FALSE)*C201</f>
        <v>14.000000000000002</v>
      </c>
      <c r="F201" s="152">
        <f>IF(G201&lt;1,1000*МЕНЮ!C201*(1-G201),1000*МЕНЮ!C201+G201*$B$193)</f>
        <v>36.000000000000007</v>
      </c>
      <c r="G201" s="73"/>
      <c r="H201" s="194"/>
      <c r="I201" s="195"/>
      <c r="K201" s="179">
        <f>ROUND(C201*1000/VLOOKUP(A201,НОМ!$A$3:$I$70,3,FALSE),1)</f>
        <v>0.7</v>
      </c>
      <c r="L201" s="176" t="s">
        <v>242</v>
      </c>
    </row>
    <row r="202" spans="1:12" ht="12.75" customHeight="1">
      <c r="A202" s="101" t="str">
        <f>НОМ!$A$53</f>
        <v>Говядина тушеная</v>
      </c>
      <c r="B202" s="102">
        <v>1.4999999999999999E-2</v>
      </c>
      <c r="C202" s="102">
        <f t="shared" si="12"/>
        <v>0.18</v>
      </c>
      <c r="D202" s="103"/>
      <c r="E202" s="104">
        <f>VLOOKUP(A202,НОМ!$A$3:$I$89,9,FALSE)/VLOOKUP(A202,НОМ!$A$3:$I$89,6,FALSE)*C202</f>
        <v>115.19999999999999</v>
      </c>
      <c r="F202" s="105">
        <f>IF(G202&lt;1,1000*МЕНЮ!C202*(1-G202),1000*МЕНЮ!C202+G202*$B$247)</f>
        <v>180</v>
      </c>
      <c r="G202" s="73"/>
      <c r="H202" s="194">
        <f>SUM(F202:F207)</f>
        <v>3111.0000000000005</v>
      </c>
      <c r="I202" s="195">
        <f>H202/B193</f>
        <v>259.25000000000006</v>
      </c>
    </row>
    <row r="203" spans="1:12">
      <c r="A203" s="101" t="str">
        <f>НОМ!$A$54</f>
        <v>Свинина тушеная</v>
      </c>
      <c r="B203" s="102">
        <v>1.4999999999999999E-2</v>
      </c>
      <c r="C203" s="102">
        <f t="shared" si="12"/>
        <v>0.18</v>
      </c>
      <c r="D203" s="103"/>
      <c r="E203" s="104">
        <f>VLOOKUP(A203,НОМ!$A$3:$I$89,9,FALSE)/VLOOKUP(A203,НОМ!$A$3:$I$89,6,FALSE)*C203</f>
        <v>115.19999999999999</v>
      </c>
      <c r="F203" s="105">
        <f>IF(G203&lt;1,1000*МЕНЮ!C203*(1-G203),1000*МЕНЮ!C203+G203*$B$247)</f>
        <v>180</v>
      </c>
      <c r="G203" s="72"/>
      <c r="H203" s="194"/>
      <c r="I203" s="195"/>
    </row>
    <row r="204" spans="1:12">
      <c r="A204" s="101" t="str">
        <f>НОМ!$A$7</f>
        <v>Капуста свежая</v>
      </c>
      <c r="B204" s="102">
        <f>ROUND(VLOOKUP(A204,НОМ!$A$3:$I$70,3,FALSE)/1000/10,3)</f>
        <v>0.2</v>
      </c>
      <c r="C204" s="102">
        <f t="shared" si="12"/>
        <v>2.4000000000000004</v>
      </c>
      <c r="D204" s="103"/>
      <c r="E204" s="104">
        <f>VLOOKUP(A204,НОМ!$A$3:$I$89,9,FALSE)/VLOOKUP(A204,НОМ!$A$3:$I$89,6,FALSE)*C204</f>
        <v>60.000000000000007</v>
      </c>
      <c r="F204" s="105">
        <f>IF(G204&lt;1,1000*МЕНЮ!C204*(1-G204),1000*МЕНЮ!C204+G204*$B$247)</f>
        <v>2400.0000000000005</v>
      </c>
      <c r="G204" s="73">
        <v>100</v>
      </c>
      <c r="H204" s="194"/>
      <c r="I204" s="195"/>
      <c r="K204" s="178">
        <f>ROUND(C204*1000/VLOOKUP(A204,НОМ!$A$3:$I$70,3,FALSE),1)</f>
        <v>1.2</v>
      </c>
      <c r="L204" s="176" t="s">
        <v>204</v>
      </c>
    </row>
    <row r="205" spans="1:12">
      <c r="A205" s="101" t="str">
        <f>НОМ!$A$29</f>
        <v>Морковь свежая</v>
      </c>
      <c r="B205" s="102">
        <v>1.4999999999999999E-2</v>
      </c>
      <c r="C205" s="102">
        <f t="shared" si="12"/>
        <v>0.18</v>
      </c>
      <c r="D205" s="103"/>
      <c r="E205" s="104">
        <f>VLOOKUP(A205,НОМ!$A$3:$I$89,9,FALSE)/VLOOKUP(A205,НОМ!$A$3:$I$89,6,FALSE)*C205</f>
        <v>8.7096774193548381</v>
      </c>
      <c r="F205" s="105">
        <f>IF(G205&lt;1,1000*МЕНЮ!C205*(1-G205),1000*МЕНЮ!C205+G205*$B$247)</f>
        <v>117</v>
      </c>
      <c r="G205" s="72">
        <v>0.35</v>
      </c>
      <c r="H205" s="194"/>
      <c r="I205" s="195"/>
      <c r="K205" s="178">
        <f>ROUND(C205*1000/VLOOKUP(A205,НОМ!$A$3:$I$70,3,FALSE),1)</f>
        <v>1.8</v>
      </c>
      <c r="L205" s="176" t="s">
        <v>206</v>
      </c>
    </row>
    <row r="206" spans="1:12">
      <c r="A206" s="101" t="str">
        <f>НОМ!$A$22</f>
        <v>Лук репчатый</v>
      </c>
      <c r="B206" s="102">
        <v>1.4999999999999999E-2</v>
      </c>
      <c r="C206" s="102">
        <f t="shared" si="12"/>
        <v>0.18</v>
      </c>
      <c r="D206" s="103"/>
      <c r="E206" s="104">
        <f>VLOOKUP(A206,НОМ!$A$3:$I$89,9,FALSE)/VLOOKUP(A206,НОМ!$A$3:$I$89,6,FALSE)*C206</f>
        <v>6.3890203502129674</v>
      </c>
      <c r="F206" s="105">
        <f>IF(G206&lt;1,1000*МЕНЮ!C206*(1-G206),1000*МЕНЮ!C206+G206*$B$247)</f>
        <v>117</v>
      </c>
      <c r="G206" s="72">
        <v>0.35</v>
      </c>
      <c r="H206" s="194"/>
      <c r="I206" s="195"/>
      <c r="K206" s="178">
        <f>ROUND(C206*1000/VLOOKUP(A206,НОМ!$A$3:$I$70,3,FALSE),1)</f>
        <v>1.8</v>
      </c>
      <c r="L206" s="176" t="s">
        <v>202</v>
      </c>
    </row>
    <row r="207" spans="1:12">
      <c r="A207" s="101" t="str">
        <f>НОМ!$A$34</f>
        <v>Томаты свежие</v>
      </c>
      <c r="B207" s="102">
        <v>1.4999999999999999E-2</v>
      </c>
      <c r="C207" s="102">
        <f t="shared" si="12"/>
        <v>0.18</v>
      </c>
      <c r="D207" s="103"/>
      <c r="E207" s="104">
        <f>VLOOKUP(A207,НОМ!$A$3:$I$89,9,FALSE)/VLOOKUP(A207,НОМ!$A$3:$I$89,6,FALSE)*C207</f>
        <v>25.161290322580644</v>
      </c>
      <c r="F207" s="105">
        <f>IF(G207&lt;1,1000*МЕНЮ!C207*(1-G207),1000*МЕНЮ!C207+G207*$B$247)</f>
        <v>117</v>
      </c>
      <c r="G207" s="72">
        <v>0.35</v>
      </c>
      <c r="H207" s="194"/>
      <c r="I207" s="195"/>
      <c r="K207" s="178">
        <f>ROUND(C207*1000/VLOOKUP(A207,НОМ!$A$3:$I$70,3,FALSE),1)</f>
        <v>0.9</v>
      </c>
      <c r="L207" s="176" t="s">
        <v>224</v>
      </c>
    </row>
    <row r="208" spans="1:12" ht="12.75" customHeight="1">
      <c r="A208" s="153" t="str">
        <f>НОМ!A9</f>
        <v>Картофель свежий</v>
      </c>
      <c r="B208" s="154">
        <f>НОМ!C9/1000</f>
        <v>0.12</v>
      </c>
      <c r="C208" s="154">
        <f t="shared" ref="C208:C216" si="13">B208*$B$193</f>
        <v>1.44</v>
      </c>
      <c r="D208" s="155"/>
      <c r="E208" s="156">
        <f>VLOOKUP(A208,НОМ!$A$3:$I$89,9,FALSE)/VLOOKUP(A208,НОМ!$A$3:$I$89,6,FALSE)*C208</f>
        <v>38.223938223938227</v>
      </c>
      <c r="F208" s="157">
        <f>IF(G208&lt;1,1000*МЕНЮ!C208*(1-G208),1000*МЕНЮ!C208+G208*$B$193)</f>
        <v>2400</v>
      </c>
      <c r="G208" s="73">
        <v>80</v>
      </c>
      <c r="H208" s="199">
        <f>SUM(F208:F212)</f>
        <v>3198</v>
      </c>
      <c r="I208" s="200">
        <f>H208/B193</f>
        <v>266.5</v>
      </c>
      <c r="K208" s="178">
        <f>ROUND(C208*1000/VLOOKUP(A208,НОМ!$A$3:$I$70,3,FALSE),1)</f>
        <v>12</v>
      </c>
      <c r="L208" s="176" t="s">
        <v>212</v>
      </c>
    </row>
    <row r="209" spans="1:12" ht="12.75" customHeight="1">
      <c r="A209" s="153" t="str">
        <f>НОМ!$A$22</f>
        <v>Лук репчатый</v>
      </c>
      <c r="B209" s="154">
        <v>1.4999999999999999E-2</v>
      </c>
      <c r="C209" s="154">
        <f t="shared" si="13"/>
        <v>0.18</v>
      </c>
      <c r="D209" s="155"/>
      <c r="E209" s="156">
        <f>VLOOKUP(A209,НОМ!$A$3:$I$89,9,FALSE)/VLOOKUP(A209,НОМ!$A$3:$I$89,6,FALSE)*C209</f>
        <v>6.3890203502129674</v>
      </c>
      <c r="F209" s="157">
        <f>IF(G209&lt;1,1000*МЕНЮ!C209*(1-G209),1000*МЕНЮ!C209+G209*$B$193)</f>
        <v>117</v>
      </c>
      <c r="G209" s="72">
        <v>0.35</v>
      </c>
      <c r="H209" s="199"/>
      <c r="I209" s="200"/>
      <c r="K209" s="178">
        <f>ROUND(C209*1000/VLOOKUP(A209,НОМ!$A$3:$I$70,3,FALSE),1)</f>
        <v>1.8</v>
      </c>
      <c r="L209" s="176" t="s">
        <v>202</v>
      </c>
    </row>
    <row r="210" spans="1:12">
      <c r="A210" s="153" t="str">
        <f>НОМ!$A$29</f>
        <v>Морковь свежая</v>
      </c>
      <c r="B210" s="154">
        <v>1.4999999999999999E-2</v>
      </c>
      <c r="C210" s="154">
        <f t="shared" si="13"/>
        <v>0.18</v>
      </c>
      <c r="D210" s="155"/>
      <c r="E210" s="156">
        <f>VLOOKUP(A210,НОМ!$A$3:$I$89,9,FALSE)/VLOOKUP(A210,НОМ!$A$3:$I$89,6,FALSE)*C210</f>
        <v>8.7096774193548381</v>
      </c>
      <c r="F210" s="157">
        <f>IF(G210&lt;1,1000*МЕНЮ!C210*(1-G210),1000*МЕНЮ!C210+G210*$B$193)</f>
        <v>117</v>
      </c>
      <c r="G210" s="72">
        <v>0.35</v>
      </c>
      <c r="H210" s="199"/>
      <c r="I210" s="200"/>
      <c r="K210" s="178">
        <f>ROUND(C210*1000/VLOOKUP(A210,НОМ!$A$3:$I$70,3,FALSE),1)</f>
        <v>1.8</v>
      </c>
      <c r="L210" s="176" t="s">
        <v>206</v>
      </c>
    </row>
    <row r="211" spans="1:12">
      <c r="A211" s="153" t="str">
        <f>НОМ!A4</f>
        <v>Грибы белые, черные, сухие</v>
      </c>
      <c r="B211" s="154">
        <v>3.0000000000000001E-3</v>
      </c>
      <c r="C211" s="154">
        <f t="shared" si="13"/>
        <v>3.6000000000000004E-2</v>
      </c>
      <c r="D211" s="155"/>
      <c r="E211" s="156">
        <f>VLOOKUP(A211,НОМ!$A$3:$I$89,9,FALSE)/VLOOKUP(A211,НОМ!$A$3:$I$89,6,FALSE)*C211</f>
        <v>0</v>
      </c>
      <c r="F211" s="157">
        <f>IF(G211&lt;1,1000*МЕНЮ!C211*(1-G211),1000*МЕНЮ!C211+G211*$B$193)</f>
        <v>18.000000000000004</v>
      </c>
      <c r="G211" s="72">
        <v>0.5</v>
      </c>
      <c r="H211" s="199"/>
      <c r="I211" s="200"/>
    </row>
    <row r="212" spans="1:12">
      <c r="A212" s="153" t="str">
        <f>НОМ!A60</f>
        <v>Мясо - свинина ребрышки</v>
      </c>
      <c r="B212" s="154">
        <v>6.5000000000000002E-2</v>
      </c>
      <c r="C212" s="154">
        <f t="shared" si="13"/>
        <v>0.78</v>
      </c>
      <c r="D212" s="155"/>
      <c r="E212" s="156">
        <f>VLOOKUP(A212,НОМ!$A$3:$I$89,9,FALSE)/VLOOKUP(A212,НОМ!$A$3:$I$89,6,FALSE)*C212</f>
        <v>157.2413793103448</v>
      </c>
      <c r="F212" s="157">
        <f>IF(G212&lt;1,1000*МЕНЮ!C212*(1-G212),1000*МЕНЮ!C212+G212*$B$193)</f>
        <v>546</v>
      </c>
      <c r="G212" s="72">
        <v>0.3</v>
      </c>
      <c r="H212" s="199"/>
      <c r="I212" s="200"/>
    </row>
    <row r="213" spans="1:12" ht="12.75" customHeight="1">
      <c r="A213" s="85" t="str">
        <f>НОМ!$A$56</f>
        <v>Хлеб - ржаной в нарезке</v>
      </c>
      <c r="B213" s="75">
        <f>VLOOKUP(A213,НОМ!$A$1:$I$70,3,FALSE)*3/1000</f>
        <v>7.4999999999999997E-2</v>
      </c>
      <c r="C213" s="75">
        <f t="shared" si="13"/>
        <v>0.89999999999999991</v>
      </c>
      <c r="D213" s="86"/>
      <c r="E213" s="87">
        <f>VLOOKUP(A213,НОМ!$A$3:$I$89,9,FALSE)/VLOOKUP(A213,НОМ!$A$3:$I$89,6,FALSE)*C213</f>
        <v>33.707865168539328</v>
      </c>
      <c r="F213" s="88">
        <f>IF(G213&lt;1,1000*МЕНЮ!C213*(1-G213),1000*МЕНЮ!C213+G213*$B$193)</f>
        <v>899.99999999999989</v>
      </c>
      <c r="G213" s="73"/>
      <c r="H213" s="202">
        <f>SUM(F213:F216)</f>
        <v>4884</v>
      </c>
      <c r="I213" s="201">
        <f>H213/B193</f>
        <v>407</v>
      </c>
    </row>
    <row r="214" spans="1:12">
      <c r="A214" s="168" t="str">
        <f>НОМ!$A$57</f>
        <v>Чай черный крупнолистовой</v>
      </c>
      <c r="B214" s="169">
        <f>0.002</f>
        <v>2E-3</v>
      </c>
      <c r="C214" s="169">
        <f t="shared" si="13"/>
        <v>2.4E-2</v>
      </c>
      <c r="D214" s="170"/>
      <c r="E214" s="171">
        <f>VLOOKUP(A214,НОМ!$A$3:$I$89,9,FALSE)/VLOOKUP(A214,НОМ!$A$3:$I$89,6,FALSE)*C214</f>
        <v>16.744186046511626</v>
      </c>
      <c r="F214" s="172">
        <f>IF(G214&lt;1,1000*МЕНЮ!C214*(1-G214),1000*МЕНЮ!C214+G214*$B$193)</f>
        <v>2424</v>
      </c>
      <c r="G214" s="73">
        <v>200</v>
      </c>
      <c r="H214" s="202"/>
      <c r="I214" s="201"/>
    </row>
    <row r="215" spans="1:12">
      <c r="A215" s="85" t="str">
        <f>НОМ!$A$33</f>
        <v>Конд.изд. (ш.конф.печ.ваф.шок.и т.д.)</v>
      </c>
      <c r="B215" s="76">
        <v>0.03</v>
      </c>
      <c r="C215" s="75">
        <f t="shared" si="13"/>
        <v>0.36</v>
      </c>
      <c r="D215" s="86"/>
      <c r="E215" s="87">
        <f>VLOOKUP(A215,НОМ!$A$3:$I$89,9,FALSE)/VLOOKUP(A215,НОМ!$A$3:$I$89,6,FALSE)*C215</f>
        <v>90.697674418604649</v>
      </c>
      <c r="F215" s="88">
        <f>IF(G215&lt;1,1000*МЕНЮ!C215*(1-G215),1000*МЕНЮ!C215+G215*$B$193)</f>
        <v>360</v>
      </c>
      <c r="G215" s="73"/>
      <c r="H215" s="202"/>
      <c r="I215" s="201"/>
    </row>
    <row r="216" spans="1:12">
      <c r="A216" s="106" t="str">
        <f>НОМ!$A$27</f>
        <v>Миниральная вода</v>
      </c>
      <c r="B216" s="107">
        <v>0.1</v>
      </c>
      <c r="C216" s="107">
        <f t="shared" si="13"/>
        <v>1.2000000000000002</v>
      </c>
      <c r="D216" s="108"/>
      <c r="E216" s="109">
        <f>VLOOKUP(A216,НОМ!$A$3:$I$89,9,FALSE)/VLOOKUP(A216,НОМ!$A$3:$I$89,6,FALSE)*C216</f>
        <v>23.606557377049182</v>
      </c>
      <c r="F216" s="110">
        <f>IF(G216&lt;1,1000*МЕНЮ!C216*(1-G216),1000*МЕНЮ!C216+G216*$B$193)</f>
        <v>1200.0000000000002</v>
      </c>
      <c r="G216" s="73"/>
      <c r="H216" s="202"/>
      <c r="I216" s="201"/>
    </row>
    <row r="217" spans="1:12">
      <c r="A217" s="89" t="s">
        <v>46</v>
      </c>
      <c r="B217" s="89"/>
      <c r="C217" s="89"/>
      <c r="D217" s="89"/>
      <c r="E217" s="90">
        <f>SUM(E195:E216)</f>
        <v>1071.3254568326629</v>
      </c>
      <c r="F217" s="91">
        <f>SUM(F195:F216)</f>
        <v>12807</v>
      </c>
      <c r="G217" s="92"/>
      <c r="H217" s="196">
        <f>F217/B193</f>
        <v>1067.25</v>
      </c>
      <c r="I217" s="196"/>
    </row>
    <row r="219" spans="1:12" ht="12.75" customHeight="1">
      <c r="A219" s="193" t="s">
        <v>166</v>
      </c>
      <c r="B219" s="193"/>
      <c r="C219" s="193"/>
      <c r="D219" s="193"/>
      <c r="E219" s="193"/>
      <c r="F219" s="193"/>
      <c r="G219" s="63"/>
    </row>
    <row r="220" spans="1:12">
      <c r="A220" s="64" t="s">
        <v>48</v>
      </c>
      <c r="B220" s="65">
        <f>РАСЧЕТЫ!P36</f>
        <v>0</v>
      </c>
      <c r="C220" s="66" t="s">
        <v>39</v>
      </c>
      <c r="D220" s="66"/>
      <c r="E220" s="67"/>
      <c r="F220" s="68"/>
    </row>
    <row r="221" spans="1:12">
      <c r="A221" s="5" t="s">
        <v>40</v>
      </c>
      <c r="B221" s="69" t="s">
        <v>41</v>
      </c>
      <c r="C221" s="5" t="s">
        <v>42</v>
      </c>
      <c r="D221" s="5"/>
      <c r="E221" s="70" t="s">
        <v>43</v>
      </c>
      <c r="F221" s="5" t="s">
        <v>44</v>
      </c>
      <c r="G221" s="71"/>
    </row>
    <row r="222" spans="1:12" ht="12.75" customHeight="1">
      <c r="A222" s="148" t="str">
        <f>НОМ!$A$62</f>
        <v>Ветчина свиная в в/у</v>
      </c>
      <c r="B222" s="149">
        <v>7.0000000000000007E-2</v>
      </c>
      <c r="C222" s="149">
        <f t="shared" ref="C222:C226" si="14">B222*$B$220</f>
        <v>0</v>
      </c>
      <c r="D222" s="150"/>
      <c r="E222" s="151"/>
      <c r="F222" s="152">
        <f>IF(G222&lt;1,1000*МЕНЮ!C222*(1-G222),1000*МЕНЮ!C222+G222*$B$220)</f>
        <v>0</v>
      </c>
      <c r="G222" s="73"/>
      <c r="H222" s="194">
        <f>SUM(F222:F226)</f>
        <v>0</v>
      </c>
      <c r="I222" s="195"/>
    </row>
    <row r="223" spans="1:12">
      <c r="A223" s="148" t="str">
        <f>НОМ!$A$38</f>
        <v>Салат "айсберг"</v>
      </c>
      <c r="B223" s="149">
        <f>ROUND(VLOOKUP(A223,НОМ!$A$3:$I$70,3,FALSE)/1000/10,3)</f>
        <v>0.03</v>
      </c>
      <c r="C223" s="149">
        <f t="shared" si="14"/>
        <v>0</v>
      </c>
      <c r="D223" s="150"/>
      <c r="E223" s="151">
        <f>VLOOKUP(A223,НОМ!$A$3:$I$89,9,FALSE)/VLOOKUP(A223,НОМ!$A$3:$I$89,6,FALSE)*C223</f>
        <v>0</v>
      </c>
      <c r="F223" s="152">
        <f>IF(G223&lt;1,1000*МЕНЮ!C223*(1-G223),1000*МЕНЮ!C223+G223*$B$220)</f>
        <v>0</v>
      </c>
      <c r="G223" s="73"/>
      <c r="H223" s="194"/>
      <c r="I223" s="195"/>
      <c r="K223" s="177">
        <f>ROUND(C223*1000/VLOOKUP(A223,НОМ!$A$3:$I$70,3,FALSE),1)</f>
        <v>0</v>
      </c>
      <c r="L223" s="176" t="s">
        <v>201</v>
      </c>
    </row>
    <row r="224" spans="1:12">
      <c r="A224" s="148" t="str">
        <f>НОМ!A30</f>
        <v>Огурцы коротоплодные свежие</v>
      </c>
      <c r="B224" s="149">
        <f>ROUND(VLOOKUP(A224,НОМ!$A$3:$I$70,3,FALSE)/1000/3,3)</f>
        <v>3.3000000000000002E-2</v>
      </c>
      <c r="C224" s="149">
        <f t="shared" si="14"/>
        <v>0</v>
      </c>
      <c r="D224" s="150"/>
      <c r="E224" s="151">
        <f>VLOOKUP(A224,НОМ!$A$3:$I$89,9,FALSE)/VLOOKUP(A224,НОМ!$A$3:$I$89,6,FALSE)*C224</f>
        <v>0</v>
      </c>
      <c r="F224" s="152">
        <f>IF(G224&lt;1,1000*МЕНЮ!C224*(1-G224),1000*МЕНЮ!C224+G224*$B$220)</f>
        <v>0</v>
      </c>
      <c r="G224" s="73"/>
      <c r="H224" s="194"/>
      <c r="I224" s="195"/>
      <c r="K224" s="178">
        <f>ROUND(C224*1000/VLOOKUP(A224,НОМ!$A$3:$I$70,3,FALSE),1)</f>
        <v>0</v>
      </c>
      <c r="L224" s="176" t="s">
        <v>199</v>
      </c>
    </row>
    <row r="225" spans="1:12">
      <c r="A225" s="148" t="str">
        <f>НОМ!$A$25</f>
        <v>Майонез "Провансаль"</v>
      </c>
      <c r="B225" s="149">
        <v>0.02</v>
      </c>
      <c r="C225" s="149">
        <f t="shared" si="14"/>
        <v>0</v>
      </c>
      <c r="D225" s="150"/>
      <c r="E225" s="151">
        <f>VLOOKUP(A225,НОМ!$A$3:$I$89,9,FALSE)/VLOOKUP(A225,НОМ!$A$3:$I$89,6,FALSE)*C225</f>
        <v>0</v>
      </c>
      <c r="F225" s="152">
        <f>IF(G225&lt;1,1000*МЕНЮ!C225*(1-G225),1000*МЕНЮ!C225+G225*$B$220)</f>
        <v>0</v>
      </c>
      <c r="G225" s="73"/>
      <c r="H225" s="194"/>
      <c r="I225" s="195"/>
    </row>
    <row r="226" spans="1:12">
      <c r="A226" s="148" t="str">
        <f>НОМ!$A$5</f>
        <v>Зелень свежая</v>
      </c>
      <c r="B226" s="149">
        <v>5.0000000000000001E-3</v>
      </c>
      <c r="C226" s="149">
        <f t="shared" si="14"/>
        <v>0</v>
      </c>
      <c r="D226" s="150"/>
      <c r="E226" s="151">
        <f>VLOOKUP(A226,НОМ!$A$3:$I$89,9,FALSE)/VLOOKUP(A226,НОМ!$A$3:$I$89,6,FALSE)*C226</f>
        <v>0</v>
      </c>
      <c r="F226" s="152">
        <f>IF(G226&lt;1,1000*МЕНЮ!C226*(1-G226),1000*МЕНЮ!C226+G226*$B$220)</f>
        <v>0</v>
      </c>
      <c r="G226" s="73"/>
      <c r="H226" s="194"/>
      <c r="I226" s="195"/>
      <c r="K226" s="179">
        <f>ROUND(C226*1000/VLOOKUP(A226,НОМ!$A$3:$I$70,3,FALSE),1)</f>
        <v>0</v>
      </c>
      <c r="L226" s="176" t="s">
        <v>242</v>
      </c>
    </row>
    <row r="227" spans="1:12" ht="12.75" customHeight="1">
      <c r="A227" s="163"/>
      <c r="B227" s="164"/>
      <c r="C227" s="164"/>
      <c r="D227" s="165"/>
      <c r="E227" s="166"/>
      <c r="F227" s="167"/>
      <c r="G227" s="72"/>
      <c r="H227" s="194"/>
      <c r="I227" s="195"/>
    </row>
    <row r="228" spans="1:12" ht="12.75" customHeight="1">
      <c r="A228" s="163"/>
      <c r="B228" s="164"/>
      <c r="C228" s="164"/>
      <c r="D228" s="165"/>
      <c r="E228" s="166"/>
      <c r="F228" s="167"/>
      <c r="G228" s="72"/>
      <c r="H228" s="194"/>
      <c r="I228" s="195"/>
    </row>
    <row r="229" spans="1:12">
      <c r="A229" s="163"/>
      <c r="B229" s="164"/>
      <c r="C229" s="164"/>
      <c r="D229" s="165"/>
      <c r="E229" s="166"/>
      <c r="F229" s="167"/>
      <c r="G229" s="72"/>
      <c r="H229" s="194"/>
      <c r="I229" s="195"/>
    </row>
    <row r="230" spans="1:12">
      <c r="A230" s="163"/>
      <c r="B230" s="164"/>
      <c r="C230" s="164"/>
      <c r="D230" s="165"/>
      <c r="E230" s="166"/>
      <c r="F230" s="167"/>
      <c r="G230" s="73"/>
      <c r="H230" s="194"/>
      <c r="I230" s="195"/>
    </row>
    <row r="231" spans="1:12">
      <c r="A231" s="163"/>
      <c r="B231" s="164"/>
      <c r="C231" s="164"/>
      <c r="D231" s="165"/>
      <c r="E231" s="166"/>
      <c r="F231" s="167"/>
      <c r="G231" s="73"/>
      <c r="H231" s="194"/>
      <c r="I231" s="195"/>
    </row>
    <row r="232" spans="1:12">
      <c r="A232" s="163"/>
      <c r="B232" s="164"/>
      <c r="C232" s="164"/>
      <c r="D232" s="165"/>
      <c r="E232" s="166"/>
      <c r="F232" s="167"/>
      <c r="G232" s="73"/>
      <c r="H232" s="194"/>
      <c r="I232" s="195"/>
    </row>
    <row r="233" spans="1:12">
      <c r="A233" s="163"/>
      <c r="B233" s="164"/>
      <c r="C233" s="164"/>
      <c r="D233" s="165"/>
      <c r="E233" s="166"/>
      <c r="F233" s="167"/>
      <c r="G233" s="73"/>
      <c r="H233" s="194"/>
      <c r="I233" s="195"/>
    </row>
    <row r="234" spans="1:12">
      <c r="A234" s="163"/>
      <c r="B234" s="164"/>
      <c r="C234" s="164"/>
      <c r="D234" s="165"/>
      <c r="E234" s="166"/>
      <c r="F234" s="167"/>
      <c r="G234" s="73"/>
      <c r="H234" s="194"/>
      <c r="I234" s="195"/>
    </row>
    <row r="235" spans="1:12">
      <c r="A235" s="163"/>
      <c r="B235" s="164"/>
      <c r="C235" s="164"/>
      <c r="D235" s="165"/>
      <c r="E235" s="166"/>
      <c r="F235" s="167"/>
      <c r="G235" s="73"/>
      <c r="H235" s="194"/>
      <c r="I235" s="195"/>
    </row>
    <row r="236" spans="1:12">
      <c r="A236" s="163"/>
      <c r="B236" s="164"/>
      <c r="C236" s="164"/>
      <c r="D236" s="165"/>
      <c r="E236" s="166"/>
      <c r="F236" s="167"/>
      <c r="G236" s="73"/>
      <c r="H236" s="194"/>
      <c r="I236" s="195"/>
    </row>
    <row r="237" spans="1:12">
      <c r="A237" s="163"/>
      <c r="B237" s="164"/>
      <c r="C237" s="164"/>
      <c r="D237" s="165"/>
      <c r="E237" s="166"/>
      <c r="F237" s="167"/>
      <c r="G237" s="73"/>
      <c r="H237" s="194"/>
      <c r="I237" s="195"/>
    </row>
    <row r="238" spans="1:12" ht="12.75" customHeight="1">
      <c r="A238" s="85" t="str">
        <f>НОМ!$A$56</f>
        <v>Хлеб - ржаной в нарезке</v>
      </c>
      <c r="B238" s="75">
        <f>VLOOKUP(A238,НОМ!$A$1:$I$70,3,FALSE)*2/1000</f>
        <v>0.05</v>
      </c>
      <c r="C238" s="75">
        <f t="shared" ref="C238:C243" si="15">B238*$B$220</f>
        <v>0</v>
      </c>
      <c r="D238" s="86"/>
      <c r="E238" s="87">
        <f>VLOOKUP(A238,НОМ!$A$3:$I$89,9,FALSE)/VLOOKUP(A238,НОМ!$A$3:$I$89,6,FALSE)*C238</f>
        <v>0</v>
      </c>
      <c r="F238" s="88">
        <f>IF(G238&lt;1,1000*МЕНЮ!C238*(1-G238),1000*МЕНЮ!C238+G238*$B$220)</f>
        <v>0</v>
      </c>
      <c r="G238" s="73"/>
      <c r="H238" s="202">
        <f>SUM(F238:F243)</f>
        <v>0</v>
      </c>
      <c r="I238" s="201"/>
    </row>
    <row r="239" spans="1:12">
      <c r="A239" s="106" t="str">
        <f>НОМ!$A$42</f>
        <v>Сок фруктовый</v>
      </c>
      <c r="B239" s="107">
        <f>0.1</f>
        <v>0.1</v>
      </c>
      <c r="C239" s="107">
        <f t="shared" si="15"/>
        <v>0</v>
      </c>
      <c r="D239" s="108"/>
      <c r="E239" s="109">
        <f>VLOOKUP(A239,НОМ!$A$3:$I$89,9,FALSE)/VLOOKUP(A239,НОМ!$A$3:$I$89,6,FALSE)*C239</f>
        <v>0</v>
      </c>
      <c r="F239" s="110">
        <f>IF(G239&lt;1,1000*МЕНЮ!C239*(1-G239),1000*МЕНЮ!C239+G239*$B$220)</f>
        <v>0</v>
      </c>
      <c r="G239" s="73"/>
      <c r="H239" s="202"/>
      <c r="I239" s="201"/>
    </row>
    <row r="240" spans="1:12">
      <c r="A240" s="168" t="str">
        <f>НОМ!$A$57</f>
        <v>Чай черный крупнолистовой</v>
      </c>
      <c r="B240" s="169">
        <f>0.002</f>
        <v>2E-3</v>
      </c>
      <c r="C240" s="169">
        <f t="shared" si="15"/>
        <v>0</v>
      </c>
      <c r="D240" s="170"/>
      <c r="E240" s="171">
        <f>VLOOKUP(A240,НОМ!$A$3:$I$89,9,FALSE)/VLOOKUP(A240,НОМ!$A$3:$I$89,6,FALSE)*C240</f>
        <v>0</v>
      </c>
      <c r="F240" s="172">
        <f>IF(G240&lt;1,1000*МЕНЮ!C240*(1-G240),1000*МЕНЮ!C240+G240*$B$220)</f>
        <v>0</v>
      </c>
      <c r="G240" s="73">
        <v>200</v>
      </c>
      <c r="H240" s="202"/>
      <c r="I240" s="201"/>
    </row>
    <row r="241" spans="1:12">
      <c r="A241" s="85" t="str">
        <f>НОМ!$A$39</f>
        <v>Сахар рафинад</v>
      </c>
      <c r="B241" s="75">
        <v>5.0000000000000001E-4</v>
      </c>
      <c r="C241" s="75">
        <f t="shared" si="15"/>
        <v>0</v>
      </c>
      <c r="D241" s="86"/>
      <c r="E241" s="87">
        <f>VLOOKUP(A241,НОМ!$A$3:$I$89,9,FALSE)/VLOOKUP(A241,НОМ!$A$3:$I$89,6,FALSE)*C241</f>
        <v>0</v>
      </c>
      <c r="F241" s="88">
        <f>IF(G241&lt;1,1000*МЕНЮ!C241*(1-G241),1000*МЕНЮ!C241+G241*$B$220)</f>
        <v>0</v>
      </c>
      <c r="G241" s="73"/>
      <c r="H241" s="202"/>
      <c r="I241" s="201"/>
    </row>
    <row r="242" spans="1:12">
      <c r="A242" s="85" t="str">
        <f>НОМ!$A$41</f>
        <v>Семечки подсолнечника жареные</v>
      </c>
      <c r="B242" s="75">
        <v>3.3000000000000002E-2</v>
      </c>
      <c r="C242" s="75">
        <f t="shared" si="15"/>
        <v>0</v>
      </c>
      <c r="D242" s="86"/>
      <c r="E242" s="87">
        <f>VLOOKUP(A242,НОМ!$A$3:$I$89,9,FALSE)/VLOOKUP(A242,НОМ!$A$3:$I$89,6,FALSE)*C242</f>
        <v>0</v>
      </c>
      <c r="F242" s="88">
        <f>IF(G242&lt;1,1000*МЕНЮ!C242*(1-G242),1000*МЕНЮ!C242+G242*$B$220)</f>
        <v>0</v>
      </c>
      <c r="G242" s="72">
        <v>0.3</v>
      </c>
      <c r="H242" s="202"/>
      <c r="I242" s="201"/>
    </row>
    <row r="243" spans="1:12">
      <c r="A243" s="85" t="str">
        <f>НОМ!$A$33</f>
        <v>Конд.изд. (ш.конф.печ.ваф.шок.и т.д.)</v>
      </c>
      <c r="B243" s="76">
        <v>0.03</v>
      </c>
      <c r="C243" s="75">
        <f t="shared" si="15"/>
        <v>0</v>
      </c>
      <c r="D243" s="86"/>
      <c r="E243" s="87">
        <f>VLOOKUP(A243,НОМ!$A$3:$I$89,9,FALSE)/VLOOKUP(A243,НОМ!$A$3:$I$89,6,FALSE)*C243</f>
        <v>0</v>
      </c>
      <c r="F243" s="88">
        <f>IF(G243&lt;1,1000*МЕНЮ!C243*(1-G243),1000*МЕНЮ!C243+G243*$B$220)</f>
        <v>0</v>
      </c>
      <c r="G243" s="73"/>
      <c r="H243" s="202"/>
      <c r="I243" s="201"/>
    </row>
    <row r="244" spans="1:12">
      <c r="A244" s="89" t="s">
        <v>46</v>
      </c>
      <c r="B244" s="89"/>
      <c r="C244" s="89"/>
      <c r="D244" s="89"/>
      <c r="E244" s="90">
        <f>SUM(E222:E243)</f>
        <v>0</v>
      </c>
      <c r="F244" s="91">
        <f>SUM(F222:F243)</f>
        <v>0</v>
      </c>
      <c r="G244" s="92"/>
      <c r="H244" s="196"/>
      <c r="I244" s="196"/>
    </row>
    <row r="245" spans="1:12">
      <c r="A245" s="112"/>
      <c r="B245" s="112"/>
      <c r="C245" s="112"/>
      <c r="D245" s="112"/>
      <c r="E245" s="113"/>
      <c r="F245" s="114"/>
      <c r="G245" s="115"/>
      <c r="H245" s="114"/>
      <c r="I245" s="114"/>
    </row>
    <row r="246" spans="1:12" ht="19.5" customHeight="1">
      <c r="A246" s="193" t="s">
        <v>167</v>
      </c>
      <c r="B246" s="193"/>
      <c r="C246" s="193"/>
      <c r="D246" s="193"/>
      <c r="E246" s="193"/>
      <c r="F246" s="193"/>
      <c r="G246" s="63"/>
    </row>
    <row r="247" spans="1:12">
      <c r="A247" s="64" t="s">
        <v>15</v>
      </c>
      <c r="B247" s="65">
        <f>РАСЧЕТЫ!Q36</f>
        <v>0</v>
      </c>
      <c r="C247" s="66" t="s">
        <v>39</v>
      </c>
      <c r="D247" s="66"/>
      <c r="E247" s="67"/>
      <c r="F247" s="68"/>
    </row>
    <row r="248" spans="1:12">
      <c r="A248" s="5" t="s">
        <v>40</v>
      </c>
      <c r="B248" s="69" t="s">
        <v>41</v>
      </c>
      <c r="C248" s="5" t="s">
        <v>42</v>
      </c>
      <c r="D248" s="5"/>
      <c r="E248" s="70" t="s">
        <v>43</v>
      </c>
      <c r="F248" s="5" t="s">
        <v>44</v>
      </c>
      <c r="G248" s="71"/>
    </row>
    <row r="249" spans="1:12" ht="12.75" customHeight="1">
      <c r="A249" s="94" t="str">
        <f>НОМ!$A$44</f>
        <v>Сосиски в вакумной упаковке</v>
      </c>
      <c r="B249" s="95">
        <f>ROUND(VLOOKUP(A249,НОМ!$A$3:$I$70,3,FALSE)/1000,3)</f>
        <v>6.5000000000000002E-2</v>
      </c>
      <c r="C249" s="95">
        <f>B249*$B$247</f>
        <v>0</v>
      </c>
      <c r="D249" s="96"/>
      <c r="E249" s="97">
        <f>VLOOKUP(A249,НОМ!$A$3:$I$89,9,FALSE)/VLOOKUP(A249,НОМ!$A$3:$I$89,6,FALSE)*C249</f>
        <v>0</v>
      </c>
      <c r="F249" s="98">
        <f>IF(G249&lt;1,1000*МЕНЮ!C249*(1-G249),1000*МЕНЮ!C249+G249*$B$247)</f>
        <v>0</v>
      </c>
      <c r="G249" s="73"/>
      <c r="H249" s="199">
        <f>SUM(F249:F250)</f>
        <v>0</v>
      </c>
      <c r="I249" s="200"/>
      <c r="J249" s="99"/>
      <c r="K249" s="178">
        <f>ROUND(C249*1000/VLOOKUP(A249,НОМ!$A$3:$I$70,3,FALSE),1)</f>
        <v>0</v>
      </c>
      <c r="L249" s="176" t="s">
        <v>210</v>
      </c>
    </row>
    <row r="250" spans="1:12">
      <c r="A250" s="94" t="str">
        <f>НОМ!$A$65</f>
        <v>Яйцо куриное</v>
      </c>
      <c r="B250" s="95">
        <f>ROUND(VLOOKUP(A250,НОМ!$A$3:$I$70,3,FALSE)/1000,3)</f>
        <v>5.5E-2</v>
      </c>
      <c r="C250" s="95">
        <f t="shared" ref="C250:C258" si="16">B250*$B$247</f>
        <v>0</v>
      </c>
      <c r="D250" s="96"/>
      <c r="E250" s="97">
        <f>VLOOKUP(A250,НОМ!$A$3:$I$89,9,FALSE)/VLOOKUP(A250,НОМ!$A$3:$I$89,6,FALSE)*C250</f>
        <v>0</v>
      </c>
      <c r="F250" s="98">
        <f>IF(G250&lt;1,1000*МЕНЮ!C250*(1-G250),1000*МЕНЮ!C250+G250*$B$247)</f>
        <v>0</v>
      </c>
      <c r="G250" s="73"/>
      <c r="H250" s="199"/>
      <c r="I250" s="200"/>
      <c r="J250" s="99"/>
      <c r="K250" s="178">
        <f>ROUND(C250*1000/VLOOKUP(A250,НОМ!$A$3:$I$70,3,FALSE),1)</f>
        <v>0</v>
      </c>
      <c r="L250" s="176" t="s">
        <v>225</v>
      </c>
    </row>
    <row r="251" spans="1:12" ht="12.75" customHeight="1">
      <c r="A251" s="74" t="str">
        <f>НОМ!$A$12</f>
        <v>Колбаса вар.копченая</v>
      </c>
      <c r="B251" s="76">
        <v>0.03</v>
      </c>
      <c r="C251" s="76">
        <f t="shared" si="16"/>
        <v>0</v>
      </c>
      <c r="D251" s="77"/>
      <c r="E251" s="78">
        <f>VLOOKUP(A251,НОМ!$A$3:$I$89,9,FALSE)/VLOOKUP(A251,НОМ!$A$3:$I$89,6,FALSE)*C251</f>
        <v>0</v>
      </c>
      <c r="F251" s="79">
        <f>IF(G251&lt;1,1000*МЕНЮ!C251*(1-G251),1000*МЕНЮ!C251+G251*$B$247)</f>
        <v>0</v>
      </c>
      <c r="G251" s="73"/>
      <c r="H251" s="197">
        <f>SUM(F251:F258)</f>
        <v>0</v>
      </c>
      <c r="I251" s="198"/>
      <c r="J251" s="99"/>
    </row>
    <row r="252" spans="1:12">
      <c r="A252" s="74" t="str">
        <f>НОМ!$A$26</f>
        <v>Масло сливочное</v>
      </c>
      <c r="B252" s="76">
        <v>0.01</v>
      </c>
      <c r="C252" s="76">
        <f t="shared" si="16"/>
        <v>0</v>
      </c>
      <c r="D252" s="77"/>
      <c r="E252" s="78">
        <f>VLOOKUP(A252,НОМ!$A$3:$I$89,9,FALSE)/VLOOKUP(A252,НОМ!$A$3:$I$89,6,FALSE)*C252</f>
        <v>0</v>
      </c>
      <c r="F252" s="79">
        <f>IF(G252&lt;1,1000*МЕНЮ!C252*(1-G252),1000*МЕНЮ!C252+G252*$B$247)</f>
        <v>0</v>
      </c>
      <c r="G252" s="73"/>
      <c r="H252" s="197"/>
      <c r="I252" s="198"/>
      <c r="J252" s="99"/>
    </row>
    <row r="253" spans="1:12">
      <c r="A253" s="74" t="str">
        <f>НОМ!$A$50</f>
        <v>Сыр твердый</v>
      </c>
      <c r="B253" s="76">
        <v>1.4999999999999999E-2</v>
      </c>
      <c r="C253" s="76">
        <f t="shared" si="16"/>
        <v>0</v>
      </c>
      <c r="D253" s="77"/>
      <c r="E253" s="78">
        <f>VLOOKUP(A253,НОМ!$A$3:$I$89,9,FALSE)/VLOOKUP(A253,НОМ!$A$3:$I$89,6,FALSE)*C253</f>
        <v>0</v>
      </c>
      <c r="F253" s="79">
        <f>IF(G253&lt;1,1000*МЕНЮ!C253*(1-G253),1000*МЕНЮ!C253+G253*$B$247)</f>
        <v>0</v>
      </c>
      <c r="G253" s="73"/>
      <c r="H253" s="197"/>
      <c r="I253" s="198"/>
      <c r="J253" s="99"/>
    </row>
    <row r="254" spans="1:12">
      <c r="A254" s="74" t="str">
        <f>НОМ!$A$55</f>
        <v>Хлеб - батон в нарезке</v>
      </c>
      <c r="B254" s="75">
        <f>VLOOKUP(A254,НОМ!$A$1:$I$70,3,FALSE)*3.5/1000</f>
        <v>7.3499999999999996E-2</v>
      </c>
      <c r="C254" s="76">
        <f t="shared" si="16"/>
        <v>0</v>
      </c>
      <c r="D254" s="77"/>
      <c r="E254" s="78">
        <f>VLOOKUP(A254,НОМ!$A$3:$I$89,9,FALSE)/VLOOKUP(A254,НОМ!$A$3:$I$89,6,FALSE)*C254</f>
        <v>0</v>
      </c>
      <c r="F254" s="79">
        <f>IF(G254&lt;1,1000*МЕНЮ!C254*(1-G254),1000*МЕНЮ!C254+G254*$B$247)</f>
        <v>0</v>
      </c>
      <c r="G254" s="73"/>
      <c r="H254" s="197"/>
      <c r="I254" s="198"/>
      <c r="J254" s="99"/>
    </row>
    <row r="255" spans="1:12">
      <c r="A255" s="168" t="str">
        <f>НОМ!$A$58</f>
        <v>Чай черный в пактиках</v>
      </c>
      <c r="B255" s="169">
        <f>VLOOKUP(A255,НОМ!$A$1:$I$70,3,FALSE)*1/1000</f>
        <v>2E-3</v>
      </c>
      <c r="C255" s="169">
        <f t="shared" si="16"/>
        <v>0</v>
      </c>
      <c r="D255" s="170"/>
      <c r="E255" s="171">
        <f>VLOOKUP(A255,НОМ!$A$3:$I$89,9,FALSE)/VLOOKUP(A255,НОМ!$A$3:$I$89,6,FALSE)*C255</f>
        <v>0</v>
      </c>
      <c r="F255" s="172">
        <f>IF(G255&lt;1,1000*МЕНЮ!C255*(1-G255),1000*МЕНЮ!C255+G255*$B$247)</f>
        <v>0</v>
      </c>
      <c r="G255" s="73">
        <v>100</v>
      </c>
      <c r="H255" s="197"/>
      <c r="I255" s="198"/>
      <c r="J255" s="99"/>
    </row>
    <row r="256" spans="1:12">
      <c r="A256" s="80" t="str">
        <f>НОМ!$A$14</f>
        <v>Кофе сублимированный</v>
      </c>
      <c r="B256" s="81">
        <f>0.01</f>
        <v>0.01</v>
      </c>
      <c r="C256" s="81">
        <f t="shared" si="16"/>
        <v>0</v>
      </c>
      <c r="D256" s="82"/>
      <c r="E256" s="83">
        <f>VLOOKUP(A256,НОМ!$A$3:$I$89,9,FALSE)/VLOOKUP(A256,НОМ!$A$3:$I$89,6,FALSE)*C256</f>
        <v>0</v>
      </c>
      <c r="F256" s="84">
        <f>IF(G256&lt;1,1000*МЕНЮ!C256*(1-G256),1000*МЕНЮ!C256+G256*$B$247)</f>
        <v>0</v>
      </c>
      <c r="G256" s="73">
        <v>100</v>
      </c>
      <c r="H256" s="197"/>
      <c r="I256" s="198"/>
      <c r="J256" s="99"/>
    </row>
    <row r="257" spans="1:12">
      <c r="A257" s="74" t="str">
        <f>НОМ!$A$40</f>
        <v>Сгущенное молоко</v>
      </c>
      <c r="B257" s="76">
        <v>0.04</v>
      </c>
      <c r="C257" s="76">
        <f t="shared" si="16"/>
        <v>0</v>
      </c>
      <c r="D257" s="77"/>
      <c r="E257" s="78">
        <f>VLOOKUP(A257,НОМ!$A$3:$I$89,9,FALSE)/VLOOKUP(A257,НОМ!$A$3:$I$89,6,FALSE)*C257</f>
        <v>0</v>
      </c>
      <c r="F257" s="79">
        <f>IF(G257&lt;1,1000*МЕНЮ!C257*(1-G257),1000*МЕНЮ!C257+G257*$B$247)</f>
        <v>0</v>
      </c>
      <c r="G257" s="73"/>
      <c r="H257" s="197"/>
      <c r="I257" s="198"/>
      <c r="J257" s="99"/>
      <c r="K257"/>
      <c r="L257"/>
    </row>
    <row r="258" spans="1:12">
      <c r="A258" s="74" t="str">
        <f>НОМ!$A$39</f>
        <v>Сахар рафинад</v>
      </c>
      <c r="B258" s="76">
        <v>5.0000000000000001E-3</v>
      </c>
      <c r="C258" s="76">
        <f t="shared" si="16"/>
        <v>0</v>
      </c>
      <c r="D258" s="77"/>
      <c r="E258" s="78">
        <f>VLOOKUP(A258,НОМ!$A$3:$I$89,9,FALSE)/VLOOKUP(A258,НОМ!$A$3:$I$89,6,FALSE)*C258</f>
        <v>0</v>
      </c>
      <c r="F258" s="79">
        <f>IF(G258&lt;1,1000*МЕНЮ!C258*(1-G258),1000*МЕНЮ!C258+G258*$B$247)</f>
        <v>0</v>
      </c>
      <c r="G258" s="73"/>
      <c r="H258" s="197"/>
      <c r="I258" s="198"/>
      <c r="J258" s="99"/>
      <c r="K258"/>
      <c r="L258"/>
    </row>
    <row r="259" spans="1:12">
      <c r="A259" s="89" t="s">
        <v>46</v>
      </c>
      <c r="B259" s="89"/>
      <c r="C259" s="89"/>
      <c r="D259" s="89"/>
      <c r="E259" s="90">
        <f>SUM(E249:E258)</f>
        <v>0</v>
      </c>
      <c r="F259" s="91">
        <f>SUM(F249:F258)</f>
        <v>0</v>
      </c>
      <c r="G259" s="92"/>
      <c r="H259" s="196"/>
      <c r="I259" s="196"/>
      <c r="K259"/>
      <c r="L259"/>
    </row>
    <row r="264" spans="1:12">
      <c r="A264" s="36" t="s">
        <v>49</v>
      </c>
      <c r="E264" s="116">
        <f>E23+E44+E70+E97+E118+E143+E169+E190+E217+E244+E259</f>
        <v>19389.499999999996</v>
      </c>
      <c r="H264" s="196">
        <f>SUM(H259,H244,H217,H190,H169,H143,H118,H97,H70,H44,H23)/11</f>
        <v>765.7297056277057</v>
      </c>
      <c r="I264" s="196"/>
      <c r="K264"/>
      <c r="L264"/>
    </row>
  </sheetData>
  <sheetProtection selectLockedCells="1" selectUnlockedCells="1"/>
  <mergeCells count="89">
    <mergeCell ref="H11:H16"/>
    <mergeCell ref="I11:I16"/>
    <mergeCell ref="A1:I1"/>
    <mergeCell ref="A2:F2"/>
    <mergeCell ref="H5:H10"/>
    <mergeCell ref="I5:I10"/>
    <mergeCell ref="A46:F46"/>
    <mergeCell ref="H49:H56"/>
    <mergeCell ref="I49:I56"/>
    <mergeCell ref="H17:H22"/>
    <mergeCell ref="I17:I22"/>
    <mergeCell ref="H23:I23"/>
    <mergeCell ref="A25:F25"/>
    <mergeCell ref="H28:H32"/>
    <mergeCell ref="I28:I32"/>
    <mergeCell ref="H66:H69"/>
    <mergeCell ref="I66:I69"/>
    <mergeCell ref="H33:H43"/>
    <mergeCell ref="I33:I43"/>
    <mergeCell ref="H44:I44"/>
    <mergeCell ref="H57:H60"/>
    <mergeCell ref="I57:I60"/>
    <mergeCell ref="H61:H65"/>
    <mergeCell ref="I61:I65"/>
    <mergeCell ref="H118:I118"/>
    <mergeCell ref="A99:F99"/>
    <mergeCell ref="H102:H106"/>
    <mergeCell ref="I102:I106"/>
    <mergeCell ref="H70:I70"/>
    <mergeCell ref="A72:F72"/>
    <mergeCell ref="H75:H80"/>
    <mergeCell ref="I75:I80"/>
    <mergeCell ref="H81:H89"/>
    <mergeCell ref="I81:I89"/>
    <mergeCell ref="H90:H96"/>
    <mergeCell ref="I90:I96"/>
    <mergeCell ref="H97:I97"/>
    <mergeCell ref="H107:H117"/>
    <mergeCell ref="I107:I117"/>
    <mergeCell ref="H190:I190"/>
    <mergeCell ref="A120:F120"/>
    <mergeCell ref="H153:H160"/>
    <mergeCell ref="I153:I160"/>
    <mergeCell ref="H129:H132"/>
    <mergeCell ref="I129:I132"/>
    <mergeCell ref="H133:H138"/>
    <mergeCell ref="I133:I138"/>
    <mergeCell ref="H139:H142"/>
    <mergeCell ref="I139:I142"/>
    <mergeCell ref="H143:I143"/>
    <mergeCell ref="H123:H128"/>
    <mergeCell ref="I123:I128"/>
    <mergeCell ref="A145:F145"/>
    <mergeCell ref="H148:H152"/>
    <mergeCell ref="I148:I152"/>
    <mergeCell ref="A170:F170"/>
    <mergeCell ref="H161:H168"/>
    <mergeCell ref="I161:I168"/>
    <mergeCell ref="H169:I169"/>
    <mergeCell ref="H179:H189"/>
    <mergeCell ref="I179:I189"/>
    <mergeCell ref="A171:F171"/>
    <mergeCell ref="H174:H178"/>
    <mergeCell ref="I174:I178"/>
    <mergeCell ref="A246:F246"/>
    <mergeCell ref="H249:H250"/>
    <mergeCell ref="I249:I250"/>
    <mergeCell ref="H238:H243"/>
    <mergeCell ref="H227:H237"/>
    <mergeCell ref="I227:I237"/>
    <mergeCell ref="H264:I264"/>
    <mergeCell ref="H251:H258"/>
    <mergeCell ref="I251:I258"/>
    <mergeCell ref="H259:I259"/>
    <mergeCell ref="H202:H207"/>
    <mergeCell ref="I202:I207"/>
    <mergeCell ref="H217:I217"/>
    <mergeCell ref="H208:H212"/>
    <mergeCell ref="I208:I212"/>
    <mergeCell ref="I238:I243"/>
    <mergeCell ref="H244:I244"/>
    <mergeCell ref="H213:H216"/>
    <mergeCell ref="I213:I216"/>
    <mergeCell ref="A219:F219"/>
    <mergeCell ref="H222:H226"/>
    <mergeCell ref="I222:I226"/>
    <mergeCell ref="A192:F192"/>
    <mergeCell ref="H195:H201"/>
    <mergeCell ref="I195:I201"/>
  </mergeCells>
  <phoneticPr fontId="25" type="noConversion"/>
  <printOptions horizontalCentered="1"/>
  <pageMargins left="0.47244094488188981" right="0.15748031496062992" top="0.82677165354330717" bottom="0.23622047244094491" header="0.35433070866141736" footer="0.23622047244094491"/>
  <pageSetup paperSize="9" scale="140" firstPageNumber="0" orientation="landscape" horizontalDpi="300" verticalDpi="300" r:id="rId1"/>
  <headerFooter alignWithMargins="0">
    <oddHeader>&amp;C&amp;"Arial,полужирный"&amp;16Меню (поездка на Троцу) с 30.04.14 по 04.05.14</oddHeader>
    <oddFooter>&amp;RСтраница &amp;P из &amp;N</oddFooter>
  </headerFooter>
  <rowBreaks count="10" manualBreakCount="10">
    <brk id="24" max="16383" man="1"/>
    <brk id="45" max="11" man="1"/>
    <brk id="71" max="11" man="1"/>
    <brk id="98" max="16383" man="1"/>
    <brk id="119" max="11" man="1"/>
    <brk id="144" max="11" man="1"/>
    <brk id="170" max="16383" man="1"/>
    <brk id="191" max="11" man="1"/>
    <brk id="218" max="11" man="1"/>
    <brk id="244" max="11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91"/>
  <sheetViews>
    <sheetView tabSelected="1" view="pageBreakPreview" zoomScale="130" zoomScaleSheetLayoutView="130" workbookViewId="0">
      <pane xSplit="1" ySplit="2" topLeftCell="B27" activePane="bottomRight" state="frozen"/>
      <selection pane="topRight" activeCell="B1" sqref="B1"/>
      <selection pane="bottomLeft" activeCell="A9" sqref="A9"/>
      <selection pane="bottomRight" activeCell="I32" sqref="I32"/>
    </sheetView>
  </sheetViews>
  <sheetFormatPr defaultRowHeight="12.75"/>
  <cols>
    <col min="1" max="1" width="34.140625" customWidth="1"/>
    <col min="2" max="2" width="22.140625" style="117" customWidth="1"/>
    <col min="3" max="3" width="9.5703125" style="117" customWidth="1"/>
    <col min="4" max="4" width="6.7109375" style="1" customWidth="1"/>
    <col min="5" max="5" width="7.42578125" style="1" customWidth="1"/>
    <col min="6" max="6" width="10.42578125" style="118" customWidth="1"/>
    <col min="7" max="7" width="8.140625" customWidth="1"/>
    <col min="8" max="8" width="8.42578125" style="119" customWidth="1"/>
    <col min="9" max="9" width="11.7109375" style="184" customWidth="1"/>
    <col min="10" max="11" width="10.140625" customWidth="1"/>
    <col min="12" max="14" width="10.140625" bestFit="1" customWidth="1"/>
  </cols>
  <sheetData>
    <row r="1" spans="1:15" ht="12.75" customHeight="1">
      <c r="A1" s="208" t="s">
        <v>40</v>
      </c>
      <c r="B1" s="209" t="s">
        <v>231</v>
      </c>
      <c r="C1" s="192" t="s">
        <v>205</v>
      </c>
      <c r="D1" s="192" t="s">
        <v>50</v>
      </c>
      <c r="E1" s="192" t="s">
        <v>51</v>
      </c>
      <c r="F1" s="210" t="s">
        <v>177</v>
      </c>
      <c r="G1" s="192" t="s">
        <v>52</v>
      </c>
      <c r="H1" s="192" t="s">
        <v>53</v>
      </c>
      <c r="I1" s="206" t="s">
        <v>54</v>
      </c>
      <c r="J1" s="204">
        <v>41753</v>
      </c>
      <c r="K1" s="204">
        <v>41757</v>
      </c>
      <c r="L1" s="204">
        <v>41758</v>
      </c>
      <c r="M1" s="204">
        <v>41760</v>
      </c>
      <c r="N1" s="204">
        <v>41761</v>
      </c>
      <c r="O1" s="204" t="s">
        <v>178</v>
      </c>
    </row>
    <row r="2" spans="1:15">
      <c r="A2" s="208"/>
      <c r="B2" s="209"/>
      <c r="C2" s="192"/>
      <c r="D2" s="192"/>
      <c r="E2" s="192"/>
      <c r="F2" s="210"/>
      <c r="G2" s="192"/>
      <c r="H2" s="192"/>
      <c r="I2" s="206"/>
      <c r="J2" s="205"/>
      <c r="K2" s="205"/>
      <c r="L2" s="205"/>
      <c r="M2" s="205"/>
      <c r="N2" s="205"/>
      <c r="O2" s="205"/>
    </row>
    <row r="3" spans="1:15" ht="12" customHeight="1">
      <c r="A3" s="12" t="s">
        <v>56</v>
      </c>
      <c r="B3" s="126" t="str">
        <f>CONCATENATE("по ~ ",C3,"гр. - ",ROUNDUP(НОМ!F3*1000/C3,0)," шт.")</f>
        <v>по ~ 30гр. - 18 шт.</v>
      </c>
      <c r="C3" s="120">
        <v>30</v>
      </c>
      <c r="D3" s="11"/>
      <c r="E3" s="11" t="s">
        <v>57</v>
      </c>
      <c r="F3" s="123">
        <f>SUMIF(МЕНЮ!$A$1:$A$896,A3,МЕНЮ!$C$1:$C$896)</f>
        <v>0.54</v>
      </c>
      <c r="G3" s="121">
        <f>IF(F3=0,0,IF(D3=0,ROUND(F3,1),IF(F3*1000/D3&lt;1,ROUNDUP((F3*1000)/D3,0),ROUND((F3*1000)/D3,0))))</f>
        <v>0.5</v>
      </c>
      <c r="H3" s="122">
        <v>200</v>
      </c>
      <c r="I3" s="183">
        <f>G3*H3</f>
        <v>100</v>
      </c>
      <c r="N3" s="145">
        <f>I3</f>
        <v>100</v>
      </c>
      <c r="O3" s="146">
        <f>I3-J3-K3-L3-M3-N3</f>
        <v>0</v>
      </c>
    </row>
    <row r="4" spans="1:15">
      <c r="A4" s="12" t="s">
        <v>58</v>
      </c>
      <c r="B4" s="141" t="str">
        <f>CONCATENATE("порции ",IF(ISERROR(VLOOKUP(A4,МЕНЮ!$A$5:$F$23,3,FALSE))=TRUE,"",CONCATENATE(VLOOKUP(A4,МЕНЮ!$A$5:$F$23,3,FALSE)*1000,"гр.; ")),IF(ISERROR(VLOOKUP(A4,МЕНЮ!$A$27:$F$44,3,FALSE))=TRUE,"",CONCATENATE(VLOOKUP(A4,МЕНЮ!$A$27:$F$44,3,FALSE)*1000,"гр.; ")),IF(ISERROR(VLOOKUP(A4,МЕНЮ!$A$48:$F$71,3,FALSE))=TRUE,"",CONCATENATE(VLOOKUP(A4,МЕНЮ!$A$48:$F$71,3,FALSE)*1000,"гр.; ")),IF(ISERROR(VLOOKUP(A4,МЕНЮ!$A$74:$F$97,3,FALSE))=TRUE,"",CONCATENATE(VLOOKUP(A4,МЕНЮ!$A$74:$F$97,3,FALSE)*1000,"гр.; ")),IF(ISERROR(VLOOKUP(A4,МЕНЮ!$A$101:$F$119,3,FALSE))=TRUE,"",CONCATENATE(VLOOKUP(A4,МЕНЮ!$A$101:$F$119,3,FALSE)*1000,"гр.; ")),IF(ISERROR(VLOOKUP(A4,МЕНЮ!$A$122:$F$144,3,FALSE))=TRUE,"",CONCATENATE(VLOOKUP(A4,МЕНЮ!$A$122:$F$144,3,FALSE)*1000,"гр.; ")),IF(ISERROR(VLOOKUP(A4,МЕНЮ!$A$147:$F$169,3,FALSE))=TRUE,"",CONCATENATE(VLOOKUP(A4,МЕНЮ!$A$147:$F$169,3,FALSE)*1000,"гр.; ")),IF(ISERROR(VLOOKUP(A4,МЕНЮ!$A$173:$F$191,3,FALSE))=TRUE,"",CONCATENATE(VLOOKUP(A4,МЕНЮ!$A$173:$F$191,3,FALSE)*1000,"гр.; ")),IF(ISERROR(VLOOKUP(A4,МЕНЮ!$A$194:$F$217,3,FALSE))=TRUE,"",CONCATENATE(VLOOKUP(A4,МЕНЮ!$A$194:$F$217,3,FALSE)*1000,"гр.; ")),IF(ISERROR(VLOOKUP(A4,МЕНЮ!$A$221:$F$244,3,FALSE))=TRUE,"",CONCATENATE(VLOOKUP(A4,МЕНЮ!$A$221:$F$244,3,FALSE)*1000,"гр.; ")),IF(ISERROR(VLOOKUP(A4,МЕНЮ!$A$248:$F$259,3,FALSE))=TRUE,"",CONCATENATE(VLOOKUP(A4,МЕНЮ!$A$248:$F$259,3,FALSE)*1000,"гр.")))</f>
        <v xml:space="preserve">порции 24гр.; 69гр.; 78гр.; 36гр.; </v>
      </c>
      <c r="C4" s="120"/>
      <c r="D4" s="11"/>
      <c r="E4" s="11" t="s">
        <v>57</v>
      </c>
      <c r="F4" s="123">
        <f>SUMIF(МЕНЮ!$A$1:$A$896,A4,МЕНЮ!$C$1:$C$896)</f>
        <v>0.20699999999999999</v>
      </c>
      <c r="G4" s="121">
        <f t="shared" ref="G4:G65" si="0">IF(F4=0,0,IF(D4=0,ROUND(F4,1),IF(F4*1000/D4&lt;1,ROUNDUP((F4*1000)/D4,0),ROUND((F4*1000)/D4,0))))</f>
        <v>0.2</v>
      </c>
      <c r="H4" s="122"/>
      <c r="I4" s="183">
        <f t="shared" ref="I4:I60" si="1">G4*H4</f>
        <v>0</v>
      </c>
      <c r="O4" s="146">
        <f t="shared" ref="O4:O60" si="2">I4-J4-K4-L4-M4-N4</f>
        <v>0</v>
      </c>
    </row>
    <row r="5" spans="1:15" ht="12.75" customHeight="1">
      <c r="A5" s="12" t="s">
        <v>59</v>
      </c>
      <c r="B5" s="141" t="str">
        <f>CONCATENATE("порции ",IF(ISERROR(VLOOKUP(A5,МЕНЮ!$A$5:$F$23,3,FALSE))=TRUE,"",CONCATENATE(VLOOKUP(A5,МЕНЮ!$A$5:$F$23,3,FALSE)*1000,"гр.; ")),IF(ISERROR(VLOOKUP(A5,МЕНЮ!$A$27:$F$44,3,FALSE))=TRUE,"",CONCATENATE(VLOOKUP(A5,МЕНЮ!$A$27:$F$44,3,FALSE)*1000,"гр.; ")),IF(ISERROR(VLOOKUP(A5,МЕНЮ!$A$48:$F$71,3,FALSE))=TRUE,"",CONCATENATE(VLOOKUP(A5,МЕНЮ!$A$48:$F$71,3,FALSE)*1000,"гр.; ")),IF(ISERROR(VLOOKUP(A5,МЕНЮ!$A$74:$F$97,3,FALSE))=TRUE,"",CONCATENATE(VLOOKUP(A5,МЕНЮ!$A$74:$F$97,3,FALSE)*1000,"гр.; ")),IF(ISERROR(VLOOKUP(A5,МЕНЮ!$A$101:$F$119,3,FALSE))=TRUE,"",CONCATENATE(VLOOKUP(A5,МЕНЮ!$A$101:$F$119,3,FALSE)*1000,"гр.; ")),IF(ISERROR(VLOOKUP(A5,МЕНЮ!$A$122:$F$144,3,FALSE))=TRUE,"",CONCATENATE(VLOOKUP(A5,МЕНЮ!$A$122:$F$144,3,FALSE)*1000,"гр.; ")),IF(ISERROR(VLOOKUP(A5,МЕНЮ!$A$147:$F$169,3,FALSE))=TRUE,"",CONCATENATE(VLOOKUP(A5,МЕНЮ!$A$147:$F$169,3,FALSE)*1000,"гр.; ")),IF(ISERROR(VLOOKUP(A5,МЕНЮ!$A$173:$F$191,3,FALSE))=TRUE,"",CONCATENATE(VLOOKUP(A5,МЕНЮ!$A$173:$F$191,3,FALSE)*1000,"гр.; ")),IF(ISERROR(VLOOKUP(A5,МЕНЮ!$A$194:$F$217,3,FALSE))=TRUE,"",CONCATENATE(VLOOKUP(A5,МЕНЮ!$A$194:$F$217,3,FALSE)*1000,"гр.; ")),IF(ISERROR(VLOOKUP(A5,МЕНЮ!$A$221:$F$244,3,FALSE))=TRUE,"",CONCATENATE(VLOOKUP(A5,МЕНЮ!$A$221:$F$244,3,FALSE)*1000,"гр.; ")),IF(ISERROR(VLOOKUP(A5,МЕНЮ!$A$248:$F$259,3,FALSE))=TRUE,"",CONCATENATE(VLOOKUP(A5,МЕНЮ!$A$248:$F$259,3,FALSE)*1000,"гр.")))</f>
        <v xml:space="preserve">порции 24гр.; 69гр.; 90гр.; 78гр.; 63гр.; 36гр.; 0гр.; </v>
      </c>
      <c r="C5" s="120">
        <v>50</v>
      </c>
      <c r="D5" s="11">
        <v>50</v>
      </c>
      <c r="E5" s="11" t="s">
        <v>241</v>
      </c>
      <c r="F5" s="123">
        <f>SUMIF(МЕНЮ!$A$1:$A$896,A5,МЕНЮ!$C$1:$C$896)</f>
        <v>0.36</v>
      </c>
      <c r="G5" s="121">
        <f t="shared" si="0"/>
        <v>7</v>
      </c>
      <c r="H5" s="122">
        <v>20</v>
      </c>
      <c r="I5" s="183">
        <f t="shared" si="1"/>
        <v>140</v>
      </c>
      <c r="L5" s="145">
        <f>I5</f>
        <v>140</v>
      </c>
      <c r="M5" s="145"/>
      <c r="O5" s="146">
        <f t="shared" si="2"/>
        <v>0</v>
      </c>
    </row>
    <row r="6" spans="1:15">
      <c r="A6" s="12" t="s">
        <v>60</v>
      </c>
      <c r="B6" s="126" t="str">
        <f>CONCATENATE("по ~ ",C6,"гр. - ",ROUNDUP(НОМ!F6*1000/C6,0)," шт.")</f>
        <v>по ~ 500гр. - 2 шт.</v>
      </c>
      <c r="C6" s="120">
        <v>500</v>
      </c>
      <c r="D6" s="11">
        <v>500</v>
      </c>
      <c r="E6" s="11" t="s">
        <v>61</v>
      </c>
      <c r="F6" s="123">
        <f>SUMIF(МЕНЮ!$A$1:$A$896,A6,МЕНЮ!$C$1:$C$896)</f>
        <v>0.57000000000000006</v>
      </c>
      <c r="G6" s="121">
        <f t="shared" si="0"/>
        <v>1</v>
      </c>
      <c r="H6" s="122">
        <v>120</v>
      </c>
      <c r="I6" s="183">
        <f t="shared" si="1"/>
        <v>120</v>
      </c>
      <c r="J6" s="145">
        <f>I6</f>
        <v>120</v>
      </c>
      <c r="O6" s="146">
        <f t="shared" si="2"/>
        <v>0</v>
      </c>
    </row>
    <row r="7" spans="1:15">
      <c r="A7" s="12" t="s">
        <v>62</v>
      </c>
      <c r="B7" s="126" t="str">
        <f>CONCATENATE("по ~ ",C7,"гр. - ",ROUNDUP(НОМ!F7*1000/C7,0)," шт.")</f>
        <v>по ~ 2000гр. - 2 шт.</v>
      </c>
      <c r="C7" s="126">
        <v>2000</v>
      </c>
      <c r="D7" s="11"/>
      <c r="E7" s="11" t="s">
        <v>57</v>
      </c>
      <c r="F7" s="123">
        <f>SUMIF(МЕНЮ!$A$1:$A$896,A7,МЕНЮ!$C$1:$C$896)</f>
        <v>4</v>
      </c>
      <c r="G7" s="121">
        <f>IF(F7=0,0,IF(D7=0,ROUNDUP(F7,0),IF(F7*1000/D7&lt;1,ROUNDUP((F7*1000)/D7,0),ROUND((F7*1000)/D7,0))))</f>
        <v>4</v>
      </c>
      <c r="H7" s="122">
        <v>25</v>
      </c>
      <c r="I7" s="183">
        <f t="shared" si="1"/>
        <v>100</v>
      </c>
      <c r="K7" s="145">
        <f>I7</f>
        <v>100</v>
      </c>
      <c r="L7" s="145"/>
      <c r="O7" s="146">
        <f t="shared" si="2"/>
        <v>0</v>
      </c>
    </row>
    <row r="8" spans="1:15">
      <c r="A8" s="140" t="s">
        <v>245</v>
      </c>
      <c r="B8" s="126" t="s">
        <v>246</v>
      </c>
      <c r="C8" s="126"/>
      <c r="D8" s="11">
        <v>250</v>
      </c>
      <c r="E8" s="11" t="s">
        <v>65</v>
      </c>
      <c r="F8" s="123">
        <f>SUMIF(МЕНЮ!$A$1:$A$896,A8,МЕНЮ!$C$1:$C$896)</f>
        <v>0.75</v>
      </c>
      <c r="G8" s="121">
        <f>IF(F8=0,0,IF(D8=0,ROUNDUP(F8,0),IF(F8*1000/D8&lt;1,ROUNDUP((F8*1000)/D8,0),ROUND((F8*1000)/D8,0))))</f>
        <v>3</v>
      </c>
      <c r="H8" s="122">
        <v>45</v>
      </c>
      <c r="I8" s="183">
        <f t="shared" ref="I8" si="3">G8*H8</f>
        <v>135</v>
      </c>
      <c r="K8" s="145"/>
      <c r="L8" s="145"/>
      <c r="O8" s="146"/>
    </row>
    <row r="9" spans="1:15">
      <c r="A9" s="12" t="s">
        <v>63</v>
      </c>
      <c r="B9" s="126" t="str">
        <f>CONCATENATE("по ~ ",C9,"гр. - ",ROUNDUP(НОМ!F9*1000/C9,0)," шт.")</f>
        <v>по ~ 120гр. - 87 шт.</v>
      </c>
      <c r="C9" s="120">
        <v>120</v>
      </c>
      <c r="D9" s="11"/>
      <c r="E9" s="11" t="s">
        <v>57</v>
      </c>
      <c r="F9" s="123">
        <f>SUMIF(МЕНЮ!$A$1:$A$896,A9,МЕНЮ!$C$1:$C$896)</f>
        <v>10.36</v>
      </c>
      <c r="G9" s="121">
        <f>IF(F9=0,0,IF(D9=0,ROUNDUP(F9,0),IF(F9*1000/D9&lt;1,ROUNDUP((F9*1000)/D9,0),ROUND((F9*1000)/D9,0))))</f>
        <v>11</v>
      </c>
      <c r="H9" s="122">
        <v>25</v>
      </c>
      <c r="I9" s="183">
        <f t="shared" si="1"/>
        <v>275</v>
      </c>
      <c r="K9" s="145">
        <f>I9</f>
        <v>275</v>
      </c>
      <c r="L9" s="145"/>
      <c r="O9" s="146">
        <f t="shared" si="2"/>
        <v>0</v>
      </c>
    </row>
    <row r="10" spans="1:15">
      <c r="A10" s="12" t="s">
        <v>64</v>
      </c>
      <c r="B10" s="126" t="str">
        <f>CONCATENATE("по ~ ",C10,"гр. - ",ROUNDUP(НОМ!F10*1000/C10,0)," шт.")</f>
        <v>по ~ 350гр. - 1 шт.</v>
      </c>
      <c r="C10" s="120">
        <v>350</v>
      </c>
      <c r="D10" s="11">
        <v>350</v>
      </c>
      <c r="E10" s="11" t="s">
        <v>61</v>
      </c>
      <c r="F10" s="123">
        <f>SUMIF(МЕНЮ!$A$1:$A$896,A10,МЕНЮ!$C$1:$C$896)</f>
        <v>0.315</v>
      </c>
      <c r="G10" s="121">
        <f t="shared" si="0"/>
        <v>1</v>
      </c>
      <c r="H10" s="122">
        <v>50</v>
      </c>
      <c r="I10" s="183">
        <f t="shared" si="1"/>
        <v>50</v>
      </c>
      <c r="J10" s="145">
        <f>I10</f>
        <v>50</v>
      </c>
      <c r="O10" s="146">
        <f t="shared" si="2"/>
        <v>0</v>
      </c>
    </row>
    <row r="11" spans="1:15">
      <c r="A11" s="12" t="s">
        <v>66</v>
      </c>
      <c r="B11" s="126" t="str">
        <f>CONCATENATE("по ~ ",C11,"гр. - ",ROUNDUP(НОМ!F11*1000/C11,0)," шт.")</f>
        <v>по ~ 2500гр. - 3 шт.</v>
      </c>
      <c r="C11" s="120">
        <v>2500</v>
      </c>
      <c r="D11" s="11">
        <v>2500</v>
      </c>
      <c r="E11" s="11" t="s">
        <v>67</v>
      </c>
      <c r="F11" s="123">
        <f>SUMIF(МЕНЮ!$A$1:$A$896,A11,МЕНЮ!$C$1:$C$896)</f>
        <v>5.75</v>
      </c>
      <c r="G11" s="121">
        <f t="shared" si="0"/>
        <v>2</v>
      </c>
      <c r="H11" s="122">
        <v>65</v>
      </c>
      <c r="I11" s="183">
        <f t="shared" si="1"/>
        <v>130</v>
      </c>
      <c r="J11" s="145">
        <f>I11</f>
        <v>130</v>
      </c>
      <c r="O11" s="146">
        <f t="shared" si="2"/>
        <v>0</v>
      </c>
    </row>
    <row r="12" spans="1:15">
      <c r="A12" s="12" t="s">
        <v>68</v>
      </c>
      <c r="B12" s="141" t="s">
        <v>174</v>
      </c>
      <c r="C12" s="141"/>
      <c r="D12" s="11"/>
      <c r="E12" s="11" t="s">
        <v>57</v>
      </c>
      <c r="F12" s="123">
        <f>SUMIF(МЕНЮ!$A$1:$A$896,A12,МЕНЮ!$C$1:$C$896)</f>
        <v>1.71</v>
      </c>
      <c r="G12" s="121">
        <f t="shared" si="0"/>
        <v>1.7</v>
      </c>
      <c r="H12" s="122">
        <v>500</v>
      </c>
      <c r="I12" s="183">
        <f t="shared" si="1"/>
        <v>850</v>
      </c>
      <c r="L12" s="145">
        <f>I12</f>
        <v>850</v>
      </c>
      <c r="O12" s="146">
        <f t="shared" si="2"/>
        <v>0</v>
      </c>
    </row>
    <row r="13" spans="1:15">
      <c r="A13" s="12" t="s">
        <v>150</v>
      </c>
      <c r="B13" s="120" t="s">
        <v>151</v>
      </c>
      <c r="C13" s="120"/>
      <c r="D13" s="11"/>
      <c r="E13" s="11" t="s">
        <v>57</v>
      </c>
      <c r="F13" s="123">
        <f>SUMIF(МЕНЮ!$A$1:$A$896,A13,МЕНЮ!$C$1:$C$896)</f>
        <v>0.92</v>
      </c>
      <c r="G13" s="121">
        <f t="shared" si="0"/>
        <v>0.9</v>
      </c>
      <c r="H13" s="122">
        <v>300</v>
      </c>
      <c r="I13" s="183">
        <f t="shared" si="1"/>
        <v>270</v>
      </c>
      <c r="L13" s="145">
        <f>I13</f>
        <v>270</v>
      </c>
      <c r="O13" s="146">
        <f t="shared" si="2"/>
        <v>0</v>
      </c>
    </row>
    <row r="14" spans="1:15">
      <c r="A14" s="12" t="s">
        <v>69</v>
      </c>
      <c r="B14" s="120" t="s">
        <v>70</v>
      </c>
      <c r="C14" s="120"/>
      <c r="D14" s="11">
        <v>250</v>
      </c>
      <c r="E14" s="11" t="s">
        <v>247</v>
      </c>
      <c r="F14" s="123">
        <f>SUMIF(МЕНЮ!$A$1:$A$896,A14,МЕНЮ!$C$1:$C$896)</f>
        <v>0.57000000000000006</v>
      </c>
      <c r="G14" s="121">
        <f t="shared" si="0"/>
        <v>2</v>
      </c>
      <c r="H14" s="122">
        <v>250</v>
      </c>
      <c r="I14" s="183">
        <f t="shared" si="1"/>
        <v>500</v>
      </c>
      <c r="J14" s="145">
        <f>I14</f>
        <v>500</v>
      </c>
      <c r="O14" s="146">
        <f t="shared" si="2"/>
        <v>0</v>
      </c>
    </row>
    <row r="15" spans="1:15">
      <c r="A15" s="140" t="s">
        <v>227</v>
      </c>
      <c r="B15" s="126" t="str">
        <f>CONCATENATE("по ~ ",C15,"гр. - ",ROUND(НОМ!F15*1000/C15,0)," шт.")</f>
        <v>по ~ 200гр. - 5 шт.</v>
      </c>
      <c r="C15" s="120">
        <v>200</v>
      </c>
      <c r="D15" s="11">
        <v>200</v>
      </c>
      <c r="E15" s="11" t="s">
        <v>61</v>
      </c>
      <c r="F15" s="123">
        <f>SUMIF(МЕНЮ!$A$1:$A$896,A15,МЕНЮ!$C$1:$C$896)</f>
        <v>1.04</v>
      </c>
      <c r="G15" s="121">
        <f t="shared" si="0"/>
        <v>5</v>
      </c>
      <c r="H15" s="122">
        <v>60</v>
      </c>
      <c r="I15" s="183">
        <f t="shared" si="1"/>
        <v>300</v>
      </c>
      <c r="J15" s="145">
        <f>I15</f>
        <v>300</v>
      </c>
      <c r="O15" s="146">
        <f t="shared" si="2"/>
        <v>0</v>
      </c>
    </row>
    <row r="16" spans="1:15">
      <c r="A16" s="12" t="s">
        <v>72</v>
      </c>
      <c r="B16" s="126" t="str">
        <f>CONCATENATE("по ~ ",C16,"гр. - ",ROUND(НОМ!F16*1000/C16,0)," шт.")</f>
        <v>по ~ 265гр. - 1 шт.</v>
      </c>
      <c r="C16" s="120">
        <v>265</v>
      </c>
      <c r="D16" s="11">
        <v>265</v>
      </c>
      <c r="E16" s="11" t="s">
        <v>55</v>
      </c>
      <c r="F16" s="123">
        <f>SUMIF(МЕНЮ!$A$1:$A$896,A16,МЕНЮ!$C$1:$C$896)</f>
        <v>0.33799999999999997</v>
      </c>
      <c r="G16" s="121">
        <f>IF(F16=0,0,IF(D16=0,ROUND(F16,1),IF(F16*1000/D16&lt;1,ROUNDUP((F16*1000)/D16,0),ROUND((F16*1000)/D16,0))))</f>
        <v>1</v>
      </c>
      <c r="H16" s="122">
        <v>45</v>
      </c>
      <c r="I16" s="183">
        <f t="shared" si="1"/>
        <v>45</v>
      </c>
      <c r="J16" s="145">
        <f>I16</f>
        <v>45</v>
      </c>
      <c r="O16" s="146">
        <f t="shared" si="2"/>
        <v>0</v>
      </c>
    </row>
    <row r="17" spans="1:15">
      <c r="A17" s="140" t="s">
        <v>190</v>
      </c>
      <c r="B17" s="126" t="str">
        <f>CONCATENATE("по ~ ",C17,"гр. - ",ROUND(НОМ!F17*1000/C17,0)," шт.")</f>
        <v>по ~ 500гр. - 4 шт.</v>
      </c>
      <c r="C17" s="126">
        <v>500</v>
      </c>
      <c r="D17" s="11"/>
      <c r="E17" s="11" t="s">
        <v>57</v>
      </c>
      <c r="F17" s="123">
        <f>SUMIF(МЕНЮ!$A$1:$A$896,A17,МЕНЮ!$C$1:$C$896)</f>
        <v>2.238</v>
      </c>
      <c r="G17" s="121">
        <f t="shared" si="0"/>
        <v>2.2000000000000002</v>
      </c>
      <c r="H17" s="122">
        <v>150</v>
      </c>
      <c r="I17" s="183">
        <f t="shared" si="1"/>
        <v>330</v>
      </c>
      <c r="L17" s="145">
        <f>I17</f>
        <v>330</v>
      </c>
      <c r="O17" s="146">
        <f t="shared" si="2"/>
        <v>0</v>
      </c>
    </row>
    <row r="18" spans="1:15">
      <c r="A18" s="140" t="s">
        <v>191</v>
      </c>
      <c r="B18" s="126" t="str">
        <f>CONCATENATE("по ~ ",C18,"гр. - ",ROUND(НОМ!F18*1000/C18,0)," шт.")</f>
        <v>по ~ 180гр. - 15 шт.</v>
      </c>
      <c r="C18" s="126">
        <v>180</v>
      </c>
      <c r="D18" s="11"/>
      <c r="E18" s="11" t="s">
        <v>57</v>
      </c>
      <c r="F18" s="123">
        <f>SUMIF(МЕНЮ!$A$1:$A$896,A18,МЕНЮ!$C$1:$C$896)</f>
        <v>2.76</v>
      </c>
      <c r="G18" s="121">
        <f t="shared" si="0"/>
        <v>2.8</v>
      </c>
      <c r="H18" s="122">
        <v>150</v>
      </c>
      <c r="I18" s="183">
        <f t="shared" si="1"/>
        <v>420</v>
      </c>
      <c r="L18" s="145">
        <f>I18</f>
        <v>420</v>
      </c>
      <c r="O18" s="146">
        <f t="shared" si="2"/>
        <v>0</v>
      </c>
    </row>
    <row r="19" spans="1:15">
      <c r="A19" s="140" t="s">
        <v>195</v>
      </c>
      <c r="B19" s="126" t="str">
        <f>CONCATENATE("по ~ ",C19,"гр. - ",ROUND(НОМ!F19*1000/C19,0)," шт.")</f>
        <v>по ~ 100гр. - 30 шт.</v>
      </c>
      <c r="C19" s="126">
        <v>100</v>
      </c>
      <c r="D19" s="11"/>
      <c r="E19" s="11" t="s">
        <v>57</v>
      </c>
      <c r="F19" s="123">
        <f>SUMIF(МЕНЮ!$A$1:$A$896,A19,МЕНЮ!$C$1:$C$896)</f>
        <v>3</v>
      </c>
      <c r="G19" s="121">
        <f t="shared" ref="G19" si="4">IF(F19=0,0,IF(D19=0,ROUND(F19,1),IF(F19*1000/D19&lt;1,ROUNDUP((F19*1000)/D19,0),ROUND((F19*1000)/D19,0))))</f>
        <v>3</v>
      </c>
      <c r="H19" s="122">
        <v>150</v>
      </c>
      <c r="I19" s="183">
        <f t="shared" ref="I19" si="5">G19*H19</f>
        <v>450</v>
      </c>
      <c r="L19" s="145">
        <f>I19</f>
        <v>450</v>
      </c>
      <c r="O19" s="146">
        <f t="shared" si="2"/>
        <v>0</v>
      </c>
    </row>
    <row r="20" spans="1:15">
      <c r="A20" s="12" t="s">
        <v>73</v>
      </c>
      <c r="B20" s="141" t="s">
        <v>196</v>
      </c>
      <c r="C20" s="141"/>
      <c r="D20" s="11">
        <v>320</v>
      </c>
      <c r="E20" s="11" t="s">
        <v>61</v>
      </c>
      <c r="F20" s="123">
        <f>SUMIF(МЕНЮ!$A$1:$A$896,A20,МЕНЮ!$C$1:$C$896)</f>
        <v>3.0599999999999996</v>
      </c>
      <c r="G20" s="121">
        <f t="shared" si="0"/>
        <v>10</v>
      </c>
      <c r="H20" s="122"/>
      <c r="I20" s="183">
        <f t="shared" si="1"/>
        <v>0</v>
      </c>
      <c r="O20" s="146">
        <f t="shared" si="2"/>
        <v>0</v>
      </c>
    </row>
    <row r="21" spans="1:15">
      <c r="A21" s="140" t="s">
        <v>159</v>
      </c>
      <c r="B21" s="120"/>
      <c r="C21" s="120"/>
      <c r="D21" s="11">
        <v>500</v>
      </c>
      <c r="E21" s="11" t="s">
        <v>71</v>
      </c>
      <c r="F21" s="123">
        <f>SUMIF(МЕНЮ!$A$1:$A$896,A21,МЕНЮ!$C$1:$C$896)</f>
        <v>0.89999999999999991</v>
      </c>
      <c r="G21" s="121">
        <f t="shared" si="0"/>
        <v>2</v>
      </c>
      <c r="H21" s="122">
        <v>70</v>
      </c>
      <c r="I21" s="183">
        <f t="shared" si="1"/>
        <v>140</v>
      </c>
      <c r="J21" s="145">
        <f>I21</f>
        <v>140</v>
      </c>
      <c r="O21" s="146">
        <f t="shared" si="2"/>
        <v>0</v>
      </c>
    </row>
    <row r="22" spans="1:15">
      <c r="A22" s="12" t="s">
        <v>74</v>
      </c>
      <c r="B22" s="126" t="str">
        <f>CONCATENATE("по ~ ",C22,"гр. - ",ROUND(НОМ!F22*1000/C22,0)," шт.")</f>
        <v>по ~ 100гр. - 21 шт.</v>
      </c>
      <c r="C22" s="126">
        <v>100</v>
      </c>
      <c r="D22" s="11"/>
      <c r="E22" s="11" t="s">
        <v>57</v>
      </c>
      <c r="F22" s="123">
        <f>SUMIF(МЕНЮ!$A$1:$A$896,A22,МЕНЮ!$C$1:$C$896)</f>
        <v>2.113</v>
      </c>
      <c r="G22" s="121">
        <f>IF(F22=0,0,IF(D22=0,ROUNDUP(F22,0),IF(F22*1000/D22&lt;1,ROUNDUP((F22*1000)/D22,0),ROUND((F22*1000)/D22,0))))</f>
        <v>3</v>
      </c>
      <c r="H22" s="122">
        <v>25</v>
      </c>
      <c r="I22" s="183">
        <f t="shared" si="1"/>
        <v>75</v>
      </c>
      <c r="K22" s="145">
        <f>I22</f>
        <v>75</v>
      </c>
      <c r="O22" s="146">
        <f t="shared" si="2"/>
        <v>0</v>
      </c>
    </row>
    <row r="23" spans="1:15">
      <c r="A23" s="12" t="s">
        <v>75</v>
      </c>
      <c r="B23" s="126" t="str">
        <f>CONCATENATE("по ~ ",C23,"гр. - ",ROUND(НОМ!F23*1000/C23,0)," шт.")</f>
        <v>по ~ 120гр. - 3 шт.</v>
      </c>
      <c r="C23" s="126">
        <v>120</v>
      </c>
      <c r="D23" s="11"/>
      <c r="E23" s="11" t="s">
        <v>57</v>
      </c>
      <c r="F23" s="123">
        <f>SUMIF(МЕНЮ!$A$1:$A$896,A23,МЕНЮ!$C$1:$C$896)</f>
        <v>0.3</v>
      </c>
      <c r="G23" s="121">
        <f t="shared" si="0"/>
        <v>0.3</v>
      </c>
      <c r="H23" s="122">
        <v>200</v>
      </c>
      <c r="I23" s="183">
        <f t="shared" si="1"/>
        <v>60</v>
      </c>
      <c r="K23" s="145">
        <f>I23</f>
        <v>60</v>
      </c>
      <c r="O23" s="146">
        <f t="shared" si="2"/>
        <v>0</v>
      </c>
    </row>
    <row r="24" spans="1:15">
      <c r="A24" s="140" t="s">
        <v>157</v>
      </c>
      <c r="B24" s="141" t="s">
        <v>158</v>
      </c>
      <c r="C24" s="141"/>
      <c r="D24" s="11">
        <v>1500</v>
      </c>
      <c r="E24" s="11" t="s">
        <v>67</v>
      </c>
      <c r="F24" s="123">
        <f>SUMIF(МЕНЮ!$A$1:$A$896,A24,МЕНЮ!$C$1:$C$896)</f>
        <v>6</v>
      </c>
      <c r="G24" s="121">
        <f t="shared" si="0"/>
        <v>4</v>
      </c>
      <c r="H24" s="122">
        <v>60</v>
      </c>
      <c r="I24" s="183">
        <f t="shared" si="1"/>
        <v>240</v>
      </c>
      <c r="J24" s="145">
        <f>I24</f>
        <v>240</v>
      </c>
      <c r="O24" s="146">
        <f t="shared" si="2"/>
        <v>0</v>
      </c>
    </row>
    <row r="25" spans="1:15">
      <c r="A25" s="12" t="s">
        <v>76</v>
      </c>
      <c r="B25" s="126" t="str">
        <f>CONCATENATE("по ~ ",C25,"гр. - ",ROUND(НОМ!F25*1000/C25,0)," шт.")</f>
        <v>по ~ 500гр. - 7 шт.</v>
      </c>
      <c r="C25" s="120">
        <v>500</v>
      </c>
      <c r="D25" s="11">
        <v>500</v>
      </c>
      <c r="E25" s="11" t="s">
        <v>61</v>
      </c>
      <c r="F25" s="123">
        <f>SUMIF(МЕНЮ!$A$1:$A$896,A25,МЕНЮ!$C$1:$C$896)</f>
        <v>3.46</v>
      </c>
      <c r="G25" s="121">
        <f t="shared" si="0"/>
        <v>7</v>
      </c>
      <c r="H25" s="122">
        <v>60</v>
      </c>
      <c r="I25" s="183">
        <f t="shared" si="1"/>
        <v>420</v>
      </c>
      <c r="J25" s="145">
        <f>I25</f>
        <v>420</v>
      </c>
      <c r="O25" s="146">
        <f t="shared" si="2"/>
        <v>0</v>
      </c>
    </row>
    <row r="26" spans="1:15">
      <c r="A26" s="12" t="s">
        <v>77</v>
      </c>
      <c r="B26" s="126" t="str">
        <f>CONCATENATE("по ~ ",C26,"гр. - ",ROUND(НОМ!F26*1000/C26,0)," шт.")</f>
        <v>по ~ 200гр. - 3 шт.</v>
      </c>
      <c r="C26" s="120">
        <v>200</v>
      </c>
      <c r="D26" s="11">
        <v>180</v>
      </c>
      <c r="E26" s="11" t="s">
        <v>78</v>
      </c>
      <c r="F26" s="123">
        <f>SUMIF(МЕНЮ!$A$1:$A$896,A26,МЕНЮ!$C$1:$C$896)</f>
        <v>0.57000000000000006</v>
      </c>
      <c r="G26" s="121">
        <f t="shared" si="0"/>
        <v>3</v>
      </c>
      <c r="H26" s="122">
        <v>60</v>
      </c>
      <c r="I26" s="183">
        <f t="shared" si="1"/>
        <v>180</v>
      </c>
      <c r="J26" s="145">
        <f>I26</f>
        <v>180</v>
      </c>
      <c r="O26" s="146">
        <f t="shared" si="2"/>
        <v>0</v>
      </c>
    </row>
    <row r="27" spans="1:15">
      <c r="A27" s="12" t="s">
        <v>79</v>
      </c>
      <c r="B27" s="126" t="str">
        <f>CONCATENATE("по ~ ",C27,"гр. - ",ROUND(НОМ!F27*1000/C27,0)," шт.")</f>
        <v>по ~ 1500гр. - 4 шт.</v>
      </c>
      <c r="C27" s="120">
        <v>1500</v>
      </c>
      <c r="D27" s="11">
        <v>1500</v>
      </c>
      <c r="E27" s="11" t="s">
        <v>67</v>
      </c>
      <c r="F27" s="123">
        <f>SUMIF(МЕНЮ!$A$1:$A$896,A27,МЕНЮ!$C$1:$C$896)</f>
        <v>6.1000000000000005</v>
      </c>
      <c r="G27" s="121">
        <f t="shared" si="0"/>
        <v>4</v>
      </c>
      <c r="H27" s="122">
        <v>30</v>
      </c>
      <c r="I27" s="183">
        <f t="shared" si="1"/>
        <v>120</v>
      </c>
      <c r="J27" s="145">
        <f>I27</f>
        <v>120</v>
      </c>
      <c r="O27" s="146">
        <f t="shared" si="2"/>
        <v>0</v>
      </c>
    </row>
    <row r="28" spans="1:15">
      <c r="A28" s="12" t="s">
        <v>80</v>
      </c>
      <c r="B28" s="126" t="str">
        <f>CONCATENATE("по ~ ",C28,"гр. - ",ROUND(НОМ!F28*1000/C28,0)," шт.")</f>
        <v>по ~ 300гр. - 3 шт.</v>
      </c>
      <c r="C28" s="141">
        <v>300</v>
      </c>
      <c r="D28" s="11">
        <v>300</v>
      </c>
      <c r="E28" s="11" t="s">
        <v>65</v>
      </c>
      <c r="F28" s="123">
        <f>SUMIF(МЕНЮ!$A$1:$A$896,A28,МЕНЮ!$C$1:$C$896)</f>
        <v>0.84</v>
      </c>
      <c r="G28" s="121">
        <f t="shared" si="0"/>
        <v>3</v>
      </c>
      <c r="H28" s="122">
        <v>50</v>
      </c>
      <c r="I28" s="183">
        <f t="shared" si="1"/>
        <v>150</v>
      </c>
      <c r="L28" s="145">
        <f>I28</f>
        <v>150</v>
      </c>
      <c r="O28" s="146">
        <f t="shared" si="2"/>
        <v>0</v>
      </c>
    </row>
    <row r="29" spans="1:15">
      <c r="A29" s="12" t="s">
        <v>81</v>
      </c>
      <c r="B29" s="126" t="str">
        <f>CONCATENATE("по ~ ",C29,"гр. - ",ROUND(НОМ!F29*1000/C29,0)," шт.")</f>
        <v>по ~ 100гр. - 9 шт.</v>
      </c>
      <c r="C29" s="126">
        <v>100</v>
      </c>
      <c r="D29" s="11"/>
      <c r="E29" s="11" t="s">
        <v>57</v>
      </c>
      <c r="F29" s="123">
        <f>SUMIF(МЕНЮ!$A$1:$A$896,A29,МЕНЮ!$C$1:$C$896)</f>
        <v>0.92999999999999994</v>
      </c>
      <c r="G29" s="121">
        <f>IF(F29=0,0,IF(D29=0,ROUNDUP(F29,0),IF(F29*1000/D29&lt;1,ROUNDUP((F29*1000)/D29,0),ROUND((F29*1000)/D29,0))))</f>
        <v>1</v>
      </c>
      <c r="H29" s="122">
        <v>45</v>
      </c>
      <c r="I29" s="183">
        <f t="shared" si="1"/>
        <v>45</v>
      </c>
      <c r="K29" s="145">
        <f>I29</f>
        <v>45</v>
      </c>
      <c r="O29" s="146">
        <f t="shared" si="2"/>
        <v>0</v>
      </c>
    </row>
    <row r="30" spans="1:15">
      <c r="A30" s="12" t="s">
        <v>82</v>
      </c>
      <c r="B30" s="126" t="str">
        <f>CONCATENATE("по ~ ",C30,"гр. - ",ROUND(НОМ!F30*1000/C30,0)," шт.")</f>
        <v>по ~ 100гр. - 46 шт.</v>
      </c>
      <c r="C30" s="126">
        <v>100</v>
      </c>
      <c r="D30" s="11"/>
      <c r="E30" s="11" t="s">
        <v>57</v>
      </c>
      <c r="F30" s="123">
        <f>SUMIF(МЕНЮ!$A$1:$A$896,A30,МЕНЮ!$C$1:$C$896)</f>
        <v>4.5670000000000002</v>
      </c>
      <c r="G30" s="121">
        <f>IF(F30=0,0,IF(D30=0,ROUNDUP(F30,0),IF(F30*1000/D30&lt;1,ROUNDUP((F30*1000)/D30,0),ROUND((F30*1000)/D30,0))))</f>
        <v>5</v>
      </c>
      <c r="H30" s="122">
        <v>150</v>
      </c>
      <c r="I30" s="183">
        <f t="shared" si="1"/>
        <v>750</v>
      </c>
      <c r="K30" s="145"/>
      <c r="L30" s="145">
        <f>I30</f>
        <v>750</v>
      </c>
      <c r="O30" s="146">
        <f t="shared" si="2"/>
        <v>0</v>
      </c>
    </row>
    <row r="31" spans="1:15">
      <c r="A31" s="12" t="s">
        <v>83</v>
      </c>
      <c r="B31" s="126" t="str">
        <f>CONCATENATE("по ~ ",C31,"гр. - ",ROUND(НОМ!F31*1000/C31,0)," шт.")</f>
        <v>по ~ 117гр. - 10 шт.</v>
      </c>
      <c r="C31" s="120">
        <v>117</v>
      </c>
      <c r="D31" s="11">
        <v>117</v>
      </c>
      <c r="E31" s="11" t="s">
        <v>55</v>
      </c>
      <c r="F31" s="123">
        <f>SUMIF(МЕНЮ!$A$1:$A$896,A31,МЕНЮ!$C$1:$C$896)</f>
        <v>1.1400000000000001</v>
      </c>
      <c r="G31" s="121">
        <f t="shared" si="0"/>
        <v>10</v>
      </c>
      <c r="H31" s="122">
        <v>25</v>
      </c>
      <c r="I31" s="183">
        <f t="shared" si="1"/>
        <v>250</v>
      </c>
      <c r="J31" s="145">
        <f>I31</f>
        <v>250</v>
      </c>
      <c r="O31" s="146">
        <f t="shared" si="2"/>
        <v>0</v>
      </c>
    </row>
    <row r="32" spans="1:15">
      <c r="A32" s="140" t="s">
        <v>168</v>
      </c>
      <c r="B32" s="126" t="str">
        <f>CONCATENATE("по ~ ",C32,"гр. - ",ROUND(НОМ!F32*1000/C32,0)," шт.")</f>
        <v>по ~ 80гр. - 36 шт.</v>
      </c>
      <c r="C32" s="126">
        <v>80</v>
      </c>
      <c r="D32" s="11">
        <v>80</v>
      </c>
      <c r="E32" s="11" t="s">
        <v>111</v>
      </c>
      <c r="F32" s="123">
        <f>SUMIF(МЕНЮ!$A$1:$A$896,A32,МЕНЮ!$C$1:$C$896)</f>
        <v>2.88</v>
      </c>
      <c r="G32" s="121">
        <f t="shared" si="0"/>
        <v>36</v>
      </c>
      <c r="H32" s="122">
        <f>(14+14+22+22)/4</f>
        <v>18</v>
      </c>
      <c r="I32" s="183">
        <f t="shared" si="1"/>
        <v>648</v>
      </c>
      <c r="O32" s="146">
        <f t="shared" si="2"/>
        <v>648</v>
      </c>
    </row>
    <row r="33" spans="1:15">
      <c r="A33" s="12" t="s">
        <v>84</v>
      </c>
      <c r="B33" s="120" t="s">
        <v>85</v>
      </c>
      <c r="C33" s="120"/>
      <c r="D33" s="11"/>
      <c r="E33" s="11" t="s">
        <v>57</v>
      </c>
      <c r="F33" s="123">
        <f>SUMIF(МЕНЮ!$A$1:$A$896,A33,МЕНЮ!$C$1:$C$896)</f>
        <v>3.8699999999999997</v>
      </c>
      <c r="G33" s="121">
        <f t="shared" si="0"/>
        <v>3.9</v>
      </c>
      <c r="H33" s="122">
        <v>250</v>
      </c>
      <c r="I33" s="183">
        <f t="shared" si="1"/>
        <v>975</v>
      </c>
      <c r="J33" s="145">
        <f>I33</f>
        <v>975</v>
      </c>
      <c r="O33" s="146">
        <f t="shared" si="2"/>
        <v>0</v>
      </c>
    </row>
    <row r="34" spans="1:15">
      <c r="A34" s="12" t="s">
        <v>86</v>
      </c>
      <c r="B34" s="126" t="str">
        <f>CONCATENATE("по ~ ",C34,"гр. - ",ROUND(НОМ!F34*1000/C34,0)," шт.")</f>
        <v>по ~ 200гр. - 33 шт.</v>
      </c>
      <c r="C34" s="126">
        <v>200</v>
      </c>
      <c r="D34" s="11"/>
      <c r="E34" s="11" t="s">
        <v>57</v>
      </c>
      <c r="F34" s="123">
        <f>SUMIF(МЕНЮ!$A$1:$A$896,A34,МЕНЮ!$C$1:$C$896)</f>
        <v>6.51</v>
      </c>
      <c r="G34" s="121">
        <f>IF(F34=0,0,IF(D34=0,ROUNDUP(F34,0),IF(F34*1000/D34&lt;1,ROUNDUP((F34*1000)/D34,0),ROUND((F34*1000)/D34,0))))</f>
        <v>7</v>
      </c>
      <c r="H34" s="122">
        <v>130</v>
      </c>
      <c r="I34" s="183">
        <f t="shared" si="1"/>
        <v>910</v>
      </c>
      <c r="L34" s="145">
        <f>I34</f>
        <v>910</v>
      </c>
      <c r="O34" s="146">
        <f t="shared" si="2"/>
        <v>0</v>
      </c>
    </row>
    <row r="35" spans="1:15">
      <c r="A35" s="140" t="s">
        <v>203</v>
      </c>
      <c r="B35" s="126" t="str">
        <f>CONCATENATE("по ~ ",C35,"гр. - ",ROUND(НОМ!F35*1000/C35,0)," шт.")</f>
        <v>по ~ 120гр. - 7 шт.</v>
      </c>
      <c r="C35" s="126">
        <v>120</v>
      </c>
      <c r="D35" s="11"/>
      <c r="E35" s="11" t="s">
        <v>57</v>
      </c>
      <c r="F35" s="123">
        <f>SUMIF(МЕНЮ!$A$1:$A$896,A35,МЕНЮ!$C$1:$C$896)</f>
        <v>0.82899999999999996</v>
      </c>
      <c r="G35" s="121">
        <f t="shared" si="0"/>
        <v>0.8</v>
      </c>
      <c r="H35" s="122">
        <v>120</v>
      </c>
      <c r="I35" s="183">
        <f t="shared" si="1"/>
        <v>96</v>
      </c>
      <c r="L35" s="145">
        <f>I35</f>
        <v>96</v>
      </c>
      <c r="O35" s="146">
        <f t="shared" si="2"/>
        <v>0</v>
      </c>
    </row>
    <row r="36" spans="1:15">
      <c r="A36" s="12" t="s">
        <v>87</v>
      </c>
      <c r="B36" s="126" t="str">
        <f>CONCATENATE("по ~ ",C36,"гр. - ",ROUND(НОМ!F36*1000/C36,0)," шт.")</f>
        <v>по ~ 30гр. - 15 шт.</v>
      </c>
      <c r="C36" s="126">
        <v>30</v>
      </c>
      <c r="D36" s="11"/>
      <c r="E36" s="11" t="s">
        <v>57</v>
      </c>
      <c r="F36" s="123">
        <f>SUMIF(МЕНЮ!$A$1:$A$896,A36,МЕНЮ!$C$1:$C$896)</f>
        <v>0.46</v>
      </c>
      <c r="G36" s="121">
        <f t="shared" si="0"/>
        <v>0.5</v>
      </c>
      <c r="H36" s="122">
        <v>100</v>
      </c>
      <c r="I36" s="183">
        <f t="shared" si="1"/>
        <v>50</v>
      </c>
      <c r="L36" s="145">
        <f>I36</f>
        <v>50</v>
      </c>
      <c r="O36" s="146">
        <f t="shared" si="2"/>
        <v>0</v>
      </c>
    </row>
    <row r="37" spans="1:15">
      <c r="A37" s="27" t="s">
        <v>88</v>
      </c>
      <c r="B37" s="120" t="s">
        <v>89</v>
      </c>
      <c r="C37" s="120"/>
      <c r="D37" s="11">
        <v>900</v>
      </c>
      <c r="E37" s="11" t="s">
        <v>78</v>
      </c>
      <c r="F37" s="123">
        <f>SUMIF(МЕНЮ!$A$1:$A$896,A37,МЕНЮ!$C$1:$C$896)</f>
        <v>1.82</v>
      </c>
      <c r="G37" s="121">
        <f t="shared" si="0"/>
        <v>2</v>
      </c>
      <c r="H37" s="122">
        <v>60</v>
      </c>
      <c r="I37" s="183">
        <f t="shared" si="1"/>
        <v>120</v>
      </c>
      <c r="J37" s="145">
        <f>I37</f>
        <v>120</v>
      </c>
      <c r="O37" s="146">
        <f t="shared" si="2"/>
        <v>0</v>
      </c>
    </row>
    <row r="38" spans="1:15">
      <c r="A38" s="140" t="s">
        <v>176</v>
      </c>
      <c r="B38" s="126" t="str">
        <f>CONCATENATE("по ~ ",C38,"гр. - ",ROUND(НОМ!F38*1000/C38,0)," шт.")</f>
        <v>по ~ 300гр. - 4 шт.</v>
      </c>
      <c r="C38" s="126">
        <v>300</v>
      </c>
      <c r="D38" s="11">
        <v>300</v>
      </c>
      <c r="E38" s="11" t="s">
        <v>111</v>
      </c>
      <c r="F38" s="123">
        <f>SUMIF(МЕНЮ!$A$1:$A$896,A38,МЕНЮ!$C$1:$C$896)</f>
        <v>1.1200000000000001</v>
      </c>
      <c r="G38" s="121">
        <f t="shared" si="0"/>
        <v>4</v>
      </c>
      <c r="H38" s="122">
        <v>70</v>
      </c>
      <c r="I38" s="183">
        <f t="shared" si="1"/>
        <v>280</v>
      </c>
      <c r="L38" s="145">
        <f>I38</f>
        <v>280</v>
      </c>
      <c r="O38" s="146">
        <f t="shared" si="2"/>
        <v>0</v>
      </c>
    </row>
    <row r="39" spans="1:15">
      <c r="A39" s="12" t="s">
        <v>90</v>
      </c>
      <c r="B39" s="141" t="s">
        <v>257</v>
      </c>
      <c r="C39" s="120"/>
      <c r="D39" s="11">
        <v>500</v>
      </c>
      <c r="E39" s="11" t="s">
        <v>78</v>
      </c>
      <c r="F39" s="123">
        <f>SUMIF(МЕНЮ!$A$1:$A$896,A39,МЕНЮ!$C$1:$C$896)</f>
        <v>0.81833333333333336</v>
      </c>
      <c r="G39" s="121">
        <f t="shared" si="0"/>
        <v>2</v>
      </c>
      <c r="H39" s="122"/>
      <c r="I39" s="183">
        <f t="shared" si="1"/>
        <v>0</v>
      </c>
      <c r="J39" s="145">
        <f>I39</f>
        <v>0</v>
      </c>
      <c r="O39" s="146">
        <f t="shared" si="2"/>
        <v>0</v>
      </c>
    </row>
    <row r="40" spans="1:15">
      <c r="A40" s="12" t="s">
        <v>91</v>
      </c>
      <c r="B40" s="120" t="s">
        <v>92</v>
      </c>
      <c r="C40" s="120"/>
      <c r="D40" s="11">
        <v>300</v>
      </c>
      <c r="E40" s="11" t="s">
        <v>55</v>
      </c>
      <c r="F40" s="123">
        <f>SUMIF(МЕНЮ!$A$1:$A$896,A40,МЕНЮ!$C$1:$C$896)</f>
        <v>2.2800000000000002</v>
      </c>
      <c r="G40" s="121">
        <f t="shared" si="0"/>
        <v>8</v>
      </c>
      <c r="H40" s="122">
        <v>45</v>
      </c>
      <c r="I40" s="183">
        <f t="shared" si="1"/>
        <v>360</v>
      </c>
      <c r="J40" s="145">
        <f>I40</f>
        <v>360</v>
      </c>
      <c r="O40" s="146">
        <f t="shared" si="2"/>
        <v>0</v>
      </c>
    </row>
    <row r="41" spans="1:15">
      <c r="A41" s="12" t="s">
        <v>93</v>
      </c>
      <c r="B41" s="124" t="s">
        <v>94</v>
      </c>
      <c r="C41" s="124"/>
      <c r="D41" s="125">
        <v>300</v>
      </c>
      <c r="E41" s="11" t="s">
        <v>61</v>
      </c>
      <c r="F41" s="123">
        <f>SUMIF(МЕНЮ!$A$1:$A$896,A41,МЕНЮ!$C$1:$C$896)</f>
        <v>2.2439999999999998</v>
      </c>
      <c r="G41" s="121">
        <f t="shared" si="0"/>
        <v>7</v>
      </c>
      <c r="H41" s="122">
        <v>70</v>
      </c>
      <c r="I41" s="183">
        <f t="shared" si="1"/>
        <v>490</v>
      </c>
      <c r="J41" s="145">
        <f>I41</f>
        <v>490</v>
      </c>
      <c r="O41" s="146">
        <f t="shared" si="2"/>
        <v>0</v>
      </c>
    </row>
    <row r="42" spans="1:15">
      <c r="A42" s="12" t="s">
        <v>95</v>
      </c>
      <c r="B42" s="141" t="s">
        <v>175</v>
      </c>
      <c r="C42" s="141"/>
      <c r="D42" s="11">
        <v>1000</v>
      </c>
      <c r="E42" s="11" t="s">
        <v>61</v>
      </c>
      <c r="F42" s="123">
        <f>SUMIF(МЕНЮ!$A$1:$A$896,A42,МЕНЮ!$C$1:$C$896)</f>
        <v>6</v>
      </c>
      <c r="G42" s="121">
        <f t="shared" si="0"/>
        <v>6</v>
      </c>
      <c r="H42" s="122">
        <v>45</v>
      </c>
      <c r="I42" s="183">
        <f t="shared" si="1"/>
        <v>270</v>
      </c>
      <c r="J42" s="145">
        <f>I42</f>
        <v>270</v>
      </c>
      <c r="O42" s="146">
        <f t="shared" si="2"/>
        <v>0</v>
      </c>
    </row>
    <row r="43" spans="1:15">
      <c r="A43" s="12" t="s">
        <v>152</v>
      </c>
      <c r="B43" s="126" t="str">
        <f>CONCATENATE("по ~ ",C43,"гр. - ",ROUND(НОМ!F43*1000/C43,0)," шт.")</f>
        <v>по ~ 65гр. - 41 шт.</v>
      </c>
      <c r="C43" s="126">
        <v>65</v>
      </c>
      <c r="D43" s="11"/>
      <c r="E43" s="11" t="s">
        <v>57</v>
      </c>
      <c r="F43" s="123">
        <f>SUMIF(МЕНЮ!$A$1:$A$896,A43,МЕНЮ!$C$1:$C$896)</f>
        <v>2.665</v>
      </c>
      <c r="G43" s="121">
        <f t="shared" si="0"/>
        <v>2.7</v>
      </c>
      <c r="H43" s="122">
        <v>300</v>
      </c>
      <c r="I43" s="183">
        <f t="shared" si="1"/>
        <v>810</v>
      </c>
      <c r="L43" s="145">
        <f>I43</f>
        <v>810</v>
      </c>
      <c r="O43" s="146">
        <f t="shared" si="2"/>
        <v>0</v>
      </c>
    </row>
    <row r="44" spans="1:15">
      <c r="A44" s="12" t="s">
        <v>96</v>
      </c>
      <c r="B44" s="126" t="str">
        <f>CONCATENATE("по ~ ",C44,"гр. - ",ROUND(НОМ!F44*1000/C44,0)," шт.")</f>
        <v>по ~ 65гр. - 16 шт.</v>
      </c>
      <c r="C44" s="126">
        <v>65</v>
      </c>
      <c r="D44" s="11"/>
      <c r="E44" s="11" t="s">
        <v>57</v>
      </c>
      <c r="F44" s="123">
        <f>SUMIF(МЕНЮ!$A$1:$A$896,A44,МЕНЮ!$C$1:$C$896)</f>
        <v>1.04</v>
      </c>
      <c r="G44" s="121">
        <f t="shared" si="0"/>
        <v>1</v>
      </c>
      <c r="H44" s="122">
        <v>300</v>
      </c>
      <c r="I44" s="183">
        <f t="shared" si="1"/>
        <v>300</v>
      </c>
      <c r="J44" s="145"/>
      <c r="L44" s="145">
        <f>I44</f>
        <v>300</v>
      </c>
      <c r="O44" s="146">
        <f t="shared" si="2"/>
        <v>0</v>
      </c>
    </row>
    <row r="45" spans="1:15">
      <c r="A45" s="12" t="s">
        <v>97</v>
      </c>
      <c r="B45" s="141" t="s">
        <v>156</v>
      </c>
      <c r="C45" s="141"/>
      <c r="D45" s="11">
        <v>150</v>
      </c>
      <c r="E45" s="11" t="s">
        <v>71</v>
      </c>
      <c r="F45" s="123">
        <f>SUMIF(МЕНЮ!$A$1:$A$896,A45,МЕНЮ!$C$1:$C$896)</f>
        <v>0.21</v>
      </c>
      <c r="G45" s="121">
        <f t="shared" si="0"/>
        <v>1</v>
      </c>
      <c r="H45" s="122">
        <v>55</v>
      </c>
      <c r="I45" s="183">
        <f t="shared" si="1"/>
        <v>55</v>
      </c>
      <c r="J45" s="145">
        <f>I45</f>
        <v>55</v>
      </c>
      <c r="O45" s="146">
        <f t="shared" si="2"/>
        <v>0</v>
      </c>
    </row>
    <row r="46" spans="1:15">
      <c r="A46" s="140" t="s">
        <v>155</v>
      </c>
      <c r="B46" s="141" t="s">
        <v>99</v>
      </c>
      <c r="C46" s="141"/>
      <c r="D46" s="11">
        <v>245</v>
      </c>
      <c r="E46" s="11" t="s">
        <v>61</v>
      </c>
      <c r="F46" s="123">
        <f>SUMIF(МЕНЮ!$A$1:$A$896,A46,МЕНЮ!$C$1:$C$896)</f>
        <v>0.21</v>
      </c>
      <c r="G46" s="121">
        <f t="shared" si="0"/>
        <v>1</v>
      </c>
      <c r="H46" s="122">
        <v>30</v>
      </c>
      <c r="I46" s="183">
        <f t="shared" si="1"/>
        <v>30</v>
      </c>
      <c r="J46" s="145">
        <f>I46</f>
        <v>30</v>
      </c>
      <c r="O46" s="146">
        <f t="shared" si="2"/>
        <v>0</v>
      </c>
    </row>
    <row r="47" spans="1:15">
      <c r="A47" s="12" t="s">
        <v>98</v>
      </c>
      <c r="B47" s="120" t="s">
        <v>99</v>
      </c>
      <c r="C47" s="120"/>
      <c r="D47" s="11">
        <v>245</v>
      </c>
      <c r="E47" s="11" t="s">
        <v>61</v>
      </c>
      <c r="F47" s="123">
        <f>SUMIF(МЕНЮ!$A$1:$A$896,A47,МЕНЮ!$C$1:$C$896)</f>
        <v>0.44999999999999996</v>
      </c>
      <c r="G47" s="121">
        <f t="shared" si="0"/>
        <v>2</v>
      </c>
      <c r="H47" s="122">
        <v>50</v>
      </c>
      <c r="I47" s="183">
        <f t="shared" si="1"/>
        <v>100</v>
      </c>
      <c r="J47" s="145">
        <f>I47</f>
        <v>100</v>
      </c>
      <c r="O47" s="146">
        <f t="shared" si="2"/>
        <v>0</v>
      </c>
    </row>
    <row r="48" spans="1:15">
      <c r="A48" s="12" t="s">
        <v>100</v>
      </c>
      <c r="B48" s="120" t="s">
        <v>101</v>
      </c>
      <c r="C48" s="120"/>
      <c r="D48" s="11">
        <v>230</v>
      </c>
      <c r="E48" s="11" t="s">
        <v>61</v>
      </c>
      <c r="F48" s="123">
        <f>SUMIF(МЕНЮ!$A$1:$A$896,A48,МЕНЮ!$C$1:$C$896)</f>
        <v>0.44999999999999996</v>
      </c>
      <c r="G48" s="121">
        <f t="shared" si="0"/>
        <v>2</v>
      </c>
      <c r="H48" s="122">
        <v>65</v>
      </c>
      <c r="I48" s="183">
        <f t="shared" si="1"/>
        <v>130</v>
      </c>
      <c r="J48" s="145">
        <f>I48</f>
        <v>130</v>
      </c>
      <c r="O48" s="146">
        <f t="shared" si="2"/>
        <v>0</v>
      </c>
    </row>
    <row r="49" spans="1:15">
      <c r="A49" s="12" t="s">
        <v>102</v>
      </c>
      <c r="B49" s="120" t="s">
        <v>103</v>
      </c>
      <c r="C49" s="120"/>
      <c r="D49" s="11">
        <v>100</v>
      </c>
      <c r="E49" s="11" t="s">
        <v>61</v>
      </c>
      <c r="F49" s="123">
        <f>SUMIF(МЕНЮ!$A$1:$A$896,A49,МЕНЮ!$C$1:$C$896)</f>
        <v>0.12</v>
      </c>
      <c r="G49" s="121">
        <f t="shared" si="0"/>
        <v>1</v>
      </c>
      <c r="H49" s="122">
        <v>15</v>
      </c>
      <c r="I49" s="183">
        <f t="shared" si="1"/>
        <v>15</v>
      </c>
      <c r="J49" s="145">
        <f>I49</f>
        <v>15</v>
      </c>
      <c r="O49" s="146">
        <f t="shared" si="2"/>
        <v>0</v>
      </c>
    </row>
    <row r="50" spans="1:15">
      <c r="A50" s="12" t="s">
        <v>104</v>
      </c>
      <c r="B50" s="141" t="s">
        <v>249</v>
      </c>
      <c r="C50" s="120"/>
      <c r="D50" s="11"/>
      <c r="E50" s="11" t="s">
        <v>57</v>
      </c>
      <c r="F50" s="123">
        <f>SUMIF(МЕНЮ!$A$1:$A$896,A50,МЕНЮ!$C$1:$C$896)</f>
        <v>0.85499999999999998</v>
      </c>
      <c r="G50" s="121">
        <f t="shared" si="0"/>
        <v>0.9</v>
      </c>
      <c r="H50" s="122">
        <v>400</v>
      </c>
      <c r="I50" s="183">
        <f t="shared" si="1"/>
        <v>360</v>
      </c>
      <c r="L50" s="145">
        <f>I50</f>
        <v>360</v>
      </c>
      <c r="O50" s="146">
        <f t="shared" si="2"/>
        <v>0</v>
      </c>
    </row>
    <row r="51" spans="1:15">
      <c r="A51" s="12" t="s">
        <v>105</v>
      </c>
      <c r="B51" s="141" t="s">
        <v>250</v>
      </c>
      <c r="C51" s="120"/>
      <c r="D51" s="11">
        <v>200</v>
      </c>
      <c r="E51" s="11" t="s">
        <v>61</v>
      </c>
      <c r="F51" s="123">
        <f>SUMIF(МЕНЮ!$A$1:$A$896,A51,МЕНЮ!$C$1:$C$896)</f>
        <v>0.85499999999999998</v>
      </c>
      <c r="G51" s="121">
        <f t="shared" si="0"/>
        <v>4</v>
      </c>
      <c r="H51" s="122">
        <v>50</v>
      </c>
      <c r="I51" s="183">
        <f t="shared" si="1"/>
        <v>200</v>
      </c>
      <c r="J51" s="145"/>
      <c r="L51" s="145">
        <f>I51</f>
        <v>200</v>
      </c>
      <c r="O51" s="146">
        <f t="shared" si="2"/>
        <v>0</v>
      </c>
    </row>
    <row r="52" spans="1:15">
      <c r="A52" s="12" t="s">
        <v>106</v>
      </c>
      <c r="B52" s="120"/>
      <c r="C52" s="120"/>
      <c r="D52" s="11">
        <v>300</v>
      </c>
      <c r="E52" s="11" t="s">
        <v>71</v>
      </c>
      <c r="F52" s="123">
        <f>SUMIF(МЕНЮ!$A$1:$A$896,A52,МЕНЮ!$C$1:$C$896)</f>
        <v>0.52500000000000002</v>
      </c>
      <c r="G52" s="121">
        <f t="shared" si="0"/>
        <v>2</v>
      </c>
      <c r="H52" s="122">
        <v>60</v>
      </c>
      <c r="I52" s="183">
        <f t="shared" si="1"/>
        <v>120</v>
      </c>
      <c r="J52" s="145">
        <f>I52</f>
        <v>120</v>
      </c>
      <c r="O52" s="146">
        <f t="shared" si="2"/>
        <v>0</v>
      </c>
    </row>
    <row r="53" spans="1:15">
      <c r="A53" s="12" t="s">
        <v>107</v>
      </c>
      <c r="B53" s="141" t="str">
        <f>CONCATENATE("порции ",IF(ISERROR(VLOOKUP(A53,МЕНЮ!$A$5:$F$23,3,FALSE))=TRUE,"",CONCATENATE(VLOOKUP(A53,МЕНЮ!$A$5:$F$23,3,FALSE)*1000,"гр.; ")),IF(ISERROR(VLOOKUP(A53,МЕНЮ!$A$27:$F$44,3,FALSE))=TRUE,"",CONCATENATE(VLOOKUP(A53,МЕНЮ!$A$27:$F$44,3,FALSE)*1000,"гр.; ")),IF(ISERROR(VLOOKUP(A53,МЕНЮ!$A$48:$F$71,3,FALSE))=TRUE,"",CONCATENATE(VLOOKUP(A53,МЕНЮ!$A$48:$F$71,3,FALSE)*1000,"гр.; ")),IF(ISERROR(VLOOKUP(A53,МЕНЮ!$A$74:$F$97,3,FALSE))=TRUE,"",CONCATENATE(VLOOKUP(A53,МЕНЮ!$A$74:$F$97,3,FALSE)*1000,"гр.; ")),IF(ISERROR(VLOOKUP(A53,МЕНЮ!$A$101:$F$119,3,FALSE))=TRUE,"",CONCATENATE(VLOOKUP(A53,МЕНЮ!$A$101:$F$119,3,FALSE)*1000,"гр.; ")),IF(ISERROR(VLOOKUP(A53,МЕНЮ!$A$122:$F$144,3,FALSE))=TRUE,"",CONCATENATE(VLOOKUP(A53,МЕНЮ!$A$122:$F$144,3,FALSE)*1000,"гр.; ")),IF(ISERROR(VLOOKUP(A53,МЕНЮ!$A$147:$F$169,3,FALSE))=TRUE,"",CONCATENATE(VLOOKUP(A53,МЕНЮ!$A$147:$F$169,3,FALSE)*1000,"гр.; ")),IF(ISERROR(VLOOKUP(A53,МЕНЮ!$A$173:$F$191,3,FALSE))=TRUE,"",CONCATENATE(VLOOKUP(A53,МЕНЮ!$A$173:$F$191,3,FALSE)*1000,"гр.; ")),IF(ISERROR(VLOOKUP(A53,МЕНЮ!$A$194:$F$217,3,FALSE))=TRUE,"",CONCATENATE(VLOOKUP(A53,МЕНЮ!$A$194:$F$217,3,FALSE)*1000,"гр.; ")),IF(ISERROR(VLOOKUP(A53,МЕНЮ!$A$221:$F$244,3,FALSE))=TRUE,"",CONCATENATE(VLOOKUP(A53,МЕНЮ!$A$221:$F$244,3,FALSE)*1000,"гр.; ")),IF(ISERROR(VLOOKUP(A53,МЕНЮ!$A$248:$F$259,3,FALSE))=TRUE,"",CONCATENATE(VLOOKUP(A53,МЕНЮ!$A$248:$F$259,3,FALSE)*1000,"гр.")))</f>
        <v xml:space="preserve">порции 130гр.; 280гр.; 160гр.; 180гр.; </v>
      </c>
      <c r="C53" s="120"/>
      <c r="D53" s="11"/>
      <c r="E53" s="11" t="s">
        <v>57</v>
      </c>
      <c r="F53" s="123">
        <f>SUMIF(МЕНЮ!$A$1:$A$896,A53,МЕНЮ!$C$1:$C$896)</f>
        <v>0.75</v>
      </c>
      <c r="G53" s="121">
        <f t="shared" si="0"/>
        <v>0.8</v>
      </c>
      <c r="H53" s="122">
        <v>600</v>
      </c>
      <c r="I53" s="183">
        <f t="shared" si="1"/>
        <v>480</v>
      </c>
      <c r="J53" s="145">
        <f>I53</f>
        <v>480</v>
      </c>
      <c r="O53" s="146">
        <f t="shared" si="2"/>
        <v>0</v>
      </c>
    </row>
    <row r="54" spans="1:15">
      <c r="A54" s="12" t="s">
        <v>108</v>
      </c>
      <c r="B54" s="141" t="str">
        <f>CONCATENATE("порции ",IF(ISERROR(VLOOKUP(A54,МЕНЮ!$A$5:$F$23,3,FALSE))=TRUE,"",CONCATENATE(VLOOKUP(A54,МЕНЮ!$A$5:$F$23,3,FALSE)*1000,"гр.; ")),IF(ISERROR(VLOOKUP(A54,МЕНЮ!$A$27:$F$44,3,FALSE))=TRUE,"",CONCATENATE(VLOOKUP(A54,МЕНЮ!$A$27:$F$44,3,FALSE)*1000,"гр.; ")),IF(ISERROR(VLOOKUP(A54,МЕНЮ!$A$48:$F$71,3,FALSE))=TRUE,"",CONCATENATE(VLOOKUP(A54,МЕНЮ!$A$48:$F$71,3,FALSE)*1000,"гр.; ")),IF(ISERROR(VLOOKUP(A54,МЕНЮ!$A$74:$F$97,3,FALSE))=TRUE,"",CONCATENATE(VLOOKUP(A54,МЕНЮ!$A$74:$F$97,3,FALSE)*1000,"гр.; ")),IF(ISERROR(VLOOKUP(A54,МЕНЮ!$A$101:$F$119,3,FALSE))=TRUE,"",CONCATENATE(VLOOKUP(A54,МЕНЮ!$A$101:$F$119,3,FALSE)*1000,"гр.; ")),IF(ISERROR(VLOOKUP(A54,МЕНЮ!$A$122:$F$144,3,FALSE))=TRUE,"",CONCATENATE(VLOOKUP(A54,МЕНЮ!$A$122:$F$144,3,FALSE)*1000,"гр.; ")),IF(ISERROR(VLOOKUP(A54,МЕНЮ!$A$147:$F$169,3,FALSE))=TRUE,"",CONCATENATE(VLOOKUP(A54,МЕНЮ!$A$147:$F$169,3,FALSE)*1000,"гр.; ")),IF(ISERROR(VLOOKUP(A54,МЕНЮ!$A$173:$F$191,3,FALSE))=TRUE,"",CONCATENATE(VLOOKUP(A54,МЕНЮ!$A$173:$F$191,3,FALSE)*1000,"гр.; ")),IF(ISERROR(VLOOKUP(A54,МЕНЮ!$A$194:$F$217,3,FALSE))=TRUE,"",CONCATENATE(VLOOKUP(A54,МЕНЮ!$A$194:$F$217,3,FALSE)*1000,"гр.; ")),IF(ISERROR(VLOOKUP(A54,МЕНЮ!$A$221:$F$244,3,FALSE))=TRUE,"",CONCATENATE(VLOOKUP(A54,МЕНЮ!$A$221:$F$244,3,FALSE)*1000,"гр.; ")),IF(ISERROR(VLOOKUP(A54,МЕНЮ!$A$248:$F$259,3,FALSE))=TRUE,"",CONCATENATE(VLOOKUP(A54,МЕНЮ!$A$248:$F$259,3,FALSE)*1000,"гр.")))</f>
        <v xml:space="preserve">порции 130гр.; 280гр.; 160гр.; 180гр.; </v>
      </c>
      <c r="C54" s="120"/>
      <c r="D54" s="11"/>
      <c r="E54" s="11" t="s">
        <v>57</v>
      </c>
      <c r="F54" s="123">
        <f>SUMIF(МЕНЮ!$A$1:$A$896,A54,МЕНЮ!$C$1:$C$896)</f>
        <v>0.75</v>
      </c>
      <c r="G54" s="121">
        <f t="shared" si="0"/>
        <v>0.8</v>
      </c>
      <c r="H54" s="122">
        <v>600</v>
      </c>
      <c r="I54" s="183">
        <f t="shared" si="1"/>
        <v>480</v>
      </c>
      <c r="J54" s="145">
        <f>I54</f>
        <v>480</v>
      </c>
      <c r="O54" s="146">
        <f t="shared" si="2"/>
        <v>0</v>
      </c>
    </row>
    <row r="55" spans="1:15">
      <c r="A55" s="12" t="s">
        <v>109</v>
      </c>
      <c r="B55" s="120" t="s">
        <v>110</v>
      </c>
      <c r="C55" s="120">
        <f>ROUND(D55/19,0)</f>
        <v>21</v>
      </c>
      <c r="D55" s="11">
        <v>400</v>
      </c>
      <c r="E55" s="11" t="s">
        <v>188</v>
      </c>
      <c r="F55" s="123">
        <f>SUMIF(МЕНЮ!$A$1:$A$896,A55,МЕНЮ!$C$1:$C$896)</f>
        <v>4.1894999999999998</v>
      </c>
      <c r="G55" s="121">
        <f t="shared" si="0"/>
        <v>10</v>
      </c>
      <c r="H55" s="122">
        <v>25</v>
      </c>
      <c r="I55" s="183">
        <f t="shared" si="1"/>
        <v>250</v>
      </c>
      <c r="L55" s="145">
        <f>I55</f>
        <v>250</v>
      </c>
      <c r="O55" s="146">
        <f t="shared" si="2"/>
        <v>0</v>
      </c>
    </row>
    <row r="56" spans="1:15">
      <c r="A56" s="12" t="s">
        <v>112</v>
      </c>
      <c r="B56" s="120" t="s">
        <v>110</v>
      </c>
      <c r="C56" s="120">
        <f>ROUND(D56/28,0)</f>
        <v>25</v>
      </c>
      <c r="D56" s="11">
        <v>690</v>
      </c>
      <c r="E56" s="11" t="s">
        <v>189</v>
      </c>
      <c r="F56" s="123">
        <f>SUMIF(МЕНЮ!$A$1:$A$896,A56,МЕНЮ!$C$1:$C$896)</f>
        <v>6.6749999999999989</v>
      </c>
      <c r="G56" s="121">
        <f t="shared" si="0"/>
        <v>10</v>
      </c>
      <c r="H56" s="122">
        <v>25</v>
      </c>
      <c r="I56" s="183">
        <f t="shared" si="1"/>
        <v>250</v>
      </c>
      <c r="L56" s="145">
        <f>I56</f>
        <v>250</v>
      </c>
      <c r="O56" s="146">
        <f t="shared" si="2"/>
        <v>0</v>
      </c>
    </row>
    <row r="57" spans="1:15">
      <c r="A57" s="12" t="s">
        <v>113</v>
      </c>
      <c r="B57" s="120" t="s">
        <v>114</v>
      </c>
      <c r="C57" s="120"/>
      <c r="D57" s="11">
        <v>100</v>
      </c>
      <c r="E57" s="11" t="s">
        <v>169</v>
      </c>
      <c r="F57" s="123">
        <f>SUMIF(МЕНЮ!$A$1:$A$896,A57,МЕНЮ!$C$1:$C$896)</f>
        <v>0.25800000000000001</v>
      </c>
      <c r="G57" s="121">
        <f t="shared" si="0"/>
        <v>3</v>
      </c>
      <c r="H57" s="122">
        <v>60</v>
      </c>
      <c r="I57" s="183">
        <f t="shared" si="1"/>
        <v>180</v>
      </c>
      <c r="J57" s="145">
        <f>I57</f>
        <v>180</v>
      </c>
      <c r="O57" s="146">
        <f t="shared" si="2"/>
        <v>0</v>
      </c>
    </row>
    <row r="58" spans="1:15">
      <c r="A58" s="12" t="s">
        <v>115</v>
      </c>
      <c r="B58" s="120" t="s">
        <v>116</v>
      </c>
      <c r="C58" s="120">
        <v>2</v>
      </c>
      <c r="D58" s="11">
        <v>50</v>
      </c>
      <c r="E58" s="11" t="s">
        <v>169</v>
      </c>
      <c r="F58" s="123">
        <f>SUMIF(МЕНЮ!$A$1:$A$896,A58,МЕНЮ!$C$1:$C$896)</f>
        <v>0.114</v>
      </c>
      <c r="G58" s="121">
        <f>IF(F58=0,0,IF(D58=0,ROUND(F58,1),IF(F58*1000/D58&lt;1,ROUNDUP((F58*1000)/D58,0),ROUND((F58*1000)/D58,0))))</f>
        <v>2</v>
      </c>
      <c r="H58" s="122">
        <v>60</v>
      </c>
      <c r="I58" s="183">
        <f t="shared" si="1"/>
        <v>120</v>
      </c>
      <c r="J58" s="145">
        <f>I58</f>
        <v>120</v>
      </c>
      <c r="O58" s="146">
        <f t="shared" si="2"/>
        <v>0</v>
      </c>
    </row>
    <row r="59" spans="1:15">
      <c r="A59" s="142" t="s">
        <v>117</v>
      </c>
      <c r="B59" s="120"/>
      <c r="C59" s="120"/>
      <c r="D59" s="11"/>
      <c r="E59" s="11" t="s">
        <v>57</v>
      </c>
      <c r="F59" s="123">
        <f>SUMIF(МЕНЮ!$A$1:$A$896,A59,МЕНЮ!$C$1:$C$896)</f>
        <v>4.2</v>
      </c>
      <c r="G59" s="121">
        <f t="shared" si="0"/>
        <v>4.2</v>
      </c>
      <c r="H59" s="122">
        <v>250</v>
      </c>
      <c r="I59" s="183">
        <f t="shared" si="1"/>
        <v>1050</v>
      </c>
      <c r="N59" s="145">
        <f>I59</f>
        <v>1050</v>
      </c>
      <c r="O59" s="146">
        <f t="shared" si="2"/>
        <v>0</v>
      </c>
    </row>
    <row r="60" spans="1:15">
      <c r="A60" s="12" t="s">
        <v>118</v>
      </c>
      <c r="B60" s="141" t="str">
        <f>CONCATENATE("порции ",IF(ISERROR(VLOOKUP(A60,МЕНЮ!$A$5:$F$23,3,FALSE))=TRUE,"",CONCATENATE(VLOOKUP(A60,МЕНЮ!$A$5:$F$23,3,FALSE)*1000,"гр.; ")),IF(ISERROR(VLOOKUP(A60,МЕНЮ!$A$27:$F$44,3,FALSE))=TRUE,"",CONCATENATE(VLOOKUP(A60,МЕНЮ!$A$27:$F$44,3,FALSE)*1000,"гр.; ")),IF(ISERROR(VLOOKUP(A60,МЕНЮ!$A$48:$F$71,3,FALSE))=TRUE,"",CONCATENATE(VLOOKUP(A60,МЕНЮ!$A$48:$F$71,3,FALSE)*1000,"гр.; ")),IF(ISERROR(VLOOKUP(A60,МЕНЮ!$A$74:$F$97,3,FALSE))=TRUE,"",CONCATENATE(VLOOKUP(A60,МЕНЮ!$A$74:$F$97,3,FALSE)*1000,"гр.; ")),IF(ISERROR(VLOOKUP(A60,МЕНЮ!$A$101:$F$119,3,FALSE))=TRUE,"",CONCATENATE(VLOOKUP(A60,МЕНЮ!$A$101:$F$119,3,FALSE)*1000,"гр.; ")),IF(ISERROR(VLOOKUP(A60,МЕНЮ!$A$122:$F$144,3,FALSE))=TRUE,"",CONCATENATE(VLOOKUP(A60,МЕНЮ!$A$122:$F$144,3,FALSE)*1000,"гр.; ")),IF(ISERROR(VLOOKUP(A60,МЕНЮ!$A$147:$F$169,3,FALSE))=TRUE,"",CONCATENATE(VLOOKUP(A60,МЕНЮ!$A$147:$F$169,3,FALSE)*1000,"гр.; ")),IF(ISERROR(VLOOKUP(A60,МЕНЮ!$A$173:$F$191,3,FALSE))=TRUE,"",CONCATENATE(VLOOKUP(A60,МЕНЮ!$A$173:$F$191,3,FALSE)*1000,"гр.; ")),IF(ISERROR(VLOOKUP(A60,МЕНЮ!$A$194:$F$217,3,FALSE))=TRUE,"",CONCATENATE(VLOOKUP(A60,МЕНЮ!$A$194:$F$217,3,FALSE)*1000,"гр.; ")),IF(ISERROR(VLOOKUP(A60,МЕНЮ!$A$221:$F$244,3,FALSE))=TRUE,"",CONCATENATE(VLOOKUP(A60,МЕНЮ!$A$221:$F$244,3,FALSE)*1000,"гр.; ")),IF(ISERROR(VLOOKUP(A60,МЕНЮ!$A$248:$F$259,3,FALSE))=TRUE,"",CONCATENATE(VLOOKUP(A60,МЕНЮ!$A$248:$F$259,3,FALSE)*1000,"гр.")))</f>
        <v xml:space="preserve">порции 1040гр.; 1950гр.; 780гр.; </v>
      </c>
      <c r="C60" s="120"/>
      <c r="D60" s="11"/>
      <c r="E60" s="11" t="s">
        <v>57</v>
      </c>
      <c r="F60" s="123">
        <f>SUMIF(МЕНЮ!$A$1:$A$896,A60,МЕНЮ!$C$1:$C$896)</f>
        <v>3.7700000000000005</v>
      </c>
      <c r="G60" s="121">
        <f t="shared" si="0"/>
        <v>3.8</v>
      </c>
      <c r="H60" s="122">
        <v>200</v>
      </c>
      <c r="I60" s="183">
        <f t="shared" si="1"/>
        <v>760</v>
      </c>
      <c r="L60" s="145">
        <f>I60</f>
        <v>760</v>
      </c>
      <c r="O60" s="146">
        <f t="shared" si="2"/>
        <v>0</v>
      </c>
    </row>
    <row r="61" spans="1:15">
      <c r="A61" s="12" t="s">
        <v>119</v>
      </c>
      <c r="B61" s="141" t="str">
        <f>CONCATENATE("в любой таре, но общ. весом &gt;",ROUND(F61,0)," кг.")</f>
        <v>в любой таре, но общ. весом &gt;10 кг.</v>
      </c>
      <c r="C61" s="120"/>
      <c r="D61" s="11">
        <v>2000</v>
      </c>
      <c r="E61" s="11" t="s">
        <v>61</v>
      </c>
      <c r="F61" s="123">
        <f>SUMIF(МЕНЮ!$A$1:$A$896,A61,МЕНЮ!$C$1:$C$896)</f>
        <v>9.9692307692307693</v>
      </c>
      <c r="G61" s="121">
        <f t="shared" si="0"/>
        <v>5</v>
      </c>
      <c r="H61" s="122">
        <v>85</v>
      </c>
      <c r="I61" s="183">
        <f>G61*H61</f>
        <v>425</v>
      </c>
      <c r="J61" s="145">
        <f>I61</f>
        <v>425</v>
      </c>
      <c r="O61" s="146">
        <f>I61-J61-K61-L61-M61-N61</f>
        <v>0</v>
      </c>
    </row>
    <row r="62" spans="1:15">
      <c r="A62" s="140" t="s">
        <v>194</v>
      </c>
      <c r="B62" s="141" t="s">
        <v>240</v>
      </c>
      <c r="C62" s="141"/>
      <c r="D62" s="11"/>
      <c r="E62" s="11" t="s">
        <v>57</v>
      </c>
      <c r="F62" s="123">
        <f>SUMIF(МЕНЮ!$A$1:$A$896,A62,МЕНЮ!$C$1:$C$896)</f>
        <v>0</v>
      </c>
      <c r="G62" s="121">
        <f t="shared" si="0"/>
        <v>0</v>
      </c>
      <c r="H62" s="122">
        <v>500</v>
      </c>
      <c r="I62" s="183">
        <f>G62*H62</f>
        <v>0</v>
      </c>
      <c r="L62" s="145">
        <f>I62</f>
        <v>0</v>
      </c>
      <c r="O62" s="146">
        <f>I62-J62-K62-L62-M62-N62</f>
        <v>0</v>
      </c>
    </row>
    <row r="63" spans="1:15">
      <c r="A63" s="12" t="s">
        <v>120</v>
      </c>
      <c r="B63" s="211" t="s">
        <v>248</v>
      </c>
      <c r="C63" s="120"/>
      <c r="D63" s="11"/>
      <c r="E63" s="11" t="s">
        <v>57</v>
      </c>
      <c r="F63" s="123">
        <f>SUMIF(МЕНЮ!$A$1:$A$896,A63,МЕНЮ!$C$1:$C$896)</f>
        <v>4.5</v>
      </c>
      <c r="G63" s="121">
        <f t="shared" si="0"/>
        <v>4.5</v>
      </c>
      <c r="H63" s="122">
        <v>400</v>
      </c>
      <c r="I63" s="183">
        <f>G63*H63</f>
        <v>1800</v>
      </c>
      <c r="M63" s="145">
        <f>I63</f>
        <v>1800</v>
      </c>
      <c r="O63" s="146">
        <f>I63-J63-K63-L63-M63-N63</f>
        <v>0</v>
      </c>
    </row>
    <row r="64" spans="1:15">
      <c r="A64" s="12" t="s">
        <v>121</v>
      </c>
      <c r="B64" s="212"/>
      <c r="C64" s="120"/>
      <c r="D64" s="11"/>
      <c r="E64" s="11" t="s">
        <v>57</v>
      </c>
      <c r="F64" s="123">
        <f>SUMIF(МЕНЮ!$A$1:$A$896,A64,МЕНЮ!$C$1:$C$896)</f>
        <v>1.1500000000000001</v>
      </c>
      <c r="G64" s="121">
        <f t="shared" si="0"/>
        <v>1.2</v>
      </c>
      <c r="H64" s="122">
        <v>200</v>
      </c>
      <c r="I64" s="183">
        <f>G64*H64</f>
        <v>240</v>
      </c>
      <c r="M64" s="145">
        <f>I64</f>
        <v>240</v>
      </c>
      <c r="O64" s="146">
        <f>I64-J64-K64-L64-M64-N64</f>
        <v>0</v>
      </c>
    </row>
    <row r="65" spans="1:15">
      <c r="A65" s="140" t="s">
        <v>122</v>
      </c>
      <c r="B65" s="126" t="str">
        <f>CONCATENATE("по ~ ",C65,"гр. - ",ROUND(НОМ!F65*1000/C65,0)," шт.")</f>
        <v>по ~ 55гр. - 71 шт.</v>
      </c>
      <c r="C65" s="141">
        <v>55</v>
      </c>
      <c r="D65" s="11">
        <v>55</v>
      </c>
      <c r="E65" s="11" t="s">
        <v>111</v>
      </c>
      <c r="F65" s="123">
        <f>SUMIF(МЕНЮ!$A$1:$A$896,A65,МЕНЮ!$C$1:$C$896)</f>
        <v>3.931</v>
      </c>
      <c r="G65" s="121">
        <f t="shared" si="0"/>
        <v>71</v>
      </c>
      <c r="H65" s="122">
        <v>5.5</v>
      </c>
      <c r="I65" s="183">
        <f>G65*H65</f>
        <v>390.5</v>
      </c>
      <c r="L65" s="145">
        <f>I65</f>
        <v>390.5</v>
      </c>
      <c r="O65" s="146">
        <f>I65-J65-K65-L65-M65-N65</f>
        <v>0</v>
      </c>
    </row>
    <row r="66" spans="1:15">
      <c r="A66" s="140"/>
      <c r="B66" s="141"/>
      <c r="C66" s="141"/>
      <c r="D66" s="11"/>
      <c r="E66" s="11"/>
      <c r="F66" s="123"/>
      <c r="G66" s="121"/>
      <c r="H66" s="122"/>
      <c r="I66" s="183"/>
      <c r="L66" s="145"/>
      <c r="O66" s="146">
        <f t="shared" ref="O66:O89" si="6">I66-J66-K66-L66-M66-N66</f>
        <v>0</v>
      </c>
    </row>
    <row r="67" spans="1:15">
      <c r="A67" s="140"/>
      <c r="B67" s="141"/>
      <c r="C67" s="141"/>
      <c r="D67" s="11"/>
      <c r="E67" s="11"/>
      <c r="F67" s="123"/>
      <c r="G67" s="121"/>
      <c r="H67" s="122"/>
      <c r="I67" s="183"/>
      <c r="L67" s="145"/>
      <c r="O67" s="146">
        <f t="shared" si="6"/>
        <v>0</v>
      </c>
    </row>
    <row r="68" spans="1:15">
      <c r="A68" s="140"/>
      <c r="B68" s="141"/>
      <c r="C68" s="141"/>
      <c r="D68" s="11"/>
      <c r="E68" s="11"/>
      <c r="F68" s="123"/>
      <c r="G68" s="121"/>
      <c r="H68" s="122"/>
      <c r="I68" s="183"/>
      <c r="L68" s="145"/>
      <c r="O68" s="146">
        <f t="shared" si="6"/>
        <v>0</v>
      </c>
    </row>
    <row r="69" spans="1:15">
      <c r="A69" s="140"/>
      <c r="B69" s="141"/>
      <c r="C69" s="141"/>
      <c r="D69" s="11"/>
      <c r="E69" s="11"/>
      <c r="F69" s="123"/>
      <c r="G69" s="121"/>
      <c r="H69" s="122"/>
      <c r="I69" s="183"/>
      <c r="L69" s="145"/>
      <c r="O69" s="146">
        <f t="shared" si="6"/>
        <v>0</v>
      </c>
    </row>
    <row r="70" spans="1:15">
      <c r="A70" s="36" t="s">
        <v>33</v>
      </c>
      <c r="B70" s="127"/>
      <c r="C70" s="127"/>
      <c r="D70" s="128"/>
      <c r="E70" s="128"/>
      <c r="F70" s="129">
        <f>SUM(F3:F65)</f>
        <v>141.87606410256413</v>
      </c>
      <c r="G70" s="130"/>
      <c r="H70" s="131"/>
      <c r="I70" s="173">
        <f>SUM(I3:I65)</f>
        <v>19389.5</v>
      </c>
      <c r="O70" s="146"/>
    </row>
    <row r="71" spans="1:15">
      <c r="O71" s="146">
        <f t="shared" si="6"/>
        <v>0</v>
      </c>
    </row>
    <row r="72" spans="1:15">
      <c r="A72" s="207" t="s">
        <v>123</v>
      </c>
      <c r="B72" s="207"/>
      <c r="C72" s="207"/>
      <c r="D72" s="207"/>
      <c r="E72" s="207"/>
      <c r="F72" s="207"/>
      <c r="G72" s="207"/>
      <c r="H72" s="207"/>
      <c r="I72" s="207"/>
      <c r="O72" s="146">
        <f t="shared" si="6"/>
        <v>0</v>
      </c>
    </row>
    <row r="73" spans="1:15">
      <c r="A73" s="140" t="s">
        <v>192</v>
      </c>
      <c r="B73" s="120"/>
      <c r="C73" s="120"/>
      <c r="D73" s="11"/>
      <c r="E73" s="11" t="s">
        <v>111</v>
      </c>
      <c r="F73" s="132"/>
      <c r="G73" s="133">
        <v>7</v>
      </c>
      <c r="H73" s="122">
        <v>2</v>
      </c>
      <c r="I73" s="183">
        <f t="shared" ref="I73:I89" si="7">G73*H73</f>
        <v>14</v>
      </c>
      <c r="J73" s="145">
        <f>I73</f>
        <v>14</v>
      </c>
      <c r="O73" s="146">
        <f t="shared" si="6"/>
        <v>0</v>
      </c>
    </row>
    <row r="74" spans="1:15">
      <c r="A74" s="12" t="s">
        <v>124</v>
      </c>
      <c r="B74" s="141" t="s">
        <v>181</v>
      </c>
      <c r="C74" s="141"/>
      <c r="D74" s="11">
        <v>400</v>
      </c>
      <c r="E74" s="11" t="s">
        <v>61</v>
      </c>
      <c r="F74" s="132"/>
      <c r="G74" s="133">
        <v>2</v>
      </c>
      <c r="H74" s="122">
        <v>35</v>
      </c>
      <c r="I74" s="183">
        <f t="shared" si="7"/>
        <v>70</v>
      </c>
      <c r="J74" s="145">
        <f>I74</f>
        <v>70</v>
      </c>
      <c r="O74" s="146">
        <f t="shared" si="6"/>
        <v>0</v>
      </c>
    </row>
    <row r="75" spans="1:15">
      <c r="A75" s="12" t="s">
        <v>125</v>
      </c>
      <c r="B75" s="120" t="s">
        <v>126</v>
      </c>
      <c r="C75" s="120"/>
      <c r="D75" s="11"/>
      <c r="E75" s="11" t="s">
        <v>61</v>
      </c>
      <c r="F75" s="132"/>
      <c r="G75" s="133">
        <v>1</v>
      </c>
      <c r="H75" s="122">
        <v>25</v>
      </c>
      <c r="I75" s="183">
        <f t="shared" si="7"/>
        <v>25</v>
      </c>
      <c r="J75" s="145">
        <f>I75</f>
        <v>25</v>
      </c>
      <c r="O75" s="146">
        <f t="shared" si="6"/>
        <v>0</v>
      </c>
    </row>
    <row r="76" spans="1:15">
      <c r="A76" s="12" t="s">
        <v>127</v>
      </c>
      <c r="B76" s="120" t="s">
        <v>153</v>
      </c>
      <c r="C76" s="120"/>
      <c r="D76" s="11">
        <v>1000</v>
      </c>
      <c r="E76" s="11" t="s">
        <v>67</v>
      </c>
      <c r="F76" s="132"/>
      <c r="G76" s="133">
        <v>2</v>
      </c>
      <c r="H76" s="122">
        <v>60</v>
      </c>
      <c r="I76" s="183">
        <f t="shared" si="7"/>
        <v>120</v>
      </c>
      <c r="J76" s="145">
        <f>I76</f>
        <v>120</v>
      </c>
      <c r="O76" s="146">
        <f t="shared" si="6"/>
        <v>0</v>
      </c>
    </row>
    <row r="77" spans="1:15">
      <c r="A77" s="12" t="s">
        <v>129</v>
      </c>
      <c r="B77" s="120" t="s">
        <v>128</v>
      </c>
      <c r="C77" s="120"/>
      <c r="D77" s="11"/>
      <c r="E77" s="11"/>
      <c r="F77" s="132"/>
      <c r="G77" s="133"/>
      <c r="H77" s="122"/>
      <c r="I77" s="183">
        <f t="shared" si="7"/>
        <v>0</v>
      </c>
      <c r="O77" s="146">
        <f t="shared" si="6"/>
        <v>0</v>
      </c>
    </row>
    <row r="78" spans="1:15">
      <c r="A78" s="140" t="s">
        <v>232</v>
      </c>
      <c r="B78" s="120" t="s">
        <v>128</v>
      </c>
      <c r="C78" s="120"/>
      <c r="D78" s="11"/>
      <c r="E78" s="11"/>
      <c r="F78" s="132"/>
      <c r="G78" s="133"/>
      <c r="H78" s="122"/>
      <c r="I78" s="183">
        <f t="shared" si="7"/>
        <v>0</v>
      </c>
      <c r="O78" s="146">
        <f t="shared" si="6"/>
        <v>0</v>
      </c>
    </row>
    <row r="79" spans="1:15">
      <c r="A79" s="140" t="s">
        <v>193</v>
      </c>
      <c r="B79" s="120"/>
      <c r="C79" s="120"/>
      <c r="D79" s="11"/>
      <c r="E79" s="11"/>
      <c r="F79" s="132"/>
      <c r="G79" s="133"/>
      <c r="H79" s="122"/>
      <c r="I79" s="183">
        <f t="shared" si="7"/>
        <v>0</v>
      </c>
      <c r="O79" s="146">
        <f t="shared" si="6"/>
        <v>0</v>
      </c>
    </row>
    <row r="80" spans="1:15">
      <c r="A80" s="12" t="s">
        <v>130</v>
      </c>
      <c r="B80" s="141" t="s">
        <v>131</v>
      </c>
      <c r="C80" s="141"/>
      <c r="D80" s="11"/>
      <c r="E80" s="11" t="s">
        <v>61</v>
      </c>
      <c r="F80" s="132"/>
      <c r="G80" s="133">
        <v>1</v>
      </c>
      <c r="H80" s="122">
        <v>150</v>
      </c>
      <c r="I80" s="183">
        <f t="shared" si="7"/>
        <v>150</v>
      </c>
      <c r="J80" s="145">
        <f t="shared" ref="J80:J89" si="8">I80</f>
        <v>150</v>
      </c>
      <c r="O80" s="146">
        <f t="shared" si="6"/>
        <v>0</v>
      </c>
    </row>
    <row r="81" spans="1:15">
      <c r="A81" s="12" t="s">
        <v>132</v>
      </c>
      <c r="B81" s="120" t="s">
        <v>133</v>
      </c>
      <c r="C81" s="120"/>
      <c r="D81" s="11"/>
      <c r="E81" s="11" t="s">
        <v>61</v>
      </c>
      <c r="F81" s="132"/>
      <c r="G81" s="133">
        <v>2</v>
      </c>
      <c r="H81" s="122">
        <v>15</v>
      </c>
      <c r="I81" s="183">
        <f t="shared" si="7"/>
        <v>30</v>
      </c>
      <c r="J81" s="145">
        <f t="shared" si="8"/>
        <v>30</v>
      </c>
      <c r="O81" s="146">
        <f t="shared" si="6"/>
        <v>0</v>
      </c>
    </row>
    <row r="82" spans="1:15">
      <c r="A82" s="12" t="s">
        <v>134</v>
      </c>
      <c r="B82" s="120"/>
      <c r="C82" s="120"/>
      <c r="D82" s="11"/>
      <c r="E82" s="11" t="s">
        <v>135</v>
      </c>
      <c r="F82" s="132"/>
      <c r="G82" s="133">
        <v>2</v>
      </c>
      <c r="H82" s="122">
        <v>60</v>
      </c>
      <c r="I82" s="183">
        <f t="shared" si="7"/>
        <v>120</v>
      </c>
      <c r="J82" s="145">
        <f t="shared" si="8"/>
        <v>120</v>
      </c>
      <c r="O82" s="146">
        <f t="shared" si="6"/>
        <v>0</v>
      </c>
    </row>
    <row r="83" spans="1:15">
      <c r="A83" s="12" t="s">
        <v>136</v>
      </c>
      <c r="B83" s="141" t="s">
        <v>154</v>
      </c>
      <c r="C83" s="141"/>
      <c r="D83" s="11"/>
      <c r="E83" s="11" t="s">
        <v>61</v>
      </c>
      <c r="F83" s="132"/>
      <c r="G83" s="133">
        <v>5</v>
      </c>
      <c r="H83" s="122">
        <v>15</v>
      </c>
      <c r="I83" s="183">
        <f t="shared" si="7"/>
        <v>75</v>
      </c>
      <c r="J83" s="145">
        <f t="shared" si="8"/>
        <v>75</v>
      </c>
      <c r="O83" s="146">
        <f t="shared" si="6"/>
        <v>0</v>
      </c>
    </row>
    <row r="84" spans="1:15">
      <c r="A84" s="12" t="s">
        <v>137</v>
      </c>
      <c r="B84" s="120" t="s">
        <v>138</v>
      </c>
      <c r="C84" s="120"/>
      <c r="D84" s="11"/>
      <c r="E84" s="11" t="s">
        <v>111</v>
      </c>
      <c r="F84" s="132"/>
      <c r="G84" s="133">
        <v>2</v>
      </c>
      <c r="H84" s="122">
        <v>25</v>
      </c>
      <c r="I84" s="183">
        <f t="shared" si="7"/>
        <v>50</v>
      </c>
      <c r="J84" s="145">
        <f t="shared" si="8"/>
        <v>50</v>
      </c>
      <c r="O84" s="146">
        <f t="shared" si="6"/>
        <v>0</v>
      </c>
    </row>
    <row r="85" spans="1:15">
      <c r="A85" s="12" t="s">
        <v>139</v>
      </c>
      <c r="B85" s="134" t="s">
        <v>140</v>
      </c>
      <c r="C85" s="134"/>
      <c r="D85" s="11">
        <v>1000</v>
      </c>
      <c r="E85" s="11" t="s">
        <v>111</v>
      </c>
      <c r="F85" s="132"/>
      <c r="G85" s="133">
        <v>3</v>
      </c>
      <c r="H85" s="122">
        <v>15</v>
      </c>
      <c r="I85" s="183">
        <f t="shared" si="7"/>
        <v>45</v>
      </c>
      <c r="J85" s="145">
        <f t="shared" si="8"/>
        <v>45</v>
      </c>
      <c r="O85" s="146">
        <f t="shared" si="6"/>
        <v>0</v>
      </c>
    </row>
    <row r="86" spans="1:15">
      <c r="A86" s="12" t="s">
        <v>141</v>
      </c>
      <c r="B86" s="120" t="s">
        <v>142</v>
      </c>
      <c r="C86" s="120"/>
      <c r="D86" s="11"/>
      <c r="E86" s="11" t="s">
        <v>61</v>
      </c>
      <c r="F86" s="132"/>
      <c r="G86" s="133">
        <v>10</v>
      </c>
      <c r="H86" s="122">
        <v>15</v>
      </c>
      <c r="I86" s="183">
        <f>G86*H86</f>
        <v>150</v>
      </c>
      <c r="J86" s="145">
        <f t="shared" si="8"/>
        <v>150</v>
      </c>
      <c r="O86" s="146">
        <f t="shared" si="6"/>
        <v>0</v>
      </c>
    </row>
    <row r="87" spans="1:15">
      <c r="A87" s="12" t="s">
        <v>143</v>
      </c>
      <c r="B87" s="120" t="s">
        <v>144</v>
      </c>
      <c r="C87" s="120"/>
      <c r="D87" s="11">
        <v>500</v>
      </c>
      <c r="E87" s="11" t="s">
        <v>67</v>
      </c>
      <c r="F87" s="132"/>
      <c r="G87" s="133">
        <v>1</v>
      </c>
      <c r="H87" s="122">
        <v>50</v>
      </c>
      <c r="I87" s="183">
        <f t="shared" si="7"/>
        <v>50</v>
      </c>
      <c r="J87" s="145">
        <f t="shared" si="8"/>
        <v>50</v>
      </c>
      <c r="O87" s="146">
        <f t="shared" si="6"/>
        <v>0</v>
      </c>
    </row>
    <row r="88" spans="1:15">
      <c r="A88" s="12" t="s">
        <v>145</v>
      </c>
      <c r="B88" s="143" t="s">
        <v>162</v>
      </c>
      <c r="C88" s="143"/>
      <c r="D88" s="11"/>
      <c r="E88" s="11" t="s">
        <v>61</v>
      </c>
      <c r="F88" s="132"/>
      <c r="G88" s="133">
        <v>16</v>
      </c>
      <c r="H88" s="122">
        <v>15</v>
      </c>
      <c r="I88" s="183">
        <f t="shared" si="7"/>
        <v>240</v>
      </c>
      <c r="J88" s="145">
        <f t="shared" si="8"/>
        <v>240</v>
      </c>
      <c r="O88" s="146">
        <f t="shared" si="6"/>
        <v>0</v>
      </c>
    </row>
    <row r="89" spans="1:15">
      <c r="A89" s="12" t="s">
        <v>146</v>
      </c>
      <c r="B89" s="120"/>
      <c r="C89" s="120"/>
      <c r="D89" s="11"/>
      <c r="E89" s="11" t="s">
        <v>57</v>
      </c>
      <c r="F89" s="132"/>
      <c r="G89" s="133">
        <v>0.3</v>
      </c>
      <c r="H89" s="122">
        <v>100</v>
      </c>
      <c r="I89" s="183">
        <f t="shared" si="7"/>
        <v>30</v>
      </c>
      <c r="J89" s="145">
        <f t="shared" si="8"/>
        <v>30</v>
      </c>
      <c r="O89" s="146">
        <f t="shared" si="6"/>
        <v>0</v>
      </c>
    </row>
    <row r="90" spans="1:15">
      <c r="A90" s="36" t="s">
        <v>147</v>
      </c>
      <c r="B90" s="127"/>
      <c r="C90" s="127"/>
      <c r="D90" s="128"/>
      <c r="E90" s="128"/>
      <c r="F90" s="135"/>
      <c r="G90" s="130"/>
      <c r="H90" s="131"/>
      <c r="I90" s="173">
        <f>SUM(I73:I89)</f>
        <v>1169</v>
      </c>
    </row>
    <row r="91" spans="1:15">
      <c r="I91" s="147">
        <f>I90/I70</f>
        <v>6.0290363340983519E-2</v>
      </c>
      <c r="J91" s="145">
        <f>SUM(J3:J90)</f>
        <v>8014</v>
      </c>
      <c r="K91" s="145">
        <f t="shared" ref="K91:N91" si="9">SUM(K3:K90)</f>
        <v>555</v>
      </c>
      <c r="L91" s="145">
        <f t="shared" si="9"/>
        <v>8016.5</v>
      </c>
      <c r="M91" s="145">
        <f t="shared" si="9"/>
        <v>2040</v>
      </c>
      <c r="N91" s="145">
        <f t="shared" si="9"/>
        <v>1150</v>
      </c>
      <c r="O91" s="145">
        <f>SUM(O3:O90)</f>
        <v>648</v>
      </c>
    </row>
  </sheetData>
  <sheetProtection selectLockedCells="1" selectUnlockedCells="1"/>
  <mergeCells count="17">
    <mergeCell ref="H1:H2"/>
    <mergeCell ref="I1:I2"/>
    <mergeCell ref="A72:I72"/>
    <mergeCell ref="A1:A2"/>
    <mergeCell ref="B1:B2"/>
    <mergeCell ref="D1:D2"/>
    <mergeCell ref="E1:E2"/>
    <mergeCell ref="F1:F2"/>
    <mergeCell ref="G1:G2"/>
    <mergeCell ref="C1:C2"/>
    <mergeCell ref="B63:B64"/>
    <mergeCell ref="O1:O2"/>
    <mergeCell ref="J1:J2"/>
    <mergeCell ref="K1:K2"/>
    <mergeCell ref="L1:L2"/>
    <mergeCell ref="M1:M2"/>
    <mergeCell ref="N1:N2"/>
  </mergeCells>
  <phoneticPr fontId="25" type="noConversion"/>
  <pageMargins left="0.27559055118110237" right="0.15748031496062992" top="0.23622047244094491" bottom="0.19685039370078741" header="0.51181102362204722" footer="0.51181102362204722"/>
  <pageSetup paperSize="9" scale="85" firstPageNumber="0" fitToHeight="2" orientation="portrait" horizontalDpi="300" verticalDpi="300" r:id="rId1"/>
  <headerFooter alignWithMargins="0"/>
  <rowBreaks count="1" manualBreakCount="1">
    <brk id="7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H27"/>
  <sheetViews>
    <sheetView workbookViewId="0">
      <selection activeCell="B48" sqref="B48:B49"/>
    </sheetView>
  </sheetViews>
  <sheetFormatPr defaultRowHeight="12.75"/>
  <cols>
    <col min="1" max="1" width="28.140625" customWidth="1"/>
    <col min="2" max="2" width="10.85546875" customWidth="1"/>
    <col min="3" max="3" width="14.140625" customWidth="1"/>
    <col min="4" max="8" width="14" customWidth="1"/>
  </cols>
  <sheetData>
    <row r="1" spans="1:8" ht="33" customHeight="1">
      <c r="A1" s="5" t="s">
        <v>40</v>
      </c>
      <c r="B1" s="5" t="s">
        <v>52</v>
      </c>
      <c r="C1" s="5" t="s">
        <v>148</v>
      </c>
      <c r="D1" s="5" t="s">
        <v>17</v>
      </c>
      <c r="E1" s="5" t="s">
        <v>20</v>
      </c>
      <c r="F1" s="5" t="s">
        <v>24</v>
      </c>
      <c r="G1" s="5" t="s">
        <v>25</v>
      </c>
      <c r="H1" s="5" t="s">
        <v>149</v>
      </c>
    </row>
    <row r="2" spans="1:8">
      <c r="A2" s="12"/>
      <c r="B2" s="136"/>
      <c r="C2" s="137">
        <f>IF(ISNA(VLOOKUP(A2,НОМ!$A$1:$I$100,16,FALSE)=TRUE),0,VLOOKUP(A2,НОМ!$A$1:$I$100,16,FALSE)/VLOOKUP(A2,НОМ!$A$1:$I$100,14,FALSE)*остатки!B2)</f>
        <v>0</v>
      </c>
      <c r="D2" s="137"/>
      <c r="E2" s="137"/>
      <c r="F2" s="137"/>
      <c r="G2" s="137"/>
      <c r="H2" s="137"/>
    </row>
    <row r="3" spans="1:8">
      <c r="A3" s="12"/>
      <c r="B3" s="12"/>
      <c r="C3" s="137">
        <f>IF(ISNA(VLOOKUP(A3,НОМ!$A$1:$I$100,16,FALSE)=TRUE),0,VLOOKUP(A3,НОМ!$A$1:$I$100,16,FALSE)/VLOOKUP(A3,НОМ!$A$1:$I$100,14,FALSE)*остатки!B3)</f>
        <v>0</v>
      </c>
      <c r="D3" s="137"/>
      <c r="E3" s="137"/>
      <c r="F3" s="137"/>
      <c r="G3" s="137"/>
      <c r="H3" s="137"/>
    </row>
    <row r="4" spans="1:8">
      <c r="A4" s="12"/>
      <c r="B4" s="12"/>
      <c r="C4" s="137">
        <f>IF(ISNA(VLOOKUP(A4,НОМ!$A$1:$I$100,16,FALSE)=TRUE),0,VLOOKUP(A4,НОМ!$A$1:$I$100,16,FALSE)/VLOOKUP(A4,НОМ!$A$1:$I$100,14,FALSE)*остатки!B4)</f>
        <v>0</v>
      </c>
      <c r="D4" s="137"/>
      <c r="E4" s="137"/>
      <c r="F4" s="137"/>
      <c r="G4" s="137"/>
      <c r="H4" s="137"/>
    </row>
    <row r="5" spans="1:8">
      <c r="A5" s="12"/>
      <c r="B5" s="12"/>
      <c r="C5" s="137">
        <f>IF(ISNA(VLOOKUP(A5,НОМ!$A$1:$I$100,16,FALSE)=TRUE),0,VLOOKUP(A5,НОМ!$A$1:$I$100,16,FALSE)/VLOOKUP(A5,НОМ!$A$1:$I$100,14,FALSE)*остатки!B5)</f>
        <v>0</v>
      </c>
      <c r="D5" s="137"/>
      <c r="E5" s="137"/>
      <c r="F5" s="137"/>
      <c r="G5" s="137"/>
      <c r="H5" s="137"/>
    </row>
    <row r="6" spans="1:8">
      <c r="A6" s="12"/>
      <c r="B6" s="12"/>
      <c r="C6" s="137">
        <f>IF(ISNA(VLOOKUP(A6,НОМ!$A$1:$I$100,16,FALSE)=TRUE),0,VLOOKUP(A6,НОМ!$A$1:$I$100,16,FALSE)/VLOOKUP(A6,НОМ!$A$1:$I$100,14,FALSE)*остатки!B6)</f>
        <v>0</v>
      </c>
      <c r="D6" s="137"/>
      <c r="E6" s="137"/>
      <c r="F6" s="137"/>
      <c r="G6" s="137"/>
      <c r="H6" s="137"/>
    </row>
    <row r="7" spans="1:8">
      <c r="A7" s="12"/>
      <c r="B7" s="12"/>
      <c r="C7" s="137">
        <f>IF(ISNA(VLOOKUP(A7,НОМ!$A$1:$I$100,16,FALSE)=TRUE),0,VLOOKUP(A7,НОМ!$A$1:$I$100,16,FALSE)/VLOOKUP(A7,НОМ!$A$1:$I$100,14,FALSE)*остатки!B7)</f>
        <v>0</v>
      </c>
      <c r="D7" s="137"/>
      <c r="E7" s="137"/>
      <c r="F7" s="137"/>
      <c r="G7" s="137"/>
      <c r="H7" s="137"/>
    </row>
    <row r="8" spans="1:8">
      <c r="A8" s="12"/>
      <c r="B8" s="12"/>
      <c r="C8" s="137">
        <f>IF(ISNA(VLOOKUP(A8,НОМ!$A$1:$I$100,16,FALSE)=TRUE),0,VLOOKUP(A8,НОМ!$A$1:$I$100,16,FALSE)/VLOOKUP(A8,НОМ!$A$1:$I$100,14,FALSE)*остатки!B8)</f>
        <v>0</v>
      </c>
      <c r="D8" s="137"/>
      <c r="E8" s="137"/>
      <c r="F8" s="137"/>
      <c r="G8" s="137"/>
      <c r="H8" s="137"/>
    </row>
    <row r="9" spans="1:8">
      <c r="A9" s="12"/>
      <c r="B9" s="12"/>
      <c r="C9" s="137">
        <f>IF(ISNA(VLOOKUP(A9,НОМ!$A$1:$I$100,16,FALSE)=TRUE),0,VLOOKUP(A9,НОМ!$A$1:$I$100,16,FALSE)/VLOOKUP(A9,НОМ!$A$1:$I$100,14,FALSE)*остатки!B9)</f>
        <v>0</v>
      </c>
      <c r="D9" s="137"/>
      <c r="E9" s="137"/>
      <c r="F9" s="137"/>
      <c r="G9" s="137"/>
      <c r="H9" s="137"/>
    </row>
    <row r="10" spans="1:8">
      <c r="A10" s="12"/>
      <c r="B10" s="12"/>
      <c r="C10" s="137">
        <f>IF(ISNA(VLOOKUP(A10,НОМ!$A$1:$I$100,16,FALSE)=TRUE),0,VLOOKUP(A10,НОМ!$A$1:$I$100,16,FALSE)/VLOOKUP(A10,НОМ!$A$1:$I$100,14,FALSE)*остатки!B10)</f>
        <v>0</v>
      </c>
      <c r="D10" s="137"/>
      <c r="E10" s="137"/>
      <c r="F10" s="137"/>
      <c r="G10" s="137"/>
      <c r="H10" s="137"/>
    </row>
    <row r="11" spans="1:8">
      <c r="A11" s="12"/>
      <c r="B11" s="12"/>
      <c r="C11" s="137">
        <f>IF(ISNA(VLOOKUP(A11,НОМ!$A$1:$I$100,16,FALSE)=TRUE),0,VLOOKUP(A11,НОМ!$A$1:$I$100,16,FALSE)/VLOOKUP(A11,НОМ!$A$1:$I$100,14,FALSE)*остатки!B11)</f>
        <v>0</v>
      </c>
      <c r="D11" s="137"/>
      <c r="E11" s="137"/>
      <c r="F11" s="137"/>
      <c r="G11" s="137"/>
      <c r="H11" s="137"/>
    </row>
    <row r="12" spans="1:8">
      <c r="A12" s="12"/>
      <c r="B12" s="12"/>
      <c r="C12" s="137">
        <f>IF(ISNA(VLOOKUP(A12,НОМ!$A$1:$I$100,16,FALSE)=TRUE),0,VLOOKUP(A12,НОМ!$A$1:$I$100,16,FALSE)/VLOOKUP(A12,НОМ!$A$1:$I$100,14,FALSE)*остатки!B12)</f>
        <v>0</v>
      </c>
      <c r="D12" s="137"/>
      <c r="E12" s="137"/>
      <c r="F12" s="137"/>
      <c r="G12" s="137"/>
      <c r="H12" s="137"/>
    </row>
    <row r="13" spans="1:8">
      <c r="A13" s="12"/>
      <c r="B13" s="12"/>
      <c r="C13" s="137">
        <f>IF(ISNA(VLOOKUP(A13,НОМ!$A$1:$I$100,16,FALSE)=TRUE),0,VLOOKUP(A13,НОМ!$A$1:$I$100,16,FALSE)/VLOOKUP(A13,НОМ!$A$1:$I$100,14,FALSE)*остатки!B13)</f>
        <v>0</v>
      </c>
      <c r="D13" s="137"/>
      <c r="E13" s="137"/>
      <c r="F13" s="137"/>
      <c r="G13" s="137"/>
      <c r="H13" s="137"/>
    </row>
    <row r="14" spans="1:8">
      <c r="A14" s="12"/>
      <c r="B14" s="12"/>
      <c r="C14" s="137">
        <f>IF(ISNA(VLOOKUP(A14,НОМ!$A$1:$I$100,16,FALSE)=TRUE),0,VLOOKUP(A14,НОМ!$A$1:$I$100,16,FALSE)/VLOOKUP(A14,НОМ!$A$1:$I$100,14,FALSE)*остатки!B14)</f>
        <v>0</v>
      </c>
      <c r="D14" s="137"/>
      <c r="E14" s="137"/>
      <c r="F14" s="137"/>
      <c r="G14" s="137"/>
      <c r="H14" s="137"/>
    </row>
    <row r="15" spans="1:8">
      <c r="A15" s="12"/>
      <c r="B15" s="12"/>
      <c r="C15" s="137">
        <f>IF(ISNA(VLOOKUP(A15,НОМ!$A$1:$I$100,16,FALSE)=TRUE),0,VLOOKUP(A15,НОМ!$A$1:$I$100,16,FALSE)/VLOOKUP(A15,НОМ!$A$1:$I$100,14,FALSE)*остатки!B15)</f>
        <v>0</v>
      </c>
      <c r="D15" s="137"/>
      <c r="E15" s="137"/>
      <c r="F15" s="137"/>
      <c r="G15" s="137"/>
      <c r="H15" s="137"/>
    </row>
    <row r="16" spans="1:8">
      <c r="A16" s="12"/>
      <c r="B16" s="12"/>
      <c r="C16" s="137">
        <f>IF(ISNA(VLOOKUP(A16,НОМ!$A$1:$I$100,16,FALSE)=TRUE),0,VLOOKUP(A16,НОМ!$A$1:$I$100,16,FALSE)/VLOOKUP(A16,НОМ!$A$1:$I$100,14,FALSE)*остатки!B16)</f>
        <v>0</v>
      </c>
      <c r="D16" s="137"/>
      <c r="E16" s="137"/>
      <c r="F16" s="137"/>
      <c r="G16" s="137"/>
      <c r="H16" s="137"/>
    </row>
    <row r="17" spans="1:8">
      <c r="A17" s="12"/>
      <c r="B17" s="12"/>
      <c r="C17" s="137">
        <f>IF(ISNA(VLOOKUP(A17,НОМ!$A$1:$I$100,16,FALSE)=TRUE),0,VLOOKUP(A17,НОМ!$A$1:$I$100,16,FALSE)/VLOOKUP(A17,НОМ!$A$1:$I$100,14,FALSE)*остатки!B17)</f>
        <v>0</v>
      </c>
      <c r="D17" s="137"/>
      <c r="E17" s="137"/>
      <c r="F17" s="137"/>
      <c r="G17" s="137"/>
      <c r="H17" s="137"/>
    </row>
    <row r="18" spans="1:8">
      <c r="A18" s="12"/>
      <c r="B18" s="12"/>
      <c r="C18" s="137">
        <f>IF(ISNA(VLOOKUP(A18,НОМ!$A$1:$I$100,16,FALSE)=TRUE),0,VLOOKUP(A18,НОМ!$A$1:$I$100,16,FALSE)/VLOOKUP(A18,НОМ!$A$1:$I$100,14,FALSE)*остатки!B18)</f>
        <v>0</v>
      </c>
      <c r="D18" s="137"/>
      <c r="E18" s="137"/>
      <c r="F18" s="137"/>
      <c r="G18" s="137"/>
      <c r="H18" s="137"/>
    </row>
    <row r="19" spans="1:8">
      <c r="A19" s="12"/>
      <c r="B19" s="12"/>
      <c r="C19" s="137">
        <f>IF(ISNA(VLOOKUP(A19,НОМ!$A$1:$I$100,16,FALSE)=TRUE),0,VLOOKUP(A19,НОМ!$A$1:$I$100,16,FALSE)/VLOOKUP(A19,НОМ!$A$1:$I$100,14,FALSE)*остатки!B19)</f>
        <v>0</v>
      </c>
      <c r="D19" s="137"/>
      <c r="E19" s="137"/>
      <c r="F19" s="137"/>
      <c r="G19" s="137"/>
      <c r="H19" s="137"/>
    </row>
    <row r="20" spans="1:8">
      <c r="A20" s="12"/>
      <c r="B20" s="12"/>
      <c r="C20" s="137">
        <f>IF(ISNA(VLOOKUP(A20,НОМ!$A$1:$I$100,16,FALSE)=TRUE),0,VLOOKUP(A20,НОМ!$A$1:$I$100,16,FALSE)/VLOOKUP(A20,НОМ!$A$1:$I$100,14,FALSE)*остатки!B20)</f>
        <v>0</v>
      </c>
      <c r="D20" s="137"/>
      <c r="E20" s="137"/>
      <c r="F20" s="137"/>
      <c r="G20" s="137"/>
      <c r="H20" s="137"/>
    </row>
    <row r="21" spans="1:8">
      <c r="A21" s="12"/>
      <c r="B21" s="12"/>
      <c r="C21" s="137">
        <f>IF(ISNA(VLOOKUP(A21,НОМ!$A$1:$I$100,16,FALSE)=TRUE),0,VLOOKUP(A21,НОМ!$A$1:$I$100,16,FALSE)/VLOOKUP(A21,НОМ!$A$1:$I$100,14,FALSE)*остатки!B21)</f>
        <v>0</v>
      </c>
      <c r="D21" s="137"/>
      <c r="E21" s="137"/>
      <c r="F21" s="137"/>
      <c r="G21" s="137"/>
      <c r="H21" s="137"/>
    </row>
    <row r="22" spans="1:8">
      <c r="A22" s="12"/>
      <c r="B22" s="12"/>
      <c r="C22" s="137">
        <f>IF(ISNA(VLOOKUP(A22,НОМ!$A$1:$I$100,16,FALSE)=TRUE),0,VLOOKUP(A22,НОМ!$A$1:$I$100,16,FALSE)/VLOOKUP(A22,НОМ!$A$1:$I$100,14,FALSE)*остатки!B22)</f>
        <v>0</v>
      </c>
      <c r="D22" s="137"/>
      <c r="E22" s="137"/>
      <c r="F22" s="137"/>
      <c r="G22" s="137"/>
      <c r="H22" s="137"/>
    </row>
    <row r="23" spans="1:8">
      <c r="A23" s="12"/>
      <c r="B23" s="12"/>
      <c r="C23" s="137">
        <f>IF(ISNA(VLOOKUP(A23,НОМ!$A$1:$I$100,16,FALSE)=TRUE),0,VLOOKUP(A23,НОМ!$A$1:$I$100,16,FALSE)/VLOOKUP(A23,НОМ!$A$1:$I$100,14,FALSE)*остатки!B23)</f>
        <v>0</v>
      </c>
      <c r="D23" s="137"/>
      <c r="E23" s="137"/>
      <c r="F23" s="137"/>
      <c r="G23" s="137"/>
      <c r="H23" s="137"/>
    </row>
    <row r="24" spans="1:8">
      <c r="A24" s="12"/>
      <c r="B24" s="12"/>
      <c r="C24" s="137">
        <f>IF(ISNA(VLOOKUP(A24,НОМ!$A$1:$I$100,16,FALSE)=TRUE),0,VLOOKUP(A24,НОМ!$A$1:$I$100,16,FALSE)/VLOOKUP(A24,НОМ!$A$1:$I$100,14,FALSE)*остатки!B24)</f>
        <v>0</v>
      </c>
      <c r="D24" s="137"/>
      <c r="E24" s="137"/>
      <c r="F24" s="137"/>
      <c r="G24" s="137"/>
      <c r="H24" s="137"/>
    </row>
    <row r="25" spans="1:8">
      <c r="A25" s="12"/>
      <c r="B25" s="12"/>
      <c r="C25" s="137">
        <f>IF(ISNA(VLOOKUP(A25,НОМ!$A$1:$I$100,16,FALSE)=TRUE),0,VLOOKUP(A25,НОМ!$A$1:$I$100,16,FALSE)/VLOOKUP(A25,НОМ!$A$1:$I$100,14,FALSE)*остатки!B25)</f>
        <v>0</v>
      </c>
      <c r="D25" s="137"/>
      <c r="E25" s="137"/>
      <c r="F25" s="137"/>
      <c r="G25" s="137"/>
      <c r="H25" s="137"/>
    </row>
    <row r="26" spans="1:8">
      <c r="A26" s="12"/>
      <c r="B26" s="12"/>
      <c r="C26" s="137">
        <f>IF(ISNA(VLOOKUP(A26,НОМ!$A$1:$I$100,16,FALSE)=TRUE),0,VLOOKUP(A26,НОМ!$A$1:$I$100,16,FALSE)/VLOOKUP(A26,НОМ!$A$1:$I$100,14,FALSE)*остатки!B26)</f>
        <v>0</v>
      </c>
      <c r="D26" s="137"/>
      <c r="E26" s="137"/>
      <c r="F26" s="137"/>
      <c r="G26" s="137"/>
      <c r="H26" s="137"/>
    </row>
    <row r="27" spans="1:8" s="139" customFormat="1">
      <c r="A27" s="36" t="s">
        <v>33</v>
      </c>
      <c r="B27" s="36"/>
      <c r="C27" s="138">
        <f t="shared" ref="C27:H27" si="0">SUM(C2:C26)</f>
        <v>0</v>
      </c>
      <c r="D27" s="138">
        <f t="shared" si="0"/>
        <v>0</v>
      </c>
      <c r="E27" s="138">
        <f t="shared" si="0"/>
        <v>0</v>
      </c>
      <c r="F27" s="138">
        <f t="shared" si="0"/>
        <v>0</v>
      </c>
      <c r="G27" s="138">
        <f t="shared" si="0"/>
        <v>0</v>
      </c>
      <c r="H27" s="138">
        <f t="shared" si="0"/>
        <v>0</v>
      </c>
    </row>
  </sheetData>
  <sheetProtection selectLockedCells="1" selectUnlockedCells="1"/>
  <phoneticPr fontId="25" type="noConversion"/>
  <printOptions horizontalCentered="1" verticalCentered="1"/>
  <pageMargins left="0.15763888888888888" right="0.15763888888888888" top="0.31527777777777777" bottom="0.15763888888888888" header="0.51180555555555551" footer="0.51180555555555551"/>
  <pageSetup paperSize="9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РАСЧЕТЫ</vt:lpstr>
      <vt:lpstr>МЕНЮ</vt:lpstr>
      <vt:lpstr>НОМ</vt:lpstr>
      <vt:lpstr>остатки</vt:lpstr>
      <vt:lpstr>НОМ!Заголовки_для_печати</vt:lpstr>
      <vt:lpstr>МЕНЮ!Область_печати</vt:lpstr>
      <vt:lpstr>НОМ!Область_печати</vt:lpstr>
      <vt:lpstr>РАСЧЕТЫ!Область_печати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Ирина Н.А.</cp:lastModifiedBy>
  <cp:lastPrinted>2014-04-24T15:17:21Z</cp:lastPrinted>
  <dcterms:created xsi:type="dcterms:W3CDTF">2013-04-28T17:01:35Z</dcterms:created>
  <dcterms:modified xsi:type="dcterms:W3CDTF">2014-04-28T05:26:29Z</dcterms:modified>
</cp:coreProperties>
</file>