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3.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rawings/drawing4.xml" ContentType="application/vnd.openxmlformats-officedocument.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rawings/drawing5.xml" ContentType="application/vnd.openxmlformats-officedocument.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6.xml" ContentType="application/vnd.openxmlformats-officedocument.drawing+xml"/>
  <Override PartName="/xl/diagrams/data5.xml" ContentType="application/vnd.openxmlformats-officedocument.drawingml.diagramData+xml"/>
  <Override PartName="/xl/diagrams/layout5.xml" ContentType="application/vnd.openxmlformats-officedocument.drawingml.diagramLayout+xml"/>
  <Override PartName="/xl/diagrams/quickStyle5.xml" ContentType="application/vnd.openxmlformats-officedocument.drawingml.diagramStyle+xml"/>
  <Override PartName="/xl/diagrams/colors5.xml" ContentType="application/vnd.openxmlformats-officedocument.drawingml.diagramColors+xml"/>
  <Override PartName="/xl/diagrams/drawing5.xml" ContentType="application/vnd.ms-office.drawingml.diagram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24226"/>
  <mc:AlternateContent xmlns:mc="http://schemas.openxmlformats.org/markup-compatibility/2006">
    <mc:Choice Requires="x15">
      <x15ac:absPath xmlns:x15ac="http://schemas.microsoft.com/office/spreadsheetml/2010/11/ac" url="https://ceproject.cedelft.eu/projecten/5-N82a/Documents/"/>
    </mc:Choice>
  </mc:AlternateContent>
  <xr:revisionPtr revIDLastSave="0" documentId="8_{E0B08596-7756-4BA2-844F-DAD48179E881}" xr6:coauthVersionLast="34" xr6:coauthVersionMax="34" xr10:uidLastSave="{00000000-0000-0000-0000-000000000000}"/>
  <bookViews>
    <workbookView xWindow="0" yWindow="0" windowWidth="19200" windowHeight="8150" tabRatio="789" activeTab="3" xr2:uid="{00000000-000D-0000-FFFF-FFFF00000000}"/>
  </bookViews>
  <sheets>
    <sheet name="Intro" sheetId="1" r:id="rId1"/>
    <sheet name="Invoer woningen en utiliteit" sheetId="31" r:id="rId2"/>
    <sheet name="WNet_LT_1" sheetId="20" r:id="rId3"/>
    <sheet name="WNet_LT_2" sheetId="23" r:id="rId4"/>
    <sheet name="WNet_LT_3" sheetId="26" r:id="rId5"/>
    <sheet name="Referentie" sheetId="2" r:id="rId6"/>
    <sheet name="GrWNet_STEG" sheetId="3" r:id="rId7"/>
    <sheet name="Energieprijzen" sheetId="10" r:id="rId8"/>
    <sheet name="Leercurves" sheetId="19" r:id="rId9"/>
    <sheet name="Hulpblad_B-factor" sheetId="18" state="hidden" r:id="rId10"/>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5" i="31" l="1"/>
  <c r="T6" i="31"/>
  <c r="T7" i="31"/>
  <c r="T8" i="31"/>
  <c r="T4" i="31"/>
  <c r="P5" i="31"/>
  <c r="P6" i="31"/>
  <c r="P7" i="31"/>
  <c r="P8" i="31"/>
  <c r="P4" i="31"/>
  <c r="F5" i="31"/>
  <c r="F6" i="31"/>
  <c r="F7" i="31"/>
  <c r="F8" i="31"/>
  <c r="F4" i="31"/>
  <c r="I11" i="31" l="1"/>
  <c r="S5" i="31" l="1"/>
  <c r="S6" i="31"/>
  <c r="S7" i="31"/>
  <c r="S8" i="31"/>
  <c r="S4" i="31"/>
  <c r="O4" i="31"/>
  <c r="C16" i="26"/>
  <c r="C15" i="26"/>
  <c r="R5" i="31"/>
  <c r="R6" i="31"/>
  <c r="R7" i="31"/>
  <c r="R8" i="31"/>
  <c r="R4" i="31"/>
  <c r="C16" i="20"/>
  <c r="C15" i="20"/>
  <c r="L8" i="31"/>
  <c r="O8" i="31"/>
  <c r="N8" i="31"/>
  <c r="D8" i="31"/>
  <c r="C17" i="26" l="1"/>
  <c r="O7" i="31"/>
  <c r="N7" i="31"/>
  <c r="D7" i="31"/>
  <c r="C137" i="23" s="1"/>
  <c r="O6" i="31"/>
  <c r="N6" i="31"/>
  <c r="D6" i="31"/>
  <c r="O5" i="31"/>
  <c r="N5" i="31"/>
  <c r="D5" i="31"/>
  <c r="C138" i="26" s="1"/>
  <c r="N4" i="31"/>
  <c r="D4" i="31"/>
  <c r="C24" i="23" l="1"/>
  <c r="C23" i="23"/>
  <c r="C135" i="23" s="1"/>
  <c r="C25" i="26"/>
  <c r="C33" i="26" s="1"/>
  <c r="C34" i="26" s="1"/>
  <c r="C24" i="20"/>
  <c r="C24" i="26"/>
  <c r="C136" i="26" s="1"/>
  <c r="C23" i="20"/>
  <c r="C105" i="26"/>
  <c r="C117" i="26"/>
  <c r="C118" i="26" s="1"/>
  <c r="C137" i="26" s="1"/>
  <c r="C141" i="26" s="1"/>
  <c r="C77" i="26"/>
  <c r="C76" i="26"/>
  <c r="C63" i="26"/>
  <c r="C58" i="26"/>
  <c r="C47" i="26"/>
  <c r="C46" i="26"/>
  <c r="C131" i="26" l="1"/>
  <c r="C132" i="26"/>
  <c r="C72" i="26"/>
  <c r="C122" i="26" s="1"/>
  <c r="C53" i="26"/>
  <c r="C93" i="26" s="1"/>
  <c r="C35" i="26"/>
  <c r="C86" i="26" s="1"/>
  <c r="C52" i="26"/>
  <c r="C92" i="26" s="1"/>
  <c r="C43" i="26"/>
  <c r="C42" i="26"/>
  <c r="C87" i="26"/>
  <c r="C129" i="26" s="1"/>
  <c r="C20" i="26"/>
  <c r="C21" i="26" s="1"/>
  <c r="C41" i="26" s="1"/>
  <c r="C94" i="26" l="1"/>
  <c r="C126" i="26" s="1"/>
  <c r="C103" i="26"/>
  <c r="C130" i="26" s="1"/>
  <c r="C97" i="26"/>
  <c r="C96" i="26"/>
  <c r="C45" i="26"/>
  <c r="C98" i="26" l="1"/>
  <c r="C127" i="26" s="1"/>
  <c r="C121" i="26"/>
  <c r="C100" i="26"/>
  <c r="C109" i="26" s="1"/>
  <c r="C99" i="26"/>
  <c r="C108" i="26" s="1"/>
  <c r="C16" i="23"/>
  <c r="C15" i="23"/>
  <c r="C104" i="23" l="1"/>
  <c r="C101" i="26"/>
  <c r="C128" i="26" s="1"/>
  <c r="C135" i="26" s="1"/>
  <c r="C140" i="26" s="1"/>
  <c r="C116" i="23"/>
  <c r="C76" i="23"/>
  <c r="C75" i="23"/>
  <c r="C62" i="23"/>
  <c r="C57" i="23"/>
  <c r="C46" i="23"/>
  <c r="C45" i="23"/>
  <c r="C139" i="26" l="1"/>
  <c r="C146" i="26" s="1"/>
  <c r="C117" i="23"/>
  <c r="C136" i="23" s="1"/>
  <c r="C140" i="23" s="1"/>
  <c r="C110" i="26"/>
  <c r="C145" i="26" s="1"/>
  <c r="C130" i="23"/>
  <c r="C71" i="23"/>
  <c r="C19" i="23"/>
  <c r="C20" i="23" s="1"/>
  <c r="C40" i="23" s="1"/>
  <c r="C32" i="23"/>
  <c r="C111" i="26" l="1"/>
  <c r="C112" i="26" s="1"/>
  <c r="C33" i="23"/>
  <c r="C41" i="23" s="1"/>
  <c r="C95" i="23" s="1"/>
  <c r="C131" i="23"/>
  <c r="C121" i="23"/>
  <c r="C61" i="20"/>
  <c r="C56" i="20"/>
  <c r="C103" i="20"/>
  <c r="C125" i="20" s="1"/>
  <c r="C75" i="20"/>
  <c r="C74" i="20"/>
  <c r="C46" i="20"/>
  <c r="C45" i="20"/>
  <c r="C32" i="20"/>
  <c r="C33" i="20" s="1"/>
  <c r="C63" i="20"/>
  <c r="C19" i="20"/>
  <c r="C20" i="20" s="1"/>
  <c r="C40" i="20" s="1"/>
  <c r="C52" i="20" l="1"/>
  <c r="C91" i="20" s="1"/>
  <c r="C51" i="20"/>
  <c r="C90" i="20" s="1"/>
  <c r="C42" i="23"/>
  <c r="C96" i="23" s="1"/>
  <c r="C97" i="23" s="1"/>
  <c r="C126" i="23" s="1"/>
  <c r="C34" i="23"/>
  <c r="C51" i="23"/>
  <c r="C91" i="23" s="1"/>
  <c r="C44" i="23"/>
  <c r="C99" i="23" s="1"/>
  <c r="C52" i="23"/>
  <c r="C92" i="23" s="1"/>
  <c r="C42" i="20"/>
  <c r="C95" i="20" s="1"/>
  <c r="C41" i="20"/>
  <c r="C94" i="20" s="1"/>
  <c r="C70" i="20"/>
  <c r="C116" i="20" s="1"/>
  <c r="C126" i="20"/>
  <c r="C44" i="20"/>
  <c r="C34" i="20"/>
  <c r="C84" i="20" s="1"/>
  <c r="C102" i="23" l="1"/>
  <c r="C129" i="23" s="1"/>
  <c r="C85" i="23"/>
  <c r="C86" i="23"/>
  <c r="C128" i="23" s="1"/>
  <c r="C93" i="23"/>
  <c r="C125" i="23" s="1"/>
  <c r="C98" i="23"/>
  <c r="C100" i="23" s="1"/>
  <c r="C127" i="23" s="1"/>
  <c r="C115" i="20"/>
  <c r="C85" i="20"/>
  <c r="C123" i="20" s="1"/>
  <c r="C92" i="20"/>
  <c r="C120" i="20" s="1"/>
  <c r="C101" i="20"/>
  <c r="C124" i="20" s="1"/>
  <c r="C96" i="20"/>
  <c r="C121" i="20" s="1"/>
  <c r="C98" i="20"/>
  <c r="C97" i="20"/>
  <c r="C120" i="23" l="1"/>
  <c r="C134" i="23" s="1"/>
  <c r="C139" i="23" s="1"/>
  <c r="C108" i="23"/>
  <c r="C107" i="23"/>
  <c r="C109" i="23"/>
  <c r="C138" i="23"/>
  <c r="C145" i="23" s="1"/>
  <c r="C107" i="20"/>
  <c r="C106" i="20"/>
  <c r="C99" i="20"/>
  <c r="C122" i="20" s="1"/>
  <c r="B28" i="2"/>
  <c r="B42" i="2"/>
  <c r="C144" i="23" l="1"/>
  <c r="C110" i="23"/>
  <c r="C111" i="23" s="1"/>
  <c r="B71" i="2"/>
  <c r="C108" i="20"/>
  <c r="C129" i="20"/>
  <c r="C135" i="20" s="1"/>
  <c r="C130" i="20" l="1"/>
  <c r="C134" i="20"/>
  <c r="C109" i="20"/>
  <c r="C110" i="20" s="1"/>
  <c r="B38" i="2"/>
  <c r="B76" i="2" s="1"/>
  <c r="B79" i="3" l="1"/>
  <c r="B64" i="3"/>
  <c r="B41" i="2"/>
  <c r="B26" i="2" l="1"/>
  <c r="B25" i="2"/>
  <c r="B69" i="2"/>
  <c r="B37" i="2"/>
  <c r="B75" i="2" s="1"/>
  <c r="B36" i="2"/>
  <c r="B74" i="2" s="1"/>
  <c r="B59" i="2" s="1"/>
  <c r="B68" i="2"/>
  <c r="B55" i="2"/>
  <c r="B35" i="2"/>
  <c r="B58" i="2" s="1"/>
  <c r="B62" i="2" l="1"/>
  <c r="B63" i="2"/>
  <c r="B70" i="2"/>
  <c r="B79" i="2" s="1"/>
  <c r="B81" i="2" l="1"/>
  <c r="B106" i="3" l="1"/>
  <c r="B74" i="3"/>
  <c r="B36" i="3" l="1"/>
  <c r="B28" i="3"/>
  <c r="B27" i="3"/>
  <c r="B19" i="3" l="1"/>
  <c r="B80" i="2" l="1"/>
  <c r="B128" i="3"/>
  <c r="B60" i="3"/>
  <c r="B50" i="3" l="1"/>
  <c r="B49" i="3"/>
  <c r="B78" i="3" l="1"/>
  <c r="B37" i="3"/>
  <c r="B89" i="3" s="1"/>
  <c r="B120" i="3"/>
  <c r="B20" i="3"/>
  <c r="B44" i="3" s="1"/>
  <c r="B129" i="3" l="1"/>
  <c r="B119" i="3"/>
  <c r="B56" i="3"/>
  <c r="B94" i="3" s="1"/>
  <c r="B55" i="3"/>
  <c r="B93" i="3" s="1"/>
  <c r="B126" i="3"/>
  <c r="B45" i="3"/>
  <c r="B97" i="3" s="1"/>
  <c r="B48" i="3"/>
  <c r="B46" i="3"/>
  <c r="B98" i="3" s="1"/>
  <c r="B38" i="3"/>
  <c r="B88" i="3" s="1"/>
  <c r="B95" i="3" l="1"/>
  <c r="B123" i="3" s="1"/>
  <c r="B99" i="3"/>
  <c r="B124" i="3" s="1"/>
  <c r="B104" i="3"/>
  <c r="B127" i="3" s="1"/>
  <c r="B101" i="3"/>
  <c r="B100" i="3"/>
  <c r="B102" i="3" l="1"/>
  <c r="B125" i="3" s="1"/>
  <c r="B110" i="3"/>
  <c r="B118" i="3"/>
  <c r="B109" i="3"/>
  <c r="B111" i="3" l="1"/>
  <c r="B132" i="3"/>
  <c r="B112" i="3" l="1"/>
  <c r="B113" i="3" s="1"/>
  <c r="B137" i="3"/>
  <c r="B133" i="3"/>
  <c r="B138" i="3"/>
</calcChain>
</file>

<file path=xl/sharedStrings.xml><?xml version="1.0" encoding="utf-8"?>
<sst xmlns="http://schemas.openxmlformats.org/spreadsheetml/2006/main" count="1679" uniqueCount="448">
  <si>
    <t>Rekenvoorbeelden ter validatie van Vesta</t>
  </si>
  <si>
    <t>In het kader van MAIS</t>
  </si>
  <si>
    <t>Datum</t>
  </si>
  <si>
    <t>Versie</t>
  </si>
  <si>
    <t>0.1</t>
  </si>
  <si>
    <t>Versie-log</t>
  </si>
  <si>
    <t>Eerste opzet format</t>
  </si>
  <si>
    <t>Rekenvoorbeelden</t>
  </si>
  <si>
    <t>Referentie (aardgas met HR-ketel)</t>
  </si>
  <si>
    <t>Groot warmtenet (warmte met STEG)</t>
  </si>
  <si>
    <t>1.</t>
  </si>
  <si>
    <t>2.a</t>
  </si>
  <si>
    <t>2.b</t>
  </si>
  <si>
    <t>2.c</t>
  </si>
  <si>
    <t>Groot warmtenet (warmte met industriële restwarmte)</t>
  </si>
  <si>
    <t>Groot warmtenet (warmte met geothermie)</t>
  </si>
  <si>
    <t>3.</t>
  </si>
  <si>
    <t>Klein warmtenet (warmte met biomassacentrale)</t>
  </si>
  <si>
    <t>4.</t>
  </si>
  <si>
    <t>WKO-net</t>
  </si>
  <si>
    <t>5.</t>
  </si>
  <si>
    <t>Nul-op-de-meter (elektriciteit met individuele warmtepomp)</t>
  </si>
  <si>
    <t>6.</t>
  </si>
  <si>
    <t>Hybride warmtepomp (aardgas/elektriciteit met hybride warmtepomp)</t>
  </si>
  <si>
    <t>Referentie</t>
  </si>
  <si>
    <t>Productie</t>
  </si>
  <si>
    <t>HR-ketel</t>
  </si>
  <si>
    <t>Waarde</t>
  </si>
  <si>
    <t>Eenheid</t>
  </si>
  <si>
    <t>Kengetallen</t>
  </si>
  <si>
    <t>Groot warmtenet - STEG</t>
  </si>
  <si>
    <t>#</t>
  </si>
  <si>
    <t>woningen/ha</t>
  </si>
  <si>
    <t>Gebiedsoppervlak</t>
  </si>
  <si>
    <t>hectare</t>
  </si>
  <si>
    <t>m2</t>
  </si>
  <si>
    <t>kW/woning (excl. gelijktijdigheid)</t>
  </si>
  <si>
    <t>Gelijktijdigheid</t>
  </si>
  <si>
    <t>Piekverlies in distributienet (capaciteit)</t>
  </si>
  <si>
    <t>op capaciteit, op volume is anders</t>
  </si>
  <si>
    <t>GJ/jr</t>
  </si>
  <si>
    <t>Som warmtevraag</t>
  </si>
  <si>
    <t>Som capaciteit incl. gelijktijdigheid</t>
  </si>
  <si>
    <t>kW</t>
  </si>
  <si>
    <t>dus op OS-niveau, maar nog zonder warmtecapaciteitverlies</t>
  </si>
  <si>
    <t>euro/woning</t>
  </si>
  <si>
    <t>euro</t>
  </si>
  <si>
    <t>euro/jr</t>
  </si>
  <si>
    <t>Percentage onderhoud en beheer</t>
  </si>
  <si>
    <t>Onderstations</t>
  </si>
  <si>
    <t>Standaard vermogen OS</t>
  </si>
  <si>
    <t>euro/kW_OS</t>
  </si>
  <si>
    <t>Secundair net</t>
  </si>
  <si>
    <t>Kosten, met minimumcurve Kbuis</t>
  </si>
  <si>
    <t>Kosten, met maximumcurve Kbuis</t>
  </si>
  <si>
    <t>Kosten WOS+hulpketels</t>
  </si>
  <si>
    <t>Kosten bijstook met gas</t>
  </si>
  <si>
    <t>euro/GJ excl. BTW</t>
  </si>
  <si>
    <t>op volume, per jaar</t>
  </si>
  <si>
    <t>Ketelrendement</t>
  </si>
  <si>
    <t>op onderwaarde</t>
  </si>
  <si>
    <t>Uitkoppeling en productie</t>
  </si>
  <si>
    <t>Uitkoppeling bij bron</t>
  </si>
  <si>
    <t>euro/kW</t>
  </si>
  <si>
    <t>Kosten uitkoppeling bij bron</t>
  </si>
  <si>
    <t>euro/GJ</t>
  </si>
  <si>
    <t>m</t>
  </si>
  <si>
    <t>Kosten transportpijp, min.curve</t>
  </si>
  <si>
    <t>Kosten transportpijp, max.curve</t>
  </si>
  <si>
    <t>Pompenergie in het net</t>
  </si>
  <si>
    <t>kWh_e/GJth</t>
  </si>
  <si>
    <t>GJe/GJth</t>
  </si>
  <si>
    <t>euro/GJe</t>
  </si>
  <si>
    <t>Bron</t>
  </si>
  <si>
    <t>Woningen</t>
  </si>
  <si>
    <t>Aantal woningen, gestapeld</t>
  </si>
  <si>
    <t>Aanname</t>
  </si>
  <si>
    <t xml:space="preserve">Kosten OS </t>
  </si>
  <si>
    <t>Aantal OS nodig, berekend</t>
  </si>
  <si>
    <t>Aantal OS nodig, afgerond</t>
  </si>
  <si>
    <t>Totaal vermogen OS'en</t>
  </si>
  <si>
    <t>Omwegfactor</t>
  </si>
  <si>
    <t>Hoofdleiding secundair net</t>
  </si>
  <si>
    <t>euro/m</t>
  </si>
  <si>
    <t>Hoofdleiding zijleidingen sec.net</t>
  </si>
  <si>
    <t>Lengte hoofdleiding sec.net</t>
  </si>
  <si>
    <t>Lengte zijleiding sec.net</t>
  </si>
  <si>
    <t>Primair net</t>
  </si>
  <si>
    <t>Lengte transportnettrace</t>
  </si>
  <si>
    <t>euro/MW_OS</t>
  </si>
  <si>
    <t>Prijs aardgas per GJ</t>
  </si>
  <si>
    <t>Aandeel uit restwarmtebron</t>
  </si>
  <si>
    <t>Warmteverlies in het net</t>
  </si>
  <si>
    <t>Kostprijs warmte per GJ</t>
  </si>
  <si>
    <t>Verbruik pompen per GJwarmte</t>
  </si>
  <si>
    <t>Transport en distributie</t>
  </si>
  <si>
    <t>Kosten hoofdleiding, met minimumcurve Kbuis</t>
  </si>
  <si>
    <t>Kosten hoofdleiding, met maximumcurve Kbuis</t>
  </si>
  <si>
    <t>Kosten zijleiding, met minimumcurve Kbuis</t>
  </si>
  <si>
    <t>Kosten zijleiding, met maximumcurve Kbuis</t>
  </si>
  <si>
    <t>Kosten hoofdleiding, gemiddeld</t>
  </si>
  <si>
    <t>Kosten zijleiding, gemiddeld</t>
  </si>
  <si>
    <t>Kosten WOS en hulpketels</t>
  </si>
  <si>
    <t>WOS en hulpketels</t>
  </si>
  <si>
    <t>Kosten OS</t>
  </si>
  <si>
    <t>Aansluitingen</t>
  </si>
  <si>
    <t>Kosten woningaansluitingen</t>
  </si>
  <si>
    <t>Kosten transportpijp, gemiddeld</t>
  </si>
  <si>
    <t>WOS+hulpketels leveren 50% van vermogen</t>
  </si>
  <si>
    <t>Totale investeringskosten</t>
  </si>
  <si>
    <t>Minimaal</t>
  </si>
  <si>
    <t>Maximaal</t>
  </si>
  <si>
    <t>Gemiddeld</t>
  </si>
  <si>
    <t>Operationele kosten</t>
  </si>
  <si>
    <t>Investeringskosten</t>
  </si>
  <si>
    <t>Inkoopkosten aftapwarmte bron</t>
  </si>
  <si>
    <t>O&amp;M uitkoppeling bron</t>
  </si>
  <si>
    <t>O&amp;M transportpijp, gemiddeld</t>
  </si>
  <si>
    <t>O&amp;M hoofdleiding, gemiddeld</t>
  </si>
  <si>
    <t>O&amp;M zijleiding, gemiddeld</t>
  </si>
  <si>
    <t>O&amp;M WOS en hulpketels</t>
  </si>
  <si>
    <t>O&amp;M OS</t>
  </si>
  <si>
    <t>O&amp;M woningaansluitingen</t>
  </si>
  <si>
    <t>Inkoopkosten aardgas hulpketels</t>
  </si>
  <si>
    <t>Totale operationele kosten</t>
  </si>
  <si>
    <t>Totaal</t>
  </si>
  <si>
    <t>Per geleverde GJ</t>
  </si>
  <si>
    <t>Algemeen</t>
  </si>
  <si>
    <t>Afschrijftermijn</t>
  </si>
  <si>
    <t>Gemiddelde jaarkosten per geleverde GJ</t>
  </si>
  <si>
    <t>Gemiddelde jaarkosten</t>
  </si>
  <si>
    <t>Pompenergie</t>
  </si>
  <si>
    <t>Jaarlijkse kosten</t>
  </si>
  <si>
    <t>Woning</t>
  </si>
  <si>
    <t>Type</t>
  </si>
  <si>
    <t>Bouwperiode</t>
  </si>
  <si>
    <t>Huidig energielabel</t>
  </si>
  <si>
    <t>E</t>
  </si>
  <si>
    <t>GJ/woning/jr</t>
  </si>
  <si>
    <t>Ruimteverwarming</t>
  </si>
  <si>
    <t>Onderhoud CV-ketel</t>
  </si>
  <si>
    <t>Warm tapwater</t>
  </si>
  <si>
    <t>Locatie</t>
  </si>
  <si>
    <t>Opmerking</t>
  </si>
  <si>
    <t>Aantal woningen, grondgebonden</t>
  </si>
  <si>
    <t>Bebouwingsdichtheid, gestapeld</t>
  </si>
  <si>
    <t>Bebouwingsdichtheid, grondgebonden</t>
  </si>
  <si>
    <t>Capaciteitsvraag/woning, gestapeld</t>
  </si>
  <si>
    <t>Capaciteitsvraag/woning, grondgebonden</t>
  </si>
  <si>
    <t>p.64</t>
  </si>
  <si>
    <t>Functioneel ontwerp Vesta</t>
  </si>
  <si>
    <t>p.65</t>
  </si>
  <si>
    <t>Inputtabel Vesta 2.0</t>
  </si>
  <si>
    <t>Warmtevraag/woning, gestapeld</t>
  </si>
  <si>
    <t>Warmtevraag/woning, grondgebonden</t>
  </si>
  <si>
    <t>Schatting gemiddelde waarde uit inputtabel, varieert per type woning</t>
  </si>
  <si>
    <t>Kosten aansluiting, gestapeld</t>
  </si>
  <si>
    <t>Kosten aansluiting, grondgebonden</t>
  </si>
  <si>
    <t>Dit betreft de warmtewisselaar en het distributienet tot het onderstation</t>
  </si>
  <si>
    <t>Percentage onderhoud en beheer aansluiting woning</t>
  </si>
  <si>
    <t>p.69</t>
  </si>
  <si>
    <t>De factor 0,5 komt omdat 50% vermogen vanuit bron komt, de andere helft is decentraal piekvermogen</t>
  </si>
  <si>
    <t>p.71</t>
  </si>
  <si>
    <t>Warmteoverdrachtstation inclusief hulpwarmteketels</t>
  </si>
  <si>
    <t>Zit omwegfactor al in verwerkt; is afhankelijk van locatie warmtebron</t>
  </si>
  <si>
    <t>p.70</t>
  </si>
  <si>
    <t>p.63</t>
  </si>
  <si>
    <t>Variabele inputwaarde, afhankelijk van gasprijs</t>
  </si>
  <si>
    <t>p.106</t>
  </si>
  <si>
    <t>p.105</t>
  </si>
  <si>
    <t>Prijspeil grootverbruik excl. BTW</t>
  </si>
  <si>
    <t>p.104</t>
  </si>
  <si>
    <t>Capaciteit uit restwarmtebron</t>
  </si>
  <si>
    <t>op vermogen</t>
  </si>
  <si>
    <t>Kosten per eenheid</t>
  </si>
  <si>
    <t>Investeringskosten per woning, gemiddeld</t>
  </si>
  <si>
    <t>Operationele kosten per woning</t>
  </si>
  <si>
    <t>euro/jaar</t>
  </si>
  <si>
    <t>Naar boven afgerond (conform formule Vesta)</t>
  </si>
  <si>
    <t>p.16</t>
  </si>
  <si>
    <t>Prijspeil kleinmiddelgrote verbruikers, excl. BTW</t>
  </si>
  <si>
    <t>Variabele inputwaarde, afhankelijk van elektriciteitsprijs; alleen kosten voor elektrische pompenergie</t>
  </si>
  <si>
    <t>Idem in GJe/GJth</t>
  </si>
  <si>
    <t>Inkoopprijs elektriciteit</t>
  </si>
  <si>
    <t>p.80</t>
  </si>
  <si>
    <t>SPF warmtepomp</t>
  </si>
  <si>
    <t>p.44</t>
  </si>
  <si>
    <t>Afschrijftermijn gebouwmaatregelen</t>
  </si>
  <si>
    <t>Afschrijftermijn installaties</t>
  </si>
  <si>
    <t>p.42</t>
  </si>
  <si>
    <t>Rijwoning</t>
  </si>
  <si>
    <t>Vesta 2.0</t>
  </si>
  <si>
    <t>1965-1974</t>
  </si>
  <si>
    <t>Functionele warmtevraag ruimte</t>
  </si>
  <si>
    <t>Functionele warmtevraag tapwater</t>
  </si>
  <si>
    <t>p.40</t>
  </si>
  <si>
    <t>p.23</t>
  </si>
  <si>
    <t>Dit is de functionele vraag, waarin de HR-ketel moet voorzien. Verrekend met het rendement van de HR-ketel komt de finale vraag.</t>
  </si>
  <si>
    <t>Gasinstallatie</t>
  </si>
  <si>
    <t>Investeringskosten HR-ketel</t>
  </si>
  <si>
    <t>Rendement HR-ketel ruimte (op onderwaarde)</t>
  </si>
  <si>
    <t>Rendement HR-ketel tapwater (op onderwaarde)</t>
  </si>
  <si>
    <t>Niet in Vesta</t>
  </si>
  <si>
    <t>jaar</t>
  </si>
  <si>
    <t>Prijspeil kleinverbruikers</t>
  </si>
  <si>
    <t>Afschrijftermijn gasinfrastructuur</t>
  </si>
  <si>
    <t>Discontovoet huishouden</t>
  </si>
  <si>
    <t>Discontovoet gasinfrastructuur</t>
  </si>
  <si>
    <t>Waarde voor 'energiebedrijf'</t>
  </si>
  <si>
    <t>O&amp;M kosten HR-ketel</t>
  </si>
  <si>
    <t>BTW</t>
  </si>
  <si>
    <t>Rekenmodel maximumprijs 2015 (ACM)</t>
  </si>
  <si>
    <t>Jaarlijkse vaste kosten gasinfrastructuur</t>
  </si>
  <si>
    <t>Jaarlijkse meettarieven gasinfrastructuur</t>
  </si>
  <si>
    <t>Aansluitbijdrage gasinfrastructuur</t>
  </si>
  <si>
    <t>Gasinfrastructuur</t>
  </si>
  <si>
    <t>Gekapitaliseerde vaste kosten gasinfrastructuur</t>
  </si>
  <si>
    <t>Aanname: jaarlijkse vaste kosten dekken de volledige investering voor de gasinfrastructuur per woning (gesocialiseerde kosten); wordt niet meegenomen bij investeringen</t>
  </si>
  <si>
    <t>Per geleverde functionele GJ</t>
  </si>
  <si>
    <t>Per geleverde finale GJ</t>
  </si>
  <si>
    <t>Finale warmtevraag ruimte</t>
  </si>
  <si>
    <t>Finale warmtevraag tapwater</t>
  </si>
  <si>
    <t>Niet in Vesta; voor kapitalisatie vaste kosten gasinfrastructuur</t>
  </si>
  <si>
    <t>β</t>
  </si>
  <si>
    <t>d verw</t>
  </si>
  <si>
    <t>Energie</t>
  </si>
  <si>
    <t>Prijs elektriciteit per GJ</t>
  </si>
  <si>
    <t>0.2</t>
  </si>
  <si>
    <t>Invulling opzet alle opties, ter check RVO</t>
  </si>
  <si>
    <t>1.0</t>
  </si>
  <si>
    <t>Versie voor expertcheck</t>
  </si>
  <si>
    <t>Bijlagen</t>
  </si>
  <si>
    <t>Energieprijzen</t>
  </si>
  <si>
    <t>Discontovoet energiebedrijf</t>
  </si>
  <si>
    <r>
      <t>CO</t>
    </r>
    <r>
      <rPr>
        <b/>
        <vertAlign val="subscript"/>
        <sz val="8"/>
        <color theme="1"/>
        <rFont val="Trebuchet MS"/>
        <family val="2"/>
      </rPr>
      <t>2</t>
    </r>
    <r>
      <rPr>
        <b/>
        <sz val="8"/>
        <color theme="1"/>
        <rFont val="Trebuchet MS"/>
        <family val="2"/>
      </rPr>
      <t>/kWh</t>
    </r>
  </si>
  <si>
    <t>Elektriciteit (euro/kWh)</t>
  </si>
  <si>
    <t>kg/kWh</t>
  </si>
  <si>
    <t>Kleingebruik (&lt;10.000 kWh/jr; LS)</t>
  </si>
  <si>
    <t>(Klein) Middelgrote verbruikers</t>
  </si>
  <si>
    <t>Jaar</t>
  </si>
  <si>
    <r>
      <t>Commodity excl. CO</t>
    </r>
    <r>
      <rPr>
        <b/>
        <vertAlign val="subscript"/>
        <sz val="8"/>
        <color theme="1"/>
        <rFont val="Trebuchet MS"/>
        <family val="2"/>
      </rPr>
      <t>2</t>
    </r>
  </si>
  <si>
    <t>Distributie</t>
  </si>
  <si>
    <t>Transport en capaciteit</t>
  </si>
  <si>
    <t>Energie-belasting</t>
  </si>
  <si>
    <t>RAT CO2 KWH</t>
  </si>
  <si>
    <t>KG COM_EXCL_CO2</t>
  </si>
  <si>
    <t>KG CO2</t>
  </si>
  <si>
    <t>KG DIS</t>
  </si>
  <si>
    <t>KG TRANS</t>
  </si>
  <si>
    <t>KG SDE</t>
  </si>
  <si>
    <t>KG BEL_EL</t>
  </si>
  <si>
    <t>KMG COM_EXCL_CO2</t>
  </si>
  <si>
    <t>KMG CO2</t>
  </si>
  <si>
    <t>KMG DIS</t>
  </si>
  <si>
    <t>KMG TRANS</t>
  </si>
  <si>
    <t>KMG SDE</t>
  </si>
  <si>
    <t>KMG BEL_EL</t>
  </si>
  <si>
    <t>Grootverbruik</t>
  </si>
  <si>
    <t>Glastuinders</t>
  </si>
  <si>
    <t>RAT_CO2_KWH</t>
  </si>
  <si>
    <t>GG COM_EXCL_CO2</t>
  </si>
  <si>
    <t>GG CO2</t>
  </si>
  <si>
    <t>GG DIS</t>
  </si>
  <si>
    <t>GG TRANS</t>
  </si>
  <si>
    <t>GG SDE</t>
  </si>
  <si>
    <t>GG BEL_EL</t>
  </si>
  <si>
    <t>GLAST COM_EXCL_CO2</t>
  </si>
  <si>
    <t>GLAST CO2</t>
  </si>
  <si>
    <t>GLAST DIS</t>
  </si>
  <si>
    <t>GLAST TRANS</t>
  </si>
  <si>
    <t>GLAST SDE</t>
  </si>
  <si>
    <t>GLAST BEL_EL</t>
  </si>
  <si>
    <t>Energie-
belasting</t>
  </si>
  <si>
    <t>SDE-heffing (ODE)</t>
  </si>
  <si>
    <r>
      <t>CO</t>
    </r>
    <r>
      <rPr>
        <b/>
        <vertAlign val="subscript"/>
        <sz val="8"/>
        <color theme="1"/>
        <rFont val="Trebuchet MS"/>
        <family val="2"/>
      </rPr>
      <t>2</t>
    </r>
    <r>
      <rPr>
        <b/>
        <sz val="8"/>
        <color theme="1"/>
        <rFont val="Trebuchet MS"/>
        <family val="2"/>
      </rPr>
      <t>-heffing</t>
    </r>
  </si>
  <si>
    <r>
      <t>CO</t>
    </r>
    <r>
      <rPr>
        <b/>
        <vertAlign val="subscript"/>
        <sz val="8"/>
        <color theme="1"/>
        <rFont val="Trebuchet MS"/>
        <family val="2"/>
      </rPr>
      <t>2</t>
    </r>
    <r>
      <rPr>
        <b/>
        <sz val="8"/>
        <color theme="1"/>
        <rFont val="Trebuchet MS"/>
        <family val="2"/>
      </rPr>
      <t>/m</t>
    </r>
    <r>
      <rPr>
        <b/>
        <vertAlign val="superscript"/>
        <sz val="8"/>
        <color theme="1"/>
        <rFont val="Trebuchet MS"/>
        <family val="2"/>
      </rPr>
      <t>3</t>
    </r>
  </si>
  <si>
    <r>
      <t>Gas (euro/m</t>
    </r>
    <r>
      <rPr>
        <b/>
        <vertAlign val="superscript"/>
        <sz val="8"/>
        <color theme="1"/>
        <rFont val="Trebuchet MS"/>
        <family val="2"/>
      </rPr>
      <t>3</t>
    </r>
    <r>
      <rPr>
        <b/>
        <sz val="8"/>
        <color theme="1"/>
        <rFont val="Trebuchet MS"/>
        <family val="2"/>
      </rPr>
      <t>)</t>
    </r>
  </si>
  <si>
    <r>
      <t>kg/m</t>
    </r>
    <r>
      <rPr>
        <b/>
        <vertAlign val="superscript"/>
        <sz val="8"/>
        <color theme="1"/>
        <rFont val="Trebuchet MS"/>
        <family val="2"/>
      </rPr>
      <t>3</t>
    </r>
  </si>
  <si>
    <r>
      <t>Kleingebruik (&lt;5.000 m</t>
    </r>
    <r>
      <rPr>
        <b/>
        <vertAlign val="superscript"/>
        <sz val="8"/>
        <color theme="1"/>
        <rFont val="Trebuchet MS"/>
        <family val="2"/>
      </rPr>
      <t>3</t>
    </r>
    <r>
      <rPr>
        <b/>
        <sz val="8"/>
        <color theme="1"/>
        <rFont val="Trebuchet MS"/>
        <family val="2"/>
      </rPr>
      <t>/jr; LD)</t>
    </r>
  </si>
  <si>
    <t>Biomassa</t>
  </si>
  <si>
    <t>Kolen</t>
  </si>
  <si>
    <r>
      <t>CO</t>
    </r>
    <r>
      <rPr>
        <b/>
        <vertAlign val="subscript"/>
        <sz val="8"/>
        <color theme="1"/>
        <rFont val="Trebuchet MS"/>
        <family val="2"/>
      </rPr>
      <t>2</t>
    </r>
    <r>
      <rPr>
        <b/>
        <sz val="8"/>
        <color theme="1"/>
        <rFont val="Trebuchet MS"/>
        <family val="2"/>
      </rPr>
      <t>-heffing kolen</t>
    </r>
  </si>
  <si>
    <t>(euro/GJ)</t>
  </si>
  <si>
    <t>KGJ_BIOMASSA</t>
  </si>
  <si>
    <t>KGJ_KOLEN_EXCL</t>
  </si>
  <si>
    <t>KGJ_KOLEN_CO2</t>
  </si>
  <si>
    <t>Formules voor variabele kostprijs warmte</t>
  </si>
  <si>
    <t>Typebenaming</t>
  </si>
  <si>
    <t>Warmtekostprijsformule en redenatietype</t>
  </si>
  <si>
    <t>STEG</t>
  </si>
  <si>
    <t>(aftapwarmte bij elektriciteitcentrale met bijstook)</t>
  </si>
  <si>
    <t>Gasmotor</t>
  </si>
  <si>
    <t>= (engrosgasprijs/0,8)/0,5 – engroselektraprijs</t>
  </si>
  <si>
    <t>(WKK met elektriciteit als bijproduct)</t>
  </si>
  <si>
    <t>Gasturbine</t>
  </si>
  <si>
    <t>Conventioneel</t>
  </si>
  <si>
    <t>Industrie</t>
  </si>
  <si>
    <t>Pure restwarmte, geen aftap. Alleen kosten voor de elektrische pompenergie.</t>
  </si>
  <si>
    <t>2,5 kWh per verpompte GJ warmte</t>
  </si>
  <si>
    <t>Raffinaderij</t>
  </si>
  <si>
    <t>KVSTEG (kolen-vergasser-STEG)</t>
  </si>
  <si>
    <t>NB: KV-STEG met warmte-aftap geo komt in de praktijk in Nederland niet voor</t>
  </si>
  <si>
    <t>AVI</t>
  </si>
  <si>
    <t>(aftapwarmte met dervingsfactor elektriciteitsproductie)</t>
  </si>
  <si>
    <t>BMC bestaand (biomassacentrale)</t>
  </si>
  <si>
    <t>BMC nieuw (biomassa-centrale)</t>
  </si>
  <si>
    <t>= (biomassaprijs/0,8)/0,5 – engroselektraprijs</t>
  </si>
  <si>
    <t>Kern (kerncentrale)</t>
  </si>
  <si>
    <t>N.v.t. NB: er zijn geen praktijkgegevens bekend voor restwarmtebenutting</t>
  </si>
  <si>
    <t>Wijk-WKK</t>
  </si>
  <si>
    <t>Geothermie</t>
  </si>
  <si>
    <t>Alleen kosten voor de elektrische pompenergie,</t>
  </si>
  <si>
    <t>= (engrosgasprijs*0,2)/0,3</t>
  </si>
  <si>
    <t>= (kolenprijs*0,2)/0,3</t>
  </si>
  <si>
    <t>= 2,5 * (elektraprijs kleinmiddelgrote verbruikers)</t>
  </si>
  <si>
    <t xml:space="preserve"> = 0,18*engroselektraprijs</t>
  </si>
  <si>
    <t>= (biomassaprijs*0,2)/0,3</t>
  </si>
  <si>
    <t>De onderstaande tabellen komen uit het Functioneel ontwerp (p.103-107). Voor de tussenliggende jaren wordt geïnterpoleerd.</t>
  </si>
  <si>
    <t>Leercurves</t>
  </si>
  <si>
    <t>De onderstaande leercurves komen uit Vesta 2.0. Zij worden gebruikt om toekomstige leereffecten mee te nemen in de kosten van maatregelen en installaties.</t>
  </si>
  <si>
    <t>Woningtype</t>
  </si>
  <si>
    <t>Pakket</t>
  </si>
  <si>
    <t>Woningen met C-label of hoger</t>
  </si>
  <si>
    <t>Isolatie, warmtepomp, vloerverwarming, zonneboiler</t>
  </si>
  <si>
    <t>Woningen met B-label of lager</t>
  </si>
  <si>
    <t>Warmtepomp, vloerverwarming, zonneboiler</t>
  </si>
  <si>
    <t>Woningmaatregelen naar Label A</t>
  </si>
  <si>
    <t>Gebouwgebonden installaties</t>
  </si>
  <si>
    <t>Nul-op-de-meter maatregelpakket</t>
  </si>
  <si>
    <t>Collectieve warmtevoorzieningen</t>
  </si>
  <si>
    <t>Leercurve 1</t>
  </si>
  <si>
    <t>Overige onderdelen</t>
  </si>
  <si>
    <t>Leercurve 2</t>
  </si>
  <si>
    <t>Warmteleidingen en uitkoppeling</t>
  </si>
  <si>
    <t>Installatie van vloerverwarming, LT-radiatoren en elektrische vloerverwarming</t>
  </si>
  <si>
    <t>Leercurve</t>
  </si>
  <si>
    <t>Toepassing</t>
  </si>
  <si>
    <t>Dit is voor bestaande netten een goede waarde, voor nieuwe netten (bijv. LT) kan dat naar 2,5% gaan.</t>
  </si>
  <si>
    <t>Minimale uitkoppelomvang 10 MWth; Voor een nieuwe STEG is dit 110 euro/kW</t>
  </si>
  <si>
    <t>Minimale uitkoppelomvang 6 MWth; Dit is de ondergrens. Voor de grote industrie is dit te laag… niet bekend hoeveel hoger.</t>
  </si>
  <si>
    <t>Voor woningcorporaties wordt gekeken of dit percentage gehalveerd kan worden.</t>
  </si>
  <si>
    <t>Jaarlijkse vaste kosten gaslevering</t>
  </si>
  <si>
    <t>Schatting gemiddelde waarde uit inputtabel, varieert per type woning; LET OP: Waarde komt uit externe inputtabelen en is geen waarde in Vesta+, voor dit Excel is deze waarde wel aangepast, maar Vesta+ rekent met een grote diversiteit aan waarden per type woningen!</t>
  </si>
  <si>
    <t>Opgestelde capaciteit bijstook</t>
  </si>
  <si>
    <t>Aanname na verificatie</t>
  </si>
  <si>
    <t>Opgesteld vermogen van bijstook is als gevolg van redundantie hoger (70-100%), gekozen voor middenwaarde.</t>
  </si>
  <si>
    <t>Bron levert 30% capaciteit en 80% volume</t>
  </si>
  <si>
    <t>1.2</t>
  </si>
  <si>
    <t>Hulpenergie</t>
  </si>
  <si>
    <t>kWh/woning/jr</t>
  </si>
  <si>
    <t>Niet in Vesta 2.0</t>
  </si>
  <si>
    <t>Aantal OS nodig, berekend (P_max,OS/P_const)</t>
  </si>
  <si>
    <t>Symbool</t>
  </si>
  <si>
    <t>a_gest</t>
  </si>
  <si>
    <t>a_ggb</t>
  </si>
  <si>
    <t>beta</t>
  </si>
  <si>
    <t>y</t>
  </si>
  <si>
    <t>P_const</t>
  </si>
  <si>
    <t>K_OS/kW</t>
  </si>
  <si>
    <t>n</t>
  </si>
  <si>
    <t>alpha</t>
  </si>
  <si>
    <t>K_buis</t>
  </si>
  <si>
    <t>WOS en collectieve WP</t>
  </si>
  <si>
    <t>K_CWP</t>
  </si>
  <si>
    <t>K_aanvoernet</t>
  </si>
  <si>
    <t>Kosten WOS met collectieve WP</t>
  </si>
  <si>
    <t>Kosten WOS+collectieve WP</t>
  </si>
  <si>
    <t>SPF</t>
  </si>
  <si>
    <t>Kosten opwaardering met collectieve WP</t>
  </si>
  <si>
    <t>N_3</t>
  </si>
  <si>
    <t>Percentage onderhoud en beheer WP</t>
  </si>
  <si>
    <t>K_kW_bron</t>
  </si>
  <si>
    <t>P_max,OS</t>
  </si>
  <si>
    <t>K_OS</t>
  </si>
  <si>
    <t>K_bron</t>
  </si>
  <si>
    <t>GJ warmte uit aanvoernet</t>
  </si>
  <si>
    <t>GJth/jaar</t>
  </si>
  <si>
    <t>Percentage onderhoud en beheer (op de kosten)</t>
  </si>
  <si>
    <t xml:space="preserve">Volume aanvoernet? Of distributienet? </t>
  </si>
  <si>
    <t>(wordt niet gebruikt)</t>
  </si>
  <si>
    <t>Inkoopkosten aftapwarmte bron (pomp, WP, verlies)</t>
  </si>
  <si>
    <t>Q KATJA- Dit zit toch a in kosten aftapwarmte (C120)??</t>
  </si>
  <si>
    <t>Warmtenet - LT Variant 1</t>
  </si>
  <si>
    <t>Warmtenet - LT Variant 2</t>
  </si>
  <si>
    <t>Kosten warmtebuffer</t>
  </si>
  <si>
    <t>K_buffer</t>
  </si>
  <si>
    <t>O&amp;M uitkoppeling bron + buffer</t>
  </si>
  <si>
    <t>Label</t>
  </si>
  <si>
    <t>A/A+</t>
  </si>
  <si>
    <t>B</t>
  </si>
  <si>
    <t>C</t>
  </si>
  <si>
    <t>D</t>
  </si>
  <si>
    <t>COP RV</t>
  </si>
  <si>
    <t>COP WTW</t>
  </si>
  <si>
    <t>COP koude</t>
  </si>
  <si>
    <t>Warmtevraag WTW</t>
  </si>
  <si>
    <t>Warmtevraag koude (GJ)</t>
  </si>
  <si>
    <t>Kosten WP en attributen</t>
  </si>
  <si>
    <t>Aantal grondgebonden</t>
  </si>
  <si>
    <t>Aantal gestapeld</t>
  </si>
  <si>
    <t>Warmtevraag RV (GJ/jr)</t>
  </si>
  <si>
    <t>Aantal totaal</t>
  </si>
  <si>
    <t>Aandeel uit piekwarmtepomp (volume)</t>
  </si>
  <si>
    <t>Aandeel uit piekwarmtepomp (capaciteit)</t>
  </si>
  <si>
    <t>f_vol,WP</t>
  </si>
  <si>
    <t>f_cap,WP</t>
  </si>
  <si>
    <t>K_GJ,OS</t>
  </si>
  <si>
    <t>K_e,woning</t>
  </si>
  <si>
    <t>Elektriciteitsprijs kleingebruikers</t>
  </si>
  <si>
    <t>euro/Gje</t>
  </si>
  <si>
    <t>e-vraag per woning (Gje/jr)</t>
  </si>
  <si>
    <t>Elektriciteitskosten individuele WP woningen</t>
  </si>
  <si>
    <t>E_tot</t>
  </si>
  <si>
    <t>P_max</t>
  </si>
  <si>
    <t>Functioneel ontwerp LT-warmtenetten</t>
  </si>
  <si>
    <t xml:space="preserve">Minimale clusteromvang van 2000 GJ; Dit is de ondergrens. </t>
  </si>
  <si>
    <t>Marginale kostprijs warmte per GJ_th (op OS)</t>
  </si>
  <si>
    <t>Inkoopkosten warmte bron (pomp, WP, verlies)</t>
  </si>
  <si>
    <t>op capaciteit, per jaar</t>
  </si>
  <si>
    <t>Warmtevraag uit net per woning (GJth/jr)</t>
  </si>
  <si>
    <t>Verificatie Greenvis</t>
  </si>
  <si>
    <t>30% van volume voor winterpiek</t>
  </si>
  <si>
    <t>beta_transport</t>
  </si>
  <si>
    <t>Piekverlies op transportnet (op capaciteit)</t>
  </si>
  <si>
    <t>a_kantoor</t>
  </si>
  <si>
    <t>Th. capaciteit per woning (kWth/jr)</t>
  </si>
  <si>
    <t>Q_tot</t>
  </si>
  <si>
    <t>Som capaciteit warmtenet incl. gelijktijdigheid</t>
  </si>
  <si>
    <t>Invoer</t>
  </si>
  <si>
    <t>COP RV (Variant 2)</t>
  </si>
  <si>
    <t>Variant 2</t>
  </si>
  <si>
    <t>Variant 3</t>
  </si>
  <si>
    <t>Utiliteit (m2)</t>
  </si>
  <si>
    <t>*€1000 per kW</t>
  </si>
  <si>
    <t>* gebaseerd op kantoor label B. Waarden per m2.</t>
  </si>
  <si>
    <t>Som warmtevraag (uit warmtenet)</t>
  </si>
  <si>
    <t>Elektriciteitskosten individuele WP woningen en utiliteit</t>
  </si>
  <si>
    <t>Aanname: Utiliteit zelfde tarief als woningen</t>
  </si>
  <si>
    <t>(maar utiliteit zit hier ook bij)</t>
  </si>
  <si>
    <t>Oppervlak kantoorgebouwen</t>
  </si>
  <si>
    <t>Operationele kosten leverancier</t>
  </si>
  <si>
    <t>Operationele kosten eindgebruiker</t>
  </si>
  <si>
    <t>Levering warmtenet</t>
  </si>
  <si>
    <t>Verbruik eindgebruiker</t>
  </si>
  <si>
    <t>Per geleverde GJ warmtenet</t>
  </si>
  <si>
    <t>Per gebruikte GJ eindgebruiker</t>
  </si>
  <si>
    <t>Aansluitcapaciteit (kWth)</t>
  </si>
  <si>
    <t>Gecorrigeerde aansluitcapaciteit LT-net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</si>
</sst>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 #,##0;[Red]&quot;€&quot;\ \-#,##0"/>
    <numFmt numFmtId="8" formatCode="&quot;€&quot;\ #,##0.00;[Red]&quot;€&quot;\ \-#,##0.00"/>
    <numFmt numFmtId="44" formatCode="_ &quot;€&quot;\ * #,##0.00_ ;_ &quot;€&quot;\ * \-#,##0.00_ ;_ &quot;€&quot;\ * &quot;-&quot;??_ ;_ @_ "/>
    <numFmt numFmtId="43" formatCode="_ * #,##0.00_ ;_ * \-#,##0.00_ ;_ * &quot;-&quot;??_ ;_ @_ "/>
    <numFmt numFmtId="164" formatCode="_ * #,##0_ ;_ * \-#,##0_ ;_ * &quot;-&quot;??_ ;_ @_ "/>
    <numFmt numFmtId="165" formatCode="_ * #,##0.0_ ;_ * \-#,##0.0_ ;_ * &quot;-&quot;??_ ;_ @_ "/>
    <numFmt numFmtId="166" formatCode="_ * #,##0.00000_ ;_ * \-#,##0.00000_ ;_ * &quot;-&quot;??_ ;_ @_ "/>
    <numFmt numFmtId="167" formatCode="0.0%"/>
    <numFmt numFmtId="168" formatCode="_(* #,##0.00_);_(* \(#,##0.00\);_(* &quot;-&quot;??_);_(@_)"/>
    <numFmt numFmtId="169" formatCode="0.000"/>
    <numFmt numFmtId="170" formatCode="0.0"/>
    <numFmt numFmtId="171" formatCode="_(&quot;$&quot;* #,##0.00_);_(&quot;$&quot;* \(#,##0.00\);_(&quot;$&quot;* &quot;-&quot;??_);_(@_)"/>
    <numFmt numFmtId="172" formatCode="_ * #,##0.00_ ;_ * \-#,##0.00_ ;_ * \-??_ ;_ @_ "/>
    <numFmt numFmtId="173" formatCode="_ * #,##0.000_ ;_ * \-#,##0.000_ ;_ * &quot;-&quot;??_ ;_ @_ "/>
    <numFmt numFmtId="174" formatCode="_ &quot;€&quot;\ * #,##0_ ;_ &quot;€&quot;\ * \-#,##0_ ;_ &quot;€&quot;\ * &quot;-&quot;??_ ;_ @_ "/>
    <numFmt numFmtId="175" formatCode="0.0000"/>
  </numFmts>
  <fonts count="30" x14ac:knownFonts="1">
    <font>
      <sz val="11"/>
      <color theme="1"/>
      <name val="Calibri"/>
      <family val="2"/>
      <scheme val="minor"/>
    </font>
    <font>
      <sz val="11"/>
      <color theme="1"/>
      <name val="Calibri"/>
      <family val="2"/>
      <scheme val="minor"/>
    </font>
    <font>
      <b/>
      <sz val="11"/>
      <color theme="1"/>
      <name val="Calibri"/>
      <family val="2"/>
      <scheme val="minor"/>
    </font>
    <font>
      <b/>
      <u/>
      <sz val="11"/>
      <color theme="1"/>
      <name val="Calibri"/>
      <family val="2"/>
      <scheme val="minor"/>
    </font>
    <font>
      <b/>
      <u/>
      <sz val="16"/>
      <color theme="1"/>
      <name val="Calibri"/>
      <family val="2"/>
      <scheme val="minor"/>
    </font>
    <font>
      <i/>
      <sz val="11"/>
      <color theme="1"/>
      <name val="Calibri"/>
      <family val="2"/>
      <scheme val="minor"/>
    </font>
    <font>
      <u/>
      <sz val="11"/>
      <color theme="10"/>
      <name val="Calibri"/>
      <family val="2"/>
      <scheme val="minor"/>
    </font>
    <font>
      <sz val="11"/>
      <color rgb="FFFF0000"/>
      <name val="Calibri"/>
      <family val="2"/>
      <scheme val="minor"/>
    </font>
    <font>
      <sz val="10"/>
      <name val="Arial"/>
      <family val="2"/>
    </font>
    <font>
      <b/>
      <sz val="11"/>
      <name val="Calibri"/>
      <family val="2"/>
      <scheme val="minor"/>
    </font>
    <font>
      <sz val="11"/>
      <name val="Calibri"/>
      <family val="2"/>
      <scheme val="minor"/>
    </font>
    <font>
      <sz val="8"/>
      <color theme="1"/>
      <name val="Trebuchet MS"/>
      <family val="2"/>
    </font>
    <font>
      <b/>
      <sz val="8"/>
      <color theme="1"/>
      <name val="Trebuchet MS"/>
      <family val="2"/>
    </font>
    <font>
      <b/>
      <vertAlign val="subscript"/>
      <sz val="8"/>
      <color theme="1"/>
      <name val="Trebuchet MS"/>
      <family val="2"/>
    </font>
    <font>
      <b/>
      <vertAlign val="superscript"/>
      <sz val="8"/>
      <color theme="1"/>
      <name val="Trebuchet MS"/>
      <family val="2"/>
    </font>
    <font>
      <b/>
      <sz val="11"/>
      <color theme="0"/>
      <name val="Calibri"/>
      <family val="2"/>
      <scheme val="minor"/>
    </font>
    <font>
      <sz val="11"/>
      <color theme="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name val="Arial"/>
      <family val="2"/>
      <charset val="1"/>
    </font>
  </fonts>
  <fills count="50">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6"/>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B9E4FF"/>
        <bgColor indexed="64"/>
      </patternFill>
    </fill>
    <fill>
      <patternFill patternType="solid">
        <fgColor rgb="FFE1F4FF"/>
        <bgColor indexed="64"/>
      </patternFill>
    </fill>
    <fill>
      <patternFill patternType="solid">
        <fgColor rgb="FFFFFF00"/>
        <bgColor indexed="64"/>
      </patternFill>
    </fill>
    <fill>
      <patternFill patternType="solid">
        <fgColor theme="9"/>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4"/>
        <bgColor indexed="64"/>
      </patternFill>
    </fill>
    <fill>
      <patternFill patternType="solid">
        <fgColor theme="8"/>
        <bgColor indexed="64"/>
      </patternFill>
    </fill>
    <fill>
      <patternFill patternType="solid">
        <fgColor rgb="FF00B0F0"/>
        <bgColor indexed="64"/>
      </patternFill>
    </fill>
  </fills>
  <borders count="35">
    <border>
      <left/>
      <right/>
      <top/>
      <bottom/>
      <diagonal/>
    </border>
    <border>
      <left style="medium">
        <color rgb="FF009EE0"/>
      </left>
      <right style="medium">
        <color rgb="FF009EE0"/>
      </right>
      <top style="medium">
        <color rgb="FF009EE0"/>
      </top>
      <bottom style="medium">
        <color rgb="FF009EE0"/>
      </bottom>
      <diagonal/>
    </border>
    <border>
      <left style="medium">
        <color rgb="FF009EE0"/>
      </left>
      <right style="medium">
        <color rgb="FF009EE0"/>
      </right>
      <top style="medium">
        <color rgb="FF009EE0"/>
      </top>
      <bottom/>
      <diagonal/>
    </border>
    <border>
      <left style="medium">
        <color rgb="FF009EE0"/>
      </left>
      <right style="medium">
        <color rgb="FF009EE0"/>
      </right>
      <top/>
      <bottom style="medium">
        <color rgb="FF009EE0"/>
      </bottom>
      <diagonal/>
    </border>
    <border>
      <left/>
      <right style="medium">
        <color rgb="FF009EE0"/>
      </right>
      <top style="medium">
        <color rgb="FF009EE0"/>
      </top>
      <bottom style="medium">
        <color rgb="FF009EE0"/>
      </bottom>
      <diagonal/>
    </border>
    <border>
      <left/>
      <right/>
      <top style="medium">
        <color rgb="FF009EE0"/>
      </top>
      <bottom style="medium">
        <color rgb="FF009EE0"/>
      </bottom>
      <diagonal/>
    </border>
    <border>
      <left/>
      <right style="medium">
        <color rgb="FF009EE0"/>
      </right>
      <top/>
      <bottom style="medium">
        <color rgb="FF009EE0"/>
      </bottom>
      <diagonal/>
    </border>
    <border>
      <left/>
      <right/>
      <top/>
      <bottom style="medium">
        <color rgb="FF009EE0"/>
      </bottom>
      <diagonal/>
    </border>
    <border>
      <left style="medium">
        <color rgb="FF009EE0"/>
      </left>
      <right/>
      <top style="medium">
        <color rgb="FF009EE0"/>
      </top>
      <bottom style="medium">
        <color rgb="FF009EE0"/>
      </bottom>
      <diagonal/>
    </border>
    <border>
      <left/>
      <right style="medium">
        <color rgb="FF009EE0"/>
      </right>
      <top/>
      <bottom/>
      <diagonal/>
    </border>
    <border>
      <left style="medium">
        <color rgb="FF009EE0"/>
      </left>
      <right/>
      <top/>
      <bottom style="medium">
        <color rgb="FF009EE0"/>
      </bottom>
      <diagonal/>
    </border>
    <border>
      <left style="medium">
        <color rgb="FF009EE0"/>
      </left>
      <right/>
      <top/>
      <bottom/>
      <diagonal/>
    </border>
    <border>
      <left style="medium">
        <color rgb="FF009EE0"/>
      </left>
      <right/>
      <top style="medium">
        <color rgb="FF009E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diagonal/>
    </border>
  </borders>
  <cellStyleXfs count="55">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8" fillId="0" borderId="0"/>
    <xf numFmtId="168" fontId="8" fillId="0" borderId="0" applyFont="0" applyFill="0" applyBorder="0" applyAlignment="0" applyProtection="0"/>
    <xf numFmtId="9" fontId="8" fillId="0" borderId="0" applyFont="0" applyFill="0" applyBorder="0" applyAlignment="0" applyProtection="0"/>
    <xf numFmtId="44" fontId="8" fillId="0" borderId="0" applyFont="0" applyFill="0" applyBorder="0" applyAlignment="0" applyProtection="0"/>
    <xf numFmtId="0" fontId="17" fillId="0" borderId="0" applyNumberFormat="0" applyFill="0" applyBorder="0" applyAlignment="0" applyProtection="0"/>
    <xf numFmtId="0" fontId="18" fillId="0" borderId="18" applyNumberFormat="0" applyFill="0" applyAlignment="0" applyProtection="0"/>
    <xf numFmtId="0" fontId="19" fillId="0" borderId="19" applyNumberFormat="0" applyFill="0" applyAlignment="0" applyProtection="0"/>
    <xf numFmtId="0" fontId="20" fillId="0" borderId="20" applyNumberFormat="0" applyFill="0" applyAlignment="0" applyProtection="0"/>
    <xf numFmtId="0" fontId="20" fillId="0" borderId="0" applyNumberFormat="0" applyFill="0" applyBorder="0" applyAlignment="0" applyProtection="0"/>
    <xf numFmtId="0" fontId="21" fillId="15" borderId="0" applyNumberFormat="0" applyBorder="0" applyAlignment="0" applyProtection="0"/>
    <xf numFmtId="0" fontId="22" fillId="16" borderId="0" applyNumberFormat="0" applyBorder="0" applyAlignment="0" applyProtection="0"/>
    <xf numFmtId="0" fontId="23" fillId="17" borderId="0" applyNumberFormat="0" applyBorder="0" applyAlignment="0" applyProtection="0"/>
    <xf numFmtId="0" fontId="24" fillId="18" borderId="21" applyNumberFormat="0" applyAlignment="0" applyProtection="0"/>
    <xf numFmtId="0" fontId="25" fillId="19" borderId="22" applyNumberFormat="0" applyAlignment="0" applyProtection="0"/>
    <xf numFmtId="0" fontId="26" fillId="19" borderId="21" applyNumberFormat="0" applyAlignment="0" applyProtection="0"/>
    <xf numFmtId="0" fontId="27" fillId="0" borderId="23" applyNumberFormat="0" applyFill="0" applyAlignment="0" applyProtection="0"/>
    <xf numFmtId="0" fontId="15" fillId="20" borderId="24" applyNumberFormat="0" applyAlignment="0" applyProtection="0"/>
    <xf numFmtId="0" fontId="7" fillId="0" borderId="0" applyNumberFormat="0" applyFill="0" applyBorder="0" applyAlignment="0" applyProtection="0"/>
    <xf numFmtId="0" fontId="1" fillId="21" borderId="25" applyNumberFormat="0" applyFont="0" applyAlignment="0" applyProtection="0"/>
    <xf numFmtId="0" fontId="28" fillId="0" borderId="0" applyNumberFormat="0" applyFill="0" applyBorder="0" applyAlignment="0" applyProtection="0"/>
    <xf numFmtId="0" fontId="2" fillId="0" borderId="26" applyNumberFormat="0" applyFill="0" applyAlignment="0" applyProtection="0"/>
    <xf numFmtId="0" fontId="1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6"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6"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6"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172" fontId="29" fillId="0" borderId="0"/>
    <xf numFmtId="0" fontId="29" fillId="0" borderId="0"/>
    <xf numFmtId="0" fontId="1" fillId="0" borderId="0"/>
    <xf numFmtId="171" fontId="1" fillId="0" borderId="0" applyFont="0" applyFill="0" applyBorder="0" applyAlignment="0" applyProtection="0"/>
    <xf numFmtId="171" fontId="1" fillId="0" borderId="0" applyFont="0" applyFill="0" applyBorder="0" applyAlignment="0" applyProtection="0"/>
    <xf numFmtId="44" fontId="1" fillId="0" borderId="0" applyFont="0" applyFill="0" applyBorder="0" applyAlignment="0" applyProtection="0"/>
  </cellStyleXfs>
  <cellXfs count="169">
    <xf numFmtId="0" fontId="0" fillId="0" borderId="0" xfId="0"/>
    <xf numFmtId="0" fontId="0" fillId="2" borderId="0" xfId="0" applyFill="1"/>
    <xf numFmtId="0" fontId="4" fillId="2" borderId="0" xfId="0" applyFont="1" applyFill="1"/>
    <xf numFmtId="0" fontId="5" fillId="2" borderId="0" xfId="0" applyFont="1" applyFill="1"/>
    <xf numFmtId="0" fontId="2" fillId="2" borderId="0" xfId="0" applyFont="1" applyFill="1"/>
    <xf numFmtId="49" fontId="0" fillId="2" borderId="0" xfId="0" applyNumberFormat="1" applyFill="1"/>
    <xf numFmtId="0" fontId="6" fillId="2" borderId="0" xfId="3" applyFill="1"/>
    <xf numFmtId="0" fontId="0" fillId="3" borderId="0" xfId="0" applyFill="1"/>
    <xf numFmtId="0" fontId="0" fillId="4" borderId="0" xfId="0" applyFill="1"/>
    <xf numFmtId="0" fontId="0" fillId="5" borderId="0" xfId="0" applyFill="1"/>
    <xf numFmtId="0" fontId="0" fillId="6" borderId="0" xfId="0" applyFill="1"/>
    <xf numFmtId="0" fontId="2" fillId="6" borderId="0" xfId="0" applyFont="1" applyFill="1"/>
    <xf numFmtId="0" fontId="3" fillId="6" borderId="0" xfId="0" applyFont="1" applyFill="1"/>
    <xf numFmtId="49" fontId="2" fillId="2" borderId="0" xfId="0" applyNumberFormat="1" applyFont="1" applyFill="1"/>
    <xf numFmtId="0" fontId="3" fillId="5" borderId="0" xfId="0" applyFont="1" applyFill="1"/>
    <xf numFmtId="164" fontId="0" fillId="2" borderId="0" xfId="1" applyNumberFormat="1" applyFont="1" applyFill="1"/>
    <xf numFmtId="0" fontId="0" fillId="2" borderId="0" xfId="0" applyFont="1" applyFill="1"/>
    <xf numFmtId="9" fontId="0" fillId="2" borderId="0" xfId="2" applyFont="1" applyFill="1"/>
    <xf numFmtId="43" fontId="0" fillId="2" borderId="0" xfId="1" applyNumberFormat="1" applyFont="1" applyFill="1"/>
    <xf numFmtId="165" fontId="0" fillId="2" borderId="0" xfId="1" applyNumberFormat="1" applyFont="1" applyFill="1"/>
    <xf numFmtId="166" fontId="0" fillId="2" borderId="0" xfId="1" applyNumberFormat="1" applyFont="1" applyFill="1"/>
    <xf numFmtId="0" fontId="2" fillId="3" borderId="0" xfId="0" applyFont="1" applyFill="1"/>
    <xf numFmtId="164" fontId="0" fillId="3" borderId="0" xfId="1" applyNumberFormat="1" applyFont="1" applyFill="1"/>
    <xf numFmtId="0" fontId="2" fillId="2" borderId="0" xfId="0" applyFont="1" applyFill="1" applyAlignment="1">
      <alignment horizontal="right"/>
    </xf>
    <xf numFmtId="164" fontId="2" fillId="3" borderId="0" xfId="1" applyNumberFormat="1" applyFont="1" applyFill="1"/>
    <xf numFmtId="164" fontId="0" fillId="4" borderId="0" xfId="1" applyNumberFormat="1" applyFont="1" applyFill="1"/>
    <xf numFmtId="164" fontId="0" fillId="7" borderId="0" xfId="1" applyNumberFormat="1" applyFont="1" applyFill="1"/>
    <xf numFmtId="0" fontId="0" fillId="7" borderId="0" xfId="0" applyFill="1"/>
    <xf numFmtId="0" fontId="3" fillId="8" borderId="0" xfId="0" applyFont="1" applyFill="1"/>
    <xf numFmtId="164" fontId="0" fillId="8" borderId="0" xfId="1" applyNumberFormat="1" applyFont="1" applyFill="1"/>
    <xf numFmtId="0" fontId="0" fillId="8" borderId="0" xfId="0" applyFill="1"/>
    <xf numFmtId="0" fontId="2" fillId="3" borderId="0" xfId="0" applyFont="1" applyFill="1" applyAlignment="1">
      <alignment horizontal="right"/>
    </xf>
    <xf numFmtId="0" fontId="0" fillId="2" borderId="0" xfId="0" applyFont="1" applyFill="1" applyAlignment="1">
      <alignment horizontal="right"/>
    </xf>
    <xf numFmtId="10" fontId="0" fillId="2" borderId="0" xfId="0" applyNumberFormat="1" applyFont="1" applyFill="1" applyAlignment="1">
      <alignment horizontal="right"/>
    </xf>
    <xf numFmtId="3" fontId="0" fillId="2" borderId="0" xfId="0" applyNumberFormat="1" applyFill="1"/>
    <xf numFmtId="167" fontId="0" fillId="2" borderId="0" xfId="2" applyNumberFormat="1" applyFont="1" applyFill="1"/>
    <xf numFmtId="0" fontId="7" fillId="2" borderId="0" xfId="0" applyFont="1" applyFill="1"/>
    <xf numFmtId="0" fontId="3" fillId="9" borderId="0" xfId="0" applyFont="1" applyFill="1"/>
    <xf numFmtId="164" fontId="0" fillId="9" borderId="0" xfId="1" applyNumberFormat="1" applyFont="1" applyFill="1"/>
    <xf numFmtId="0" fontId="0" fillId="9" borderId="0" xfId="0" applyFill="1"/>
    <xf numFmtId="0" fontId="2" fillId="9" borderId="0" xfId="0" applyFont="1" applyFill="1" applyAlignment="1">
      <alignment horizontal="right"/>
    </xf>
    <xf numFmtId="0" fontId="2" fillId="9" borderId="0" xfId="0" applyFont="1" applyFill="1"/>
    <xf numFmtId="164" fontId="0" fillId="2" borderId="0" xfId="1" applyNumberFormat="1" applyFont="1" applyFill="1" applyAlignment="1">
      <alignment horizontal="right"/>
    </xf>
    <xf numFmtId="9" fontId="0" fillId="2" borderId="0" xfId="1" applyNumberFormat="1" applyFont="1" applyFill="1"/>
    <xf numFmtId="49" fontId="0" fillId="2" borderId="0" xfId="0" applyNumberFormat="1" applyFont="1" applyFill="1" applyAlignment="1">
      <alignment horizontal="left"/>
    </xf>
    <xf numFmtId="8" fontId="0" fillId="2" borderId="0" xfId="0" applyNumberFormat="1" applyFill="1"/>
    <xf numFmtId="164" fontId="0" fillId="2" borderId="0" xfId="0" applyNumberFormat="1" applyFill="1"/>
    <xf numFmtId="9" fontId="0" fillId="2" borderId="0" xfId="0" applyNumberFormat="1" applyFont="1" applyFill="1" applyAlignment="1">
      <alignment horizontal="right"/>
    </xf>
    <xf numFmtId="0" fontId="9" fillId="0" borderId="0" xfId="4" applyFont="1" applyAlignment="1">
      <alignment horizontal="right"/>
    </xf>
    <xf numFmtId="2" fontId="10" fillId="0" borderId="0" xfId="4" applyNumberFormat="1" applyFont="1"/>
    <xf numFmtId="167" fontId="10" fillId="0" borderId="0" xfId="6" applyNumberFormat="1" applyFont="1"/>
    <xf numFmtId="0" fontId="10" fillId="0" borderId="0" xfId="4" applyFont="1"/>
    <xf numFmtId="0" fontId="2" fillId="0" borderId="0" xfId="0" applyFont="1"/>
    <xf numFmtId="0" fontId="4" fillId="0" borderId="0" xfId="0" applyFont="1"/>
    <xf numFmtId="0" fontId="12" fillId="10" borderId="3" xfId="0" applyFont="1" applyFill="1" applyBorder="1" applyAlignment="1">
      <alignment vertical="center" wrapText="1"/>
    </xf>
    <xf numFmtId="0" fontId="12" fillId="10" borderId="4" xfId="0" applyFont="1" applyFill="1" applyBorder="1" applyAlignment="1">
      <alignment vertical="center"/>
    </xf>
    <xf numFmtId="0" fontId="12" fillId="10" borderId="6" xfId="0" applyFont="1" applyFill="1" applyBorder="1" applyAlignment="1">
      <alignment vertical="center"/>
    </xf>
    <xf numFmtId="0" fontId="12" fillId="11" borderId="3" xfId="0" applyFont="1" applyFill="1" applyBorder="1" applyAlignment="1">
      <alignment horizontal="center" vertical="center" wrapText="1"/>
    </xf>
    <xf numFmtId="0" fontId="11" fillId="11" borderId="6" xfId="0" applyFont="1" applyFill="1" applyBorder="1" applyAlignment="1">
      <alignment vertical="top" wrapText="1"/>
    </xf>
    <xf numFmtId="0" fontId="12" fillId="11" borderId="6" xfId="0" applyFont="1" applyFill="1" applyBorder="1" applyAlignment="1">
      <alignment horizontal="center" vertical="center" wrapText="1"/>
    </xf>
    <xf numFmtId="0" fontId="11" fillId="0" borderId="3" xfId="0" applyFont="1" applyBorder="1" applyAlignment="1">
      <alignment horizontal="center" vertical="center"/>
    </xf>
    <xf numFmtId="0" fontId="11" fillId="0" borderId="6" xfId="0" applyFont="1" applyBorder="1" applyAlignment="1">
      <alignment horizontal="center" vertical="center"/>
    </xf>
    <xf numFmtId="0" fontId="12" fillId="10" borderId="3" xfId="0" applyFont="1" applyFill="1" applyBorder="1" applyAlignment="1">
      <alignment vertical="center"/>
    </xf>
    <xf numFmtId="0" fontId="12" fillId="10" borderId="5" xfId="0" applyFont="1" applyFill="1" applyBorder="1" applyAlignment="1">
      <alignment vertical="center"/>
    </xf>
    <xf numFmtId="0" fontId="12" fillId="11" borderId="1" xfId="0" applyFont="1" applyFill="1" applyBorder="1" applyAlignment="1">
      <alignment vertical="center" wrapText="1"/>
    </xf>
    <xf numFmtId="0" fontId="12" fillId="11" borderId="6" xfId="0" applyFont="1" applyFill="1" applyBorder="1" applyAlignment="1">
      <alignment vertical="top" wrapText="1"/>
    </xf>
    <xf numFmtId="0" fontId="12" fillId="10" borderId="1" xfId="0" applyFont="1" applyFill="1" applyBorder="1" applyAlignment="1">
      <alignment vertical="center" wrapText="1"/>
    </xf>
    <xf numFmtId="169" fontId="11" fillId="0" borderId="6" xfId="0" applyNumberFormat="1" applyFont="1" applyBorder="1" applyAlignment="1">
      <alignment horizontal="center" vertical="center"/>
    </xf>
    <xf numFmtId="0" fontId="12" fillId="10" borderId="1" xfId="0" applyFont="1" applyFill="1" applyBorder="1" applyAlignment="1">
      <alignment horizontal="center" vertical="center" wrapText="1"/>
    </xf>
    <xf numFmtId="0" fontId="12" fillId="10" borderId="4" xfId="0" applyFont="1" applyFill="1" applyBorder="1" applyAlignment="1">
      <alignment horizontal="center" vertical="center" wrapText="1"/>
    </xf>
    <xf numFmtId="0" fontId="12" fillId="10" borderId="6" xfId="0" applyFont="1" applyFill="1" applyBorder="1" applyAlignment="1">
      <alignment horizontal="center" vertical="center" wrapText="1"/>
    </xf>
    <xf numFmtId="0" fontId="12" fillId="10" borderId="8" xfId="0" applyFont="1" applyFill="1" applyBorder="1" applyAlignment="1">
      <alignment vertical="center" wrapText="1"/>
    </xf>
    <xf numFmtId="0" fontId="11" fillId="11" borderId="9" xfId="0" applyFont="1" applyFill="1" applyBorder="1" applyAlignment="1">
      <alignment vertical="center"/>
    </xf>
    <xf numFmtId="0" fontId="11" fillId="11" borderId="6" xfId="0" applyFont="1" applyFill="1" applyBorder="1" applyAlignment="1">
      <alignment vertical="center"/>
    </xf>
    <xf numFmtId="0" fontId="11" fillId="11" borderId="10" xfId="0" applyFont="1" applyFill="1" applyBorder="1" applyAlignment="1">
      <alignment vertical="center"/>
    </xf>
    <xf numFmtId="0" fontId="11" fillId="11" borderId="9" xfId="0" quotePrefix="1" applyFont="1" applyFill="1" applyBorder="1" applyAlignment="1">
      <alignment vertical="center"/>
    </xf>
    <xf numFmtId="0" fontId="11" fillId="11" borderId="0" xfId="0" quotePrefix="1" applyFont="1" applyFill="1" applyBorder="1" applyAlignment="1">
      <alignment vertical="center"/>
    </xf>
    <xf numFmtId="0" fontId="11" fillId="11" borderId="7" xfId="0" applyFont="1" applyFill="1" applyBorder="1" applyAlignment="1">
      <alignment vertical="center"/>
    </xf>
    <xf numFmtId="0" fontId="11" fillId="11" borderId="0" xfId="0" applyFont="1" applyFill="1" applyBorder="1" applyAlignment="1">
      <alignment vertical="center"/>
    </xf>
    <xf numFmtId="0" fontId="11" fillId="2" borderId="0" xfId="0" quotePrefix="1" applyFont="1" applyFill="1" applyBorder="1" applyAlignment="1">
      <alignment vertical="center"/>
    </xf>
    <xf numFmtId="0" fontId="11" fillId="2" borderId="9" xfId="0" quotePrefix="1" applyFont="1" applyFill="1" applyBorder="1" applyAlignment="1">
      <alignment vertical="center"/>
    </xf>
    <xf numFmtId="0" fontId="11" fillId="2" borderId="7" xfId="0" applyFont="1" applyFill="1" applyBorder="1" applyAlignment="1">
      <alignment vertical="center"/>
    </xf>
    <xf numFmtId="0" fontId="11" fillId="2" borderId="6" xfId="0" applyFont="1" applyFill="1" applyBorder="1" applyAlignment="1">
      <alignment vertical="center"/>
    </xf>
    <xf numFmtId="0" fontId="11" fillId="2" borderId="0" xfId="0" applyFont="1" applyFill="1" applyBorder="1" applyAlignment="1">
      <alignment vertical="center"/>
    </xf>
    <xf numFmtId="0" fontId="11" fillId="2" borderId="9" xfId="0" applyFont="1" applyFill="1" applyBorder="1" applyAlignment="1">
      <alignment vertical="center"/>
    </xf>
    <xf numFmtId="0" fontId="12" fillId="10" borderId="4" xfId="0" applyFont="1" applyFill="1" applyBorder="1" applyAlignment="1">
      <alignment vertical="center" wrapText="1"/>
    </xf>
    <xf numFmtId="0" fontId="11" fillId="0" borderId="10" xfId="0" applyFont="1" applyBorder="1" applyAlignment="1">
      <alignment vertical="center" wrapText="1"/>
    </xf>
    <xf numFmtId="0" fontId="11" fillId="0" borderId="6" xfId="0" applyFont="1" applyBorder="1" applyAlignment="1">
      <alignment vertical="center" wrapText="1"/>
    </xf>
    <xf numFmtId="0" fontId="11" fillId="11" borderId="10" xfId="0" applyFont="1" applyFill="1" applyBorder="1" applyAlignment="1">
      <alignment vertical="center" wrapText="1"/>
    </xf>
    <xf numFmtId="0" fontId="11" fillId="11" borderId="6" xfId="0" applyFont="1" applyFill="1" applyBorder="1" applyAlignment="1">
      <alignment vertical="center" wrapText="1"/>
    </xf>
    <xf numFmtId="14" fontId="0" fillId="2" borderId="0" xfId="0" applyNumberFormat="1" applyFill="1" applyAlignment="1">
      <alignment horizontal="left"/>
    </xf>
    <xf numFmtId="0" fontId="16" fillId="2" borderId="0" xfId="0" applyFont="1" applyFill="1"/>
    <xf numFmtId="14" fontId="16" fillId="2" borderId="0" xfId="0" applyNumberFormat="1" applyFont="1" applyFill="1"/>
    <xf numFmtId="0" fontId="15" fillId="2" borderId="0" xfId="0" applyFont="1" applyFill="1" applyBorder="1"/>
    <xf numFmtId="0" fontId="16" fillId="2" borderId="0" xfId="0" applyFont="1" applyFill="1" applyBorder="1"/>
    <xf numFmtId="164" fontId="0" fillId="12" borderId="0" xfId="1" applyNumberFormat="1" applyFont="1" applyFill="1"/>
    <xf numFmtId="0" fontId="0" fillId="12" borderId="0" xfId="0" applyFill="1"/>
    <xf numFmtId="167" fontId="0" fillId="12" borderId="0" xfId="2" applyNumberFormat="1" applyFont="1" applyFill="1"/>
    <xf numFmtId="9" fontId="0" fillId="12" borderId="0" xfId="2" applyNumberFormat="1" applyFont="1" applyFill="1"/>
    <xf numFmtId="9" fontId="0" fillId="12" borderId="0" xfId="2" applyFont="1" applyFill="1"/>
    <xf numFmtId="0" fontId="0" fillId="12" borderId="0" xfId="0" applyFont="1" applyFill="1"/>
    <xf numFmtId="9" fontId="0" fillId="12" borderId="0" xfId="1" applyNumberFormat="1" applyFont="1" applyFill="1"/>
    <xf numFmtId="164" fontId="0" fillId="12" borderId="0" xfId="0" applyNumberFormat="1" applyFill="1"/>
    <xf numFmtId="165" fontId="0" fillId="12" borderId="0" xfId="1" applyNumberFormat="1" applyFont="1" applyFill="1"/>
    <xf numFmtId="0" fontId="2" fillId="12" borderId="0" xfId="0" applyFont="1" applyFill="1"/>
    <xf numFmtId="43" fontId="0" fillId="12" borderId="0" xfId="1" applyNumberFormat="1" applyFont="1" applyFill="1"/>
    <xf numFmtId="170" fontId="0" fillId="2" borderId="0" xfId="1" applyNumberFormat="1" applyFont="1" applyFill="1"/>
    <xf numFmtId="0" fontId="0" fillId="13" borderId="0" xfId="0" applyFill="1"/>
    <xf numFmtId="0" fontId="0" fillId="14" borderId="0" xfId="0" applyFont="1" applyFill="1"/>
    <xf numFmtId="0" fontId="0" fillId="2" borderId="16" xfId="0" applyFill="1" applyBorder="1"/>
    <xf numFmtId="164" fontId="0" fillId="2" borderId="14" xfId="1" applyNumberFormat="1" applyFont="1" applyFill="1" applyBorder="1" applyAlignment="1">
      <alignment wrapText="1"/>
    </xf>
    <xf numFmtId="0" fontId="0" fillId="2" borderId="14" xfId="0" applyFill="1" applyBorder="1" applyAlignment="1">
      <alignment wrapText="1"/>
    </xf>
    <xf numFmtId="0" fontId="0" fillId="2" borderId="15" xfId="0" applyFill="1" applyBorder="1" applyAlignment="1">
      <alignment wrapText="1"/>
    </xf>
    <xf numFmtId="164" fontId="0" fillId="2" borderId="13" xfId="1" applyNumberFormat="1" applyFont="1" applyFill="1" applyBorder="1" applyAlignment="1">
      <alignment wrapText="1"/>
    </xf>
    <xf numFmtId="0" fontId="0" fillId="2" borderId="13" xfId="0" applyFill="1" applyBorder="1" applyAlignment="1">
      <alignment wrapText="1"/>
    </xf>
    <xf numFmtId="0" fontId="0" fillId="2" borderId="17" xfId="0" applyFill="1" applyBorder="1" applyAlignment="1">
      <alignment wrapText="1"/>
    </xf>
    <xf numFmtId="6" fontId="0" fillId="2" borderId="13" xfId="0" applyNumberFormat="1" applyFill="1" applyBorder="1" applyAlignment="1">
      <alignment wrapText="1"/>
    </xf>
    <xf numFmtId="0" fontId="0" fillId="12" borderId="13" xfId="0" applyFill="1" applyBorder="1" applyAlignment="1">
      <alignment wrapText="1"/>
    </xf>
    <xf numFmtId="2" fontId="0" fillId="2" borderId="17" xfId="0" applyNumberFormat="1" applyFill="1" applyBorder="1" applyAlignment="1">
      <alignment wrapText="1"/>
    </xf>
    <xf numFmtId="167" fontId="0" fillId="0" borderId="0" xfId="2" applyNumberFormat="1" applyFont="1" applyFill="1"/>
    <xf numFmtId="9" fontId="0" fillId="13" borderId="0" xfId="2" applyNumberFormat="1" applyFont="1" applyFill="1"/>
    <xf numFmtId="0" fontId="0" fillId="0" borderId="0" xfId="0" applyFont="1" applyFill="1"/>
    <xf numFmtId="43" fontId="0" fillId="13" borderId="0" xfId="1" applyFont="1" applyFill="1"/>
    <xf numFmtId="0" fontId="0" fillId="0" borderId="0" xfId="0" applyFill="1"/>
    <xf numFmtId="0" fontId="3" fillId="0" borderId="0" xfId="0" applyFont="1"/>
    <xf numFmtId="0" fontId="0" fillId="46" borderId="14" xfId="0" applyFill="1" applyBorder="1" applyAlignment="1">
      <alignment wrapText="1"/>
    </xf>
    <xf numFmtId="0" fontId="0" fillId="46" borderId="15" xfId="0" applyFill="1" applyBorder="1" applyAlignment="1">
      <alignment wrapText="1"/>
    </xf>
    <xf numFmtId="0" fontId="0" fillId="46" borderId="13" xfId="0" applyFill="1" applyBorder="1" applyAlignment="1">
      <alignment wrapText="1"/>
    </xf>
    <xf numFmtId="0" fontId="0" fillId="46" borderId="17" xfId="0" applyFill="1" applyBorder="1" applyAlignment="1">
      <alignment wrapText="1"/>
    </xf>
    <xf numFmtId="0" fontId="2" fillId="2" borderId="14" xfId="0" applyFont="1" applyFill="1" applyBorder="1" applyAlignment="1">
      <alignment wrapText="1"/>
    </xf>
    <xf numFmtId="0" fontId="2" fillId="48" borderId="0" xfId="0" applyFont="1" applyFill="1"/>
    <xf numFmtId="0" fontId="2" fillId="47" borderId="0" xfId="0" applyFont="1" applyFill="1"/>
    <xf numFmtId="0" fontId="0" fillId="2" borderId="27" xfId="0" applyFill="1" applyBorder="1"/>
    <xf numFmtId="0" fontId="0" fillId="46" borderId="28" xfId="0" applyFill="1" applyBorder="1" applyAlignment="1">
      <alignment wrapText="1"/>
    </xf>
    <xf numFmtId="0" fontId="0" fillId="46" borderId="29" xfId="0" applyFill="1" applyBorder="1" applyAlignment="1">
      <alignment wrapText="1"/>
    </xf>
    <xf numFmtId="0" fontId="0" fillId="2" borderId="29" xfId="0" applyFill="1" applyBorder="1" applyAlignment="1">
      <alignment wrapText="1"/>
    </xf>
    <xf numFmtId="0" fontId="0" fillId="2" borderId="28" xfId="0" applyFill="1" applyBorder="1" applyAlignment="1">
      <alignment wrapText="1"/>
    </xf>
    <xf numFmtId="0" fontId="0" fillId="12" borderId="28" xfId="0" applyFill="1" applyBorder="1" applyAlignment="1">
      <alignment wrapText="1"/>
    </xf>
    <xf numFmtId="6" fontId="0" fillId="2" borderId="28" xfId="0" applyNumberFormat="1" applyFill="1" applyBorder="1" applyAlignment="1">
      <alignment wrapText="1"/>
    </xf>
    <xf numFmtId="2" fontId="0" fillId="2" borderId="29" xfId="0" applyNumberFormat="1" applyFill="1" applyBorder="1" applyAlignment="1">
      <alignment wrapText="1"/>
    </xf>
    <xf numFmtId="0" fontId="0" fillId="2" borderId="30" xfId="0" applyFill="1" applyBorder="1"/>
    <xf numFmtId="0" fontId="0" fillId="46" borderId="31" xfId="0" applyFill="1" applyBorder="1" applyAlignment="1">
      <alignment wrapText="1"/>
    </xf>
    <xf numFmtId="0" fontId="0" fillId="2" borderId="32" xfId="0" applyFill="1" applyBorder="1" applyAlignment="1">
      <alignment wrapText="1"/>
    </xf>
    <xf numFmtId="173" fontId="0" fillId="2" borderId="31" xfId="1" applyNumberFormat="1" applyFont="1" applyFill="1" applyBorder="1" applyAlignment="1">
      <alignment wrapText="1"/>
    </xf>
    <xf numFmtId="0" fontId="0" fillId="0" borderId="33" xfId="0" applyBorder="1"/>
    <xf numFmtId="0" fontId="0" fillId="2" borderId="31" xfId="0" applyFill="1" applyBorder="1" applyAlignment="1">
      <alignment wrapText="1"/>
    </xf>
    <xf numFmtId="0" fontId="0" fillId="12" borderId="31" xfId="0" applyFill="1" applyBorder="1" applyAlignment="1">
      <alignment wrapText="1"/>
    </xf>
    <xf numFmtId="174" fontId="0" fillId="0" borderId="33" xfId="54" applyNumberFormat="1" applyFont="1" applyBorder="1"/>
    <xf numFmtId="0" fontId="0" fillId="2" borderId="34" xfId="0" applyFill="1" applyBorder="1"/>
    <xf numFmtId="2" fontId="0" fillId="0" borderId="33" xfId="0" applyNumberFormat="1" applyBorder="1"/>
    <xf numFmtId="175" fontId="0" fillId="2" borderId="31" xfId="0" applyNumberFormat="1" applyFill="1" applyBorder="1" applyAlignment="1">
      <alignment wrapText="1"/>
    </xf>
    <xf numFmtId="0" fontId="0" fillId="0" borderId="13" xfId="0" applyFill="1" applyBorder="1" applyAlignment="1">
      <alignment wrapText="1"/>
    </xf>
    <xf numFmtId="0" fontId="0" fillId="0" borderId="28" xfId="0" applyFill="1" applyBorder="1" applyAlignment="1">
      <alignment wrapText="1"/>
    </xf>
    <xf numFmtId="0" fontId="0" fillId="0" borderId="31" xfId="0" applyFill="1" applyBorder="1" applyAlignment="1">
      <alignment wrapText="1"/>
    </xf>
    <xf numFmtId="165" fontId="0" fillId="2" borderId="28" xfId="1" applyNumberFormat="1" applyFont="1" applyFill="1" applyBorder="1" applyAlignment="1">
      <alignment wrapText="1"/>
    </xf>
    <xf numFmtId="43" fontId="0" fillId="49" borderId="0" xfId="1" applyNumberFormat="1" applyFont="1" applyFill="1"/>
    <xf numFmtId="165" fontId="0" fillId="2" borderId="13" xfId="1" applyNumberFormat="1" applyFont="1" applyFill="1" applyBorder="1" applyAlignment="1">
      <alignment wrapText="1"/>
    </xf>
    <xf numFmtId="43" fontId="0" fillId="2" borderId="13" xfId="1" applyNumberFormat="1" applyFont="1" applyFill="1" applyBorder="1" applyAlignment="1">
      <alignment wrapText="1"/>
    </xf>
    <xf numFmtId="0" fontId="11" fillId="2" borderId="12" xfId="0" applyFont="1" applyFill="1" applyBorder="1" applyAlignment="1">
      <alignment vertical="center"/>
    </xf>
    <xf numFmtId="0" fontId="11" fillId="2" borderId="10" xfId="0" applyFont="1" applyFill="1" applyBorder="1" applyAlignment="1">
      <alignment vertical="center"/>
    </xf>
    <xf numFmtId="0" fontId="11" fillId="11" borderId="12" xfId="0" applyFont="1" applyFill="1" applyBorder="1" applyAlignment="1">
      <alignment vertical="center"/>
    </xf>
    <xf numFmtId="0" fontId="11" fillId="11" borderId="11" xfId="0" applyFont="1" applyFill="1" applyBorder="1" applyAlignment="1">
      <alignment vertical="center"/>
    </xf>
    <xf numFmtId="0" fontId="11" fillId="11" borderId="10" xfId="0" applyFont="1" applyFill="1" applyBorder="1" applyAlignment="1">
      <alignment vertical="center"/>
    </xf>
    <xf numFmtId="0" fontId="11" fillId="2" borderId="11" xfId="0" applyFont="1" applyFill="1" applyBorder="1" applyAlignment="1">
      <alignment vertical="center"/>
    </xf>
    <xf numFmtId="0" fontId="12" fillId="10" borderId="8" xfId="0" applyFont="1" applyFill="1" applyBorder="1" applyAlignment="1">
      <alignment horizontal="center" vertical="center"/>
    </xf>
    <xf numFmtId="0" fontId="12" fillId="10" borderId="5" xfId="0" applyFont="1" applyFill="1" applyBorder="1" applyAlignment="1">
      <alignment horizontal="center" vertical="center"/>
    </xf>
    <xf numFmtId="0" fontId="12" fillId="10" borderId="4" xfId="0" applyFont="1" applyFill="1" applyBorder="1" applyAlignment="1">
      <alignment horizontal="center" vertical="center"/>
    </xf>
    <xf numFmtId="0" fontId="12" fillId="10" borderId="2" xfId="0" applyFont="1" applyFill="1" applyBorder="1" applyAlignment="1">
      <alignment vertical="center" wrapText="1"/>
    </xf>
    <xf numFmtId="0" fontId="12" fillId="10" borderId="3" xfId="0" applyFont="1" applyFill="1" applyBorder="1" applyAlignment="1">
      <alignment vertical="center" wrapText="1"/>
    </xf>
  </cellXfs>
  <cellStyles count="55">
    <cellStyle name="20% - Accent1" xfId="26" builtinId="30" customBuiltin="1"/>
    <cellStyle name="20% - Accent2" xfId="30" builtinId="34" customBuiltin="1"/>
    <cellStyle name="20% - Accent3" xfId="34" builtinId="38" customBuiltin="1"/>
    <cellStyle name="20% - Accent4" xfId="38" builtinId="42" customBuiltin="1"/>
    <cellStyle name="20% - Accent5" xfId="42" builtinId="46" customBuiltin="1"/>
    <cellStyle name="20% - Accent6" xfId="46"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3" builtinId="47" customBuiltin="1"/>
    <cellStyle name="40% - Accent6" xfId="47"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4" builtinId="48" customBuiltin="1"/>
    <cellStyle name="60% - Accent6" xfId="48"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5" builtinId="49" customBuiltin="1"/>
    <cellStyle name="Berekening" xfId="18" builtinId="22" customBuiltin="1"/>
    <cellStyle name="Controlecel" xfId="20" builtinId="23" customBuiltin="1"/>
    <cellStyle name="Excel Built-in Normal" xfId="50" xr:uid="{00000000-0005-0000-0000-00001A000000}"/>
    <cellStyle name="Gekoppelde cel" xfId="19" builtinId="24" customBuiltin="1"/>
    <cellStyle name="Goed" xfId="13" builtinId="26" customBuiltin="1"/>
    <cellStyle name="Hyperlink" xfId="3" builtinId="8"/>
    <cellStyle name="Invoer" xfId="16" builtinId="20" customBuiltin="1"/>
    <cellStyle name="Komma" xfId="1" builtinId="3"/>
    <cellStyle name="Komma 2" xfId="5" xr:uid="{00000000-0005-0000-0000-000020000000}"/>
    <cellStyle name="Komma 2 2" xfId="49" xr:uid="{00000000-0005-0000-0000-000021000000}"/>
    <cellStyle name="Kop 1" xfId="9" builtinId="16" customBuiltin="1"/>
    <cellStyle name="Kop 2" xfId="10" builtinId="17" customBuiltin="1"/>
    <cellStyle name="Kop 3" xfId="11" builtinId="18" customBuiltin="1"/>
    <cellStyle name="Kop 4" xfId="12" builtinId="19" customBuiltin="1"/>
    <cellStyle name="Neutraal" xfId="15" builtinId="28" customBuiltin="1"/>
    <cellStyle name="Normal 2" xfId="51" xr:uid="{00000000-0005-0000-0000-000027000000}"/>
    <cellStyle name="Notitie" xfId="22" builtinId="10" customBuiltin="1"/>
    <cellStyle name="Ongeldig" xfId="14" builtinId="27" customBuiltin="1"/>
    <cellStyle name="Procent" xfId="2" builtinId="5"/>
    <cellStyle name="Procent 2" xfId="6" xr:uid="{00000000-0005-0000-0000-00002B000000}"/>
    <cellStyle name="Standaard" xfId="0" builtinId="0"/>
    <cellStyle name="Standaard 2" xfId="4" xr:uid="{00000000-0005-0000-0000-00002D000000}"/>
    <cellStyle name="Titel" xfId="8" builtinId="15" customBuiltin="1"/>
    <cellStyle name="Totaal" xfId="24" builtinId="25" customBuiltin="1"/>
    <cellStyle name="Uitvoer" xfId="17" builtinId="21" customBuiltin="1"/>
    <cellStyle name="Valuta" xfId="54" builtinId="4"/>
    <cellStyle name="Valuta 2" xfId="7" xr:uid="{00000000-0005-0000-0000-000032000000}"/>
    <cellStyle name="Valuta 2 2" xfId="53" xr:uid="{00000000-0005-0000-0000-000033000000}"/>
    <cellStyle name="Valuta 3" xfId="52" xr:uid="{00000000-0005-0000-0000-000034000000}"/>
    <cellStyle name="Verklarende tekst" xfId="23" builtinId="53" customBuiltin="1"/>
    <cellStyle name="Waarschuwingstekst" xfId="21" builtinId="11" customBuiltin="1"/>
  </cellStyles>
  <dxfs count="0"/>
  <tableStyles count="0" defaultTableStyle="TableStyleMedium2" defaultPivotStyle="PivotStyleLight16"/>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5.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4D573FDD-C7C4-4F8B-90DD-6F832C4CBE7F}" type="doc">
      <dgm:prSet loTypeId="urn:microsoft.com/office/officeart/2005/8/layout/process1" loCatId="process" qsTypeId="urn:microsoft.com/office/officeart/2005/8/quickstyle/simple1" qsCatId="simple" csTypeId="urn:microsoft.com/office/officeart/2005/8/colors/accent1_2" csCatId="accent1" phldr="1"/>
      <dgm:spPr/>
    </dgm:pt>
    <dgm:pt modelId="{1AF26C29-3E8D-4A10-A8B8-1A6641BDFBFB}">
      <dgm:prSet phldrT="[Tekst]"/>
      <dgm:spPr>
        <a:solidFill>
          <a:srgbClr val="00B050"/>
        </a:solidFill>
      </dgm:spPr>
      <dgm:t>
        <a:bodyPr/>
        <a:lstStyle/>
        <a:p>
          <a:r>
            <a:rPr lang="nl-NL"/>
            <a:t>Opwekking</a:t>
          </a:r>
        </a:p>
      </dgm:t>
    </dgm:pt>
    <dgm:pt modelId="{A81C31F6-8108-4904-8D55-CAFED35CD845}" type="parTrans" cxnId="{8EF7D354-69BE-4536-A733-1C17EBFDF067}">
      <dgm:prSet/>
      <dgm:spPr/>
      <dgm:t>
        <a:bodyPr/>
        <a:lstStyle/>
        <a:p>
          <a:endParaRPr lang="nl-NL"/>
        </a:p>
      </dgm:t>
    </dgm:pt>
    <dgm:pt modelId="{3204F693-38A5-44D7-9763-78F1466E5DB3}" type="sibTrans" cxnId="{8EF7D354-69BE-4536-A733-1C17EBFDF067}">
      <dgm:prSet/>
      <dgm:spPr/>
      <dgm:t>
        <a:bodyPr/>
        <a:lstStyle/>
        <a:p>
          <a:endParaRPr lang="nl-NL"/>
        </a:p>
      </dgm:t>
    </dgm:pt>
    <dgm:pt modelId="{6CD2344D-2C18-40C3-A55D-B778364AE865}">
      <dgm:prSet phldrT="[Tekst]"/>
      <dgm:spPr>
        <a:solidFill>
          <a:srgbClr val="00B050"/>
        </a:solidFill>
      </dgm:spPr>
      <dgm:t>
        <a:bodyPr/>
        <a:lstStyle/>
        <a:p>
          <a:r>
            <a:rPr lang="nl-NL"/>
            <a:t>Transport</a:t>
          </a:r>
        </a:p>
      </dgm:t>
    </dgm:pt>
    <dgm:pt modelId="{A5285146-3127-46B1-93E3-A9C162AA655A}" type="parTrans" cxnId="{BEB0039E-4074-4BA8-B65A-07D70CCC2CF8}">
      <dgm:prSet/>
      <dgm:spPr/>
      <dgm:t>
        <a:bodyPr/>
        <a:lstStyle/>
        <a:p>
          <a:endParaRPr lang="nl-NL"/>
        </a:p>
      </dgm:t>
    </dgm:pt>
    <dgm:pt modelId="{94B4EC8A-2069-46FD-8780-1EB4372DB52A}" type="sibTrans" cxnId="{BEB0039E-4074-4BA8-B65A-07D70CCC2CF8}">
      <dgm:prSet/>
      <dgm:spPr/>
      <dgm:t>
        <a:bodyPr/>
        <a:lstStyle/>
        <a:p>
          <a:endParaRPr lang="nl-NL"/>
        </a:p>
      </dgm:t>
    </dgm:pt>
    <dgm:pt modelId="{4F25495F-142E-4297-A712-F1491EC90A4C}">
      <dgm:prSet phldrT="[Tekst]"/>
      <dgm:spPr>
        <a:pattFill prst="wdUpDiag">
          <a:fgClr>
            <a:srgbClr val="00B050"/>
          </a:fgClr>
          <a:bgClr>
            <a:srgbClr val="FF0000"/>
          </a:bgClr>
        </a:pattFill>
      </dgm:spPr>
      <dgm:t>
        <a:bodyPr/>
        <a:lstStyle/>
        <a:p>
          <a:r>
            <a:rPr lang="nl-NL"/>
            <a:t>Gebouweigenaar</a:t>
          </a:r>
        </a:p>
      </dgm:t>
    </dgm:pt>
    <dgm:pt modelId="{A941BA8D-4EA6-443F-8A61-3FCA6962B884}" type="parTrans" cxnId="{A75F94B9-0459-468B-B72D-589921FF9610}">
      <dgm:prSet/>
      <dgm:spPr/>
      <dgm:t>
        <a:bodyPr/>
        <a:lstStyle/>
        <a:p>
          <a:endParaRPr lang="nl-NL"/>
        </a:p>
      </dgm:t>
    </dgm:pt>
    <dgm:pt modelId="{5197264B-4EBD-45FE-86EB-DF63DCD417F3}" type="sibTrans" cxnId="{A75F94B9-0459-468B-B72D-589921FF9610}">
      <dgm:prSet/>
      <dgm:spPr/>
      <dgm:t>
        <a:bodyPr/>
        <a:lstStyle/>
        <a:p>
          <a:endParaRPr lang="nl-NL"/>
        </a:p>
      </dgm:t>
    </dgm:pt>
    <dgm:pt modelId="{6A32C24E-D988-4789-815F-8CD10D51D709}">
      <dgm:prSet phldrT="[Tekst]"/>
      <dgm:spPr>
        <a:solidFill>
          <a:srgbClr val="00B050"/>
        </a:solidFill>
      </dgm:spPr>
      <dgm:t>
        <a:bodyPr/>
        <a:lstStyle/>
        <a:p>
          <a:r>
            <a:rPr lang="nl-NL"/>
            <a:t>Distributie</a:t>
          </a:r>
        </a:p>
      </dgm:t>
    </dgm:pt>
    <dgm:pt modelId="{00AE9D3E-6786-4110-A438-ED35357B6098}" type="parTrans" cxnId="{D8B69F78-6C11-46F7-8FE1-C46980B82229}">
      <dgm:prSet/>
      <dgm:spPr/>
      <dgm:t>
        <a:bodyPr/>
        <a:lstStyle/>
        <a:p>
          <a:endParaRPr lang="nl-NL"/>
        </a:p>
      </dgm:t>
    </dgm:pt>
    <dgm:pt modelId="{825D9029-4BAC-4401-8012-EAB81E162B22}" type="sibTrans" cxnId="{D8B69F78-6C11-46F7-8FE1-C46980B82229}">
      <dgm:prSet/>
      <dgm:spPr/>
      <dgm:t>
        <a:bodyPr/>
        <a:lstStyle/>
        <a:p>
          <a:endParaRPr lang="nl-NL"/>
        </a:p>
      </dgm:t>
    </dgm:pt>
    <dgm:pt modelId="{3C2867D4-ED4B-4E74-963F-34872DCBE262}">
      <dgm:prSet phldrT="[Tekst]"/>
      <dgm:spPr>
        <a:pattFill prst="wdUpDiag">
          <a:fgClr>
            <a:srgbClr val="00B050"/>
          </a:fgClr>
          <a:bgClr>
            <a:srgbClr val="FF0000"/>
          </a:bgClr>
        </a:pattFill>
      </dgm:spPr>
      <dgm:t>
        <a:bodyPr/>
        <a:lstStyle/>
        <a:p>
          <a:r>
            <a:rPr lang="nl-NL"/>
            <a:t>Levering</a:t>
          </a:r>
        </a:p>
      </dgm:t>
    </dgm:pt>
    <dgm:pt modelId="{7A2893BE-B26C-417D-98A0-29EDD8353425}" type="parTrans" cxnId="{25D7B5B0-3A29-45D2-B57D-F4921FD19A05}">
      <dgm:prSet/>
      <dgm:spPr/>
      <dgm:t>
        <a:bodyPr/>
        <a:lstStyle/>
        <a:p>
          <a:endParaRPr lang="nl-NL"/>
        </a:p>
      </dgm:t>
    </dgm:pt>
    <dgm:pt modelId="{3DD9D381-6DF0-4EA9-B1CC-02B81D498064}" type="sibTrans" cxnId="{25D7B5B0-3A29-45D2-B57D-F4921FD19A05}">
      <dgm:prSet/>
      <dgm:spPr/>
      <dgm:t>
        <a:bodyPr/>
        <a:lstStyle/>
        <a:p>
          <a:endParaRPr lang="nl-NL"/>
        </a:p>
      </dgm:t>
    </dgm:pt>
    <dgm:pt modelId="{13FC700A-6023-48B3-B973-539428C7DBBC}">
      <dgm:prSet phldrT="[Tekst]"/>
      <dgm:spPr>
        <a:solidFill>
          <a:srgbClr val="FF0000"/>
        </a:solidFill>
      </dgm:spPr>
      <dgm:t>
        <a:bodyPr/>
        <a:lstStyle/>
        <a:p>
          <a:r>
            <a:rPr lang="nl-NL"/>
            <a:t>Gebouwgebruiker</a:t>
          </a:r>
        </a:p>
      </dgm:t>
    </dgm:pt>
    <dgm:pt modelId="{381F3BDF-8590-47CD-BE26-CC280D69B6EE}" type="parTrans" cxnId="{D9742B80-27CF-4078-AA62-E254BED8AD05}">
      <dgm:prSet/>
      <dgm:spPr/>
      <dgm:t>
        <a:bodyPr/>
        <a:lstStyle/>
        <a:p>
          <a:endParaRPr lang="nl-NL"/>
        </a:p>
      </dgm:t>
    </dgm:pt>
    <dgm:pt modelId="{20CE7F16-A23C-41B4-B43E-7A5504D0602C}" type="sibTrans" cxnId="{D9742B80-27CF-4078-AA62-E254BED8AD05}">
      <dgm:prSet/>
      <dgm:spPr/>
      <dgm:t>
        <a:bodyPr/>
        <a:lstStyle/>
        <a:p>
          <a:endParaRPr lang="nl-NL"/>
        </a:p>
      </dgm:t>
    </dgm:pt>
    <dgm:pt modelId="{7F00ABD8-C80C-4B0C-9426-2BB9B6196D53}" type="pres">
      <dgm:prSet presAssocID="{4D573FDD-C7C4-4F8B-90DD-6F832C4CBE7F}" presName="Name0" presStyleCnt="0">
        <dgm:presLayoutVars>
          <dgm:dir/>
          <dgm:resizeHandles val="exact"/>
        </dgm:presLayoutVars>
      </dgm:prSet>
      <dgm:spPr/>
    </dgm:pt>
    <dgm:pt modelId="{B9B5C909-3AEC-4297-9632-4D26CEB2B852}" type="pres">
      <dgm:prSet presAssocID="{1AF26C29-3E8D-4A10-A8B8-1A6641BDFBFB}" presName="node" presStyleLbl="node1" presStyleIdx="0" presStyleCnt="6">
        <dgm:presLayoutVars>
          <dgm:bulletEnabled val="1"/>
        </dgm:presLayoutVars>
      </dgm:prSet>
      <dgm:spPr/>
    </dgm:pt>
    <dgm:pt modelId="{3FB7EE3B-B8B5-4C1C-BD9F-6C698DE39974}" type="pres">
      <dgm:prSet presAssocID="{3204F693-38A5-44D7-9763-78F1466E5DB3}" presName="sibTrans" presStyleLbl="sibTrans2D1" presStyleIdx="0" presStyleCnt="5"/>
      <dgm:spPr/>
    </dgm:pt>
    <dgm:pt modelId="{8DE93EE7-5155-4691-8A8D-DF0E7132C5CB}" type="pres">
      <dgm:prSet presAssocID="{3204F693-38A5-44D7-9763-78F1466E5DB3}" presName="connectorText" presStyleLbl="sibTrans2D1" presStyleIdx="0" presStyleCnt="5"/>
      <dgm:spPr/>
    </dgm:pt>
    <dgm:pt modelId="{AEC31C28-2D6F-481D-A02B-B65E1EAC0F2A}" type="pres">
      <dgm:prSet presAssocID="{6CD2344D-2C18-40C3-A55D-B778364AE865}" presName="node" presStyleLbl="node1" presStyleIdx="1" presStyleCnt="6">
        <dgm:presLayoutVars>
          <dgm:bulletEnabled val="1"/>
        </dgm:presLayoutVars>
      </dgm:prSet>
      <dgm:spPr/>
    </dgm:pt>
    <dgm:pt modelId="{56600F6D-2702-4087-964C-A860E5CE35FA}" type="pres">
      <dgm:prSet presAssocID="{94B4EC8A-2069-46FD-8780-1EB4372DB52A}" presName="sibTrans" presStyleLbl="sibTrans2D1" presStyleIdx="1" presStyleCnt="5"/>
      <dgm:spPr/>
    </dgm:pt>
    <dgm:pt modelId="{ED0B2CC7-0617-4AC0-B672-846B9FA36280}" type="pres">
      <dgm:prSet presAssocID="{94B4EC8A-2069-46FD-8780-1EB4372DB52A}" presName="connectorText" presStyleLbl="sibTrans2D1" presStyleIdx="1" presStyleCnt="5"/>
      <dgm:spPr/>
    </dgm:pt>
    <dgm:pt modelId="{33F38066-99C6-43F7-A0EF-6BDAE7C13007}" type="pres">
      <dgm:prSet presAssocID="{6A32C24E-D988-4789-815F-8CD10D51D709}" presName="node" presStyleLbl="node1" presStyleIdx="2" presStyleCnt="6">
        <dgm:presLayoutVars>
          <dgm:bulletEnabled val="1"/>
        </dgm:presLayoutVars>
      </dgm:prSet>
      <dgm:spPr/>
    </dgm:pt>
    <dgm:pt modelId="{B51D30BC-F321-4D76-BC2E-B534CCD8C561}" type="pres">
      <dgm:prSet presAssocID="{825D9029-4BAC-4401-8012-EAB81E162B22}" presName="sibTrans" presStyleLbl="sibTrans2D1" presStyleIdx="2" presStyleCnt="5"/>
      <dgm:spPr/>
    </dgm:pt>
    <dgm:pt modelId="{E12601C3-0CDF-439E-963C-F918B4B5CAC3}" type="pres">
      <dgm:prSet presAssocID="{825D9029-4BAC-4401-8012-EAB81E162B22}" presName="connectorText" presStyleLbl="sibTrans2D1" presStyleIdx="2" presStyleCnt="5"/>
      <dgm:spPr/>
    </dgm:pt>
    <dgm:pt modelId="{36299411-3198-46A1-A032-54CF4F95D1EA}" type="pres">
      <dgm:prSet presAssocID="{3C2867D4-ED4B-4E74-963F-34872DCBE262}" presName="node" presStyleLbl="node1" presStyleIdx="3" presStyleCnt="6">
        <dgm:presLayoutVars>
          <dgm:bulletEnabled val="1"/>
        </dgm:presLayoutVars>
      </dgm:prSet>
      <dgm:spPr/>
    </dgm:pt>
    <dgm:pt modelId="{24C153D4-3E28-44E0-A5D2-15685E2057AC}" type="pres">
      <dgm:prSet presAssocID="{3DD9D381-6DF0-4EA9-B1CC-02B81D498064}" presName="sibTrans" presStyleLbl="sibTrans2D1" presStyleIdx="3" presStyleCnt="5"/>
      <dgm:spPr/>
    </dgm:pt>
    <dgm:pt modelId="{2C33D4B4-DE1C-4CCD-8FCA-E4104D75A043}" type="pres">
      <dgm:prSet presAssocID="{3DD9D381-6DF0-4EA9-B1CC-02B81D498064}" presName="connectorText" presStyleLbl="sibTrans2D1" presStyleIdx="3" presStyleCnt="5"/>
      <dgm:spPr/>
    </dgm:pt>
    <dgm:pt modelId="{A81E6D3A-EBE5-41CF-9BEA-B0DB0ABE8482}" type="pres">
      <dgm:prSet presAssocID="{4F25495F-142E-4297-A712-F1491EC90A4C}" presName="node" presStyleLbl="node1" presStyleIdx="4" presStyleCnt="6">
        <dgm:presLayoutVars>
          <dgm:bulletEnabled val="1"/>
        </dgm:presLayoutVars>
      </dgm:prSet>
      <dgm:spPr/>
    </dgm:pt>
    <dgm:pt modelId="{AEBEEBE4-2AA3-47D4-86B2-0D51AC71C51B}" type="pres">
      <dgm:prSet presAssocID="{5197264B-4EBD-45FE-86EB-DF63DCD417F3}" presName="sibTrans" presStyleLbl="sibTrans2D1" presStyleIdx="4" presStyleCnt="5"/>
      <dgm:spPr/>
    </dgm:pt>
    <dgm:pt modelId="{4AC4F155-D6A2-4CD6-97E1-5B9940BF9FFB}" type="pres">
      <dgm:prSet presAssocID="{5197264B-4EBD-45FE-86EB-DF63DCD417F3}" presName="connectorText" presStyleLbl="sibTrans2D1" presStyleIdx="4" presStyleCnt="5"/>
      <dgm:spPr/>
    </dgm:pt>
    <dgm:pt modelId="{448AED2D-D8B3-46E6-B0B8-8DF6212A71C3}" type="pres">
      <dgm:prSet presAssocID="{13FC700A-6023-48B3-B973-539428C7DBBC}" presName="node" presStyleLbl="node1" presStyleIdx="5" presStyleCnt="6">
        <dgm:presLayoutVars>
          <dgm:bulletEnabled val="1"/>
        </dgm:presLayoutVars>
      </dgm:prSet>
      <dgm:spPr/>
    </dgm:pt>
  </dgm:ptLst>
  <dgm:cxnLst>
    <dgm:cxn modelId="{AEC86801-7036-40B7-8510-38D2C6E801D7}" type="presOf" srcId="{13FC700A-6023-48B3-B973-539428C7DBBC}" destId="{448AED2D-D8B3-46E6-B0B8-8DF6212A71C3}" srcOrd="0" destOrd="0" presId="urn:microsoft.com/office/officeart/2005/8/layout/process1"/>
    <dgm:cxn modelId="{6512C51E-D3B2-45EE-9835-93582B47A07F}" type="presOf" srcId="{825D9029-4BAC-4401-8012-EAB81E162B22}" destId="{B51D30BC-F321-4D76-BC2E-B534CCD8C561}" srcOrd="0" destOrd="0" presId="urn:microsoft.com/office/officeart/2005/8/layout/process1"/>
    <dgm:cxn modelId="{97E02136-164E-4636-8476-06A4B300DB28}" type="presOf" srcId="{3204F693-38A5-44D7-9763-78F1466E5DB3}" destId="{8DE93EE7-5155-4691-8A8D-DF0E7132C5CB}" srcOrd="1" destOrd="0" presId="urn:microsoft.com/office/officeart/2005/8/layout/process1"/>
    <dgm:cxn modelId="{A913C561-A4CE-430C-B833-846677507454}" type="presOf" srcId="{6A32C24E-D988-4789-815F-8CD10D51D709}" destId="{33F38066-99C6-43F7-A0EF-6BDAE7C13007}" srcOrd="0" destOrd="0" presId="urn:microsoft.com/office/officeart/2005/8/layout/process1"/>
    <dgm:cxn modelId="{BE17EB43-04FB-48A5-8992-F81FC1E8C5FA}" type="presOf" srcId="{3C2867D4-ED4B-4E74-963F-34872DCBE262}" destId="{36299411-3198-46A1-A032-54CF4F95D1EA}" srcOrd="0" destOrd="0" presId="urn:microsoft.com/office/officeart/2005/8/layout/process1"/>
    <dgm:cxn modelId="{91EFA849-B243-4E1A-923A-0741394202BE}" type="presOf" srcId="{4D573FDD-C7C4-4F8B-90DD-6F832C4CBE7F}" destId="{7F00ABD8-C80C-4B0C-9426-2BB9B6196D53}" srcOrd="0" destOrd="0" presId="urn:microsoft.com/office/officeart/2005/8/layout/process1"/>
    <dgm:cxn modelId="{C5599F54-BB1F-4B02-ABFC-3ACA1C8241C6}" type="presOf" srcId="{3DD9D381-6DF0-4EA9-B1CC-02B81D498064}" destId="{24C153D4-3E28-44E0-A5D2-15685E2057AC}" srcOrd="0" destOrd="0" presId="urn:microsoft.com/office/officeart/2005/8/layout/process1"/>
    <dgm:cxn modelId="{8EF7D354-69BE-4536-A733-1C17EBFDF067}" srcId="{4D573FDD-C7C4-4F8B-90DD-6F832C4CBE7F}" destId="{1AF26C29-3E8D-4A10-A8B8-1A6641BDFBFB}" srcOrd="0" destOrd="0" parTransId="{A81C31F6-8108-4904-8D55-CAFED35CD845}" sibTransId="{3204F693-38A5-44D7-9763-78F1466E5DB3}"/>
    <dgm:cxn modelId="{2A708358-DB39-4508-9C74-DA58DF012A30}" type="presOf" srcId="{5197264B-4EBD-45FE-86EB-DF63DCD417F3}" destId="{4AC4F155-D6A2-4CD6-97E1-5B9940BF9FFB}" srcOrd="1" destOrd="0" presId="urn:microsoft.com/office/officeart/2005/8/layout/process1"/>
    <dgm:cxn modelId="{D8B69F78-6C11-46F7-8FE1-C46980B82229}" srcId="{4D573FDD-C7C4-4F8B-90DD-6F832C4CBE7F}" destId="{6A32C24E-D988-4789-815F-8CD10D51D709}" srcOrd="2" destOrd="0" parTransId="{00AE9D3E-6786-4110-A438-ED35357B6098}" sibTransId="{825D9029-4BAC-4401-8012-EAB81E162B22}"/>
    <dgm:cxn modelId="{D9742B80-27CF-4078-AA62-E254BED8AD05}" srcId="{4D573FDD-C7C4-4F8B-90DD-6F832C4CBE7F}" destId="{13FC700A-6023-48B3-B973-539428C7DBBC}" srcOrd="5" destOrd="0" parTransId="{381F3BDF-8590-47CD-BE26-CC280D69B6EE}" sibTransId="{20CE7F16-A23C-41B4-B43E-7A5504D0602C}"/>
    <dgm:cxn modelId="{952DB381-7B89-4C04-A787-74A668E25CF3}" type="presOf" srcId="{6CD2344D-2C18-40C3-A55D-B778364AE865}" destId="{AEC31C28-2D6F-481D-A02B-B65E1EAC0F2A}" srcOrd="0" destOrd="0" presId="urn:microsoft.com/office/officeart/2005/8/layout/process1"/>
    <dgm:cxn modelId="{09FD0D83-74D0-4FB8-B97C-DBC1E2AE18EF}" type="presOf" srcId="{1AF26C29-3E8D-4A10-A8B8-1A6641BDFBFB}" destId="{B9B5C909-3AEC-4297-9632-4D26CEB2B852}" srcOrd="0" destOrd="0" presId="urn:microsoft.com/office/officeart/2005/8/layout/process1"/>
    <dgm:cxn modelId="{38BB4686-B272-4507-9CDA-55136C418A96}" type="presOf" srcId="{94B4EC8A-2069-46FD-8780-1EB4372DB52A}" destId="{56600F6D-2702-4087-964C-A860E5CE35FA}" srcOrd="0" destOrd="0" presId="urn:microsoft.com/office/officeart/2005/8/layout/process1"/>
    <dgm:cxn modelId="{EE2A4887-D585-438F-9F68-5B22BAC3F096}" type="presOf" srcId="{94B4EC8A-2069-46FD-8780-1EB4372DB52A}" destId="{ED0B2CC7-0617-4AC0-B672-846B9FA36280}" srcOrd="1" destOrd="0" presId="urn:microsoft.com/office/officeart/2005/8/layout/process1"/>
    <dgm:cxn modelId="{3642968A-E52C-4771-A040-132399ADD6A7}" type="presOf" srcId="{3DD9D381-6DF0-4EA9-B1CC-02B81D498064}" destId="{2C33D4B4-DE1C-4CCD-8FCA-E4104D75A043}" srcOrd="1" destOrd="0" presId="urn:microsoft.com/office/officeart/2005/8/layout/process1"/>
    <dgm:cxn modelId="{BEB0039E-4074-4BA8-B65A-07D70CCC2CF8}" srcId="{4D573FDD-C7C4-4F8B-90DD-6F832C4CBE7F}" destId="{6CD2344D-2C18-40C3-A55D-B778364AE865}" srcOrd="1" destOrd="0" parTransId="{A5285146-3127-46B1-93E3-A9C162AA655A}" sibTransId="{94B4EC8A-2069-46FD-8780-1EB4372DB52A}"/>
    <dgm:cxn modelId="{B5953DA4-EBE2-4CC4-B1C0-2C6B411A0C89}" type="presOf" srcId="{3204F693-38A5-44D7-9763-78F1466E5DB3}" destId="{3FB7EE3B-B8B5-4C1C-BD9F-6C698DE39974}" srcOrd="0" destOrd="0" presId="urn:microsoft.com/office/officeart/2005/8/layout/process1"/>
    <dgm:cxn modelId="{25D7B5B0-3A29-45D2-B57D-F4921FD19A05}" srcId="{4D573FDD-C7C4-4F8B-90DD-6F832C4CBE7F}" destId="{3C2867D4-ED4B-4E74-963F-34872DCBE262}" srcOrd="3" destOrd="0" parTransId="{7A2893BE-B26C-417D-98A0-29EDD8353425}" sibTransId="{3DD9D381-6DF0-4EA9-B1CC-02B81D498064}"/>
    <dgm:cxn modelId="{A75F94B9-0459-468B-B72D-589921FF9610}" srcId="{4D573FDD-C7C4-4F8B-90DD-6F832C4CBE7F}" destId="{4F25495F-142E-4297-A712-F1491EC90A4C}" srcOrd="4" destOrd="0" parTransId="{A941BA8D-4EA6-443F-8A61-3FCA6962B884}" sibTransId="{5197264B-4EBD-45FE-86EB-DF63DCD417F3}"/>
    <dgm:cxn modelId="{A94929C3-6D01-43EE-B46E-DDC4F6A4C61B}" type="presOf" srcId="{5197264B-4EBD-45FE-86EB-DF63DCD417F3}" destId="{AEBEEBE4-2AA3-47D4-86B2-0D51AC71C51B}" srcOrd="0" destOrd="0" presId="urn:microsoft.com/office/officeart/2005/8/layout/process1"/>
    <dgm:cxn modelId="{318332C4-0D15-412F-90BC-8ECF0EE89C90}" type="presOf" srcId="{4F25495F-142E-4297-A712-F1491EC90A4C}" destId="{A81E6D3A-EBE5-41CF-9BEA-B0DB0ABE8482}" srcOrd="0" destOrd="0" presId="urn:microsoft.com/office/officeart/2005/8/layout/process1"/>
    <dgm:cxn modelId="{D93868CA-074F-42A4-ADDD-F04D726E9041}" type="presOf" srcId="{825D9029-4BAC-4401-8012-EAB81E162B22}" destId="{E12601C3-0CDF-439E-963C-F918B4B5CAC3}" srcOrd="1" destOrd="0" presId="urn:microsoft.com/office/officeart/2005/8/layout/process1"/>
    <dgm:cxn modelId="{B108FB41-43CA-4164-971A-F6FD17FC8726}" type="presParOf" srcId="{7F00ABD8-C80C-4B0C-9426-2BB9B6196D53}" destId="{B9B5C909-3AEC-4297-9632-4D26CEB2B852}" srcOrd="0" destOrd="0" presId="urn:microsoft.com/office/officeart/2005/8/layout/process1"/>
    <dgm:cxn modelId="{EA1BC540-C82D-4DBE-9F8D-988B36C34DA7}" type="presParOf" srcId="{7F00ABD8-C80C-4B0C-9426-2BB9B6196D53}" destId="{3FB7EE3B-B8B5-4C1C-BD9F-6C698DE39974}" srcOrd="1" destOrd="0" presId="urn:microsoft.com/office/officeart/2005/8/layout/process1"/>
    <dgm:cxn modelId="{15E9DC42-AB4C-4881-B673-E03BCB03D899}" type="presParOf" srcId="{3FB7EE3B-B8B5-4C1C-BD9F-6C698DE39974}" destId="{8DE93EE7-5155-4691-8A8D-DF0E7132C5CB}" srcOrd="0" destOrd="0" presId="urn:microsoft.com/office/officeart/2005/8/layout/process1"/>
    <dgm:cxn modelId="{62C97C16-8D42-4B87-A1A6-77D9429860AC}" type="presParOf" srcId="{7F00ABD8-C80C-4B0C-9426-2BB9B6196D53}" destId="{AEC31C28-2D6F-481D-A02B-B65E1EAC0F2A}" srcOrd="2" destOrd="0" presId="urn:microsoft.com/office/officeart/2005/8/layout/process1"/>
    <dgm:cxn modelId="{D7B9B795-7CB4-41D0-A529-4F9676A6E946}" type="presParOf" srcId="{7F00ABD8-C80C-4B0C-9426-2BB9B6196D53}" destId="{56600F6D-2702-4087-964C-A860E5CE35FA}" srcOrd="3" destOrd="0" presId="urn:microsoft.com/office/officeart/2005/8/layout/process1"/>
    <dgm:cxn modelId="{3DC2D9CB-8D60-4C2C-BB37-F175CC7A134E}" type="presParOf" srcId="{56600F6D-2702-4087-964C-A860E5CE35FA}" destId="{ED0B2CC7-0617-4AC0-B672-846B9FA36280}" srcOrd="0" destOrd="0" presId="urn:microsoft.com/office/officeart/2005/8/layout/process1"/>
    <dgm:cxn modelId="{7086BDAC-49D7-465D-B751-D0051EF43FAE}" type="presParOf" srcId="{7F00ABD8-C80C-4B0C-9426-2BB9B6196D53}" destId="{33F38066-99C6-43F7-A0EF-6BDAE7C13007}" srcOrd="4" destOrd="0" presId="urn:microsoft.com/office/officeart/2005/8/layout/process1"/>
    <dgm:cxn modelId="{2BA0A032-8F6F-4BE4-8E7C-3F40361E900E}" type="presParOf" srcId="{7F00ABD8-C80C-4B0C-9426-2BB9B6196D53}" destId="{B51D30BC-F321-4D76-BC2E-B534CCD8C561}" srcOrd="5" destOrd="0" presId="urn:microsoft.com/office/officeart/2005/8/layout/process1"/>
    <dgm:cxn modelId="{5C512A9C-09D0-4705-8E19-0BE7BBC57DDD}" type="presParOf" srcId="{B51D30BC-F321-4D76-BC2E-B534CCD8C561}" destId="{E12601C3-0CDF-439E-963C-F918B4B5CAC3}" srcOrd="0" destOrd="0" presId="urn:microsoft.com/office/officeart/2005/8/layout/process1"/>
    <dgm:cxn modelId="{245FC57E-B08E-44A8-8459-C9A359EF3BE0}" type="presParOf" srcId="{7F00ABD8-C80C-4B0C-9426-2BB9B6196D53}" destId="{36299411-3198-46A1-A032-54CF4F95D1EA}" srcOrd="6" destOrd="0" presId="urn:microsoft.com/office/officeart/2005/8/layout/process1"/>
    <dgm:cxn modelId="{5A164537-B13F-4345-8DCE-D3BE89CB14CC}" type="presParOf" srcId="{7F00ABD8-C80C-4B0C-9426-2BB9B6196D53}" destId="{24C153D4-3E28-44E0-A5D2-15685E2057AC}" srcOrd="7" destOrd="0" presId="urn:microsoft.com/office/officeart/2005/8/layout/process1"/>
    <dgm:cxn modelId="{FA0F8398-A2CC-4D7D-A004-858B00DA5CA8}" type="presParOf" srcId="{24C153D4-3E28-44E0-A5D2-15685E2057AC}" destId="{2C33D4B4-DE1C-4CCD-8FCA-E4104D75A043}" srcOrd="0" destOrd="0" presId="urn:microsoft.com/office/officeart/2005/8/layout/process1"/>
    <dgm:cxn modelId="{DB9634ED-9BC1-4D24-933D-9FD5BE566F78}" type="presParOf" srcId="{7F00ABD8-C80C-4B0C-9426-2BB9B6196D53}" destId="{A81E6D3A-EBE5-41CF-9BEA-B0DB0ABE8482}" srcOrd="8" destOrd="0" presId="urn:microsoft.com/office/officeart/2005/8/layout/process1"/>
    <dgm:cxn modelId="{48DA15C1-5838-4170-8351-07B951A7699C}" type="presParOf" srcId="{7F00ABD8-C80C-4B0C-9426-2BB9B6196D53}" destId="{AEBEEBE4-2AA3-47D4-86B2-0D51AC71C51B}" srcOrd="9" destOrd="0" presId="urn:microsoft.com/office/officeart/2005/8/layout/process1"/>
    <dgm:cxn modelId="{CE7BE6C1-859C-48F8-9D69-9195CE4DB979}" type="presParOf" srcId="{AEBEEBE4-2AA3-47D4-86B2-0D51AC71C51B}" destId="{4AC4F155-D6A2-4CD6-97E1-5B9940BF9FFB}" srcOrd="0" destOrd="0" presId="urn:microsoft.com/office/officeart/2005/8/layout/process1"/>
    <dgm:cxn modelId="{D7F7BC44-310E-485F-A259-F57FFD1E12A3}" type="presParOf" srcId="{7F00ABD8-C80C-4B0C-9426-2BB9B6196D53}" destId="{448AED2D-D8B3-46E6-B0B8-8DF6212A71C3}" srcOrd="10"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4D573FDD-C7C4-4F8B-90DD-6F832C4CBE7F}" type="doc">
      <dgm:prSet loTypeId="urn:microsoft.com/office/officeart/2005/8/layout/process1" loCatId="process" qsTypeId="urn:microsoft.com/office/officeart/2005/8/quickstyle/simple1" qsCatId="simple" csTypeId="urn:microsoft.com/office/officeart/2005/8/colors/accent1_2" csCatId="accent1" phldr="1"/>
      <dgm:spPr/>
    </dgm:pt>
    <dgm:pt modelId="{1AF26C29-3E8D-4A10-A8B8-1A6641BDFBFB}">
      <dgm:prSet phldrT="[Tekst]"/>
      <dgm:spPr>
        <a:solidFill>
          <a:srgbClr val="00B050"/>
        </a:solidFill>
      </dgm:spPr>
      <dgm:t>
        <a:bodyPr/>
        <a:lstStyle/>
        <a:p>
          <a:r>
            <a:rPr lang="nl-NL"/>
            <a:t>Opwekking</a:t>
          </a:r>
        </a:p>
      </dgm:t>
    </dgm:pt>
    <dgm:pt modelId="{A81C31F6-8108-4904-8D55-CAFED35CD845}" type="parTrans" cxnId="{8EF7D354-69BE-4536-A733-1C17EBFDF067}">
      <dgm:prSet/>
      <dgm:spPr/>
      <dgm:t>
        <a:bodyPr/>
        <a:lstStyle/>
        <a:p>
          <a:endParaRPr lang="nl-NL"/>
        </a:p>
      </dgm:t>
    </dgm:pt>
    <dgm:pt modelId="{3204F693-38A5-44D7-9763-78F1466E5DB3}" type="sibTrans" cxnId="{8EF7D354-69BE-4536-A733-1C17EBFDF067}">
      <dgm:prSet/>
      <dgm:spPr/>
      <dgm:t>
        <a:bodyPr/>
        <a:lstStyle/>
        <a:p>
          <a:endParaRPr lang="nl-NL"/>
        </a:p>
      </dgm:t>
    </dgm:pt>
    <dgm:pt modelId="{6CD2344D-2C18-40C3-A55D-B778364AE865}">
      <dgm:prSet phldrT="[Tekst]"/>
      <dgm:spPr>
        <a:solidFill>
          <a:srgbClr val="00B050"/>
        </a:solidFill>
      </dgm:spPr>
      <dgm:t>
        <a:bodyPr/>
        <a:lstStyle/>
        <a:p>
          <a:r>
            <a:rPr lang="nl-NL"/>
            <a:t>Transport</a:t>
          </a:r>
        </a:p>
      </dgm:t>
    </dgm:pt>
    <dgm:pt modelId="{A5285146-3127-46B1-93E3-A9C162AA655A}" type="parTrans" cxnId="{BEB0039E-4074-4BA8-B65A-07D70CCC2CF8}">
      <dgm:prSet/>
      <dgm:spPr/>
      <dgm:t>
        <a:bodyPr/>
        <a:lstStyle/>
        <a:p>
          <a:endParaRPr lang="nl-NL"/>
        </a:p>
      </dgm:t>
    </dgm:pt>
    <dgm:pt modelId="{94B4EC8A-2069-46FD-8780-1EB4372DB52A}" type="sibTrans" cxnId="{BEB0039E-4074-4BA8-B65A-07D70CCC2CF8}">
      <dgm:prSet/>
      <dgm:spPr/>
      <dgm:t>
        <a:bodyPr/>
        <a:lstStyle/>
        <a:p>
          <a:endParaRPr lang="nl-NL"/>
        </a:p>
      </dgm:t>
    </dgm:pt>
    <dgm:pt modelId="{4F25495F-142E-4297-A712-F1491EC90A4C}">
      <dgm:prSet phldrT="[Tekst]"/>
      <dgm:spPr>
        <a:pattFill prst="wdUpDiag">
          <a:fgClr>
            <a:srgbClr val="00B050"/>
          </a:fgClr>
          <a:bgClr>
            <a:srgbClr val="FF0000"/>
          </a:bgClr>
        </a:pattFill>
      </dgm:spPr>
      <dgm:t>
        <a:bodyPr/>
        <a:lstStyle/>
        <a:p>
          <a:r>
            <a:rPr lang="nl-NL"/>
            <a:t>Gebouweigenaar</a:t>
          </a:r>
        </a:p>
      </dgm:t>
    </dgm:pt>
    <dgm:pt modelId="{A941BA8D-4EA6-443F-8A61-3FCA6962B884}" type="parTrans" cxnId="{A75F94B9-0459-468B-B72D-589921FF9610}">
      <dgm:prSet/>
      <dgm:spPr/>
      <dgm:t>
        <a:bodyPr/>
        <a:lstStyle/>
        <a:p>
          <a:endParaRPr lang="nl-NL"/>
        </a:p>
      </dgm:t>
    </dgm:pt>
    <dgm:pt modelId="{5197264B-4EBD-45FE-86EB-DF63DCD417F3}" type="sibTrans" cxnId="{A75F94B9-0459-468B-B72D-589921FF9610}">
      <dgm:prSet/>
      <dgm:spPr/>
      <dgm:t>
        <a:bodyPr/>
        <a:lstStyle/>
        <a:p>
          <a:endParaRPr lang="nl-NL"/>
        </a:p>
      </dgm:t>
    </dgm:pt>
    <dgm:pt modelId="{6A32C24E-D988-4789-815F-8CD10D51D709}">
      <dgm:prSet phldrT="[Tekst]"/>
      <dgm:spPr>
        <a:solidFill>
          <a:srgbClr val="00B050"/>
        </a:solidFill>
      </dgm:spPr>
      <dgm:t>
        <a:bodyPr/>
        <a:lstStyle/>
        <a:p>
          <a:r>
            <a:rPr lang="nl-NL"/>
            <a:t>Distributie</a:t>
          </a:r>
        </a:p>
      </dgm:t>
    </dgm:pt>
    <dgm:pt modelId="{00AE9D3E-6786-4110-A438-ED35357B6098}" type="parTrans" cxnId="{D8B69F78-6C11-46F7-8FE1-C46980B82229}">
      <dgm:prSet/>
      <dgm:spPr/>
      <dgm:t>
        <a:bodyPr/>
        <a:lstStyle/>
        <a:p>
          <a:endParaRPr lang="nl-NL"/>
        </a:p>
      </dgm:t>
    </dgm:pt>
    <dgm:pt modelId="{825D9029-4BAC-4401-8012-EAB81E162B22}" type="sibTrans" cxnId="{D8B69F78-6C11-46F7-8FE1-C46980B82229}">
      <dgm:prSet/>
      <dgm:spPr/>
      <dgm:t>
        <a:bodyPr/>
        <a:lstStyle/>
        <a:p>
          <a:endParaRPr lang="nl-NL"/>
        </a:p>
      </dgm:t>
    </dgm:pt>
    <dgm:pt modelId="{3C2867D4-ED4B-4E74-963F-34872DCBE262}">
      <dgm:prSet phldrT="[Tekst]"/>
      <dgm:spPr>
        <a:pattFill prst="wdUpDiag">
          <a:fgClr>
            <a:srgbClr val="00B050"/>
          </a:fgClr>
          <a:bgClr>
            <a:srgbClr val="FF0000"/>
          </a:bgClr>
        </a:pattFill>
      </dgm:spPr>
      <dgm:t>
        <a:bodyPr/>
        <a:lstStyle/>
        <a:p>
          <a:r>
            <a:rPr lang="nl-NL"/>
            <a:t>Levering</a:t>
          </a:r>
        </a:p>
      </dgm:t>
    </dgm:pt>
    <dgm:pt modelId="{7A2893BE-B26C-417D-98A0-29EDD8353425}" type="parTrans" cxnId="{25D7B5B0-3A29-45D2-B57D-F4921FD19A05}">
      <dgm:prSet/>
      <dgm:spPr/>
      <dgm:t>
        <a:bodyPr/>
        <a:lstStyle/>
        <a:p>
          <a:endParaRPr lang="nl-NL"/>
        </a:p>
      </dgm:t>
    </dgm:pt>
    <dgm:pt modelId="{3DD9D381-6DF0-4EA9-B1CC-02B81D498064}" type="sibTrans" cxnId="{25D7B5B0-3A29-45D2-B57D-F4921FD19A05}">
      <dgm:prSet/>
      <dgm:spPr/>
      <dgm:t>
        <a:bodyPr/>
        <a:lstStyle/>
        <a:p>
          <a:endParaRPr lang="nl-NL"/>
        </a:p>
      </dgm:t>
    </dgm:pt>
    <dgm:pt modelId="{13FC700A-6023-48B3-B973-539428C7DBBC}">
      <dgm:prSet phldrT="[Tekst]"/>
      <dgm:spPr>
        <a:solidFill>
          <a:srgbClr val="FF0000"/>
        </a:solidFill>
      </dgm:spPr>
      <dgm:t>
        <a:bodyPr/>
        <a:lstStyle/>
        <a:p>
          <a:r>
            <a:rPr lang="nl-NL"/>
            <a:t>Gebouwgebruiker</a:t>
          </a:r>
        </a:p>
      </dgm:t>
    </dgm:pt>
    <dgm:pt modelId="{381F3BDF-8590-47CD-BE26-CC280D69B6EE}" type="parTrans" cxnId="{D9742B80-27CF-4078-AA62-E254BED8AD05}">
      <dgm:prSet/>
      <dgm:spPr/>
      <dgm:t>
        <a:bodyPr/>
        <a:lstStyle/>
        <a:p>
          <a:endParaRPr lang="nl-NL"/>
        </a:p>
      </dgm:t>
    </dgm:pt>
    <dgm:pt modelId="{20CE7F16-A23C-41B4-B43E-7A5504D0602C}" type="sibTrans" cxnId="{D9742B80-27CF-4078-AA62-E254BED8AD05}">
      <dgm:prSet/>
      <dgm:spPr/>
      <dgm:t>
        <a:bodyPr/>
        <a:lstStyle/>
        <a:p>
          <a:endParaRPr lang="nl-NL"/>
        </a:p>
      </dgm:t>
    </dgm:pt>
    <dgm:pt modelId="{7F00ABD8-C80C-4B0C-9426-2BB9B6196D53}" type="pres">
      <dgm:prSet presAssocID="{4D573FDD-C7C4-4F8B-90DD-6F832C4CBE7F}" presName="Name0" presStyleCnt="0">
        <dgm:presLayoutVars>
          <dgm:dir/>
          <dgm:resizeHandles val="exact"/>
        </dgm:presLayoutVars>
      </dgm:prSet>
      <dgm:spPr/>
    </dgm:pt>
    <dgm:pt modelId="{B9B5C909-3AEC-4297-9632-4D26CEB2B852}" type="pres">
      <dgm:prSet presAssocID="{1AF26C29-3E8D-4A10-A8B8-1A6641BDFBFB}" presName="node" presStyleLbl="node1" presStyleIdx="0" presStyleCnt="6">
        <dgm:presLayoutVars>
          <dgm:bulletEnabled val="1"/>
        </dgm:presLayoutVars>
      </dgm:prSet>
      <dgm:spPr/>
    </dgm:pt>
    <dgm:pt modelId="{3FB7EE3B-B8B5-4C1C-BD9F-6C698DE39974}" type="pres">
      <dgm:prSet presAssocID="{3204F693-38A5-44D7-9763-78F1466E5DB3}" presName="sibTrans" presStyleLbl="sibTrans2D1" presStyleIdx="0" presStyleCnt="5"/>
      <dgm:spPr/>
    </dgm:pt>
    <dgm:pt modelId="{8DE93EE7-5155-4691-8A8D-DF0E7132C5CB}" type="pres">
      <dgm:prSet presAssocID="{3204F693-38A5-44D7-9763-78F1466E5DB3}" presName="connectorText" presStyleLbl="sibTrans2D1" presStyleIdx="0" presStyleCnt="5"/>
      <dgm:spPr/>
    </dgm:pt>
    <dgm:pt modelId="{AEC31C28-2D6F-481D-A02B-B65E1EAC0F2A}" type="pres">
      <dgm:prSet presAssocID="{6CD2344D-2C18-40C3-A55D-B778364AE865}" presName="node" presStyleLbl="node1" presStyleIdx="1" presStyleCnt="6">
        <dgm:presLayoutVars>
          <dgm:bulletEnabled val="1"/>
        </dgm:presLayoutVars>
      </dgm:prSet>
      <dgm:spPr/>
    </dgm:pt>
    <dgm:pt modelId="{56600F6D-2702-4087-964C-A860E5CE35FA}" type="pres">
      <dgm:prSet presAssocID="{94B4EC8A-2069-46FD-8780-1EB4372DB52A}" presName="sibTrans" presStyleLbl="sibTrans2D1" presStyleIdx="1" presStyleCnt="5"/>
      <dgm:spPr/>
    </dgm:pt>
    <dgm:pt modelId="{ED0B2CC7-0617-4AC0-B672-846B9FA36280}" type="pres">
      <dgm:prSet presAssocID="{94B4EC8A-2069-46FD-8780-1EB4372DB52A}" presName="connectorText" presStyleLbl="sibTrans2D1" presStyleIdx="1" presStyleCnt="5"/>
      <dgm:spPr/>
    </dgm:pt>
    <dgm:pt modelId="{33F38066-99C6-43F7-A0EF-6BDAE7C13007}" type="pres">
      <dgm:prSet presAssocID="{6A32C24E-D988-4789-815F-8CD10D51D709}" presName="node" presStyleLbl="node1" presStyleIdx="2" presStyleCnt="6">
        <dgm:presLayoutVars>
          <dgm:bulletEnabled val="1"/>
        </dgm:presLayoutVars>
      </dgm:prSet>
      <dgm:spPr/>
    </dgm:pt>
    <dgm:pt modelId="{B51D30BC-F321-4D76-BC2E-B534CCD8C561}" type="pres">
      <dgm:prSet presAssocID="{825D9029-4BAC-4401-8012-EAB81E162B22}" presName="sibTrans" presStyleLbl="sibTrans2D1" presStyleIdx="2" presStyleCnt="5"/>
      <dgm:spPr/>
    </dgm:pt>
    <dgm:pt modelId="{E12601C3-0CDF-439E-963C-F918B4B5CAC3}" type="pres">
      <dgm:prSet presAssocID="{825D9029-4BAC-4401-8012-EAB81E162B22}" presName="connectorText" presStyleLbl="sibTrans2D1" presStyleIdx="2" presStyleCnt="5"/>
      <dgm:spPr/>
    </dgm:pt>
    <dgm:pt modelId="{36299411-3198-46A1-A032-54CF4F95D1EA}" type="pres">
      <dgm:prSet presAssocID="{3C2867D4-ED4B-4E74-963F-34872DCBE262}" presName="node" presStyleLbl="node1" presStyleIdx="3" presStyleCnt="6">
        <dgm:presLayoutVars>
          <dgm:bulletEnabled val="1"/>
        </dgm:presLayoutVars>
      </dgm:prSet>
      <dgm:spPr/>
    </dgm:pt>
    <dgm:pt modelId="{24C153D4-3E28-44E0-A5D2-15685E2057AC}" type="pres">
      <dgm:prSet presAssocID="{3DD9D381-6DF0-4EA9-B1CC-02B81D498064}" presName="sibTrans" presStyleLbl="sibTrans2D1" presStyleIdx="3" presStyleCnt="5"/>
      <dgm:spPr/>
    </dgm:pt>
    <dgm:pt modelId="{2C33D4B4-DE1C-4CCD-8FCA-E4104D75A043}" type="pres">
      <dgm:prSet presAssocID="{3DD9D381-6DF0-4EA9-B1CC-02B81D498064}" presName="connectorText" presStyleLbl="sibTrans2D1" presStyleIdx="3" presStyleCnt="5"/>
      <dgm:spPr/>
    </dgm:pt>
    <dgm:pt modelId="{A81E6D3A-EBE5-41CF-9BEA-B0DB0ABE8482}" type="pres">
      <dgm:prSet presAssocID="{4F25495F-142E-4297-A712-F1491EC90A4C}" presName="node" presStyleLbl="node1" presStyleIdx="4" presStyleCnt="6">
        <dgm:presLayoutVars>
          <dgm:bulletEnabled val="1"/>
        </dgm:presLayoutVars>
      </dgm:prSet>
      <dgm:spPr/>
    </dgm:pt>
    <dgm:pt modelId="{AEBEEBE4-2AA3-47D4-86B2-0D51AC71C51B}" type="pres">
      <dgm:prSet presAssocID="{5197264B-4EBD-45FE-86EB-DF63DCD417F3}" presName="sibTrans" presStyleLbl="sibTrans2D1" presStyleIdx="4" presStyleCnt="5"/>
      <dgm:spPr/>
    </dgm:pt>
    <dgm:pt modelId="{4AC4F155-D6A2-4CD6-97E1-5B9940BF9FFB}" type="pres">
      <dgm:prSet presAssocID="{5197264B-4EBD-45FE-86EB-DF63DCD417F3}" presName="connectorText" presStyleLbl="sibTrans2D1" presStyleIdx="4" presStyleCnt="5"/>
      <dgm:spPr/>
    </dgm:pt>
    <dgm:pt modelId="{448AED2D-D8B3-46E6-B0B8-8DF6212A71C3}" type="pres">
      <dgm:prSet presAssocID="{13FC700A-6023-48B3-B973-539428C7DBBC}" presName="node" presStyleLbl="node1" presStyleIdx="5" presStyleCnt="6">
        <dgm:presLayoutVars>
          <dgm:bulletEnabled val="1"/>
        </dgm:presLayoutVars>
      </dgm:prSet>
      <dgm:spPr/>
    </dgm:pt>
  </dgm:ptLst>
  <dgm:cxnLst>
    <dgm:cxn modelId="{AEC86801-7036-40B7-8510-38D2C6E801D7}" type="presOf" srcId="{13FC700A-6023-48B3-B973-539428C7DBBC}" destId="{448AED2D-D8B3-46E6-B0B8-8DF6212A71C3}" srcOrd="0" destOrd="0" presId="urn:microsoft.com/office/officeart/2005/8/layout/process1"/>
    <dgm:cxn modelId="{6512C51E-D3B2-45EE-9835-93582B47A07F}" type="presOf" srcId="{825D9029-4BAC-4401-8012-EAB81E162B22}" destId="{B51D30BC-F321-4D76-BC2E-B534CCD8C561}" srcOrd="0" destOrd="0" presId="urn:microsoft.com/office/officeart/2005/8/layout/process1"/>
    <dgm:cxn modelId="{97E02136-164E-4636-8476-06A4B300DB28}" type="presOf" srcId="{3204F693-38A5-44D7-9763-78F1466E5DB3}" destId="{8DE93EE7-5155-4691-8A8D-DF0E7132C5CB}" srcOrd="1" destOrd="0" presId="urn:microsoft.com/office/officeart/2005/8/layout/process1"/>
    <dgm:cxn modelId="{A913C561-A4CE-430C-B833-846677507454}" type="presOf" srcId="{6A32C24E-D988-4789-815F-8CD10D51D709}" destId="{33F38066-99C6-43F7-A0EF-6BDAE7C13007}" srcOrd="0" destOrd="0" presId="urn:microsoft.com/office/officeart/2005/8/layout/process1"/>
    <dgm:cxn modelId="{BE17EB43-04FB-48A5-8992-F81FC1E8C5FA}" type="presOf" srcId="{3C2867D4-ED4B-4E74-963F-34872DCBE262}" destId="{36299411-3198-46A1-A032-54CF4F95D1EA}" srcOrd="0" destOrd="0" presId="urn:microsoft.com/office/officeart/2005/8/layout/process1"/>
    <dgm:cxn modelId="{91EFA849-B243-4E1A-923A-0741394202BE}" type="presOf" srcId="{4D573FDD-C7C4-4F8B-90DD-6F832C4CBE7F}" destId="{7F00ABD8-C80C-4B0C-9426-2BB9B6196D53}" srcOrd="0" destOrd="0" presId="urn:microsoft.com/office/officeart/2005/8/layout/process1"/>
    <dgm:cxn modelId="{C5599F54-BB1F-4B02-ABFC-3ACA1C8241C6}" type="presOf" srcId="{3DD9D381-6DF0-4EA9-B1CC-02B81D498064}" destId="{24C153D4-3E28-44E0-A5D2-15685E2057AC}" srcOrd="0" destOrd="0" presId="urn:microsoft.com/office/officeart/2005/8/layout/process1"/>
    <dgm:cxn modelId="{8EF7D354-69BE-4536-A733-1C17EBFDF067}" srcId="{4D573FDD-C7C4-4F8B-90DD-6F832C4CBE7F}" destId="{1AF26C29-3E8D-4A10-A8B8-1A6641BDFBFB}" srcOrd="0" destOrd="0" parTransId="{A81C31F6-8108-4904-8D55-CAFED35CD845}" sibTransId="{3204F693-38A5-44D7-9763-78F1466E5DB3}"/>
    <dgm:cxn modelId="{2A708358-DB39-4508-9C74-DA58DF012A30}" type="presOf" srcId="{5197264B-4EBD-45FE-86EB-DF63DCD417F3}" destId="{4AC4F155-D6A2-4CD6-97E1-5B9940BF9FFB}" srcOrd="1" destOrd="0" presId="urn:microsoft.com/office/officeart/2005/8/layout/process1"/>
    <dgm:cxn modelId="{D8B69F78-6C11-46F7-8FE1-C46980B82229}" srcId="{4D573FDD-C7C4-4F8B-90DD-6F832C4CBE7F}" destId="{6A32C24E-D988-4789-815F-8CD10D51D709}" srcOrd="2" destOrd="0" parTransId="{00AE9D3E-6786-4110-A438-ED35357B6098}" sibTransId="{825D9029-4BAC-4401-8012-EAB81E162B22}"/>
    <dgm:cxn modelId="{D9742B80-27CF-4078-AA62-E254BED8AD05}" srcId="{4D573FDD-C7C4-4F8B-90DD-6F832C4CBE7F}" destId="{13FC700A-6023-48B3-B973-539428C7DBBC}" srcOrd="5" destOrd="0" parTransId="{381F3BDF-8590-47CD-BE26-CC280D69B6EE}" sibTransId="{20CE7F16-A23C-41B4-B43E-7A5504D0602C}"/>
    <dgm:cxn modelId="{952DB381-7B89-4C04-A787-74A668E25CF3}" type="presOf" srcId="{6CD2344D-2C18-40C3-A55D-B778364AE865}" destId="{AEC31C28-2D6F-481D-A02B-B65E1EAC0F2A}" srcOrd="0" destOrd="0" presId="urn:microsoft.com/office/officeart/2005/8/layout/process1"/>
    <dgm:cxn modelId="{09FD0D83-74D0-4FB8-B97C-DBC1E2AE18EF}" type="presOf" srcId="{1AF26C29-3E8D-4A10-A8B8-1A6641BDFBFB}" destId="{B9B5C909-3AEC-4297-9632-4D26CEB2B852}" srcOrd="0" destOrd="0" presId="urn:microsoft.com/office/officeart/2005/8/layout/process1"/>
    <dgm:cxn modelId="{38BB4686-B272-4507-9CDA-55136C418A96}" type="presOf" srcId="{94B4EC8A-2069-46FD-8780-1EB4372DB52A}" destId="{56600F6D-2702-4087-964C-A860E5CE35FA}" srcOrd="0" destOrd="0" presId="urn:microsoft.com/office/officeart/2005/8/layout/process1"/>
    <dgm:cxn modelId="{EE2A4887-D585-438F-9F68-5B22BAC3F096}" type="presOf" srcId="{94B4EC8A-2069-46FD-8780-1EB4372DB52A}" destId="{ED0B2CC7-0617-4AC0-B672-846B9FA36280}" srcOrd="1" destOrd="0" presId="urn:microsoft.com/office/officeart/2005/8/layout/process1"/>
    <dgm:cxn modelId="{3642968A-E52C-4771-A040-132399ADD6A7}" type="presOf" srcId="{3DD9D381-6DF0-4EA9-B1CC-02B81D498064}" destId="{2C33D4B4-DE1C-4CCD-8FCA-E4104D75A043}" srcOrd="1" destOrd="0" presId="urn:microsoft.com/office/officeart/2005/8/layout/process1"/>
    <dgm:cxn modelId="{BEB0039E-4074-4BA8-B65A-07D70CCC2CF8}" srcId="{4D573FDD-C7C4-4F8B-90DD-6F832C4CBE7F}" destId="{6CD2344D-2C18-40C3-A55D-B778364AE865}" srcOrd="1" destOrd="0" parTransId="{A5285146-3127-46B1-93E3-A9C162AA655A}" sibTransId="{94B4EC8A-2069-46FD-8780-1EB4372DB52A}"/>
    <dgm:cxn modelId="{B5953DA4-EBE2-4CC4-B1C0-2C6B411A0C89}" type="presOf" srcId="{3204F693-38A5-44D7-9763-78F1466E5DB3}" destId="{3FB7EE3B-B8B5-4C1C-BD9F-6C698DE39974}" srcOrd="0" destOrd="0" presId="urn:microsoft.com/office/officeart/2005/8/layout/process1"/>
    <dgm:cxn modelId="{25D7B5B0-3A29-45D2-B57D-F4921FD19A05}" srcId="{4D573FDD-C7C4-4F8B-90DD-6F832C4CBE7F}" destId="{3C2867D4-ED4B-4E74-963F-34872DCBE262}" srcOrd="3" destOrd="0" parTransId="{7A2893BE-B26C-417D-98A0-29EDD8353425}" sibTransId="{3DD9D381-6DF0-4EA9-B1CC-02B81D498064}"/>
    <dgm:cxn modelId="{A75F94B9-0459-468B-B72D-589921FF9610}" srcId="{4D573FDD-C7C4-4F8B-90DD-6F832C4CBE7F}" destId="{4F25495F-142E-4297-A712-F1491EC90A4C}" srcOrd="4" destOrd="0" parTransId="{A941BA8D-4EA6-443F-8A61-3FCA6962B884}" sibTransId="{5197264B-4EBD-45FE-86EB-DF63DCD417F3}"/>
    <dgm:cxn modelId="{A94929C3-6D01-43EE-B46E-DDC4F6A4C61B}" type="presOf" srcId="{5197264B-4EBD-45FE-86EB-DF63DCD417F3}" destId="{AEBEEBE4-2AA3-47D4-86B2-0D51AC71C51B}" srcOrd="0" destOrd="0" presId="urn:microsoft.com/office/officeart/2005/8/layout/process1"/>
    <dgm:cxn modelId="{318332C4-0D15-412F-90BC-8ECF0EE89C90}" type="presOf" srcId="{4F25495F-142E-4297-A712-F1491EC90A4C}" destId="{A81E6D3A-EBE5-41CF-9BEA-B0DB0ABE8482}" srcOrd="0" destOrd="0" presId="urn:microsoft.com/office/officeart/2005/8/layout/process1"/>
    <dgm:cxn modelId="{D93868CA-074F-42A4-ADDD-F04D726E9041}" type="presOf" srcId="{825D9029-4BAC-4401-8012-EAB81E162B22}" destId="{E12601C3-0CDF-439E-963C-F918B4B5CAC3}" srcOrd="1" destOrd="0" presId="urn:microsoft.com/office/officeart/2005/8/layout/process1"/>
    <dgm:cxn modelId="{B108FB41-43CA-4164-971A-F6FD17FC8726}" type="presParOf" srcId="{7F00ABD8-C80C-4B0C-9426-2BB9B6196D53}" destId="{B9B5C909-3AEC-4297-9632-4D26CEB2B852}" srcOrd="0" destOrd="0" presId="urn:microsoft.com/office/officeart/2005/8/layout/process1"/>
    <dgm:cxn modelId="{EA1BC540-C82D-4DBE-9F8D-988B36C34DA7}" type="presParOf" srcId="{7F00ABD8-C80C-4B0C-9426-2BB9B6196D53}" destId="{3FB7EE3B-B8B5-4C1C-BD9F-6C698DE39974}" srcOrd="1" destOrd="0" presId="urn:microsoft.com/office/officeart/2005/8/layout/process1"/>
    <dgm:cxn modelId="{15E9DC42-AB4C-4881-B673-E03BCB03D899}" type="presParOf" srcId="{3FB7EE3B-B8B5-4C1C-BD9F-6C698DE39974}" destId="{8DE93EE7-5155-4691-8A8D-DF0E7132C5CB}" srcOrd="0" destOrd="0" presId="urn:microsoft.com/office/officeart/2005/8/layout/process1"/>
    <dgm:cxn modelId="{62C97C16-8D42-4B87-A1A6-77D9429860AC}" type="presParOf" srcId="{7F00ABD8-C80C-4B0C-9426-2BB9B6196D53}" destId="{AEC31C28-2D6F-481D-A02B-B65E1EAC0F2A}" srcOrd="2" destOrd="0" presId="urn:microsoft.com/office/officeart/2005/8/layout/process1"/>
    <dgm:cxn modelId="{D7B9B795-7CB4-41D0-A529-4F9676A6E946}" type="presParOf" srcId="{7F00ABD8-C80C-4B0C-9426-2BB9B6196D53}" destId="{56600F6D-2702-4087-964C-A860E5CE35FA}" srcOrd="3" destOrd="0" presId="urn:microsoft.com/office/officeart/2005/8/layout/process1"/>
    <dgm:cxn modelId="{3DC2D9CB-8D60-4C2C-BB37-F175CC7A134E}" type="presParOf" srcId="{56600F6D-2702-4087-964C-A860E5CE35FA}" destId="{ED0B2CC7-0617-4AC0-B672-846B9FA36280}" srcOrd="0" destOrd="0" presId="urn:microsoft.com/office/officeart/2005/8/layout/process1"/>
    <dgm:cxn modelId="{7086BDAC-49D7-465D-B751-D0051EF43FAE}" type="presParOf" srcId="{7F00ABD8-C80C-4B0C-9426-2BB9B6196D53}" destId="{33F38066-99C6-43F7-A0EF-6BDAE7C13007}" srcOrd="4" destOrd="0" presId="urn:microsoft.com/office/officeart/2005/8/layout/process1"/>
    <dgm:cxn modelId="{2BA0A032-8F6F-4BE4-8E7C-3F40361E900E}" type="presParOf" srcId="{7F00ABD8-C80C-4B0C-9426-2BB9B6196D53}" destId="{B51D30BC-F321-4D76-BC2E-B534CCD8C561}" srcOrd="5" destOrd="0" presId="urn:microsoft.com/office/officeart/2005/8/layout/process1"/>
    <dgm:cxn modelId="{5C512A9C-09D0-4705-8E19-0BE7BBC57DDD}" type="presParOf" srcId="{B51D30BC-F321-4D76-BC2E-B534CCD8C561}" destId="{E12601C3-0CDF-439E-963C-F918B4B5CAC3}" srcOrd="0" destOrd="0" presId="urn:microsoft.com/office/officeart/2005/8/layout/process1"/>
    <dgm:cxn modelId="{245FC57E-B08E-44A8-8459-C9A359EF3BE0}" type="presParOf" srcId="{7F00ABD8-C80C-4B0C-9426-2BB9B6196D53}" destId="{36299411-3198-46A1-A032-54CF4F95D1EA}" srcOrd="6" destOrd="0" presId="urn:microsoft.com/office/officeart/2005/8/layout/process1"/>
    <dgm:cxn modelId="{5A164537-B13F-4345-8DCE-D3BE89CB14CC}" type="presParOf" srcId="{7F00ABD8-C80C-4B0C-9426-2BB9B6196D53}" destId="{24C153D4-3E28-44E0-A5D2-15685E2057AC}" srcOrd="7" destOrd="0" presId="urn:microsoft.com/office/officeart/2005/8/layout/process1"/>
    <dgm:cxn modelId="{FA0F8398-A2CC-4D7D-A004-858B00DA5CA8}" type="presParOf" srcId="{24C153D4-3E28-44E0-A5D2-15685E2057AC}" destId="{2C33D4B4-DE1C-4CCD-8FCA-E4104D75A043}" srcOrd="0" destOrd="0" presId="urn:microsoft.com/office/officeart/2005/8/layout/process1"/>
    <dgm:cxn modelId="{DB9634ED-9BC1-4D24-933D-9FD5BE566F78}" type="presParOf" srcId="{7F00ABD8-C80C-4B0C-9426-2BB9B6196D53}" destId="{A81E6D3A-EBE5-41CF-9BEA-B0DB0ABE8482}" srcOrd="8" destOrd="0" presId="urn:microsoft.com/office/officeart/2005/8/layout/process1"/>
    <dgm:cxn modelId="{48DA15C1-5838-4170-8351-07B951A7699C}" type="presParOf" srcId="{7F00ABD8-C80C-4B0C-9426-2BB9B6196D53}" destId="{AEBEEBE4-2AA3-47D4-86B2-0D51AC71C51B}" srcOrd="9" destOrd="0" presId="urn:microsoft.com/office/officeart/2005/8/layout/process1"/>
    <dgm:cxn modelId="{CE7BE6C1-859C-48F8-9D69-9195CE4DB979}" type="presParOf" srcId="{AEBEEBE4-2AA3-47D4-86B2-0D51AC71C51B}" destId="{4AC4F155-D6A2-4CD6-97E1-5B9940BF9FFB}" srcOrd="0" destOrd="0" presId="urn:microsoft.com/office/officeart/2005/8/layout/process1"/>
    <dgm:cxn modelId="{D7F7BC44-310E-485F-A259-F57FFD1E12A3}" type="presParOf" srcId="{7F00ABD8-C80C-4B0C-9426-2BB9B6196D53}" destId="{448AED2D-D8B3-46E6-B0B8-8DF6212A71C3}" srcOrd="10"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4D573FDD-C7C4-4F8B-90DD-6F832C4CBE7F}" type="doc">
      <dgm:prSet loTypeId="urn:microsoft.com/office/officeart/2005/8/layout/process1" loCatId="process" qsTypeId="urn:microsoft.com/office/officeart/2005/8/quickstyle/simple1" qsCatId="simple" csTypeId="urn:microsoft.com/office/officeart/2005/8/colors/accent1_2" csCatId="accent1" phldr="1"/>
      <dgm:spPr/>
    </dgm:pt>
    <dgm:pt modelId="{1AF26C29-3E8D-4A10-A8B8-1A6641BDFBFB}">
      <dgm:prSet phldrT="[Tekst]"/>
      <dgm:spPr>
        <a:solidFill>
          <a:srgbClr val="00B050"/>
        </a:solidFill>
      </dgm:spPr>
      <dgm:t>
        <a:bodyPr/>
        <a:lstStyle/>
        <a:p>
          <a:r>
            <a:rPr lang="nl-NL"/>
            <a:t>Opwekking</a:t>
          </a:r>
        </a:p>
      </dgm:t>
    </dgm:pt>
    <dgm:pt modelId="{A81C31F6-8108-4904-8D55-CAFED35CD845}" type="parTrans" cxnId="{8EF7D354-69BE-4536-A733-1C17EBFDF067}">
      <dgm:prSet/>
      <dgm:spPr/>
      <dgm:t>
        <a:bodyPr/>
        <a:lstStyle/>
        <a:p>
          <a:endParaRPr lang="nl-NL"/>
        </a:p>
      </dgm:t>
    </dgm:pt>
    <dgm:pt modelId="{3204F693-38A5-44D7-9763-78F1466E5DB3}" type="sibTrans" cxnId="{8EF7D354-69BE-4536-A733-1C17EBFDF067}">
      <dgm:prSet/>
      <dgm:spPr/>
      <dgm:t>
        <a:bodyPr/>
        <a:lstStyle/>
        <a:p>
          <a:endParaRPr lang="nl-NL"/>
        </a:p>
      </dgm:t>
    </dgm:pt>
    <dgm:pt modelId="{6CD2344D-2C18-40C3-A55D-B778364AE865}">
      <dgm:prSet phldrT="[Tekst]"/>
      <dgm:spPr>
        <a:solidFill>
          <a:srgbClr val="00B050"/>
        </a:solidFill>
      </dgm:spPr>
      <dgm:t>
        <a:bodyPr/>
        <a:lstStyle/>
        <a:p>
          <a:r>
            <a:rPr lang="nl-NL"/>
            <a:t>Transport</a:t>
          </a:r>
        </a:p>
      </dgm:t>
    </dgm:pt>
    <dgm:pt modelId="{A5285146-3127-46B1-93E3-A9C162AA655A}" type="parTrans" cxnId="{BEB0039E-4074-4BA8-B65A-07D70CCC2CF8}">
      <dgm:prSet/>
      <dgm:spPr/>
      <dgm:t>
        <a:bodyPr/>
        <a:lstStyle/>
        <a:p>
          <a:endParaRPr lang="nl-NL"/>
        </a:p>
      </dgm:t>
    </dgm:pt>
    <dgm:pt modelId="{94B4EC8A-2069-46FD-8780-1EB4372DB52A}" type="sibTrans" cxnId="{BEB0039E-4074-4BA8-B65A-07D70CCC2CF8}">
      <dgm:prSet/>
      <dgm:spPr/>
      <dgm:t>
        <a:bodyPr/>
        <a:lstStyle/>
        <a:p>
          <a:endParaRPr lang="nl-NL"/>
        </a:p>
      </dgm:t>
    </dgm:pt>
    <dgm:pt modelId="{4F25495F-142E-4297-A712-F1491EC90A4C}">
      <dgm:prSet phldrT="[Tekst]"/>
      <dgm:spPr>
        <a:pattFill prst="wdUpDiag">
          <a:fgClr>
            <a:srgbClr val="00B050"/>
          </a:fgClr>
          <a:bgClr>
            <a:srgbClr val="FF0000"/>
          </a:bgClr>
        </a:pattFill>
      </dgm:spPr>
      <dgm:t>
        <a:bodyPr/>
        <a:lstStyle/>
        <a:p>
          <a:r>
            <a:rPr lang="nl-NL"/>
            <a:t>Gebouweigenaar</a:t>
          </a:r>
        </a:p>
      </dgm:t>
    </dgm:pt>
    <dgm:pt modelId="{A941BA8D-4EA6-443F-8A61-3FCA6962B884}" type="parTrans" cxnId="{A75F94B9-0459-468B-B72D-589921FF9610}">
      <dgm:prSet/>
      <dgm:spPr/>
      <dgm:t>
        <a:bodyPr/>
        <a:lstStyle/>
        <a:p>
          <a:endParaRPr lang="nl-NL"/>
        </a:p>
      </dgm:t>
    </dgm:pt>
    <dgm:pt modelId="{5197264B-4EBD-45FE-86EB-DF63DCD417F3}" type="sibTrans" cxnId="{A75F94B9-0459-468B-B72D-589921FF9610}">
      <dgm:prSet/>
      <dgm:spPr/>
      <dgm:t>
        <a:bodyPr/>
        <a:lstStyle/>
        <a:p>
          <a:endParaRPr lang="nl-NL"/>
        </a:p>
      </dgm:t>
    </dgm:pt>
    <dgm:pt modelId="{6A32C24E-D988-4789-815F-8CD10D51D709}">
      <dgm:prSet phldrT="[Tekst]"/>
      <dgm:spPr>
        <a:solidFill>
          <a:srgbClr val="00B050"/>
        </a:solidFill>
      </dgm:spPr>
      <dgm:t>
        <a:bodyPr/>
        <a:lstStyle/>
        <a:p>
          <a:r>
            <a:rPr lang="nl-NL"/>
            <a:t>Distributie</a:t>
          </a:r>
        </a:p>
      </dgm:t>
    </dgm:pt>
    <dgm:pt modelId="{00AE9D3E-6786-4110-A438-ED35357B6098}" type="parTrans" cxnId="{D8B69F78-6C11-46F7-8FE1-C46980B82229}">
      <dgm:prSet/>
      <dgm:spPr/>
      <dgm:t>
        <a:bodyPr/>
        <a:lstStyle/>
        <a:p>
          <a:endParaRPr lang="nl-NL"/>
        </a:p>
      </dgm:t>
    </dgm:pt>
    <dgm:pt modelId="{825D9029-4BAC-4401-8012-EAB81E162B22}" type="sibTrans" cxnId="{D8B69F78-6C11-46F7-8FE1-C46980B82229}">
      <dgm:prSet/>
      <dgm:spPr/>
      <dgm:t>
        <a:bodyPr/>
        <a:lstStyle/>
        <a:p>
          <a:endParaRPr lang="nl-NL"/>
        </a:p>
      </dgm:t>
    </dgm:pt>
    <dgm:pt modelId="{3C2867D4-ED4B-4E74-963F-34872DCBE262}">
      <dgm:prSet phldrT="[Tekst]"/>
      <dgm:spPr>
        <a:pattFill prst="wdUpDiag">
          <a:fgClr>
            <a:srgbClr val="00B050"/>
          </a:fgClr>
          <a:bgClr>
            <a:srgbClr val="FF0000"/>
          </a:bgClr>
        </a:pattFill>
      </dgm:spPr>
      <dgm:t>
        <a:bodyPr/>
        <a:lstStyle/>
        <a:p>
          <a:r>
            <a:rPr lang="nl-NL"/>
            <a:t>Levering</a:t>
          </a:r>
        </a:p>
      </dgm:t>
    </dgm:pt>
    <dgm:pt modelId="{7A2893BE-B26C-417D-98A0-29EDD8353425}" type="parTrans" cxnId="{25D7B5B0-3A29-45D2-B57D-F4921FD19A05}">
      <dgm:prSet/>
      <dgm:spPr/>
      <dgm:t>
        <a:bodyPr/>
        <a:lstStyle/>
        <a:p>
          <a:endParaRPr lang="nl-NL"/>
        </a:p>
      </dgm:t>
    </dgm:pt>
    <dgm:pt modelId="{3DD9D381-6DF0-4EA9-B1CC-02B81D498064}" type="sibTrans" cxnId="{25D7B5B0-3A29-45D2-B57D-F4921FD19A05}">
      <dgm:prSet/>
      <dgm:spPr/>
      <dgm:t>
        <a:bodyPr/>
        <a:lstStyle/>
        <a:p>
          <a:endParaRPr lang="nl-NL"/>
        </a:p>
      </dgm:t>
    </dgm:pt>
    <dgm:pt modelId="{13FC700A-6023-48B3-B973-539428C7DBBC}">
      <dgm:prSet phldrT="[Tekst]"/>
      <dgm:spPr>
        <a:solidFill>
          <a:srgbClr val="FF0000"/>
        </a:solidFill>
      </dgm:spPr>
      <dgm:t>
        <a:bodyPr/>
        <a:lstStyle/>
        <a:p>
          <a:r>
            <a:rPr lang="nl-NL"/>
            <a:t>Gebouwgebruiker</a:t>
          </a:r>
        </a:p>
      </dgm:t>
    </dgm:pt>
    <dgm:pt modelId="{381F3BDF-8590-47CD-BE26-CC280D69B6EE}" type="parTrans" cxnId="{D9742B80-27CF-4078-AA62-E254BED8AD05}">
      <dgm:prSet/>
      <dgm:spPr/>
      <dgm:t>
        <a:bodyPr/>
        <a:lstStyle/>
        <a:p>
          <a:endParaRPr lang="nl-NL"/>
        </a:p>
      </dgm:t>
    </dgm:pt>
    <dgm:pt modelId="{20CE7F16-A23C-41B4-B43E-7A5504D0602C}" type="sibTrans" cxnId="{D9742B80-27CF-4078-AA62-E254BED8AD05}">
      <dgm:prSet/>
      <dgm:spPr/>
      <dgm:t>
        <a:bodyPr/>
        <a:lstStyle/>
        <a:p>
          <a:endParaRPr lang="nl-NL"/>
        </a:p>
      </dgm:t>
    </dgm:pt>
    <dgm:pt modelId="{7F00ABD8-C80C-4B0C-9426-2BB9B6196D53}" type="pres">
      <dgm:prSet presAssocID="{4D573FDD-C7C4-4F8B-90DD-6F832C4CBE7F}" presName="Name0" presStyleCnt="0">
        <dgm:presLayoutVars>
          <dgm:dir/>
          <dgm:resizeHandles val="exact"/>
        </dgm:presLayoutVars>
      </dgm:prSet>
      <dgm:spPr/>
    </dgm:pt>
    <dgm:pt modelId="{B9B5C909-3AEC-4297-9632-4D26CEB2B852}" type="pres">
      <dgm:prSet presAssocID="{1AF26C29-3E8D-4A10-A8B8-1A6641BDFBFB}" presName="node" presStyleLbl="node1" presStyleIdx="0" presStyleCnt="6">
        <dgm:presLayoutVars>
          <dgm:bulletEnabled val="1"/>
        </dgm:presLayoutVars>
      </dgm:prSet>
      <dgm:spPr/>
    </dgm:pt>
    <dgm:pt modelId="{3FB7EE3B-B8B5-4C1C-BD9F-6C698DE39974}" type="pres">
      <dgm:prSet presAssocID="{3204F693-38A5-44D7-9763-78F1466E5DB3}" presName="sibTrans" presStyleLbl="sibTrans2D1" presStyleIdx="0" presStyleCnt="5"/>
      <dgm:spPr/>
    </dgm:pt>
    <dgm:pt modelId="{8DE93EE7-5155-4691-8A8D-DF0E7132C5CB}" type="pres">
      <dgm:prSet presAssocID="{3204F693-38A5-44D7-9763-78F1466E5DB3}" presName="connectorText" presStyleLbl="sibTrans2D1" presStyleIdx="0" presStyleCnt="5"/>
      <dgm:spPr/>
    </dgm:pt>
    <dgm:pt modelId="{AEC31C28-2D6F-481D-A02B-B65E1EAC0F2A}" type="pres">
      <dgm:prSet presAssocID="{6CD2344D-2C18-40C3-A55D-B778364AE865}" presName="node" presStyleLbl="node1" presStyleIdx="1" presStyleCnt="6">
        <dgm:presLayoutVars>
          <dgm:bulletEnabled val="1"/>
        </dgm:presLayoutVars>
      </dgm:prSet>
      <dgm:spPr/>
    </dgm:pt>
    <dgm:pt modelId="{56600F6D-2702-4087-964C-A860E5CE35FA}" type="pres">
      <dgm:prSet presAssocID="{94B4EC8A-2069-46FD-8780-1EB4372DB52A}" presName="sibTrans" presStyleLbl="sibTrans2D1" presStyleIdx="1" presStyleCnt="5"/>
      <dgm:spPr/>
    </dgm:pt>
    <dgm:pt modelId="{ED0B2CC7-0617-4AC0-B672-846B9FA36280}" type="pres">
      <dgm:prSet presAssocID="{94B4EC8A-2069-46FD-8780-1EB4372DB52A}" presName="connectorText" presStyleLbl="sibTrans2D1" presStyleIdx="1" presStyleCnt="5"/>
      <dgm:spPr/>
    </dgm:pt>
    <dgm:pt modelId="{33F38066-99C6-43F7-A0EF-6BDAE7C13007}" type="pres">
      <dgm:prSet presAssocID="{6A32C24E-D988-4789-815F-8CD10D51D709}" presName="node" presStyleLbl="node1" presStyleIdx="2" presStyleCnt="6">
        <dgm:presLayoutVars>
          <dgm:bulletEnabled val="1"/>
        </dgm:presLayoutVars>
      </dgm:prSet>
      <dgm:spPr/>
    </dgm:pt>
    <dgm:pt modelId="{B51D30BC-F321-4D76-BC2E-B534CCD8C561}" type="pres">
      <dgm:prSet presAssocID="{825D9029-4BAC-4401-8012-EAB81E162B22}" presName="sibTrans" presStyleLbl="sibTrans2D1" presStyleIdx="2" presStyleCnt="5"/>
      <dgm:spPr/>
    </dgm:pt>
    <dgm:pt modelId="{E12601C3-0CDF-439E-963C-F918B4B5CAC3}" type="pres">
      <dgm:prSet presAssocID="{825D9029-4BAC-4401-8012-EAB81E162B22}" presName="connectorText" presStyleLbl="sibTrans2D1" presStyleIdx="2" presStyleCnt="5"/>
      <dgm:spPr/>
    </dgm:pt>
    <dgm:pt modelId="{36299411-3198-46A1-A032-54CF4F95D1EA}" type="pres">
      <dgm:prSet presAssocID="{3C2867D4-ED4B-4E74-963F-34872DCBE262}" presName="node" presStyleLbl="node1" presStyleIdx="3" presStyleCnt="6">
        <dgm:presLayoutVars>
          <dgm:bulletEnabled val="1"/>
        </dgm:presLayoutVars>
      </dgm:prSet>
      <dgm:spPr/>
    </dgm:pt>
    <dgm:pt modelId="{24C153D4-3E28-44E0-A5D2-15685E2057AC}" type="pres">
      <dgm:prSet presAssocID="{3DD9D381-6DF0-4EA9-B1CC-02B81D498064}" presName="sibTrans" presStyleLbl="sibTrans2D1" presStyleIdx="3" presStyleCnt="5"/>
      <dgm:spPr/>
    </dgm:pt>
    <dgm:pt modelId="{2C33D4B4-DE1C-4CCD-8FCA-E4104D75A043}" type="pres">
      <dgm:prSet presAssocID="{3DD9D381-6DF0-4EA9-B1CC-02B81D498064}" presName="connectorText" presStyleLbl="sibTrans2D1" presStyleIdx="3" presStyleCnt="5"/>
      <dgm:spPr/>
    </dgm:pt>
    <dgm:pt modelId="{A81E6D3A-EBE5-41CF-9BEA-B0DB0ABE8482}" type="pres">
      <dgm:prSet presAssocID="{4F25495F-142E-4297-A712-F1491EC90A4C}" presName="node" presStyleLbl="node1" presStyleIdx="4" presStyleCnt="6">
        <dgm:presLayoutVars>
          <dgm:bulletEnabled val="1"/>
        </dgm:presLayoutVars>
      </dgm:prSet>
      <dgm:spPr/>
    </dgm:pt>
    <dgm:pt modelId="{AEBEEBE4-2AA3-47D4-86B2-0D51AC71C51B}" type="pres">
      <dgm:prSet presAssocID="{5197264B-4EBD-45FE-86EB-DF63DCD417F3}" presName="sibTrans" presStyleLbl="sibTrans2D1" presStyleIdx="4" presStyleCnt="5"/>
      <dgm:spPr/>
    </dgm:pt>
    <dgm:pt modelId="{4AC4F155-D6A2-4CD6-97E1-5B9940BF9FFB}" type="pres">
      <dgm:prSet presAssocID="{5197264B-4EBD-45FE-86EB-DF63DCD417F3}" presName="connectorText" presStyleLbl="sibTrans2D1" presStyleIdx="4" presStyleCnt="5"/>
      <dgm:spPr/>
    </dgm:pt>
    <dgm:pt modelId="{448AED2D-D8B3-46E6-B0B8-8DF6212A71C3}" type="pres">
      <dgm:prSet presAssocID="{13FC700A-6023-48B3-B973-539428C7DBBC}" presName="node" presStyleLbl="node1" presStyleIdx="5" presStyleCnt="6">
        <dgm:presLayoutVars>
          <dgm:bulletEnabled val="1"/>
        </dgm:presLayoutVars>
      </dgm:prSet>
      <dgm:spPr/>
    </dgm:pt>
  </dgm:ptLst>
  <dgm:cxnLst>
    <dgm:cxn modelId="{AEC86801-7036-40B7-8510-38D2C6E801D7}" type="presOf" srcId="{13FC700A-6023-48B3-B973-539428C7DBBC}" destId="{448AED2D-D8B3-46E6-B0B8-8DF6212A71C3}" srcOrd="0" destOrd="0" presId="urn:microsoft.com/office/officeart/2005/8/layout/process1"/>
    <dgm:cxn modelId="{6512C51E-D3B2-45EE-9835-93582B47A07F}" type="presOf" srcId="{825D9029-4BAC-4401-8012-EAB81E162B22}" destId="{B51D30BC-F321-4D76-BC2E-B534CCD8C561}" srcOrd="0" destOrd="0" presId="urn:microsoft.com/office/officeart/2005/8/layout/process1"/>
    <dgm:cxn modelId="{97E02136-164E-4636-8476-06A4B300DB28}" type="presOf" srcId="{3204F693-38A5-44D7-9763-78F1466E5DB3}" destId="{8DE93EE7-5155-4691-8A8D-DF0E7132C5CB}" srcOrd="1" destOrd="0" presId="urn:microsoft.com/office/officeart/2005/8/layout/process1"/>
    <dgm:cxn modelId="{A913C561-A4CE-430C-B833-846677507454}" type="presOf" srcId="{6A32C24E-D988-4789-815F-8CD10D51D709}" destId="{33F38066-99C6-43F7-A0EF-6BDAE7C13007}" srcOrd="0" destOrd="0" presId="urn:microsoft.com/office/officeart/2005/8/layout/process1"/>
    <dgm:cxn modelId="{BE17EB43-04FB-48A5-8992-F81FC1E8C5FA}" type="presOf" srcId="{3C2867D4-ED4B-4E74-963F-34872DCBE262}" destId="{36299411-3198-46A1-A032-54CF4F95D1EA}" srcOrd="0" destOrd="0" presId="urn:microsoft.com/office/officeart/2005/8/layout/process1"/>
    <dgm:cxn modelId="{91EFA849-B243-4E1A-923A-0741394202BE}" type="presOf" srcId="{4D573FDD-C7C4-4F8B-90DD-6F832C4CBE7F}" destId="{7F00ABD8-C80C-4B0C-9426-2BB9B6196D53}" srcOrd="0" destOrd="0" presId="urn:microsoft.com/office/officeart/2005/8/layout/process1"/>
    <dgm:cxn modelId="{C5599F54-BB1F-4B02-ABFC-3ACA1C8241C6}" type="presOf" srcId="{3DD9D381-6DF0-4EA9-B1CC-02B81D498064}" destId="{24C153D4-3E28-44E0-A5D2-15685E2057AC}" srcOrd="0" destOrd="0" presId="urn:microsoft.com/office/officeart/2005/8/layout/process1"/>
    <dgm:cxn modelId="{8EF7D354-69BE-4536-A733-1C17EBFDF067}" srcId="{4D573FDD-C7C4-4F8B-90DD-6F832C4CBE7F}" destId="{1AF26C29-3E8D-4A10-A8B8-1A6641BDFBFB}" srcOrd="0" destOrd="0" parTransId="{A81C31F6-8108-4904-8D55-CAFED35CD845}" sibTransId="{3204F693-38A5-44D7-9763-78F1466E5DB3}"/>
    <dgm:cxn modelId="{2A708358-DB39-4508-9C74-DA58DF012A30}" type="presOf" srcId="{5197264B-4EBD-45FE-86EB-DF63DCD417F3}" destId="{4AC4F155-D6A2-4CD6-97E1-5B9940BF9FFB}" srcOrd="1" destOrd="0" presId="urn:microsoft.com/office/officeart/2005/8/layout/process1"/>
    <dgm:cxn modelId="{D8B69F78-6C11-46F7-8FE1-C46980B82229}" srcId="{4D573FDD-C7C4-4F8B-90DD-6F832C4CBE7F}" destId="{6A32C24E-D988-4789-815F-8CD10D51D709}" srcOrd="2" destOrd="0" parTransId="{00AE9D3E-6786-4110-A438-ED35357B6098}" sibTransId="{825D9029-4BAC-4401-8012-EAB81E162B22}"/>
    <dgm:cxn modelId="{D9742B80-27CF-4078-AA62-E254BED8AD05}" srcId="{4D573FDD-C7C4-4F8B-90DD-6F832C4CBE7F}" destId="{13FC700A-6023-48B3-B973-539428C7DBBC}" srcOrd="5" destOrd="0" parTransId="{381F3BDF-8590-47CD-BE26-CC280D69B6EE}" sibTransId="{20CE7F16-A23C-41B4-B43E-7A5504D0602C}"/>
    <dgm:cxn modelId="{952DB381-7B89-4C04-A787-74A668E25CF3}" type="presOf" srcId="{6CD2344D-2C18-40C3-A55D-B778364AE865}" destId="{AEC31C28-2D6F-481D-A02B-B65E1EAC0F2A}" srcOrd="0" destOrd="0" presId="urn:microsoft.com/office/officeart/2005/8/layout/process1"/>
    <dgm:cxn modelId="{09FD0D83-74D0-4FB8-B97C-DBC1E2AE18EF}" type="presOf" srcId="{1AF26C29-3E8D-4A10-A8B8-1A6641BDFBFB}" destId="{B9B5C909-3AEC-4297-9632-4D26CEB2B852}" srcOrd="0" destOrd="0" presId="urn:microsoft.com/office/officeart/2005/8/layout/process1"/>
    <dgm:cxn modelId="{38BB4686-B272-4507-9CDA-55136C418A96}" type="presOf" srcId="{94B4EC8A-2069-46FD-8780-1EB4372DB52A}" destId="{56600F6D-2702-4087-964C-A860E5CE35FA}" srcOrd="0" destOrd="0" presId="urn:microsoft.com/office/officeart/2005/8/layout/process1"/>
    <dgm:cxn modelId="{EE2A4887-D585-438F-9F68-5B22BAC3F096}" type="presOf" srcId="{94B4EC8A-2069-46FD-8780-1EB4372DB52A}" destId="{ED0B2CC7-0617-4AC0-B672-846B9FA36280}" srcOrd="1" destOrd="0" presId="urn:microsoft.com/office/officeart/2005/8/layout/process1"/>
    <dgm:cxn modelId="{3642968A-E52C-4771-A040-132399ADD6A7}" type="presOf" srcId="{3DD9D381-6DF0-4EA9-B1CC-02B81D498064}" destId="{2C33D4B4-DE1C-4CCD-8FCA-E4104D75A043}" srcOrd="1" destOrd="0" presId="urn:microsoft.com/office/officeart/2005/8/layout/process1"/>
    <dgm:cxn modelId="{BEB0039E-4074-4BA8-B65A-07D70CCC2CF8}" srcId="{4D573FDD-C7C4-4F8B-90DD-6F832C4CBE7F}" destId="{6CD2344D-2C18-40C3-A55D-B778364AE865}" srcOrd="1" destOrd="0" parTransId="{A5285146-3127-46B1-93E3-A9C162AA655A}" sibTransId="{94B4EC8A-2069-46FD-8780-1EB4372DB52A}"/>
    <dgm:cxn modelId="{B5953DA4-EBE2-4CC4-B1C0-2C6B411A0C89}" type="presOf" srcId="{3204F693-38A5-44D7-9763-78F1466E5DB3}" destId="{3FB7EE3B-B8B5-4C1C-BD9F-6C698DE39974}" srcOrd="0" destOrd="0" presId="urn:microsoft.com/office/officeart/2005/8/layout/process1"/>
    <dgm:cxn modelId="{25D7B5B0-3A29-45D2-B57D-F4921FD19A05}" srcId="{4D573FDD-C7C4-4F8B-90DD-6F832C4CBE7F}" destId="{3C2867D4-ED4B-4E74-963F-34872DCBE262}" srcOrd="3" destOrd="0" parTransId="{7A2893BE-B26C-417D-98A0-29EDD8353425}" sibTransId="{3DD9D381-6DF0-4EA9-B1CC-02B81D498064}"/>
    <dgm:cxn modelId="{A75F94B9-0459-468B-B72D-589921FF9610}" srcId="{4D573FDD-C7C4-4F8B-90DD-6F832C4CBE7F}" destId="{4F25495F-142E-4297-A712-F1491EC90A4C}" srcOrd="4" destOrd="0" parTransId="{A941BA8D-4EA6-443F-8A61-3FCA6962B884}" sibTransId="{5197264B-4EBD-45FE-86EB-DF63DCD417F3}"/>
    <dgm:cxn modelId="{A94929C3-6D01-43EE-B46E-DDC4F6A4C61B}" type="presOf" srcId="{5197264B-4EBD-45FE-86EB-DF63DCD417F3}" destId="{AEBEEBE4-2AA3-47D4-86B2-0D51AC71C51B}" srcOrd="0" destOrd="0" presId="urn:microsoft.com/office/officeart/2005/8/layout/process1"/>
    <dgm:cxn modelId="{318332C4-0D15-412F-90BC-8ECF0EE89C90}" type="presOf" srcId="{4F25495F-142E-4297-A712-F1491EC90A4C}" destId="{A81E6D3A-EBE5-41CF-9BEA-B0DB0ABE8482}" srcOrd="0" destOrd="0" presId="urn:microsoft.com/office/officeart/2005/8/layout/process1"/>
    <dgm:cxn modelId="{D93868CA-074F-42A4-ADDD-F04D726E9041}" type="presOf" srcId="{825D9029-4BAC-4401-8012-EAB81E162B22}" destId="{E12601C3-0CDF-439E-963C-F918B4B5CAC3}" srcOrd="1" destOrd="0" presId="urn:microsoft.com/office/officeart/2005/8/layout/process1"/>
    <dgm:cxn modelId="{B108FB41-43CA-4164-971A-F6FD17FC8726}" type="presParOf" srcId="{7F00ABD8-C80C-4B0C-9426-2BB9B6196D53}" destId="{B9B5C909-3AEC-4297-9632-4D26CEB2B852}" srcOrd="0" destOrd="0" presId="urn:microsoft.com/office/officeart/2005/8/layout/process1"/>
    <dgm:cxn modelId="{EA1BC540-C82D-4DBE-9F8D-988B36C34DA7}" type="presParOf" srcId="{7F00ABD8-C80C-4B0C-9426-2BB9B6196D53}" destId="{3FB7EE3B-B8B5-4C1C-BD9F-6C698DE39974}" srcOrd="1" destOrd="0" presId="urn:microsoft.com/office/officeart/2005/8/layout/process1"/>
    <dgm:cxn modelId="{15E9DC42-AB4C-4881-B673-E03BCB03D899}" type="presParOf" srcId="{3FB7EE3B-B8B5-4C1C-BD9F-6C698DE39974}" destId="{8DE93EE7-5155-4691-8A8D-DF0E7132C5CB}" srcOrd="0" destOrd="0" presId="urn:microsoft.com/office/officeart/2005/8/layout/process1"/>
    <dgm:cxn modelId="{62C97C16-8D42-4B87-A1A6-77D9429860AC}" type="presParOf" srcId="{7F00ABD8-C80C-4B0C-9426-2BB9B6196D53}" destId="{AEC31C28-2D6F-481D-A02B-B65E1EAC0F2A}" srcOrd="2" destOrd="0" presId="urn:microsoft.com/office/officeart/2005/8/layout/process1"/>
    <dgm:cxn modelId="{D7B9B795-7CB4-41D0-A529-4F9676A6E946}" type="presParOf" srcId="{7F00ABD8-C80C-4B0C-9426-2BB9B6196D53}" destId="{56600F6D-2702-4087-964C-A860E5CE35FA}" srcOrd="3" destOrd="0" presId="urn:microsoft.com/office/officeart/2005/8/layout/process1"/>
    <dgm:cxn modelId="{3DC2D9CB-8D60-4C2C-BB37-F175CC7A134E}" type="presParOf" srcId="{56600F6D-2702-4087-964C-A860E5CE35FA}" destId="{ED0B2CC7-0617-4AC0-B672-846B9FA36280}" srcOrd="0" destOrd="0" presId="urn:microsoft.com/office/officeart/2005/8/layout/process1"/>
    <dgm:cxn modelId="{7086BDAC-49D7-465D-B751-D0051EF43FAE}" type="presParOf" srcId="{7F00ABD8-C80C-4B0C-9426-2BB9B6196D53}" destId="{33F38066-99C6-43F7-A0EF-6BDAE7C13007}" srcOrd="4" destOrd="0" presId="urn:microsoft.com/office/officeart/2005/8/layout/process1"/>
    <dgm:cxn modelId="{2BA0A032-8F6F-4BE4-8E7C-3F40361E900E}" type="presParOf" srcId="{7F00ABD8-C80C-4B0C-9426-2BB9B6196D53}" destId="{B51D30BC-F321-4D76-BC2E-B534CCD8C561}" srcOrd="5" destOrd="0" presId="urn:microsoft.com/office/officeart/2005/8/layout/process1"/>
    <dgm:cxn modelId="{5C512A9C-09D0-4705-8E19-0BE7BBC57DDD}" type="presParOf" srcId="{B51D30BC-F321-4D76-BC2E-B534CCD8C561}" destId="{E12601C3-0CDF-439E-963C-F918B4B5CAC3}" srcOrd="0" destOrd="0" presId="urn:microsoft.com/office/officeart/2005/8/layout/process1"/>
    <dgm:cxn modelId="{245FC57E-B08E-44A8-8459-C9A359EF3BE0}" type="presParOf" srcId="{7F00ABD8-C80C-4B0C-9426-2BB9B6196D53}" destId="{36299411-3198-46A1-A032-54CF4F95D1EA}" srcOrd="6" destOrd="0" presId="urn:microsoft.com/office/officeart/2005/8/layout/process1"/>
    <dgm:cxn modelId="{5A164537-B13F-4345-8DCE-D3BE89CB14CC}" type="presParOf" srcId="{7F00ABD8-C80C-4B0C-9426-2BB9B6196D53}" destId="{24C153D4-3E28-44E0-A5D2-15685E2057AC}" srcOrd="7" destOrd="0" presId="urn:microsoft.com/office/officeart/2005/8/layout/process1"/>
    <dgm:cxn modelId="{FA0F8398-A2CC-4D7D-A004-858B00DA5CA8}" type="presParOf" srcId="{24C153D4-3E28-44E0-A5D2-15685E2057AC}" destId="{2C33D4B4-DE1C-4CCD-8FCA-E4104D75A043}" srcOrd="0" destOrd="0" presId="urn:microsoft.com/office/officeart/2005/8/layout/process1"/>
    <dgm:cxn modelId="{DB9634ED-9BC1-4D24-933D-9FD5BE566F78}" type="presParOf" srcId="{7F00ABD8-C80C-4B0C-9426-2BB9B6196D53}" destId="{A81E6D3A-EBE5-41CF-9BEA-B0DB0ABE8482}" srcOrd="8" destOrd="0" presId="urn:microsoft.com/office/officeart/2005/8/layout/process1"/>
    <dgm:cxn modelId="{48DA15C1-5838-4170-8351-07B951A7699C}" type="presParOf" srcId="{7F00ABD8-C80C-4B0C-9426-2BB9B6196D53}" destId="{AEBEEBE4-2AA3-47D4-86B2-0D51AC71C51B}" srcOrd="9" destOrd="0" presId="urn:microsoft.com/office/officeart/2005/8/layout/process1"/>
    <dgm:cxn modelId="{CE7BE6C1-859C-48F8-9D69-9195CE4DB979}" type="presParOf" srcId="{AEBEEBE4-2AA3-47D4-86B2-0D51AC71C51B}" destId="{4AC4F155-D6A2-4CD6-97E1-5B9940BF9FFB}" srcOrd="0" destOrd="0" presId="urn:microsoft.com/office/officeart/2005/8/layout/process1"/>
    <dgm:cxn modelId="{D7F7BC44-310E-485F-A259-F57FFD1E12A3}" type="presParOf" srcId="{7F00ABD8-C80C-4B0C-9426-2BB9B6196D53}" destId="{448AED2D-D8B3-46E6-B0B8-8DF6212A71C3}" srcOrd="10"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4D573FDD-C7C4-4F8B-90DD-6F832C4CBE7F}" type="doc">
      <dgm:prSet loTypeId="urn:microsoft.com/office/officeart/2005/8/layout/process1" loCatId="process" qsTypeId="urn:microsoft.com/office/officeart/2005/8/quickstyle/simple1" qsCatId="simple" csTypeId="urn:microsoft.com/office/officeart/2005/8/colors/accent1_2" csCatId="accent1" phldr="1"/>
      <dgm:spPr/>
    </dgm:pt>
    <dgm:pt modelId="{1AF26C29-3E8D-4A10-A8B8-1A6641BDFBFB}">
      <dgm:prSet phldrT="[Tekst]"/>
      <dgm:spPr>
        <a:solidFill>
          <a:srgbClr val="FF0000"/>
        </a:solidFill>
      </dgm:spPr>
      <dgm:t>
        <a:bodyPr/>
        <a:lstStyle/>
        <a:p>
          <a:r>
            <a:rPr lang="nl-NL"/>
            <a:t>Opwekking</a:t>
          </a:r>
        </a:p>
      </dgm:t>
    </dgm:pt>
    <dgm:pt modelId="{A81C31F6-8108-4904-8D55-CAFED35CD845}" type="parTrans" cxnId="{8EF7D354-69BE-4536-A733-1C17EBFDF067}">
      <dgm:prSet/>
      <dgm:spPr/>
      <dgm:t>
        <a:bodyPr/>
        <a:lstStyle/>
        <a:p>
          <a:endParaRPr lang="nl-NL"/>
        </a:p>
      </dgm:t>
    </dgm:pt>
    <dgm:pt modelId="{3204F693-38A5-44D7-9763-78F1466E5DB3}" type="sibTrans" cxnId="{8EF7D354-69BE-4536-A733-1C17EBFDF067}">
      <dgm:prSet/>
      <dgm:spPr/>
      <dgm:t>
        <a:bodyPr/>
        <a:lstStyle/>
        <a:p>
          <a:endParaRPr lang="nl-NL"/>
        </a:p>
      </dgm:t>
    </dgm:pt>
    <dgm:pt modelId="{6CD2344D-2C18-40C3-A55D-B778364AE865}">
      <dgm:prSet phldrT="[Tekst]"/>
      <dgm:spPr>
        <a:solidFill>
          <a:srgbClr val="00B050"/>
        </a:solidFill>
      </dgm:spPr>
      <dgm:t>
        <a:bodyPr/>
        <a:lstStyle/>
        <a:p>
          <a:r>
            <a:rPr lang="nl-NL"/>
            <a:t>Transport</a:t>
          </a:r>
        </a:p>
      </dgm:t>
    </dgm:pt>
    <dgm:pt modelId="{A5285146-3127-46B1-93E3-A9C162AA655A}" type="parTrans" cxnId="{BEB0039E-4074-4BA8-B65A-07D70CCC2CF8}">
      <dgm:prSet/>
      <dgm:spPr/>
      <dgm:t>
        <a:bodyPr/>
        <a:lstStyle/>
        <a:p>
          <a:endParaRPr lang="nl-NL"/>
        </a:p>
      </dgm:t>
    </dgm:pt>
    <dgm:pt modelId="{94B4EC8A-2069-46FD-8780-1EB4372DB52A}" type="sibTrans" cxnId="{BEB0039E-4074-4BA8-B65A-07D70CCC2CF8}">
      <dgm:prSet/>
      <dgm:spPr/>
      <dgm:t>
        <a:bodyPr/>
        <a:lstStyle/>
        <a:p>
          <a:endParaRPr lang="nl-NL"/>
        </a:p>
      </dgm:t>
    </dgm:pt>
    <dgm:pt modelId="{4F25495F-142E-4297-A712-F1491EC90A4C}">
      <dgm:prSet phldrT="[Tekst]"/>
      <dgm:spPr>
        <a:solidFill>
          <a:srgbClr val="00B050"/>
        </a:solidFill>
      </dgm:spPr>
      <dgm:t>
        <a:bodyPr/>
        <a:lstStyle/>
        <a:p>
          <a:r>
            <a:rPr lang="nl-NL"/>
            <a:t>Gebouweigenaar</a:t>
          </a:r>
        </a:p>
      </dgm:t>
    </dgm:pt>
    <dgm:pt modelId="{A941BA8D-4EA6-443F-8A61-3FCA6962B884}" type="parTrans" cxnId="{A75F94B9-0459-468B-B72D-589921FF9610}">
      <dgm:prSet/>
      <dgm:spPr/>
      <dgm:t>
        <a:bodyPr/>
        <a:lstStyle/>
        <a:p>
          <a:endParaRPr lang="nl-NL"/>
        </a:p>
      </dgm:t>
    </dgm:pt>
    <dgm:pt modelId="{5197264B-4EBD-45FE-86EB-DF63DCD417F3}" type="sibTrans" cxnId="{A75F94B9-0459-468B-B72D-589921FF9610}">
      <dgm:prSet/>
      <dgm:spPr/>
      <dgm:t>
        <a:bodyPr/>
        <a:lstStyle/>
        <a:p>
          <a:endParaRPr lang="nl-NL"/>
        </a:p>
      </dgm:t>
    </dgm:pt>
    <dgm:pt modelId="{6A32C24E-D988-4789-815F-8CD10D51D709}">
      <dgm:prSet phldrT="[Tekst]"/>
      <dgm:spPr>
        <a:solidFill>
          <a:srgbClr val="00B050"/>
        </a:solidFill>
      </dgm:spPr>
      <dgm:t>
        <a:bodyPr/>
        <a:lstStyle/>
        <a:p>
          <a:r>
            <a:rPr lang="nl-NL"/>
            <a:t>Distributie</a:t>
          </a:r>
        </a:p>
      </dgm:t>
    </dgm:pt>
    <dgm:pt modelId="{00AE9D3E-6786-4110-A438-ED35357B6098}" type="parTrans" cxnId="{D8B69F78-6C11-46F7-8FE1-C46980B82229}">
      <dgm:prSet/>
      <dgm:spPr/>
      <dgm:t>
        <a:bodyPr/>
        <a:lstStyle/>
        <a:p>
          <a:endParaRPr lang="nl-NL"/>
        </a:p>
      </dgm:t>
    </dgm:pt>
    <dgm:pt modelId="{825D9029-4BAC-4401-8012-EAB81E162B22}" type="sibTrans" cxnId="{D8B69F78-6C11-46F7-8FE1-C46980B82229}">
      <dgm:prSet/>
      <dgm:spPr/>
      <dgm:t>
        <a:bodyPr/>
        <a:lstStyle/>
        <a:p>
          <a:endParaRPr lang="nl-NL"/>
        </a:p>
      </dgm:t>
    </dgm:pt>
    <dgm:pt modelId="{3C2867D4-ED4B-4E74-963F-34872DCBE262}">
      <dgm:prSet phldrT="[Tekst]"/>
      <dgm:spPr>
        <a:solidFill>
          <a:srgbClr val="00B050"/>
        </a:solidFill>
      </dgm:spPr>
      <dgm:t>
        <a:bodyPr/>
        <a:lstStyle/>
        <a:p>
          <a:r>
            <a:rPr lang="nl-NL"/>
            <a:t>Levering</a:t>
          </a:r>
        </a:p>
      </dgm:t>
    </dgm:pt>
    <dgm:pt modelId="{7A2893BE-B26C-417D-98A0-29EDD8353425}" type="parTrans" cxnId="{25D7B5B0-3A29-45D2-B57D-F4921FD19A05}">
      <dgm:prSet/>
      <dgm:spPr/>
      <dgm:t>
        <a:bodyPr/>
        <a:lstStyle/>
        <a:p>
          <a:endParaRPr lang="nl-NL"/>
        </a:p>
      </dgm:t>
    </dgm:pt>
    <dgm:pt modelId="{3DD9D381-6DF0-4EA9-B1CC-02B81D498064}" type="sibTrans" cxnId="{25D7B5B0-3A29-45D2-B57D-F4921FD19A05}">
      <dgm:prSet/>
      <dgm:spPr/>
      <dgm:t>
        <a:bodyPr/>
        <a:lstStyle/>
        <a:p>
          <a:endParaRPr lang="nl-NL"/>
        </a:p>
      </dgm:t>
    </dgm:pt>
    <dgm:pt modelId="{13FC700A-6023-48B3-B973-539428C7DBBC}">
      <dgm:prSet phldrT="[Tekst]"/>
      <dgm:spPr>
        <a:solidFill>
          <a:srgbClr val="00B050"/>
        </a:solidFill>
      </dgm:spPr>
      <dgm:t>
        <a:bodyPr/>
        <a:lstStyle/>
        <a:p>
          <a:r>
            <a:rPr lang="nl-NL"/>
            <a:t>Gebouwgebruiker</a:t>
          </a:r>
        </a:p>
      </dgm:t>
    </dgm:pt>
    <dgm:pt modelId="{381F3BDF-8590-47CD-BE26-CC280D69B6EE}" type="parTrans" cxnId="{D9742B80-27CF-4078-AA62-E254BED8AD05}">
      <dgm:prSet/>
      <dgm:spPr/>
      <dgm:t>
        <a:bodyPr/>
        <a:lstStyle/>
        <a:p>
          <a:endParaRPr lang="nl-NL"/>
        </a:p>
      </dgm:t>
    </dgm:pt>
    <dgm:pt modelId="{20CE7F16-A23C-41B4-B43E-7A5504D0602C}" type="sibTrans" cxnId="{D9742B80-27CF-4078-AA62-E254BED8AD05}">
      <dgm:prSet/>
      <dgm:spPr/>
      <dgm:t>
        <a:bodyPr/>
        <a:lstStyle/>
        <a:p>
          <a:endParaRPr lang="nl-NL"/>
        </a:p>
      </dgm:t>
    </dgm:pt>
    <dgm:pt modelId="{7F00ABD8-C80C-4B0C-9426-2BB9B6196D53}" type="pres">
      <dgm:prSet presAssocID="{4D573FDD-C7C4-4F8B-90DD-6F832C4CBE7F}" presName="Name0" presStyleCnt="0">
        <dgm:presLayoutVars>
          <dgm:dir/>
          <dgm:resizeHandles val="exact"/>
        </dgm:presLayoutVars>
      </dgm:prSet>
      <dgm:spPr/>
    </dgm:pt>
    <dgm:pt modelId="{B9B5C909-3AEC-4297-9632-4D26CEB2B852}" type="pres">
      <dgm:prSet presAssocID="{1AF26C29-3E8D-4A10-A8B8-1A6641BDFBFB}" presName="node" presStyleLbl="node1" presStyleIdx="0" presStyleCnt="6">
        <dgm:presLayoutVars>
          <dgm:bulletEnabled val="1"/>
        </dgm:presLayoutVars>
      </dgm:prSet>
      <dgm:spPr/>
    </dgm:pt>
    <dgm:pt modelId="{3FB7EE3B-B8B5-4C1C-BD9F-6C698DE39974}" type="pres">
      <dgm:prSet presAssocID="{3204F693-38A5-44D7-9763-78F1466E5DB3}" presName="sibTrans" presStyleLbl="sibTrans2D1" presStyleIdx="0" presStyleCnt="5"/>
      <dgm:spPr/>
    </dgm:pt>
    <dgm:pt modelId="{8DE93EE7-5155-4691-8A8D-DF0E7132C5CB}" type="pres">
      <dgm:prSet presAssocID="{3204F693-38A5-44D7-9763-78F1466E5DB3}" presName="connectorText" presStyleLbl="sibTrans2D1" presStyleIdx="0" presStyleCnt="5"/>
      <dgm:spPr/>
    </dgm:pt>
    <dgm:pt modelId="{AEC31C28-2D6F-481D-A02B-B65E1EAC0F2A}" type="pres">
      <dgm:prSet presAssocID="{6CD2344D-2C18-40C3-A55D-B778364AE865}" presName="node" presStyleLbl="node1" presStyleIdx="1" presStyleCnt="6">
        <dgm:presLayoutVars>
          <dgm:bulletEnabled val="1"/>
        </dgm:presLayoutVars>
      </dgm:prSet>
      <dgm:spPr/>
    </dgm:pt>
    <dgm:pt modelId="{56600F6D-2702-4087-964C-A860E5CE35FA}" type="pres">
      <dgm:prSet presAssocID="{94B4EC8A-2069-46FD-8780-1EB4372DB52A}" presName="sibTrans" presStyleLbl="sibTrans2D1" presStyleIdx="1" presStyleCnt="5"/>
      <dgm:spPr/>
    </dgm:pt>
    <dgm:pt modelId="{ED0B2CC7-0617-4AC0-B672-846B9FA36280}" type="pres">
      <dgm:prSet presAssocID="{94B4EC8A-2069-46FD-8780-1EB4372DB52A}" presName="connectorText" presStyleLbl="sibTrans2D1" presStyleIdx="1" presStyleCnt="5"/>
      <dgm:spPr/>
    </dgm:pt>
    <dgm:pt modelId="{33F38066-99C6-43F7-A0EF-6BDAE7C13007}" type="pres">
      <dgm:prSet presAssocID="{6A32C24E-D988-4789-815F-8CD10D51D709}" presName="node" presStyleLbl="node1" presStyleIdx="2" presStyleCnt="6">
        <dgm:presLayoutVars>
          <dgm:bulletEnabled val="1"/>
        </dgm:presLayoutVars>
      </dgm:prSet>
      <dgm:spPr/>
    </dgm:pt>
    <dgm:pt modelId="{B51D30BC-F321-4D76-BC2E-B534CCD8C561}" type="pres">
      <dgm:prSet presAssocID="{825D9029-4BAC-4401-8012-EAB81E162B22}" presName="sibTrans" presStyleLbl="sibTrans2D1" presStyleIdx="2" presStyleCnt="5"/>
      <dgm:spPr/>
    </dgm:pt>
    <dgm:pt modelId="{E12601C3-0CDF-439E-963C-F918B4B5CAC3}" type="pres">
      <dgm:prSet presAssocID="{825D9029-4BAC-4401-8012-EAB81E162B22}" presName="connectorText" presStyleLbl="sibTrans2D1" presStyleIdx="2" presStyleCnt="5"/>
      <dgm:spPr/>
    </dgm:pt>
    <dgm:pt modelId="{36299411-3198-46A1-A032-54CF4F95D1EA}" type="pres">
      <dgm:prSet presAssocID="{3C2867D4-ED4B-4E74-963F-34872DCBE262}" presName="node" presStyleLbl="node1" presStyleIdx="3" presStyleCnt="6">
        <dgm:presLayoutVars>
          <dgm:bulletEnabled val="1"/>
        </dgm:presLayoutVars>
      </dgm:prSet>
      <dgm:spPr/>
    </dgm:pt>
    <dgm:pt modelId="{24C153D4-3E28-44E0-A5D2-15685E2057AC}" type="pres">
      <dgm:prSet presAssocID="{3DD9D381-6DF0-4EA9-B1CC-02B81D498064}" presName="sibTrans" presStyleLbl="sibTrans2D1" presStyleIdx="3" presStyleCnt="5"/>
      <dgm:spPr/>
    </dgm:pt>
    <dgm:pt modelId="{2C33D4B4-DE1C-4CCD-8FCA-E4104D75A043}" type="pres">
      <dgm:prSet presAssocID="{3DD9D381-6DF0-4EA9-B1CC-02B81D498064}" presName="connectorText" presStyleLbl="sibTrans2D1" presStyleIdx="3" presStyleCnt="5"/>
      <dgm:spPr/>
    </dgm:pt>
    <dgm:pt modelId="{A81E6D3A-EBE5-41CF-9BEA-B0DB0ABE8482}" type="pres">
      <dgm:prSet presAssocID="{4F25495F-142E-4297-A712-F1491EC90A4C}" presName="node" presStyleLbl="node1" presStyleIdx="4" presStyleCnt="6">
        <dgm:presLayoutVars>
          <dgm:bulletEnabled val="1"/>
        </dgm:presLayoutVars>
      </dgm:prSet>
      <dgm:spPr/>
    </dgm:pt>
    <dgm:pt modelId="{AEBEEBE4-2AA3-47D4-86B2-0D51AC71C51B}" type="pres">
      <dgm:prSet presAssocID="{5197264B-4EBD-45FE-86EB-DF63DCD417F3}" presName="sibTrans" presStyleLbl="sibTrans2D1" presStyleIdx="4" presStyleCnt="5"/>
      <dgm:spPr/>
    </dgm:pt>
    <dgm:pt modelId="{4AC4F155-D6A2-4CD6-97E1-5B9940BF9FFB}" type="pres">
      <dgm:prSet presAssocID="{5197264B-4EBD-45FE-86EB-DF63DCD417F3}" presName="connectorText" presStyleLbl="sibTrans2D1" presStyleIdx="4" presStyleCnt="5"/>
      <dgm:spPr/>
    </dgm:pt>
    <dgm:pt modelId="{448AED2D-D8B3-46E6-B0B8-8DF6212A71C3}" type="pres">
      <dgm:prSet presAssocID="{13FC700A-6023-48B3-B973-539428C7DBBC}" presName="node" presStyleLbl="node1" presStyleIdx="5" presStyleCnt="6">
        <dgm:presLayoutVars>
          <dgm:bulletEnabled val="1"/>
        </dgm:presLayoutVars>
      </dgm:prSet>
      <dgm:spPr/>
    </dgm:pt>
  </dgm:ptLst>
  <dgm:cxnLst>
    <dgm:cxn modelId="{35517601-FD0D-4542-9718-502058FDDC93}" type="presOf" srcId="{3DD9D381-6DF0-4EA9-B1CC-02B81D498064}" destId="{24C153D4-3E28-44E0-A5D2-15685E2057AC}" srcOrd="0" destOrd="0" presId="urn:microsoft.com/office/officeart/2005/8/layout/process1"/>
    <dgm:cxn modelId="{EA26DF12-7F1C-4162-B83A-03024CD70A26}" type="presOf" srcId="{3DD9D381-6DF0-4EA9-B1CC-02B81D498064}" destId="{2C33D4B4-DE1C-4CCD-8FCA-E4104D75A043}" srcOrd="1" destOrd="0" presId="urn:microsoft.com/office/officeart/2005/8/layout/process1"/>
    <dgm:cxn modelId="{29D04624-C7A1-4AC9-B0C6-346FBBF1D31F}" type="presOf" srcId="{94B4EC8A-2069-46FD-8780-1EB4372DB52A}" destId="{ED0B2CC7-0617-4AC0-B672-846B9FA36280}" srcOrd="1" destOrd="0" presId="urn:microsoft.com/office/officeart/2005/8/layout/process1"/>
    <dgm:cxn modelId="{1926F425-EA5E-4A1D-923F-D310746F29FA}" type="presOf" srcId="{94B4EC8A-2069-46FD-8780-1EB4372DB52A}" destId="{56600F6D-2702-4087-964C-A860E5CE35FA}" srcOrd="0" destOrd="0" presId="urn:microsoft.com/office/officeart/2005/8/layout/process1"/>
    <dgm:cxn modelId="{0B1F4C29-FE29-4629-BA77-E5BE44E4AC2B}" type="presOf" srcId="{6A32C24E-D988-4789-815F-8CD10D51D709}" destId="{33F38066-99C6-43F7-A0EF-6BDAE7C13007}" srcOrd="0" destOrd="0" presId="urn:microsoft.com/office/officeart/2005/8/layout/process1"/>
    <dgm:cxn modelId="{472C582E-CBC5-4A19-B426-6B351D2C0465}" type="presOf" srcId="{5197264B-4EBD-45FE-86EB-DF63DCD417F3}" destId="{4AC4F155-D6A2-4CD6-97E1-5B9940BF9FFB}" srcOrd="1" destOrd="0" presId="urn:microsoft.com/office/officeart/2005/8/layout/process1"/>
    <dgm:cxn modelId="{9C61804A-8E82-468F-B5D3-DCDE4ACB4809}" type="presOf" srcId="{4D573FDD-C7C4-4F8B-90DD-6F832C4CBE7F}" destId="{7F00ABD8-C80C-4B0C-9426-2BB9B6196D53}" srcOrd="0" destOrd="0" presId="urn:microsoft.com/office/officeart/2005/8/layout/process1"/>
    <dgm:cxn modelId="{191A4972-C288-4061-B698-960351D8FF64}" type="presOf" srcId="{3204F693-38A5-44D7-9763-78F1466E5DB3}" destId="{8DE93EE7-5155-4691-8A8D-DF0E7132C5CB}" srcOrd="1" destOrd="0" presId="urn:microsoft.com/office/officeart/2005/8/layout/process1"/>
    <dgm:cxn modelId="{A5E93074-000F-4070-B733-C5E2B5AF08DA}" type="presOf" srcId="{6CD2344D-2C18-40C3-A55D-B778364AE865}" destId="{AEC31C28-2D6F-481D-A02B-B65E1EAC0F2A}" srcOrd="0" destOrd="0" presId="urn:microsoft.com/office/officeart/2005/8/layout/process1"/>
    <dgm:cxn modelId="{8EF7D354-69BE-4536-A733-1C17EBFDF067}" srcId="{4D573FDD-C7C4-4F8B-90DD-6F832C4CBE7F}" destId="{1AF26C29-3E8D-4A10-A8B8-1A6641BDFBFB}" srcOrd="0" destOrd="0" parTransId="{A81C31F6-8108-4904-8D55-CAFED35CD845}" sibTransId="{3204F693-38A5-44D7-9763-78F1466E5DB3}"/>
    <dgm:cxn modelId="{D8B69F78-6C11-46F7-8FE1-C46980B82229}" srcId="{4D573FDD-C7C4-4F8B-90DD-6F832C4CBE7F}" destId="{6A32C24E-D988-4789-815F-8CD10D51D709}" srcOrd="2" destOrd="0" parTransId="{00AE9D3E-6786-4110-A438-ED35357B6098}" sibTransId="{825D9029-4BAC-4401-8012-EAB81E162B22}"/>
    <dgm:cxn modelId="{D9742B80-27CF-4078-AA62-E254BED8AD05}" srcId="{4D573FDD-C7C4-4F8B-90DD-6F832C4CBE7F}" destId="{13FC700A-6023-48B3-B973-539428C7DBBC}" srcOrd="5" destOrd="0" parTransId="{381F3BDF-8590-47CD-BE26-CC280D69B6EE}" sibTransId="{20CE7F16-A23C-41B4-B43E-7A5504D0602C}"/>
    <dgm:cxn modelId="{F0D2AC88-E66E-4FEF-98F4-9BC570910A80}" type="presOf" srcId="{825D9029-4BAC-4401-8012-EAB81E162B22}" destId="{B51D30BC-F321-4D76-BC2E-B534CCD8C561}" srcOrd="0" destOrd="0" presId="urn:microsoft.com/office/officeart/2005/8/layout/process1"/>
    <dgm:cxn modelId="{498E2C8D-C972-4E4D-BDEC-1E4144F7B795}" type="presOf" srcId="{1AF26C29-3E8D-4A10-A8B8-1A6641BDFBFB}" destId="{B9B5C909-3AEC-4297-9632-4D26CEB2B852}" srcOrd="0" destOrd="0" presId="urn:microsoft.com/office/officeart/2005/8/layout/process1"/>
    <dgm:cxn modelId="{BF6FC590-C5D2-4792-936E-52D944ADB7BD}" type="presOf" srcId="{4F25495F-142E-4297-A712-F1491EC90A4C}" destId="{A81E6D3A-EBE5-41CF-9BEA-B0DB0ABE8482}" srcOrd="0" destOrd="0" presId="urn:microsoft.com/office/officeart/2005/8/layout/process1"/>
    <dgm:cxn modelId="{6A2F449C-4A05-4839-AAB2-DEF368E09D47}" type="presOf" srcId="{5197264B-4EBD-45FE-86EB-DF63DCD417F3}" destId="{AEBEEBE4-2AA3-47D4-86B2-0D51AC71C51B}" srcOrd="0" destOrd="0" presId="urn:microsoft.com/office/officeart/2005/8/layout/process1"/>
    <dgm:cxn modelId="{BEB0039E-4074-4BA8-B65A-07D70CCC2CF8}" srcId="{4D573FDD-C7C4-4F8B-90DD-6F832C4CBE7F}" destId="{6CD2344D-2C18-40C3-A55D-B778364AE865}" srcOrd="1" destOrd="0" parTransId="{A5285146-3127-46B1-93E3-A9C162AA655A}" sibTransId="{94B4EC8A-2069-46FD-8780-1EB4372DB52A}"/>
    <dgm:cxn modelId="{0D59669E-C3B6-46C2-86B0-6A1902D9EF01}" type="presOf" srcId="{13FC700A-6023-48B3-B973-539428C7DBBC}" destId="{448AED2D-D8B3-46E6-B0B8-8DF6212A71C3}" srcOrd="0" destOrd="0" presId="urn:microsoft.com/office/officeart/2005/8/layout/process1"/>
    <dgm:cxn modelId="{3F1B36A2-184C-436B-8D54-696FD27C1CC4}" type="presOf" srcId="{825D9029-4BAC-4401-8012-EAB81E162B22}" destId="{E12601C3-0CDF-439E-963C-F918B4B5CAC3}" srcOrd="1" destOrd="0" presId="urn:microsoft.com/office/officeart/2005/8/layout/process1"/>
    <dgm:cxn modelId="{25D7B5B0-3A29-45D2-B57D-F4921FD19A05}" srcId="{4D573FDD-C7C4-4F8B-90DD-6F832C4CBE7F}" destId="{3C2867D4-ED4B-4E74-963F-34872DCBE262}" srcOrd="3" destOrd="0" parTransId="{7A2893BE-B26C-417D-98A0-29EDD8353425}" sibTransId="{3DD9D381-6DF0-4EA9-B1CC-02B81D498064}"/>
    <dgm:cxn modelId="{A75F94B9-0459-468B-B72D-589921FF9610}" srcId="{4D573FDD-C7C4-4F8B-90DD-6F832C4CBE7F}" destId="{4F25495F-142E-4297-A712-F1491EC90A4C}" srcOrd="4" destOrd="0" parTransId="{A941BA8D-4EA6-443F-8A61-3FCA6962B884}" sibTransId="{5197264B-4EBD-45FE-86EB-DF63DCD417F3}"/>
    <dgm:cxn modelId="{C6C7FFBE-3A14-4540-BCBC-F50D8146F064}" type="presOf" srcId="{3C2867D4-ED4B-4E74-963F-34872DCBE262}" destId="{36299411-3198-46A1-A032-54CF4F95D1EA}" srcOrd="0" destOrd="0" presId="urn:microsoft.com/office/officeart/2005/8/layout/process1"/>
    <dgm:cxn modelId="{80B1E9C6-5DFC-47E2-B824-EFC5466ACD8C}" type="presOf" srcId="{3204F693-38A5-44D7-9763-78F1466E5DB3}" destId="{3FB7EE3B-B8B5-4C1C-BD9F-6C698DE39974}" srcOrd="0" destOrd="0" presId="urn:microsoft.com/office/officeart/2005/8/layout/process1"/>
    <dgm:cxn modelId="{E1770385-5C2C-48D9-B9D5-2D13220D4B96}" type="presParOf" srcId="{7F00ABD8-C80C-4B0C-9426-2BB9B6196D53}" destId="{B9B5C909-3AEC-4297-9632-4D26CEB2B852}" srcOrd="0" destOrd="0" presId="urn:microsoft.com/office/officeart/2005/8/layout/process1"/>
    <dgm:cxn modelId="{4B704433-B400-4ED0-A8DA-B4B926F92B6E}" type="presParOf" srcId="{7F00ABD8-C80C-4B0C-9426-2BB9B6196D53}" destId="{3FB7EE3B-B8B5-4C1C-BD9F-6C698DE39974}" srcOrd="1" destOrd="0" presId="urn:microsoft.com/office/officeart/2005/8/layout/process1"/>
    <dgm:cxn modelId="{8174682A-41C8-4A35-A417-8985645E8533}" type="presParOf" srcId="{3FB7EE3B-B8B5-4C1C-BD9F-6C698DE39974}" destId="{8DE93EE7-5155-4691-8A8D-DF0E7132C5CB}" srcOrd="0" destOrd="0" presId="urn:microsoft.com/office/officeart/2005/8/layout/process1"/>
    <dgm:cxn modelId="{8AFBC920-2E71-4468-B341-AEDC57DFBD7C}" type="presParOf" srcId="{7F00ABD8-C80C-4B0C-9426-2BB9B6196D53}" destId="{AEC31C28-2D6F-481D-A02B-B65E1EAC0F2A}" srcOrd="2" destOrd="0" presId="urn:microsoft.com/office/officeart/2005/8/layout/process1"/>
    <dgm:cxn modelId="{D0CC0973-B9A4-40DB-803B-75BF2B05F47A}" type="presParOf" srcId="{7F00ABD8-C80C-4B0C-9426-2BB9B6196D53}" destId="{56600F6D-2702-4087-964C-A860E5CE35FA}" srcOrd="3" destOrd="0" presId="urn:microsoft.com/office/officeart/2005/8/layout/process1"/>
    <dgm:cxn modelId="{ED804CB8-BB6F-4286-901D-2FD7596B63D9}" type="presParOf" srcId="{56600F6D-2702-4087-964C-A860E5CE35FA}" destId="{ED0B2CC7-0617-4AC0-B672-846B9FA36280}" srcOrd="0" destOrd="0" presId="urn:microsoft.com/office/officeart/2005/8/layout/process1"/>
    <dgm:cxn modelId="{58BD9383-C4F2-4251-88F2-29C8D9E4B81B}" type="presParOf" srcId="{7F00ABD8-C80C-4B0C-9426-2BB9B6196D53}" destId="{33F38066-99C6-43F7-A0EF-6BDAE7C13007}" srcOrd="4" destOrd="0" presId="urn:microsoft.com/office/officeart/2005/8/layout/process1"/>
    <dgm:cxn modelId="{238B87B0-545A-4639-9DA0-6573EC1F051C}" type="presParOf" srcId="{7F00ABD8-C80C-4B0C-9426-2BB9B6196D53}" destId="{B51D30BC-F321-4D76-BC2E-B534CCD8C561}" srcOrd="5" destOrd="0" presId="urn:microsoft.com/office/officeart/2005/8/layout/process1"/>
    <dgm:cxn modelId="{875AD69F-F76C-40A3-B822-93E9E7CA3C06}" type="presParOf" srcId="{B51D30BC-F321-4D76-BC2E-B534CCD8C561}" destId="{E12601C3-0CDF-439E-963C-F918B4B5CAC3}" srcOrd="0" destOrd="0" presId="urn:microsoft.com/office/officeart/2005/8/layout/process1"/>
    <dgm:cxn modelId="{7581DEDD-A771-44E9-8ADA-B628D470D24D}" type="presParOf" srcId="{7F00ABD8-C80C-4B0C-9426-2BB9B6196D53}" destId="{36299411-3198-46A1-A032-54CF4F95D1EA}" srcOrd="6" destOrd="0" presId="urn:microsoft.com/office/officeart/2005/8/layout/process1"/>
    <dgm:cxn modelId="{5325A2D5-CE2F-4A8D-A6D1-D64236F082B1}" type="presParOf" srcId="{7F00ABD8-C80C-4B0C-9426-2BB9B6196D53}" destId="{24C153D4-3E28-44E0-A5D2-15685E2057AC}" srcOrd="7" destOrd="0" presId="urn:microsoft.com/office/officeart/2005/8/layout/process1"/>
    <dgm:cxn modelId="{A7DE6169-85F8-4B31-B503-E221C5EB870B}" type="presParOf" srcId="{24C153D4-3E28-44E0-A5D2-15685E2057AC}" destId="{2C33D4B4-DE1C-4CCD-8FCA-E4104D75A043}" srcOrd="0" destOrd="0" presId="urn:microsoft.com/office/officeart/2005/8/layout/process1"/>
    <dgm:cxn modelId="{21470DF0-3A51-4A03-B2C8-7FF193077BE1}" type="presParOf" srcId="{7F00ABD8-C80C-4B0C-9426-2BB9B6196D53}" destId="{A81E6D3A-EBE5-41CF-9BEA-B0DB0ABE8482}" srcOrd="8" destOrd="0" presId="urn:microsoft.com/office/officeart/2005/8/layout/process1"/>
    <dgm:cxn modelId="{7E961156-26A2-42A0-973E-B73D1CC6DFDE}" type="presParOf" srcId="{7F00ABD8-C80C-4B0C-9426-2BB9B6196D53}" destId="{AEBEEBE4-2AA3-47D4-86B2-0D51AC71C51B}" srcOrd="9" destOrd="0" presId="urn:microsoft.com/office/officeart/2005/8/layout/process1"/>
    <dgm:cxn modelId="{E7A56849-6BE3-4627-9D11-18BD0DE3B365}" type="presParOf" srcId="{AEBEEBE4-2AA3-47D4-86B2-0D51AC71C51B}" destId="{4AC4F155-D6A2-4CD6-97E1-5B9940BF9FFB}" srcOrd="0" destOrd="0" presId="urn:microsoft.com/office/officeart/2005/8/layout/process1"/>
    <dgm:cxn modelId="{18E832B6-4A72-4518-A3AE-438D64F3A21D}" type="presParOf" srcId="{7F00ABD8-C80C-4B0C-9426-2BB9B6196D53}" destId="{448AED2D-D8B3-46E6-B0B8-8DF6212A71C3}" srcOrd="10"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5.xml><?xml version="1.0" encoding="utf-8"?>
<dgm:dataModel xmlns:dgm="http://schemas.openxmlformats.org/drawingml/2006/diagram" xmlns:a="http://schemas.openxmlformats.org/drawingml/2006/main">
  <dgm:ptLst>
    <dgm:pt modelId="{4D573FDD-C7C4-4F8B-90DD-6F832C4CBE7F}" type="doc">
      <dgm:prSet loTypeId="urn:microsoft.com/office/officeart/2005/8/layout/process1" loCatId="process" qsTypeId="urn:microsoft.com/office/officeart/2005/8/quickstyle/simple1" qsCatId="simple" csTypeId="urn:microsoft.com/office/officeart/2005/8/colors/accent1_2" csCatId="accent1" phldr="1"/>
      <dgm:spPr/>
    </dgm:pt>
    <dgm:pt modelId="{1AF26C29-3E8D-4A10-A8B8-1A6641BDFBFB}">
      <dgm:prSet phldrT="[Tekst]"/>
      <dgm:spPr>
        <a:solidFill>
          <a:srgbClr val="00B050"/>
        </a:solidFill>
      </dgm:spPr>
      <dgm:t>
        <a:bodyPr/>
        <a:lstStyle/>
        <a:p>
          <a:r>
            <a:rPr lang="nl-NL"/>
            <a:t>Opwekking</a:t>
          </a:r>
        </a:p>
      </dgm:t>
    </dgm:pt>
    <dgm:pt modelId="{A81C31F6-8108-4904-8D55-CAFED35CD845}" type="parTrans" cxnId="{8EF7D354-69BE-4536-A733-1C17EBFDF067}">
      <dgm:prSet/>
      <dgm:spPr/>
      <dgm:t>
        <a:bodyPr/>
        <a:lstStyle/>
        <a:p>
          <a:endParaRPr lang="nl-NL"/>
        </a:p>
      </dgm:t>
    </dgm:pt>
    <dgm:pt modelId="{3204F693-38A5-44D7-9763-78F1466E5DB3}" type="sibTrans" cxnId="{8EF7D354-69BE-4536-A733-1C17EBFDF067}">
      <dgm:prSet/>
      <dgm:spPr/>
      <dgm:t>
        <a:bodyPr/>
        <a:lstStyle/>
        <a:p>
          <a:endParaRPr lang="nl-NL"/>
        </a:p>
      </dgm:t>
    </dgm:pt>
    <dgm:pt modelId="{6CD2344D-2C18-40C3-A55D-B778364AE865}">
      <dgm:prSet phldrT="[Tekst]"/>
      <dgm:spPr>
        <a:solidFill>
          <a:srgbClr val="00B050"/>
        </a:solidFill>
      </dgm:spPr>
      <dgm:t>
        <a:bodyPr/>
        <a:lstStyle/>
        <a:p>
          <a:r>
            <a:rPr lang="nl-NL"/>
            <a:t>Transport</a:t>
          </a:r>
        </a:p>
      </dgm:t>
    </dgm:pt>
    <dgm:pt modelId="{A5285146-3127-46B1-93E3-A9C162AA655A}" type="parTrans" cxnId="{BEB0039E-4074-4BA8-B65A-07D70CCC2CF8}">
      <dgm:prSet/>
      <dgm:spPr/>
      <dgm:t>
        <a:bodyPr/>
        <a:lstStyle/>
        <a:p>
          <a:endParaRPr lang="nl-NL"/>
        </a:p>
      </dgm:t>
    </dgm:pt>
    <dgm:pt modelId="{94B4EC8A-2069-46FD-8780-1EB4372DB52A}" type="sibTrans" cxnId="{BEB0039E-4074-4BA8-B65A-07D70CCC2CF8}">
      <dgm:prSet/>
      <dgm:spPr/>
      <dgm:t>
        <a:bodyPr/>
        <a:lstStyle/>
        <a:p>
          <a:endParaRPr lang="nl-NL"/>
        </a:p>
      </dgm:t>
    </dgm:pt>
    <dgm:pt modelId="{4F25495F-142E-4297-A712-F1491EC90A4C}">
      <dgm:prSet phldrT="[Tekst]"/>
      <dgm:spPr>
        <a:pattFill prst="wdUpDiag">
          <a:fgClr>
            <a:srgbClr val="00B050"/>
          </a:fgClr>
          <a:bgClr>
            <a:srgbClr val="FF0000"/>
          </a:bgClr>
        </a:pattFill>
      </dgm:spPr>
      <dgm:t>
        <a:bodyPr/>
        <a:lstStyle/>
        <a:p>
          <a:r>
            <a:rPr lang="nl-NL"/>
            <a:t>Gebouweigenaar</a:t>
          </a:r>
        </a:p>
      </dgm:t>
    </dgm:pt>
    <dgm:pt modelId="{A941BA8D-4EA6-443F-8A61-3FCA6962B884}" type="parTrans" cxnId="{A75F94B9-0459-468B-B72D-589921FF9610}">
      <dgm:prSet/>
      <dgm:spPr/>
      <dgm:t>
        <a:bodyPr/>
        <a:lstStyle/>
        <a:p>
          <a:endParaRPr lang="nl-NL"/>
        </a:p>
      </dgm:t>
    </dgm:pt>
    <dgm:pt modelId="{5197264B-4EBD-45FE-86EB-DF63DCD417F3}" type="sibTrans" cxnId="{A75F94B9-0459-468B-B72D-589921FF9610}">
      <dgm:prSet/>
      <dgm:spPr/>
      <dgm:t>
        <a:bodyPr/>
        <a:lstStyle/>
        <a:p>
          <a:endParaRPr lang="nl-NL"/>
        </a:p>
      </dgm:t>
    </dgm:pt>
    <dgm:pt modelId="{6A32C24E-D988-4789-815F-8CD10D51D709}">
      <dgm:prSet phldrT="[Tekst]"/>
      <dgm:spPr>
        <a:solidFill>
          <a:srgbClr val="00B050"/>
        </a:solidFill>
      </dgm:spPr>
      <dgm:t>
        <a:bodyPr/>
        <a:lstStyle/>
        <a:p>
          <a:r>
            <a:rPr lang="nl-NL"/>
            <a:t>Distributie</a:t>
          </a:r>
        </a:p>
      </dgm:t>
    </dgm:pt>
    <dgm:pt modelId="{00AE9D3E-6786-4110-A438-ED35357B6098}" type="parTrans" cxnId="{D8B69F78-6C11-46F7-8FE1-C46980B82229}">
      <dgm:prSet/>
      <dgm:spPr/>
      <dgm:t>
        <a:bodyPr/>
        <a:lstStyle/>
        <a:p>
          <a:endParaRPr lang="nl-NL"/>
        </a:p>
      </dgm:t>
    </dgm:pt>
    <dgm:pt modelId="{825D9029-4BAC-4401-8012-EAB81E162B22}" type="sibTrans" cxnId="{D8B69F78-6C11-46F7-8FE1-C46980B82229}">
      <dgm:prSet/>
      <dgm:spPr/>
      <dgm:t>
        <a:bodyPr/>
        <a:lstStyle/>
        <a:p>
          <a:endParaRPr lang="nl-NL"/>
        </a:p>
      </dgm:t>
    </dgm:pt>
    <dgm:pt modelId="{3C2867D4-ED4B-4E74-963F-34872DCBE262}">
      <dgm:prSet phldrT="[Tekst]"/>
      <dgm:spPr>
        <a:pattFill prst="wdUpDiag">
          <a:fgClr>
            <a:srgbClr val="00B050"/>
          </a:fgClr>
          <a:bgClr>
            <a:srgbClr val="FF0000"/>
          </a:bgClr>
        </a:pattFill>
      </dgm:spPr>
      <dgm:t>
        <a:bodyPr/>
        <a:lstStyle/>
        <a:p>
          <a:r>
            <a:rPr lang="nl-NL"/>
            <a:t>Levering</a:t>
          </a:r>
        </a:p>
      </dgm:t>
    </dgm:pt>
    <dgm:pt modelId="{7A2893BE-B26C-417D-98A0-29EDD8353425}" type="parTrans" cxnId="{25D7B5B0-3A29-45D2-B57D-F4921FD19A05}">
      <dgm:prSet/>
      <dgm:spPr/>
      <dgm:t>
        <a:bodyPr/>
        <a:lstStyle/>
        <a:p>
          <a:endParaRPr lang="nl-NL"/>
        </a:p>
      </dgm:t>
    </dgm:pt>
    <dgm:pt modelId="{3DD9D381-6DF0-4EA9-B1CC-02B81D498064}" type="sibTrans" cxnId="{25D7B5B0-3A29-45D2-B57D-F4921FD19A05}">
      <dgm:prSet/>
      <dgm:spPr/>
      <dgm:t>
        <a:bodyPr/>
        <a:lstStyle/>
        <a:p>
          <a:endParaRPr lang="nl-NL"/>
        </a:p>
      </dgm:t>
    </dgm:pt>
    <dgm:pt modelId="{13FC700A-6023-48B3-B973-539428C7DBBC}">
      <dgm:prSet phldrT="[Tekst]"/>
      <dgm:spPr>
        <a:solidFill>
          <a:srgbClr val="FF0000"/>
        </a:solidFill>
      </dgm:spPr>
      <dgm:t>
        <a:bodyPr/>
        <a:lstStyle/>
        <a:p>
          <a:r>
            <a:rPr lang="nl-NL"/>
            <a:t>Gebouwgebruiker</a:t>
          </a:r>
        </a:p>
      </dgm:t>
    </dgm:pt>
    <dgm:pt modelId="{381F3BDF-8590-47CD-BE26-CC280D69B6EE}" type="parTrans" cxnId="{D9742B80-27CF-4078-AA62-E254BED8AD05}">
      <dgm:prSet/>
      <dgm:spPr/>
      <dgm:t>
        <a:bodyPr/>
        <a:lstStyle/>
        <a:p>
          <a:endParaRPr lang="nl-NL"/>
        </a:p>
      </dgm:t>
    </dgm:pt>
    <dgm:pt modelId="{20CE7F16-A23C-41B4-B43E-7A5504D0602C}" type="sibTrans" cxnId="{D9742B80-27CF-4078-AA62-E254BED8AD05}">
      <dgm:prSet/>
      <dgm:spPr/>
      <dgm:t>
        <a:bodyPr/>
        <a:lstStyle/>
        <a:p>
          <a:endParaRPr lang="nl-NL"/>
        </a:p>
      </dgm:t>
    </dgm:pt>
    <dgm:pt modelId="{7F00ABD8-C80C-4B0C-9426-2BB9B6196D53}" type="pres">
      <dgm:prSet presAssocID="{4D573FDD-C7C4-4F8B-90DD-6F832C4CBE7F}" presName="Name0" presStyleCnt="0">
        <dgm:presLayoutVars>
          <dgm:dir/>
          <dgm:resizeHandles val="exact"/>
        </dgm:presLayoutVars>
      </dgm:prSet>
      <dgm:spPr/>
    </dgm:pt>
    <dgm:pt modelId="{B9B5C909-3AEC-4297-9632-4D26CEB2B852}" type="pres">
      <dgm:prSet presAssocID="{1AF26C29-3E8D-4A10-A8B8-1A6641BDFBFB}" presName="node" presStyleLbl="node1" presStyleIdx="0" presStyleCnt="6">
        <dgm:presLayoutVars>
          <dgm:bulletEnabled val="1"/>
        </dgm:presLayoutVars>
      </dgm:prSet>
      <dgm:spPr/>
    </dgm:pt>
    <dgm:pt modelId="{3FB7EE3B-B8B5-4C1C-BD9F-6C698DE39974}" type="pres">
      <dgm:prSet presAssocID="{3204F693-38A5-44D7-9763-78F1466E5DB3}" presName="sibTrans" presStyleLbl="sibTrans2D1" presStyleIdx="0" presStyleCnt="5"/>
      <dgm:spPr/>
    </dgm:pt>
    <dgm:pt modelId="{8DE93EE7-5155-4691-8A8D-DF0E7132C5CB}" type="pres">
      <dgm:prSet presAssocID="{3204F693-38A5-44D7-9763-78F1466E5DB3}" presName="connectorText" presStyleLbl="sibTrans2D1" presStyleIdx="0" presStyleCnt="5"/>
      <dgm:spPr/>
    </dgm:pt>
    <dgm:pt modelId="{AEC31C28-2D6F-481D-A02B-B65E1EAC0F2A}" type="pres">
      <dgm:prSet presAssocID="{6CD2344D-2C18-40C3-A55D-B778364AE865}" presName="node" presStyleLbl="node1" presStyleIdx="1" presStyleCnt="6">
        <dgm:presLayoutVars>
          <dgm:bulletEnabled val="1"/>
        </dgm:presLayoutVars>
      </dgm:prSet>
      <dgm:spPr/>
    </dgm:pt>
    <dgm:pt modelId="{56600F6D-2702-4087-964C-A860E5CE35FA}" type="pres">
      <dgm:prSet presAssocID="{94B4EC8A-2069-46FD-8780-1EB4372DB52A}" presName="sibTrans" presStyleLbl="sibTrans2D1" presStyleIdx="1" presStyleCnt="5"/>
      <dgm:spPr/>
    </dgm:pt>
    <dgm:pt modelId="{ED0B2CC7-0617-4AC0-B672-846B9FA36280}" type="pres">
      <dgm:prSet presAssocID="{94B4EC8A-2069-46FD-8780-1EB4372DB52A}" presName="connectorText" presStyleLbl="sibTrans2D1" presStyleIdx="1" presStyleCnt="5"/>
      <dgm:spPr/>
    </dgm:pt>
    <dgm:pt modelId="{33F38066-99C6-43F7-A0EF-6BDAE7C13007}" type="pres">
      <dgm:prSet presAssocID="{6A32C24E-D988-4789-815F-8CD10D51D709}" presName="node" presStyleLbl="node1" presStyleIdx="2" presStyleCnt="6">
        <dgm:presLayoutVars>
          <dgm:bulletEnabled val="1"/>
        </dgm:presLayoutVars>
      </dgm:prSet>
      <dgm:spPr/>
    </dgm:pt>
    <dgm:pt modelId="{B51D30BC-F321-4D76-BC2E-B534CCD8C561}" type="pres">
      <dgm:prSet presAssocID="{825D9029-4BAC-4401-8012-EAB81E162B22}" presName="sibTrans" presStyleLbl="sibTrans2D1" presStyleIdx="2" presStyleCnt="5"/>
      <dgm:spPr/>
    </dgm:pt>
    <dgm:pt modelId="{E12601C3-0CDF-439E-963C-F918B4B5CAC3}" type="pres">
      <dgm:prSet presAssocID="{825D9029-4BAC-4401-8012-EAB81E162B22}" presName="connectorText" presStyleLbl="sibTrans2D1" presStyleIdx="2" presStyleCnt="5"/>
      <dgm:spPr/>
    </dgm:pt>
    <dgm:pt modelId="{36299411-3198-46A1-A032-54CF4F95D1EA}" type="pres">
      <dgm:prSet presAssocID="{3C2867D4-ED4B-4E74-963F-34872DCBE262}" presName="node" presStyleLbl="node1" presStyleIdx="3" presStyleCnt="6">
        <dgm:presLayoutVars>
          <dgm:bulletEnabled val="1"/>
        </dgm:presLayoutVars>
      </dgm:prSet>
      <dgm:spPr/>
    </dgm:pt>
    <dgm:pt modelId="{24C153D4-3E28-44E0-A5D2-15685E2057AC}" type="pres">
      <dgm:prSet presAssocID="{3DD9D381-6DF0-4EA9-B1CC-02B81D498064}" presName="sibTrans" presStyleLbl="sibTrans2D1" presStyleIdx="3" presStyleCnt="5"/>
      <dgm:spPr/>
    </dgm:pt>
    <dgm:pt modelId="{2C33D4B4-DE1C-4CCD-8FCA-E4104D75A043}" type="pres">
      <dgm:prSet presAssocID="{3DD9D381-6DF0-4EA9-B1CC-02B81D498064}" presName="connectorText" presStyleLbl="sibTrans2D1" presStyleIdx="3" presStyleCnt="5"/>
      <dgm:spPr/>
    </dgm:pt>
    <dgm:pt modelId="{A81E6D3A-EBE5-41CF-9BEA-B0DB0ABE8482}" type="pres">
      <dgm:prSet presAssocID="{4F25495F-142E-4297-A712-F1491EC90A4C}" presName="node" presStyleLbl="node1" presStyleIdx="4" presStyleCnt="6">
        <dgm:presLayoutVars>
          <dgm:bulletEnabled val="1"/>
        </dgm:presLayoutVars>
      </dgm:prSet>
      <dgm:spPr/>
    </dgm:pt>
    <dgm:pt modelId="{AEBEEBE4-2AA3-47D4-86B2-0D51AC71C51B}" type="pres">
      <dgm:prSet presAssocID="{5197264B-4EBD-45FE-86EB-DF63DCD417F3}" presName="sibTrans" presStyleLbl="sibTrans2D1" presStyleIdx="4" presStyleCnt="5"/>
      <dgm:spPr/>
    </dgm:pt>
    <dgm:pt modelId="{4AC4F155-D6A2-4CD6-97E1-5B9940BF9FFB}" type="pres">
      <dgm:prSet presAssocID="{5197264B-4EBD-45FE-86EB-DF63DCD417F3}" presName="connectorText" presStyleLbl="sibTrans2D1" presStyleIdx="4" presStyleCnt="5"/>
      <dgm:spPr/>
    </dgm:pt>
    <dgm:pt modelId="{448AED2D-D8B3-46E6-B0B8-8DF6212A71C3}" type="pres">
      <dgm:prSet presAssocID="{13FC700A-6023-48B3-B973-539428C7DBBC}" presName="node" presStyleLbl="node1" presStyleIdx="5" presStyleCnt="6">
        <dgm:presLayoutVars>
          <dgm:bulletEnabled val="1"/>
        </dgm:presLayoutVars>
      </dgm:prSet>
      <dgm:spPr/>
    </dgm:pt>
  </dgm:ptLst>
  <dgm:cxnLst>
    <dgm:cxn modelId="{A8B8C819-08EF-4CFB-9130-EA3D73B9D701}" type="presOf" srcId="{825D9029-4BAC-4401-8012-EAB81E162B22}" destId="{B51D30BC-F321-4D76-BC2E-B534CCD8C561}" srcOrd="0" destOrd="0" presId="urn:microsoft.com/office/officeart/2005/8/layout/process1"/>
    <dgm:cxn modelId="{6C013A24-3A82-44C2-9E59-DCCBB00E48F0}" type="presOf" srcId="{6CD2344D-2C18-40C3-A55D-B778364AE865}" destId="{AEC31C28-2D6F-481D-A02B-B65E1EAC0F2A}" srcOrd="0" destOrd="0" presId="urn:microsoft.com/office/officeart/2005/8/layout/process1"/>
    <dgm:cxn modelId="{75275A28-9144-4B94-9C69-5E54473E313F}" type="presOf" srcId="{3204F693-38A5-44D7-9763-78F1466E5DB3}" destId="{8DE93EE7-5155-4691-8A8D-DF0E7132C5CB}" srcOrd="1" destOrd="0" presId="urn:microsoft.com/office/officeart/2005/8/layout/process1"/>
    <dgm:cxn modelId="{8AFB003D-79FB-4772-9FB2-DFFE6BEF29DF}" type="presOf" srcId="{4F25495F-142E-4297-A712-F1491EC90A4C}" destId="{A81E6D3A-EBE5-41CF-9BEA-B0DB0ABE8482}" srcOrd="0" destOrd="0" presId="urn:microsoft.com/office/officeart/2005/8/layout/process1"/>
    <dgm:cxn modelId="{EF2F0F6B-0EEC-4475-8748-37643D01693A}" type="presOf" srcId="{1AF26C29-3E8D-4A10-A8B8-1A6641BDFBFB}" destId="{B9B5C909-3AEC-4297-9632-4D26CEB2B852}" srcOrd="0" destOrd="0" presId="urn:microsoft.com/office/officeart/2005/8/layout/process1"/>
    <dgm:cxn modelId="{1DA1C76E-7279-4228-8D3E-D8C729B9AA71}" type="presOf" srcId="{4D573FDD-C7C4-4F8B-90DD-6F832C4CBE7F}" destId="{7F00ABD8-C80C-4B0C-9426-2BB9B6196D53}" srcOrd="0" destOrd="0" presId="urn:microsoft.com/office/officeart/2005/8/layout/process1"/>
    <dgm:cxn modelId="{A2FCBA4F-20EF-453C-A067-B0F9D8CC5987}" type="presOf" srcId="{13FC700A-6023-48B3-B973-539428C7DBBC}" destId="{448AED2D-D8B3-46E6-B0B8-8DF6212A71C3}" srcOrd="0" destOrd="0" presId="urn:microsoft.com/office/officeart/2005/8/layout/process1"/>
    <dgm:cxn modelId="{8EF7D354-69BE-4536-A733-1C17EBFDF067}" srcId="{4D573FDD-C7C4-4F8B-90DD-6F832C4CBE7F}" destId="{1AF26C29-3E8D-4A10-A8B8-1A6641BDFBFB}" srcOrd="0" destOrd="0" parTransId="{A81C31F6-8108-4904-8D55-CAFED35CD845}" sibTransId="{3204F693-38A5-44D7-9763-78F1466E5DB3}"/>
    <dgm:cxn modelId="{D8B69F78-6C11-46F7-8FE1-C46980B82229}" srcId="{4D573FDD-C7C4-4F8B-90DD-6F832C4CBE7F}" destId="{6A32C24E-D988-4789-815F-8CD10D51D709}" srcOrd="2" destOrd="0" parTransId="{00AE9D3E-6786-4110-A438-ED35357B6098}" sibTransId="{825D9029-4BAC-4401-8012-EAB81E162B22}"/>
    <dgm:cxn modelId="{D9742B80-27CF-4078-AA62-E254BED8AD05}" srcId="{4D573FDD-C7C4-4F8B-90DD-6F832C4CBE7F}" destId="{13FC700A-6023-48B3-B973-539428C7DBBC}" srcOrd="5" destOrd="0" parTransId="{381F3BDF-8590-47CD-BE26-CC280D69B6EE}" sibTransId="{20CE7F16-A23C-41B4-B43E-7A5504D0602C}"/>
    <dgm:cxn modelId="{BBA9B699-4CEC-46FD-8FE8-4BE54938417E}" type="presOf" srcId="{825D9029-4BAC-4401-8012-EAB81E162B22}" destId="{E12601C3-0CDF-439E-963C-F918B4B5CAC3}" srcOrd="1" destOrd="0" presId="urn:microsoft.com/office/officeart/2005/8/layout/process1"/>
    <dgm:cxn modelId="{EDB02B9A-039C-4C01-81AD-821000529BFA}" type="presOf" srcId="{5197264B-4EBD-45FE-86EB-DF63DCD417F3}" destId="{AEBEEBE4-2AA3-47D4-86B2-0D51AC71C51B}" srcOrd="0" destOrd="0" presId="urn:microsoft.com/office/officeart/2005/8/layout/process1"/>
    <dgm:cxn modelId="{8B58F69C-9589-4644-9071-6C024B0D0024}" type="presOf" srcId="{5197264B-4EBD-45FE-86EB-DF63DCD417F3}" destId="{4AC4F155-D6A2-4CD6-97E1-5B9940BF9FFB}" srcOrd="1" destOrd="0" presId="urn:microsoft.com/office/officeart/2005/8/layout/process1"/>
    <dgm:cxn modelId="{BEB0039E-4074-4BA8-B65A-07D70CCC2CF8}" srcId="{4D573FDD-C7C4-4F8B-90DD-6F832C4CBE7F}" destId="{6CD2344D-2C18-40C3-A55D-B778364AE865}" srcOrd="1" destOrd="0" parTransId="{A5285146-3127-46B1-93E3-A9C162AA655A}" sibTransId="{94B4EC8A-2069-46FD-8780-1EB4372DB52A}"/>
    <dgm:cxn modelId="{BD080FA6-4EF2-464B-A617-4B2778EDB176}" type="presOf" srcId="{6A32C24E-D988-4789-815F-8CD10D51D709}" destId="{33F38066-99C6-43F7-A0EF-6BDAE7C13007}" srcOrd="0" destOrd="0" presId="urn:microsoft.com/office/officeart/2005/8/layout/process1"/>
    <dgm:cxn modelId="{25D7B5B0-3A29-45D2-B57D-F4921FD19A05}" srcId="{4D573FDD-C7C4-4F8B-90DD-6F832C4CBE7F}" destId="{3C2867D4-ED4B-4E74-963F-34872DCBE262}" srcOrd="3" destOrd="0" parTransId="{7A2893BE-B26C-417D-98A0-29EDD8353425}" sibTransId="{3DD9D381-6DF0-4EA9-B1CC-02B81D498064}"/>
    <dgm:cxn modelId="{E84F4FB7-3B16-4344-9C1E-BEA5AE4CCF61}" type="presOf" srcId="{94B4EC8A-2069-46FD-8780-1EB4372DB52A}" destId="{ED0B2CC7-0617-4AC0-B672-846B9FA36280}" srcOrd="1" destOrd="0" presId="urn:microsoft.com/office/officeart/2005/8/layout/process1"/>
    <dgm:cxn modelId="{A75F94B9-0459-468B-B72D-589921FF9610}" srcId="{4D573FDD-C7C4-4F8B-90DD-6F832C4CBE7F}" destId="{4F25495F-142E-4297-A712-F1491EC90A4C}" srcOrd="4" destOrd="0" parTransId="{A941BA8D-4EA6-443F-8A61-3FCA6962B884}" sibTransId="{5197264B-4EBD-45FE-86EB-DF63DCD417F3}"/>
    <dgm:cxn modelId="{C7188CD6-E81E-4BC2-A2F5-F37ED3192F5B}" type="presOf" srcId="{94B4EC8A-2069-46FD-8780-1EB4372DB52A}" destId="{56600F6D-2702-4087-964C-A860E5CE35FA}" srcOrd="0" destOrd="0" presId="urn:microsoft.com/office/officeart/2005/8/layout/process1"/>
    <dgm:cxn modelId="{74CBEFE1-6895-45ED-8CCC-FC6CDD46210D}" type="presOf" srcId="{3DD9D381-6DF0-4EA9-B1CC-02B81D498064}" destId="{2C33D4B4-DE1C-4CCD-8FCA-E4104D75A043}" srcOrd="1" destOrd="0" presId="urn:microsoft.com/office/officeart/2005/8/layout/process1"/>
    <dgm:cxn modelId="{97C543E8-FBB0-4F86-A6FD-FF2FA6C20835}" type="presOf" srcId="{3DD9D381-6DF0-4EA9-B1CC-02B81D498064}" destId="{24C153D4-3E28-44E0-A5D2-15685E2057AC}" srcOrd="0" destOrd="0" presId="urn:microsoft.com/office/officeart/2005/8/layout/process1"/>
    <dgm:cxn modelId="{738F88ED-A30A-4C8B-9580-AAAE5D22786C}" type="presOf" srcId="{3204F693-38A5-44D7-9763-78F1466E5DB3}" destId="{3FB7EE3B-B8B5-4C1C-BD9F-6C698DE39974}" srcOrd="0" destOrd="0" presId="urn:microsoft.com/office/officeart/2005/8/layout/process1"/>
    <dgm:cxn modelId="{A8A0DBEF-E900-4F1C-A6D7-3C62EC544334}" type="presOf" srcId="{3C2867D4-ED4B-4E74-963F-34872DCBE262}" destId="{36299411-3198-46A1-A032-54CF4F95D1EA}" srcOrd="0" destOrd="0" presId="urn:microsoft.com/office/officeart/2005/8/layout/process1"/>
    <dgm:cxn modelId="{2A9B0147-FE32-4217-BB35-BA1338A1E82D}" type="presParOf" srcId="{7F00ABD8-C80C-4B0C-9426-2BB9B6196D53}" destId="{B9B5C909-3AEC-4297-9632-4D26CEB2B852}" srcOrd="0" destOrd="0" presId="urn:microsoft.com/office/officeart/2005/8/layout/process1"/>
    <dgm:cxn modelId="{B3AE3C96-5266-4F12-A544-5FCE32869AA2}" type="presParOf" srcId="{7F00ABD8-C80C-4B0C-9426-2BB9B6196D53}" destId="{3FB7EE3B-B8B5-4C1C-BD9F-6C698DE39974}" srcOrd="1" destOrd="0" presId="urn:microsoft.com/office/officeart/2005/8/layout/process1"/>
    <dgm:cxn modelId="{83459467-655E-448B-98E4-504C255C953A}" type="presParOf" srcId="{3FB7EE3B-B8B5-4C1C-BD9F-6C698DE39974}" destId="{8DE93EE7-5155-4691-8A8D-DF0E7132C5CB}" srcOrd="0" destOrd="0" presId="urn:microsoft.com/office/officeart/2005/8/layout/process1"/>
    <dgm:cxn modelId="{0A04934B-4270-4EB9-8EF1-C603CFFD2B43}" type="presParOf" srcId="{7F00ABD8-C80C-4B0C-9426-2BB9B6196D53}" destId="{AEC31C28-2D6F-481D-A02B-B65E1EAC0F2A}" srcOrd="2" destOrd="0" presId="urn:microsoft.com/office/officeart/2005/8/layout/process1"/>
    <dgm:cxn modelId="{0B2BD588-D529-4500-BD7C-7A1816400A62}" type="presParOf" srcId="{7F00ABD8-C80C-4B0C-9426-2BB9B6196D53}" destId="{56600F6D-2702-4087-964C-A860E5CE35FA}" srcOrd="3" destOrd="0" presId="urn:microsoft.com/office/officeart/2005/8/layout/process1"/>
    <dgm:cxn modelId="{31926711-A11C-413C-A010-764DB5A6EF81}" type="presParOf" srcId="{56600F6D-2702-4087-964C-A860E5CE35FA}" destId="{ED0B2CC7-0617-4AC0-B672-846B9FA36280}" srcOrd="0" destOrd="0" presId="urn:microsoft.com/office/officeart/2005/8/layout/process1"/>
    <dgm:cxn modelId="{13798411-27F9-47C6-8566-4F2D040386C3}" type="presParOf" srcId="{7F00ABD8-C80C-4B0C-9426-2BB9B6196D53}" destId="{33F38066-99C6-43F7-A0EF-6BDAE7C13007}" srcOrd="4" destOrd="0" presId="urn:microsoft.com/office/officeart/2005/8/layout/process1"/>
    <dgm:cxn modelId="{C42B78D7-74F2-4757-BA4E-A8D6DE20402D}" type="presParOf" srcId="{7F00ABD8-C80C-4B0C-9426-2BB9B6196D53}" destId="{B51D30BC-F321-4D76-BC2E-B534CCD8C561}" srcOrd="5" destOrd="0" presId="urn:microsoft.com/office/officeart/2005/8/layout/process1"/>
    <dgm:cxn modelId="{D75E3D42-A519-42FF-BC98-C7F427CDBE89}" type="presParOf" srcId="{B51D30BC-F321-4D76-BC2E-B534CCD8C561}" destId="{E12601C3-0CDF-439E-963C-F918B4B5CAC3}" srcOrd="0" destOrd="0" presId="urn:microsoft.com/office/officeart/2005/8/layout/process1"/>
    <dgm:cxn modelId="{381137BA-5ED4-47AE-96AA-CBCBFA8E3FF0}" type="presParOf" srcId="{7F00ABD8-C80C-4B0C-9426-2BB9B6196D53}" destId="{36299411-3198-46A1-A032-54CF4F95D1EA}" srcOrd="6" destOrd="0" presId="urn:microsoft.com/office/officeart/2005/8/layout/process1"/>
    <dgm:cxn modelId="{EC6E6AED-C94A-4AEF-9D4C-3E20FB7F18C3}" type="presParOf" srcId="{7F00ABD8-C80C-4B0C-9426-2BB9B6196D53}" destId="{24C153D4-3E28-44E0-A5D2-15685E2057AC}" srcOrd="7" destOrd="0" presId="urn:microsoft.com/office/officeart/2005/8/layout/process1"/>
    <dgm:cxn modelId="{96AC7F39-6B65-4356-955E-DCA362480D4A}" type="presParOf" srcId="{24C153D4-3E28-44E0-A5D2-15685E2057AC}" destId="{2C33D4B4-DE1C-4CCD-8FCA-E4104D75A043}" srcOrd="0" destOrd="0" presId="urn:microsoft.com/office/officeart/2005/8/layout/process1"/>
    <dgm:cxn modelId="{F965BAFD-51E3-432C-A9E9-4F24027B8B50}" type="presParOf" srcId="{7F00ABD8-C80C-4B0C-9426-2BB9B6196D53}" destId="{A81E6D3A-EBE5-41CF-9BEA-B0DB0ABE8482}" srcOrd="8" destOrd="0" presId="urn:microsoft.com/office/officeart/2005/8/layout/process1"/>
    <dgm:cxn modelId="{2F7EE103-2EEF-429E-82B6-077575CD582A}" type="presParOf" srcId="{7F00ABD8-C80C-4B0C-9426-2BB9B6196D53}" destId="{AEBEEBE4-2AA3-47D4-86B2-0D51AC71C51B}" srcOrd="9" destOrd="0" presId="urn:microsoft.com/office/officeart/2005/8/layout/process1"/>
    <dgm:cxn modelId="{CCC51533-C106-4BE1-9763-ED1EDC50ED36}" type="presParOf" srcId="{AEBEEBE4-2AA3-47D4-86B2-0D51AC71C51B}" destId="{4AC4F155-D6A2-4CD6-97E1-5B9940BF9FFB}" srcOrd="0" destOrd="0" presId="urn:microsoft.com/office/officeart/2005/8/layout/process1"/>
    <dgm:cxn modelId="{509FAB97-6021-4E05-8D09-512BF4CDCD2E}" type="presParOf" srcId="{7F00ABD8-C80C-4B0C-9426-2BB9B6196D53}" destId="{448AED2D-D8B3-46E6-B0B8-8DF6212A71C3}" srcOrd="10" destOrd="0" presId="urn:microsoft.com/office/officeart/2005/8/layout/process1"/>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9B5C909-3AEC-4297-9632-4D26CEB2B852}">
      <dsp:nvSpPr>
        <dsp:cNvPr id="0" name=""/>
        <dsp:cNvSpPr/>
      </dsp:nvSpPr>
      <dsp:spPr>
        <a:xfrm>
          <a:off x="0" y="174128"/>
          <a:ext cx="927695" cy="556617"/>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Opwekking</a:t>
          </a:r>
        </a:p>
      </dsp:txBody>
      <dsp:txXfrm>
        <a:off x="16303" y="190431"/>
        <a:ext cx="895089" cy="524011"/>
      </dsp:txXfrm>
    </dsp:sp>
    <dsp:sp modelId="{3FB7EE3B-B8B5-4C1C-BD9F-6C698DE39974}">
      <dsp:nvSpPr>
        <dsp:cNvPr id="0" name=""/>
        <dsp:cNvSpPr/>
      </dsp:nvSpPr>
      <dsp:spPr>
        <a:xfrm>
          <a:off x="1020464" y="337403"/>
          <a:ext cx="196671" cy="23006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1020464" y="383417"/>
        <a:ext cx="137670" cy="138040"/>
      </dsp:txXfrm>
    </dsp:sp>
    <dsp:sp modelId="{AEC31C28-2D6F-481D-A02B-B65E1EAC0F2A}">
      <dsp:nvSpPr>
        <dsp:cNvPr id="0" name=""/>
        <dsp:cNvSpPr/>
      </dsp:nvSpPr>
      <dsp:spPr>
        <a:xfrm>
          <a:off x="1298773" y="174128"/>
          <a:ext cx="927695" cy="556617"/>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Transport</a:t>
          </a:r>
        </a:p>
      </dsp:txBody>
      <dsp:txXfrm>
        <a:off x="1315076" y="190431"/>
        <a:ext cx="895089" cy="524011"/>
      </dsp:txXfrm>
    </dsp:sp>
    <dsp:sp modelId="{56600F6D-2702-4087-964C-A860E5CE35FA}">
      <dsp:nvSpPr>
        <dsp:cNvPr id="0" name=""/>
        <dsp:cNvSpPr/>
      </dsp:nvSpPr>
      <dsp:spPr>
        <a:xfrm>
          <a:off x="2319238" y="337403"/>
          <a:ext cx="196671" cy="23006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2319238" y="383417"/>
        <a:ext cx="137670" cy="138040"/>
      </dsp:txXfrm>
    </dsp:sp>
    <dsp:sp modelId="{33F38066-99C6-43F7-A0EF-6BDAE7C13007}">
      <dsp:nvSpPr>
        <dsp:cNvPr id="0" name=""/>
        <dsp:cNvSpPr/>
      </dsp:nvSpPr>
      <dsp:spPr>
        <a:xfrm>
          <a:off x="2597547" y="174128"/>
          <a:ext cx="927695" cy="556617"/>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Distributie</a:t>
          </a:r>
        </a:p>
      </dsp:txBody>
      <dsp:txXfrm>
        <a:off x="2613850" y="190431"/>
        <a:ext cx="895089" cy="524011"/>
      </dsp:txXfrm>
    </dsp:sp>
    <dsp:sp modelId="{B51D30BC-F321-4D76-BC2E-B534CCD8C561}">
      <dsp:nvSpPr>
        <dsp:cNvPr id="0" name=""/>
        <dsp:cNvSpPr/>
      </dsp:nvSpPr>
      <dsp:spPr>
        <a:xfrm>
          <a:off x="3618011" y="337403"/>
          <a:ext cx="196671" cy="23006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3618011" y="383417"/>
        <a:ext cx="137670" cy="138040"/>
      </dsp:txXfrm>
    </dsp:sp>
    <dsp:sp modelId="{36299411-3198-46A1-A032-54CF4F95D1EA}">
      <dsp:nvSpPr>
        <dsp:cNvPr id="0" name=""/>
        <dsp:cNvSpPr/>
      </dsp:nvSpPr>
      <dsp:spPr>
        <a:xfrm>
          <a:off x="3896320" y="174128"/>
          <a:ext cx="927695" cy="556617"/>
        </a:xfrm>
        <a:prstGeom prst="roundRect">
          <a:avLst>
            <a:gd name="adj" fmla="val 10000"/>
          </a:avLst>
        </a:prstGeom>
        <a:pattFill prst="wdUpDiag">
          <a:fgClr>
            <a:srgbClr val="00B050"/>
          </a:fgClr>
          <a:bgClr>
            <a:srgbClr val="FF0000"/>
          </a:bgClr>
        </a:patt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Levering</a:t>
          </a:r>
        </a:p>
      </dsp:txBody>
      <dsp:txXfrm>
        <a:off x="3912623" y="190431"/>
        <a:ext cx="895089" cy="524011"/>
      </dsp:txXfrm>
    </dsp:sp>
    <dsp:sp modelId="{24C153D4-3E28-44E0-A5D2-15685E2057AC}">
      <dsp:nvSpPr>
        <dsp:cNvPr id="0" name=""/>
        <dsp:cNvSpPr/>
      </dsp:nvSpPr>
      <dsp:spPr>
        <a:xfrm>
          <a:off x="4916785" y="337403"/>
          <a:ext cx="196671" cy="23006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4916785" y="383417"/>
        <a:ext cx="137670" cy="138040"/>
      </dsp:txXfrm>
    </dsp:sp>
    <dsp:sp modelId="{A81E6D3A-EBE5-41CF-9BEA-B0DB0ABE8482}">
      <dsp:nvSpPr>
        <dsp:cNvPr id="0" name=""/>
        <dsp:cNvSpPr/>
      </dsp:nvSpPr>
      <dsp:spPr>
        <a:xfrm>
          <a:off x="5195094" y="174128"/>
          <a:ext cx="927695" cy="556617"/>
        </a:xfrm>
        <a:prstGeom prst="roundRect">
          <a:avLst>
            <a:gd name="adj" fmla="val 10000"/>
          </a:avLst>
        </a:prstGeom>
        <a:pattFill prst="wdUpDiag">
          <a:fgClr>
            <a:srgbClr val="00B050"/>
          </a:fgClr>
          <a:bgClr>
            <a:srgbClr val="FF0000"/>
          </a:bgClr>
        </a:patt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Gebouweigenaar</a:t>
          </a:r>
        </a:p>
      </dsp:txBody>
      <dsp:txXfrm>
        <a:off x="5211397" y="190431"/>
        <a:ext cx="895089" cy="524011"/>
      </dsp:txXfrm>
    </dsp:sp>
    <dsp:sp modelId="{AEBEEBE4-2AA3-47D4-86B2-0D51AC71C51B}">
      <dsp:nvSpPr>
        <dsp:cNvPr id="0" name=""/>
        <dsp:cNvSpPr/>
      </dsp:nvSpPr>
      <dsp:spPr>
        <a:xfrm>
          <a:off x="6215559" y="337403"/>
          <a:ext cx="196671" cy="230068"/>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6215559" y="383417"/>
        <a:ext cx="137670" cy="138040"/>
      </dsp:txXfrm>
    </dsp:sp>
    <dsp:sp modelId="{448AED2D-D8B3-46E6-B0B8-8DF6212A71C3}">
      <dsp:nvSpPr>
        <dsp:cNvPr id="0" name=""/>
        <dsp:cNvSpPr/>
      </dsp:nvSpPr>
      <dsp:spPr>
        <a:xfrm>
          <a:off x="6493867" y="174128"/>
          <a:ext cx="927695" cy="556617"/>
        </a:xfrm>
        <a:prstGeom prst="roundRect">
          <a:avLst>
            <a:gd name="adj" fmla="val 10000"/>
          </a:avLst>
        </a:prstGeom>
        <a:solidFill>
          <a:srgbClr val="FF0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Gebouwgebruiker</a:t>
          </a:r>
        </a:p>
      </dsp:txBody>
      <dsp:txXfrm>
        <a:off x="6510170" y="190431"/>
        <a:ext cx="895089" cy="524011"/>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9B5C909-3AEC-4297-9632-4D26CEB2B852}">
      <dsp:nvSpPr>
        <dsp:cNvPr id="0" name=""/>
        <dsp:cNvSpPr/>
      </dsp:nvSpPr>
      <dsp:spPr>
        <a:xfrm>
          <a:off x="0" y="171985"/>
          <a:ext cx="934839" cy="560903"/>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Opwekking</a:t>
          </a:r>
        </a:p>
      </dsp:txBody>
      <dsp:txXfrm>
        <a:off x="16428" y="188413"/>
        <a:ext cx="901983" cy="528047"/>
      </dsp:txXfrm>
    </dsp:sp>
    <dsp:sp modelId="{3FB7EE3B-B8B5-4C1C-BD9F-6C698DE39974}">
      <dsp:nvSpPr>
        <dsp:cNvPr id="0" name=""/>
        <dsp:cNvSpPr/>
      </dsp:nvSpPr>
      <dsp:spPr>
        <a:xfrm>
          <a:off x="1028323" y="336517"/>
          <a:ext cx="198185" cy="23184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1028323" y="382885"/>
        <a:ext cx="138730" cy="139104"/>
      </dsp:txXfrm>
    </dsp:sp>
    <dsp:sp modelId="{AEC31C28-2D6F-481D-A02B-B65E1EAC0F2A}">
      <dsp:nvSpPr>
        <dsp:cNvPr id="0" name=""/>
        <dsp:cNvSpPr/>
      </dsp:nvSpPr>
      <dsp:spPr>
        <a:xfrm>
          <a:off x="1308774" y="171985"/>
          <a:ext cx="934839" cy="560903"/>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Transport</a:t>
          </a:r>
        </a:p>
      </dsp:txBody>
      <dsp:txXfrm>
        <a:off x="1325202" y="188413"/>
        <a:ext cx="901983" cy="528047"/>
      </dsp:txXfrm>
    </dsp:sp>
    <dsp:sp modelId="{56600F6D-2702-4087-964C-A860E5CE35FA}">
      <dsp:nvSpPr>
        <dsp:cNvPr id="0" name=""/>
        <dsp:cNvSpPr/>
      </dsp:nvSpPr>
      <dsp:spPr>
        <a:xfrm>
          <a:off x="2337097" y="336517"/>
          <a:ext cx="198185" cy="23184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2337097" y="382885"/>
        <a:ext cx="138730" cy="139104"/>
      </dsp:txXfrm>
    </dsp:sp>
    <dsp:sp modelId="{33F38066-99C6-43F7-A0EF-6BDAE7C13007}">
      <dsp:nvSpPr>
        <dsp:cNvPr id="0" name=""/>
        <dsp:cNvSpPr/>
      </dsp:nvSpPr>
      <dsp:spPr>
        <a:xfrm>
          <a:off x="2617549" y="171985"/>
          <a:ext cx="934839" cy="560903"/>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Distributie</a:t>
          </a:r>
        </a:p>
      </dsp:txBody>
      <dsp:txXfrm>
        <a:off x="2633977" y="188413"/>
        <a:ext cx="901983" cy="528047"/>
      </dsp:txXfrm>
    </dsp:sp>
    <dsp:sp modelId="{B51D30BC-F321-4D76-BC2E-B534CCD8C561}">
      <dsp:nvSpPr>
        <dsp:cNvPr id="0" name=""/>
        <dsp:cNvSpPr/>
      </dsp:nvSpPr>
      <dsp:spPr>
        <a:xfrm>
          <a:off x="3645872" y="336517"/>
          <a:ext cx="198185" cy="23184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3645872" y="382885"/>
        <a:ext cx="138730" cy="139104"/>
      </dsp:txXfrm>
    </dsp:sp>
    <dsp:sp modelId="{36299411-3198-46A1-A032-54CF4F95D1EA}">
      <dsp:nvSpPr>
        <dsp:cNvPr id="0" name=""/>
        <dsp:cNvSpPr/>
      </dsp:nvSpPr>
      <dsp:spPr>
        <a:xfrm>
          <a:off x="3926324" y="171985"/>
          <a:ext cx="934839" cy="560903"/>
        </a:xfrm>
        <a:prstGeom prst="roundRect">
          <a:avLst>
            <a:gd name="adj" fmla="val 10000"/>
          </a:avLst>
        </a:prstGeom>
        <a:pattFill prst="wdUpDiag">
          <a:fgClr>
            <a:srgbClr val="00B050"/>
          </a:fgClr>
          <a:bgClr>
            <a:srgbClr val="FF0000"/>
          </a:bgClr>
        </a:patt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Levering</a:t>
          </a:r>
        </a:p>
      </dsp:txBody>
      <dsp:txXfrm>
        <a:off x="3942752" y="188413"/>
        <a:ext cx="901983" cy="528047"/>
      </dsp:txXfrm>
    </dsp:sp>
    <dsp:sp modelId="{24C153D4-3E28-44E0-A5D2-15685E2057AC}">
      <dsp:nvSpPr>
        <dsp:cNvPr id="0" name=""/>
        <dsp:cNvSpPr/>
      </dsp:nvSpPr>
      <dsp:spPr>
        <a:xfrm>
          <a:off x="4954647" y="336517"/>
          <a:ext cx="198185" cy="23184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4954647" y="382885"/>
        <a:ext cx="138730" cy="139104"/>
      </dsp:txXfrm>
    </dsp:sp>
    <dsp:sp modelId="{A81E6D3A-EBE5-41CF-9BEA-B0DB0ABE8482}">
      <dsp:nvSpPr>
        <dsp:cNvPr id="0" name=""/>
        <dsp:cNvSpPr/>
      </dsp:nvSpPr>
      <dsp:spPr>
        <a:xfrm>
          <a:off x="5235099" y="171985"/>
          <a:ext cx="934839" cy="560903"/>
        </a:xfrm>
        <a:prstGeom prst="roundRect">
          <a:avLst>
            <a:gd name="adj" fmla="val 10000"/>
          </a:avLst>
        </a:prstGeom>
        <a:pattFill prst="wdUpDiag">
          <a:fgClr>
            <a:srgbClr val="00B050"/>
          </a:fgClr>
          <a:bgClr>
            <a:srgbClr val="FF0000"/>
          </a:bgClr>
        </a:patt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Gebouweigenaar</a:t>
          </a:r>
        </a:p>
      </dsp:txBody>
      <dsp:txXfrm>
        <a:off x="5251527" y="188413"/>
        <a:ext cx="901983" cy="528047"/>
      </dsp:txXfrm>
    </dsp:sp>
    <dsp:sp modelId="{AEBEEBE4-2AA3-47D4-86B2-0D51AC71C51B}">
      <dsp:nvSpPr>
        <dsp:cNvPr id="0" name=""/>
        <dsp:cNvSpPr/>
      </dsp:nvSpPr>
      <dsp:spPr>
        <a:xfrm>
          <a:off x="6263422" y="336517"/>
          <a:ext cx="198185" cy="23184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6263422" y="382885"/>
        <a:ext cx="138730" cy="139104"/>
      </dsp:txXfrm>
    </dsp:sp>
    <dsp:sp modelId="{448AED2D-D8B3-46E6-B0B8-8DF6212A71C3}">
      <dsp:nvSpPr>
        <dsp:cNvPr id="0" name=""/>
        <dsp:cNvSpPr/>
      </dsp:nvSpPr>
      <dsp:spPr>
        <a:xfrm>
          <a:off x="6543873" y="171985"/>
          <a:ext cx="934839" cy="560903"/>
        </a:xfrm>
        <a:prstGeom prst="roundRect">
          <a:avLst>
            <a:gd name="adj" fmla="val 10000"/>
          </a:avLst>
        </a:prstGeom>
        <a:solidFill>
          <a:srgbClr val="FF0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Gebouwgebruiker</a:t>
          </a:r>
        </a:p>
      </dsp:txBody>
      <dsp:txXfrm>
        <a:off x="6560301" y="188413"/>
        <a:ext cx="901983" cy="528047"/>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9B5C909-3AEC-4297-9632-4D26CEB2B852}">
      <dsp:nvSpPr>
        <dsp:cNvPr id="0" name=""/>
        <dsp:cNvSpPr/>
      </dsp:nvSpPr>
      <dsp:spPr>
        <a:xfrm>
          <a:off x="0" y="171985"/>
          <a:ext cx="934839" cy="560903"/>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Opwekking</a:t>
          </a:r>
        </a:p>
      </dsp:txBody>
      <dsp:txXfrm>
        <a:off x="16428" y="188413"/>
        <a:ext cx="901983" cy="528047"/>
      </dsp:txXfrm>
    </dsp:sp>
    <dsp:sp modelId="{3FB7EE3B-B8B5-4C1C-BD9F-6C698DE39974}">
      <dsp:nvSpPr>
        <dsp:cNvPr id="0" name=""/>
        <dsp:cNvSpPr/>
      </dsp:nvSpPr>
      <dsp:spPr>
        <a:xfrm>
          <a:off x="1028323" y="336517"/>
          <a:ext cx="198185" cy="23184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1028323" y="382885"/>
        <a:ext cx="138730" cy="139104"/>
      </dsp:txXfrm>
    </dsp:sp>
    <dsp:sp modelId="{AEC31C28-2D6F-481D-A02B-B65E1EAC0F2A}">
      <dsp:nvSpPr>
        <dsp:cNvPr id="0" name=""/>
        <dsp:cNvSpPr/>
      </dsp:nvSpPr>
      <dsp:spPr>
        <a:xfrm>
          <a:off x="1308774" y="171985"/>
          <a:ext cx="934839" cy="560903"/>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Transport</a:t>
          </a:r>
        </a:p>
      </dsp:txBody>
      <dsp:txXfrm>
        <a:off x="1325202" y="188413"/>
        <a:ext cx="901983" cy="528047"/>
      </dsp:txXfrm>
    </dsp:sp>
    <dsp:sp modelId="{56600F6D-2702-4087-964C-A860E5CE35FA}">
      <dsp:nvSpPr>
        <dsp:cNvPr id="0" name=""/>
        <dsp:cNvSpPr/>
      </dsp:nvSpPr>
      <dsp:spPr>
        <a:xfrm>
          <a:off x="2337097" y="336517"/>
          <a:ext cx="198185" cy="23184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2337097" y="382885"/>
        <a:ext cx="138730" cy="139104"/>
      </dsp:txXfrm>
    </dsp:sp>
    <dsp:sp modelId="{33F38066-99C6-43F7-A0EF-6BDAE7C13007}">
      <dsp:nvSpPr>
        <dsp:cNvPr id="0" name=""/>
        <dsp:cNvSpPr/>
      </dsp:nvSpPr>
      <dsp:spPr>
        <a:xfrm>
          <a:off x="2617549" y="171985"/>
          <a:ext cx="934839" cy="560903"/>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Distributie</a:t>
          </a:r>
        </a:p>
      </dsp:txBody>
      <dsp:txXfrm>
        <a:off x="2633977" y="188413"/>
        <a:ext cx="901983" cy="528047"/>
      </dsp:txXfrm>
    </dsp:sp>
    <dsp:sp modelId="{B51D30BC-F321-4D76-BC2E-B534CCD8C561}">
      <dsp:nvSpPr>
        <dsp:cNvPr id="0" name=""/>
        <dsp:cNvSpPr/>
      </dsp:nvSpPr>
      <dsp:spPr>
        <a:xfrm>
          <a:off x="3645872" y="336517"/>
          <a:ext cx="198185" cy="23184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3645872" y="382885"/>
        <a:ext cx="138730" cy="139104"/>
      </dsp:txXfrm>
    </dsp:sp>
    <dsp:sp modelId="{36299411-3198-46A1-A032-54CF4F95D1EA}">
      <dsp:nvSpPr>
        <dsp:cNvPr id="0" name=""/>
        <dsp:cNvSpPr/>
      </dsp:nvSpPr>
      <dsp:spPr>
        <a:xfrm>
          <a:off x="3926324" y="171985"/>
          <a:ext cx="934839" cy="560903"/>
        </a:xfrm>
        <a:prstGeom prst="roundRect">
          <a:avLst>
            <a:gd name="adj" fmla="val 10000"/>
          </a:avLst>
        </a:prstGeom>
        <a:pattFill prst="wdUpDiag">
          <a:fgClr>
            <a:srgbClr val="00B050"/>
          </a:fgClr>
          <a:bgClr>
            <a:srgbClr val="FF0000"/>
          </a:bgClr>
        </a:patt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Levering</a:t>
          </a:r>
        </a:p>
      </dsp:txBody>
      <dsp:txXfrm>
        <a:off x="3942752" y="188413"/>
        <a:ext cx="901983" cy="528047"/>
      </dsp:txXfrm>
    </dsp:sp>
    <dsp:sp modelId="{24C153D4-3E28-44E0-A5D2-15685E2057AC}">
      <dsp:nvSpPr>
        <dsp:cNvPr id="0" name=""/>
        <dsp:cNvSpPr/>
      </dsp:nvSpPr>
      <dsp:spPr>
        <a:xfrm>
          <a:off x="4954647" y="336517"/>
          <a:ext cx="198185" cy="23184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4954647" y="382885"/>
        <a:ext cx="138730" cy="139104"/>
      </dsp:txXfrm>
    </dsp:sp>
    <dsp:sp modelId="{A81E6D3A-EBE5-41CF-9BEA-B0DB0ABE8482}">
      <dsp:nvSpPr>
        <dsp:cNvPr id="0" name=""/>
        <dsp:cNvSpPr/>
      </dsp:nvSpPr>
      <dsp:spPr>
        <a:xfrm>
          <a:off x="5235099" y="171985"/>
          <a:ext cx="934839" cy="560903"/>
        </a:xfrm>
        <a:prstGeom prst="roundRect">
          <a:avLst>
            <a:gd name="adj" fmla="val 10000"/>
          </a:avLst>
        </a:prstGeom>
        <a:pattFill prst="wdUpDiag">
          <a:fgClr>
            <a:srgbClr val="00B050"/>
          </a:fgClr>
          <a:bgClr>
            <a:srgbClr val="FF0000"/>
          </a:bgClr>
        </a:patt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Gebouweigenaar</a:t>
          </a:r>
        </a:p>
      </dsp:txBody>
      <dsp:txXfrm>
        <a:off x="5251527" y="188413"/>
        <a:ext cx="901983" cy="528047"/>
      </dsp:txXfrm>
    </dsp:sp>
    <dsp:sp modelId="{AEBEEBE4-2AA3-47D4-86B2-0D51AC71C51B}">
      <dsp:nvSpPr>
        <dsp:cNvPr id="0" name=""/>
        <dsp:cNvSpPr/>
      </dsp:nvSpPr>
      <dsp:spPr>
        <a:xfrm>
          <a:off x="6263422" y="336517"/>
          <a:ext cx="198185" cy="231840"/>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266700">
            <a:lnSpc>
              <a:spcPct val="90000"/>
            </a:lnSpc>
            <a:spcBef>
              <a:spcPct val="0"/>
            </a:spcBef>
            <a:spcAft>
              <a:spcPct val="35000"/>
            </a:spcAft>
            <a:buNone/>
          </a:pPr>
          <a:endParaRPr lang="nl-NL" sz="600" kern="1200"/>
        </a:p>
      </dsp:txBody>
      <dsp:txXfrm>
        <a:off x="6263422" y="382885"/>
        <a:ext cx="138730" cy="139104"/>
      </dsp:txXfrm>
    </dsp:sp>
    <dsp:sp modelId="{448AED2D-D8B3-46E6-B0B8-8DF6212A71C3}">
      <dsp:nvSpPr>
        <dsp:cNvPr id="0" name=""/>
        <dsp:cNvSpPr/>
      </dsp:nvSpPr>
      <dsp:spPr>
        <a:xfrm>
          <a:off x="6543873" y="171985"/>
          <a:ext cx="934839" cy="560903"/>
        </a:xfrm>
        <a:prstGeom prst="roundRect">
          <a:avLst>
            <a:gd name="adj" fmla="val 10000"/>
          </a:avLst>
        </a:prstGeom>
        <a:solidFill>
          <a:srgbClr val="FF0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355600">
            <a:lnSpc>
              <a:spcPct val="90000"/>
            </a:lnSpc>
            <a:spcBef>
              <a:spcPct val="0"/>
            </a:spcBef>
            <a:spcAft>
              <a:spcPct val="35000"/>
            </a:spcAft>
            <a:buNone/>
          </a:pPr>
          <a:r>
            <a:rPr lang="nl-NL" sz="800" kern="1200"/>
            <a:t>Gebouwgebruiker</a:t>
          </a:r>
        </a:p>
      </dsp:txBody>
      <dsp:txXfrm>
        <a:off x="6560301" y="188413"/>
        <a:ext cx="901983" cy="52804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9B5C909-3AEC-4297-9632-4D26CEB2B852}">
      <dsp:nvSpPr>
        <dsp:cNvPr id="0" name=""/>
        <dsp:cNvSpPr/>
      </dsp:nvSpPr>
      <dsp:spPr>
        <a:xfrm>
          <a:off x="0" y="159246"/>
          <a:ext cx="1056679" cy="634007"/>
        </a:xfrm>
        <a:prstGeom prst="roundRect">
          <a:avLst>
            <a:gd name="adj" fmla="val 10000"/>
          </a:avLst>
        </a:prstGeom>
        <a:solidFill>
          <a:srgbClr val="FF0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Opwekking</a:t>
          </a:r>
        </a:p>
      </dsp:txBody>
      <dsp:txXfrm>
        <a:off x="18569" y="177815"/>
        <a:ext cx="1019541" cy="596869"/>
      </dsp:txXfrm>
    </dsp:sp>
    <dsp:sp modelId="{3FB7EE3B-B8B5-4C1C-BD9F-6C698DE39974}">
      <dsp:nvSpPr>
        <dsp:cNvPr id="0" name=""/>
        <dsp:cNvSpPr/>
      </dsp:nvSpPr>
      <dsp:spPr>
        <a:xfrm>
          <a:off x="1162347" y="345221"/>
          <a:ext cx="224016" cy="26205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nl-NL" sz="800" kern="1200"/>
        </a:p>
      </dsp:txBody>
      <dsp:txXfrm>
        <a:off x="1162347" y="397632"/>
        <a:ext cx="156811" cy="157234"/>
      </dsp:txXfrm>
    </dsp:sp>
    <dsp:sp modelId="{AEC31C28-2D6F-481D-A02B-B65E1EAC0F2A}">
      <dsp:nvSpPr>
        <dsp:cNvPr id="0" name=""/>
        <dsp:cNvSpPr/>
      </dsp:nvSpPr>
      <dsp:spPr>
        <a:xfrm>
          <a:off x="1479351" y="159246"/>
          <a:ext cx="1056679" cy="634007"/>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Transport</a:t>
          </a:r>
        </a:p>
      </dsp:txBody>
      <dsp:txXfrm>
        <a:off x="1497920" y="177815"/>
        <a:ext cx="1019541" cy="596869"/>
      </dsp:txXfrm>
    </dsp:sp>
    <dsp:sp modelId="{56600F6D-2702-4087-964C-A860E5CE35FA}">
      <dsp:nvSpPr>
        <dsp:cNvPr id="0" name=""/>
        <dsp:cNvSpPr/>
      </dsp:nvSpPr>
      <dsp:spPr>
        <a:xfrm>
          <a:off x="2641699" y="345221"/>
          <a:ext cx="224016" cy="26205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nl-NL" sz="800" kern="1200"/>
        </a:p>
      </dsp:txBody>
      <dsp:txXfrm>
        <a:off x="2641699" y="397632"/>
        <a:ext cx="156811" cy="157234"/>
      </dsp:txXfrm>
    </dsp:sp>
    <dsp:sp modelId="{33F38066-99C6-43F7-A0EF-6BDAE7C13007}">
      <dsp:nvSpPr>
        <dsp:cNvPr id="0" name=""/>
        <dsp:cNvSpPr/>
      </dsp:nvSpPr>
      <dsp:spPr>
        <a:xfrm>
          <a:off x="2958703" y="159246"/>
          <a:ext cx="1056679" cy="634007"/>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Distributie</a:t>
          </a:r>
        </a:p>
      </dsp:txBody>
      <dsp:txXfrm>
        <a:off x="2977272" y="177815"/>
        <a:ext cx="1019541" cy="596869"/>
      </dsp:txXfrm>
    </dsp:sp>
    <dsp:sp modelId="{B51D30BC-F321-4D76-BC2E-B534CCD8C561}">
      <dsp:nvSpPr>
        <dsp:cNvPr id="0" name=""/>
        <dsp:cNvSpPr/>
      </dsp:nvSpPr>
      <dsp:spPr>
        <a:xfrm>
          <a:off x="4121051" y="345221"/>
          <a:ext cx="224016" cy="26205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nl-NL" sz="800" kern="1200"/>
        </a:p>
      </dsp:txBody>
      <dsp:txXfrm>
        <a:off x="4121051" y="397632"/>
        <a:ext cx="156811" cy="157234"/>
      </dsp:txXfrm>
    </dsp:sp>
    <dsp:sp modelId="{36299411-3198-46A1-A032-54CF4F95D1EA}">
      <dsp:nvSpPr>
        <dsp:cNvPr id="0" name=""/>
        <dsp:cNvSpPr/>
      </dsp:nvSpPr>
      <dsp:spPr>
        <a:xfrm>
          <a:off x="4438054" y="159246"/>
          <a:ext cx="1056679" cy="634007"/>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Levering</a:t>
          </a:r>
        </a:p>
      </dsp:txBody>
      <dsp:txXfrm>
        <a:off x="4456623" y="177815"/>
        <a:ext cx="1019541" cy="596869"/>
      </dsp:txXfrm>
    </dsp:sp>
    <dsp:sp modelId="{24C153D4-3E28-44E0-A5D2-15685E2057AC}">
      <dsp:nvSpPr>
        <dsp:cNvPr id="0" name=""/>
        <dsp:cNvSpPr/>
      </dsp:nvSpPr>
      <dsp:spPr>
        <a:xfrm>
          <a:off x="5600402" y="345221"/>
          <a:ext cx="224016" cy="26205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nl-NL" sz="800" kern="1200"/>
        </a:p>
      </dsp:txBody>
      <dsp:txXfrm>
        <a:off x="5600402" y="397632"/>
        <a:ext cx="156811" cy="157234"/>
      </dsp:txXfrm>
    </dsp:sp>
    <dsp:sp modelId="{A81E6D3A-EBE5-41CF-9BEA-B0DB0ABE8482}">
      <dsp:nvSpPr>
        <dsp:cNvPr id="0" name=""/>
        <dsp:cNvSpPr/>
      </dsp:nvSpPr>
      <dsp:spPr>
        <a:xfrm>
          <a:off x="5917406" y="159246"/>
          <a:ext cx="1056679" cy="634007"/>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Gebouweigenaar</a:t>
          </a:r>
        </a:p>
      </dsp:txBody>
      <dsp:txXfrm>
        <a:off x="5935975" y="177815"/>
        <a:ext cx="1019541" cy="596869"/>
      </dsp:txXfrm>
    </dsp:sp>
    <dsp:sp modelId="{AEBEEBE4-2AA3-47D4-86B2-0D51AC71C51B}">
      <dsp:nvSpPr>
        <dsp:cNvPr id="0" name=""/>
        <dsp:cNvSpPr/>
      </dsp:nvSpPr>
      <dsp:spPr>
        <a:xfrm>
          <a:off x="7079754" y="345221"/>
          <a:ext cx="224016" cy="26205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nl-NL" sz="800" kern="1200"/>
        </a:p>
      </dsp:txBody>
      <dsp:txXfrm>
        <a:off x="7079754" y="397632"/>
        <a:ext cx="156811" cy="157234"/>
      </dsp:txXfrm>
    </dsp:sp>
    <dsp:sp modelId="{448AED2D-D8B3-46E6-B0B8-8DF6212A71C3}">
      <dsp:nvSpPr>
        <dsp:cNvPr id="0" name=""/>
        <dsp:cNvSpPr/>
      </dsp:nvSpPr>
      <dsp:spPr>
        <a:xfrm>
          <a:off x="7396758" y="159246"/>
          <a:ext cx="1056679" cy="634007"/>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Gebouwgebruiker</a:t>
          </a:r>
        </a:p>
      </dsp:txBody>
      <dsp:txXfrm>
        <a:off x="7415327" y="177815"/>
        <a:ext cx="1019541" cy="596869"/>
      </dsp:txXfrm>
    </dsp:sp>
  </dsp:spTree>
</dsp:drawing>
</file>

<file path=xl/diagrams/drawing5.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B9B5C909-3AEC-4297-9632-4D26CEB2B852}">
      <dsp:nvSpPr>
        <dsp:cNvPr id="0" name=""/>
        <dsp:cNvSpPr/>
      </dsp:nvSpPr>
      <dsp:spPr>
        <a:xfrm>
          <a:off x="0" y="159246"/>
          <a:ext cx="1056679" cy="634007"/>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Opwekking</a:t>
          </a:r>
        </a:p>
      </dsp:txBody>
      <dsp:txXfrm>
        <a:off x="18569" y="177815"/>
        <a:ext cx="1019541" cy="596869"/>
      </dsp:txXfrm>
    </dsp:sp>
    <dsp:sp modelId="{3FB7EE3B-B8B5-4C1C-BD9F-6C698DE39974}">
      <dsp:nvSpPr>
        <dsp:cNvPr id="0" name=""/>
        <dsp:cNvSpPr/>
      </dsp:nvSpPr>
      <dsp:spPr>
        <a:xfrm>
          <a:off x="1162347" y="345221"/>
          <a:ext cx="224016" cy="26205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nl-NL" sz="800" kern="1200"/>
        </a:p>
      </dsp:txBody>
      <dsp:txXfrm>
        <a:off x="1162347" y="397632"/>
        <a:ext cx="156811" cy="157234"/>
      </dsp:txXfrm>
    </dsp:sp>
    <dsp:sp modelId="{AEC31C28-2D6F-481D-A02B-B65E1EAC0F2A}">
      <dsp:nvSpPr>
        <dsp:cNvPr id="0" name=""/>
        <dsp:cNvSpPr/>
      </dsp:nvSpPr>
      <dsp:spPr>
        <a:xfrm>
          <a:off x="1479351" y="159246"/>
          <a:ext cx="1056679" cy="634007"/>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Transport</a:t>
          </a:r>
        </a:p>
      </dsp:txBody>
      <dsp:txXfrm>
        <a:off x="1497920" y="177815"/>
        <a:ext cx="1019541" cy="596869"/>
      </dsp:txXfrm>
    </dsp:sp>
    <dsp:sp modelId="{56600F6D-2702-4087-964C-A860E5CE35FA}">
      <dsp:nvSpPr>
        <dsp:cNvPr id="0" name=""/>
        <dsp:cNvSpPr/>
      </dsp:nvSpPr>
      <dsp:spPr>
        <a:xfrm>
          <a:off x="2641699" y="345221"/>
          <a:ext cx="224016" cy="26205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nl-NL" sz="800" kern="1200"/>
        </a:p>
      </dsp:txBody>
      <dsp:txXfrm>
        <a:off x="2641699" y="397632"/>
        <a:ext cx="156811" cy="157234"/>
      </dsp:txXfrm>
    </dsp:sp>
    <dsp:sp modelId="{33F38066-99C6-43F7-A0EF-6BDAE7C13007}">
      <dsp:nvSpPr>
        <dsp:cNvPr id="0" name=""/>
        <dsp:cNvSpPr/>
      </dsp:nvSpPr>
      <dsp:spPr>
        <a:xfrm>
          <a:off x="2958703" y="159246"/>
          <a:ext cx="1056679" cy="634007"/>
        </a:xfrm>
        <a:prstGeom prst="roundRect">
          <a:avLst>
            <a:gd name="adj" fmla="val 10000"/>
          </a:avLst>
        </a:prstGeom>
        <a:solidFill>
          <a:srgbClr val="00B05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Distributie</a:t>
          </a:r>
        </a:p>
      </dsp:txBody>
      <dsp:txXfrm>
        <a:off x="2977272" y="177815"/>
        <a:ext cx="1019541" cy="596869"/>
      </dsp:txXfrm>
    </dsp:sp>
    <dsp:sp modelId="{B51D30BC-F321-4D76-BC2E-B534CCD8C561}">
      <dsp:nvSpPr>
        <dsp:cNvPr id="0" name=""/>
        <dsp:cNvSpPr/>
      </dsp:nvSpPr>
      <dsp:spPr>
        <a:xfrm>
          <a:off x="4121051" y="345221"/>
          <a:ext cx="224016" cy="26205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nl-NL" sz="800" kern="1200"/>
        </a:p>
      </dsp:txBody>
      <dsp:txXfrm>
        <a:off x="4121051" y="397632"/>
        <a:ext cx="156811" cy="157234"/>
      </dsp:txXfrm>
    </dsp:sp>
    <dsp:sp modelId="{36299411-3198-46A1-A032-54CF4F95D1EA}">
      <dsp:nvSpPr>
        <dsp:cNvPr id="0" name=""/>
        <dsp:cNvSpPr/>
      </dsp:nvSpPr>
      <dsp:spPr>
        <a:xfrm>
          <a:off x="4438054" y="159246"/>
          <a:ext cx="1056679" cy="634007"/>
        </a:xfrm>
        <a:prstGeom prst="roundRect">
          <a:avLst>
            <a:gd name="adj" fmla="val 10000"/>
          </a:avLst>
        </a:prstGeom>
        <a:pattFill prst="wdUpDiag">
          <a:fgClr>
            <a:srgbClr val="00B050"/>
          </a:fgClr>
          <a:bgClr>
            <a:srgbClr val="FF0000"/>
          </a:bgClr>
        </a:patt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Levering</a:t>
          </a:r>
        </a:p>
      </dsp:txBody>
      <dsp:txXfrm>
        <a:off x="4456623" y="177815"/>
        <a:ext cx="1019541" cy="596869"/>
      </dsp:txXfrm>
    </dsp:sp>
    <dsp:sp modelId="{24C153D4-3E28-44E0-A5D2-15685E2057AC}">
      <dsp:nvSpPr>
        <dsp:cNvPr id="0" name=""/>
        <dsp:cNvSpPr/>
      </dsp:nvSpPr>
      <dsp:spPr>
        <a:xfrm>
          <a:off x="5600402" y="345221"/>
          <a:ext cx="224016" cy="26205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nl-NL" sz="800" kern="1200"/>
        </a:p>
      </dsp:txBody>
      <dsp:txXfrm>
        <a:off x="5600402" y="397632"/>
        <a:ext cx="156811" cy="157234"/>
      </dsp:txXfrm>
    </dsp:sp>
    <dsp:sp modelId="{A81E6D3A-EBE5-41CF-9BEA-B0DB0ABE8482}">
      <dsp:nvSpPr>
        <dsp:cNvPr id="0" name=""/>
        <dsp:cNvSpPr/>
      </dsp:nvSpPr>
      <dsp:spPr>
        <a:xfrm>
          <a:off x="5917406" y="159246"/>
          <a:ext cx="1056679" cy="634007"/>
        </a:xfrm>
        <a:prstGeom prst="roundRect">
          <a:avLst>
            <a:gd name="adj" fmla="val 10000"/>
          </a:avLst>
        </a:prstGeom>
        <a:pattFill prst="wdUpDiag">
          <a:fgClr>
            <a:srgbClr val="00B050"/>
          </a:fgClr>
          <a:bgClr>
            <a:srgbClr val="FF0000"/>
          </a:bgClr>
        </a:patt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Gebouweigenaar</a:t>
          </a:r>
        </a:p>
      </dsp:txBody>
      <dsp:txXfrm>
        <a:off x="5935975" y="177815"/>
        <a:ext cx="1019541" cy="596869"/>
      </dsp:txXfrm>
    </dsp:sp>
    <dsp:sp modelId="{AEBEEBE4-2AA3-47D4-86B2-0D51AC71C51B}">
      <dsp:nvSpPr>
        <dsp:cNvPr id="0" name=""/>
        <dsp:cNvSpPr/>
      </dsp:nvSpPr>
      <dsp:spPr>
        <a:xfrm>
          <a:off x="7079754" y="345221"/>
          <a:ext cx="224016" cy="262056"/>
        </a:xfrm>
        <a:prstGeom prst="rightArrow">
          <a:avLst>
            <a:gd name="adj1" fmla="val 60000"/>
            <a:gd name="adj2" fmla="val 50000"/>
          </a:avLst>
        </a:prstGeom>
        <a:solidFill>
          <a:schemeClr val="accent1">
            <a:tint val="60000"/>
            <a:hueOff val="0"/>
            <a:satOff val="0"/>
            <a:lumOff val="0"/>
            <a:alphaOff val="0"/>
          </a:schemeClr>
        </a:solidFill>
        <a:ln>
          <a:noFill/>
        </a:ln>
        <a:effectLst/>
      </dsp:spPr>
      <dsp:style>
        <a:lnRef idx="0">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355600">
            <a:lnSpc>
              <a:spcPct val="90000"/>
            </a:lnSpc>
            <a:spcBef>
              <a:spcPct val="0"/>
            </a:spcBef>
            <a:spcAft>
              <a:spcPct val="35000"/>
            </a:spcAft>
            <a:buNone/>
          </a:pPr>
          <a:endParaRPr lang="nl-NL" sz="800" kern="1200"/>
        </a:p>
      </dsp:txBody>
      <dsp:txXfrm>
        <a:off x="7079754" y="397632"/>
        <a:ext cx="156811" cy="157234"/>
      </dsp:txXfrm>
    </dsp:sp>
    <dsp:sp modelId="{448AED2D-D8B3-46E6-B0B8-8DF6212A71C3}">
      <dsp:nvSpPr>
        <dsp:cNvPr id="0" name=""/>
        <dsp:cNvSpPr/>
      </dsp:nvSpPr>
      <dsp:spPr>
        <a:xfrm>
          <a:off x="7396758" y="159246"/>
          <a:ext cx="1056679" cy="634007"/>
        </a:xfrm>
        <a:prstGeom prst="roundRect">
          <a:avLst>
            <a:gd name="adj" fmla="val 10000"/>
          </a:avLst>
        </a:prstGeom>
        <a:solidFill>
          <a:srgbClr val="FF0000"/>
        </a:solidFill>
        <a:ln w="25400" cap="flat" cmpd="sng" algn="ctr">
          <a:solidFill>
            <a:schemeClr val="lt1">
              <a:hueOff val="0"/>
              <a:satOff val="0"/>
              <a:lumOff val="0"/>
              <a:alphaOff val="0"/>
            </a:schemeClr>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38100" tIns="38100" rIns="38100" bIns="38100" numCol="1" spcCol="1270" anchor="ctr" anchorCtr="0">
          <a:noAutofit/>
        </a:bodyPr>
        <a:lstStyle/>
        <a:p>
          <a:pPr marL="0" lvl="0" indent="0" algn="ctr" defTabSz="444500">
            <a:lnSpc>
              <a:spcPct val="90000"/>
            </a:lnSpc>
            <a:spcBef>
              <a:spcPct val="0"/>
            </a:spcBef>
            <a:spcAft>
              <a:spcPct val="35000"/>
            </a:spcAft>
            <a:buNone/>
          </a:pPr>
          <a:r>
            <a:rPr lang="nl-NL" sz="1000" kern="1200"/>
            <a:t>Gebouwgebruiker</a:t>
          </a:r>
        </a:p>
      </dsp:txBody>
      <dsp:txXfrm>
        <a:off x="7415327" y="177815"/>
        <a:ext cx="1019541" cy="596869"/>
      </dsp:txXfrm>
    </dsp:sp>
  </dsp:spTree>
</dsp:drawing>
</file>

<file path=xl/diagrams/layout1.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layout5.xml><?xml version="1.0" encoding="utf-8"?>
<dgm:layoutDef xmlns:dgm="http://schemas.openxmlformats.org/drawingml/2006/diagram" xmlns:a="http://schemas.openxmlformats.org/drawingml/2006/main" uniqueId="urn:microsoft.com/office/officeart/2005/8/layout/process1">
  <dgm:title val=""/>
  <dgm:desc val=""/>
  <dgm:catLst>
    <dgm:cat type="process" pri="1000"/>
    <dgm:cat type="convert" pri="15000"/>
  </dgm:catLst>
  <dgm:sampData useDef="1">
    <dgm:dataModel>
      <dgm:pt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Lst>
      <dgm:cxnLst>
        <dgm:cxn modelId="5" srcId="0" destId="1" srcOrd="0" destOrd="0"/>
        <dgm:cxn modelId="6" srcId="0" destId="2" srcOrd="1" destOrd="0"/>
        <dgm:cxn modelId="7" srcId="0" destId="3" srcOrd="2" destOrd="0"/>
        <dgm:cxn modelId="8" srcId="0" destId="4" srcOrd="3" destOrd="0"/>
      </dgm:cxnLst>
      <dgm:bg/>
      <dgm:whole/>
    </dgm:dataModel>
  </dgm:clrData>
  <dgm:layoutNode name="Name0">
    <dgm:varLst>
      <dgm:dir/>
      <dgm:resizeHandles val="exact"/>
    </dgm:varLst>
    <dgm:choose name="Name1">
      <dgm:if name="Name2" func="var" arg="dir" op="equ" val="norm">
        <dgm:alg type="lin"/>
      </dgm:if>
      <dgm:else name="Name3">
        <dgm:alg type="lin">
          <dgm:param type="linDir" val="fromR"/>
        </dgm:alg>
      </dgm:else>
    </dgm:choose>
    <dgm:shape xmlns:r="http://schemas.openxmlformats.org/officeDocument/2006/relationships" r:blip="">
      <dgm:adjLst/>
    </dgm:shape>
    <dgm:presOf/>
    <dgm:constrLst>
      <dgm:constr type="w" for="ch" ptType="node" refType="w"/>
      <dgm:constr type="h" for="ch" ptType="node" op="equ"/>
      <dgm:constr type="primFontSz" for="ch" ptType="node" op="equ" val="65"/>
      <dgm:constr type="w" for="ch" ptType="sibTrans" refType="w" refFor="ch" refPtType="node" op="equ" fact="0.4"/>
      <dgm:constr type="h" for="ch" ptType="sibTrans" op="equ"/>
      <dgm:constr type="primFontSz" for="des" forName="connectorText" op="equ" val="55"/>
      <dgm:constr type="primFontSz" for="des" forName="connectorText" refType="primFontSz" refFor="ch" refPtType="node" op="lte" fact="0.8"/>
    </dgm:constrLst>
    <dgm:ruleLst/>
    <dgm:forEach name="nodesForEach" axis="ch" ptType="node">
      <dgm:layoutNode name="node">
        <dgm:varLst>
          <dgm:bulletEnabled val="1"/>
        </dgm:varLst>
        <dgm:alg type="tx"/>
        <dgm:shape xmlns:r="http://schemas.openxmlformats.org/officeDocument/2006/relationships" type="roundRect" r:blip="">
          <dgm:adjLst>
            <dgm:adj idx="1" val="0.1"/>
          </dgm:adjLst>
        </dgm:shape>
        <dgm:presOf axis="desOrSelf" ptType="node"/>
        <dgm:constrLst>
          <dgm:constr type="h" refType="w" fact="0.6"/>
          <dgm:constr type="tMarg" refType="primFontSz" fact="0.3"/>
          <dgm:constr type="bMarg" refType="primFontSz" fact="0.3"/>
          <dgm:constr type="lMarg" refType="primFontSz" fact="0.3"/>
          <dgm:constr type="rMarg" refType="primFontSz" fact="0.3"/>
        </dgm:constrLst>
        <dgm:ruleLst>
          <dgm:rule type="primFontSz" val="18" fact="NaN" max="NaN"/>
          <dgm:rule type="h" val="NaN" fact="1.5" max="NaN"/>
          <dgm:rule type="primFontSz" val="5" fact="NaN" max="NaN"/>
          <dgm:rule type="h" val="INF" fact="NaN" max="NaN"/>
        </dgm:ruleLst>
      </dgm:layoutNode>
      <dgm:forEach name="sibTransForEach" axis="followSib" ptType="sibTrans" cnt="1">
        <dgm:layoutNode name="sibTrans">
          <dgm:alg type="conn">
            <dgm:param type="begPts" val="auto"/>
            <dgm:param type="endPts" val="auto"/>
          </dgm:alg>
          <dgm:shape xmlns:r="http://schemas.openxmlformats.org/officeDocument/2006/relationships" type="conn" r:blip="">
            <dgm:adjLst/>
          </dgm:shape>
          <dgm:presOf axis="self"/>
          <dgm:constrLst>
            <dgm:constr type="h" refType="w" fact="0.62"/>
            <dgm:constr type="connDist"/>
            <dgm:constr type="begPad" refType="connDist" fact="0.25"/>
            <dgm:constr type="endPad" refType="connDist" fact="0.22"/>
          </dgm:constrLst>
          <dgm:ruleLst/>
          <dgm:layoutNode name="connectorText">
            <dgm:alg type="tx">
              <dgm:param type="autoTxRot" val="grav"/>
            </dgm:alg>
            <dgm:shape xmlns:r="http://schemas.openxmlformats.org/officeDocument/2006/relationships" type="conn" r:blip="" hideGeom="1">
              <dgm:adjLst/>
            </dgm:shape>
            <dgm:presOf axis="self"/>
            <dgm:constrLst>
              <dgm:constr type="lMarg"/>
              <dgm:constr type="rMarg"/>
              <dgm:constr type="tMarg"/>
              <dgm:constr type="bMarg"/>
            </dgm:constrLst>
            <dgm:ruleLst>
              <dgm:rule type="primFontSz" val="5" fact="NaN" max="NaN"/>
            </dgm:ruleLst>
          </dgm:layoutNod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5.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3.xml"/><Relationship Id="rId2" Type="http://schemas.openxmlformats.org/officeDocument/2006/relationships/diagramLayout" Target="../diagrams/layout3.xml"/><Relationship Id="rId1" Type="http://schemas.openxmlformats.org/officeDocument/2006/relationships/diagramData" Target="../diagrams/data3.xml"/><Relationship Id="rId5" Type="http://schemas.microsoft.com/office/2007/relationships/diagramDrawing" Target="../diagrams/drawing3.xml"/><Relationship Id="rId4" Type="http://schemas.openxmlformats.org/officeDocument/2006/relationships/diagramColors" Target="../diagrams/colors3.xml"/></Relationships>
</file>

<file path=xl/drawings/_rels/drawing5.xml.rels><?xml version="1.0" encoding="UTF-8" standalone="yes"?>
<Relationships xmlns="http://schemas.openxmlformats.org/package/2006/relationships"><Relationship Id="rId3" Type="http://schemas.openxmlformats.org/officeDocument/2006/relationships/diagramQuickStyle" Target="../diagrams/quickStyle4.xml"/><Relationship Id="rId2" Type="http://schemas.openxmlformats.org/officeDocument/2006/relationships/diagramLayout" Target="../diagrams/layout4.xml"/><Relationship Id="rId1" Type="http://schemas.openxmlformats.org/officeDocument/2006/relationships/diagramData" Target="../diagrams/data4.xml"/><Relationship Id="rId5" Type="http://schemas.microsoft.com/office/2007/relationships/diagramDrawing" Target="../diagrams/drawing4.xml"/><Relationship Id="rId4" Type="http://schemas.openxmlformats.org/officeDocument/2006/relationships/diagramColors" Target="../diagrams/colors4.xml"/></Relationships>
</file>

<file path=xl/drawings/_rels/drawing6.xml.rels><?xml version="1.0" encoding="UTF-8" standalone="yes"?>
<Relationships xmlns="http://schemas.openxmlformats.org/package/2006/relationships"><Relationship Id="rId3" Type="http://schemas.openxmlformats.org/officeDocument/2006/relationships/diagramQuickStyle" Target="../diagrams/quickStyle5.xml"/><Relationship Id="rId2" Type="http://schemas.openxmlformats.org/officeDocument/2006/relationships/diagramLayout" Target="../diagrams/layout5.xml"/><Relationship Id="rId1" Type="http://schemas.openxmlformats.org/officeDocument/2006/relationships/diagramData" Target="../diagrams/data5.xml"/><Relationship Id="rId5" Type="http://schemas.microsoft.com/office/2007/relationships/diagramDrawing" Target="../diagrams/drawing5.xml"/><Relationship Id="rId4" Type="http://schemas.openxmlformats.org/officeDocument/2006/relationships/diagramColors" Target="../diagrams/colors5.xml"/></Relationships>
</file>

<file path=xl/drawings/_rels/drawing7.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0</xdr:rowOff>
    </xdr:from>
    <xdr:to>
      <xdr:col>10</xdr:col>
      <xdr:colOff>0</xdr:colOff>
      <xdr:row>28</xdr:row>
      <xdr:rowOff>0</xdr:rowOff>
    </xdr:to>
    <xdr:sp macro="" textlink="">
      <xdr:nvSpPr>
        <xdr:cNvPr id="2" name="Tekstvak 1">
          <a:extLst>
            <a:ext uri="{FF2B5EF4-FFF2-40B4-BE49-F238E27FC236}">
              <a16:creationId xmlns:a16="http://schemas.microsoft.com/office/drawing/2014/main" id="{00000000-0008-0000-0000-000002000000}"/>
            </a:ext>
          </a:extLst>
        </xdr:cNvPr>
        <xdr:cNvSpPr txBox="1"/>
      </xdr:nvSpPr>
      <xdr:spPr>
        <a:xfrm>
          <a:off x="0" y="1219200"/>
          <a:ext cx="6181725" cy="4191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In deze Excel wordt aan de hand van rekenvoorbeelden een validatie uitgevoerd van enerzijds</a:t>
          </a:r>
          <a:r>
            <a:rPr lang="nl-NL" sz="1100" baseline="0"/>
            <a:t> de kostenkengetallen in Vesta en anderzijds de technische rendementen die daar bij horen. Door middel van deze rekenvoorbeelden wordt inzicht verkregen in de ordegroottes van de kengetallen voor investerings- en operationele kosten.</a:t>
          </a:r>
        </a:p>
        <a:p>
          <a:endParaRPr lang="nl-NL" sz="1100" baseline="0"/>
        </a:p>
        <a:p>
          <a:r>
            <a:rPr lang="nl-NL" sz="1100" baseline="0"/>
            <a:t>Voor de voorbeelden wordt gebruik gemaakt van de volgende documenten:</a:t>
          </a:r>
        </a:p>
        <a:p>
          <a:r>
            <a:rPr lang="nl-NL" sz="1100" baseline="0"/>
            <a:t>- Functioneel ontwerp Vesta 2.0 (CE Delft, 2014)</a:t>
          </a:r>
        </a:p>
        <a:p>
          <a:r>
            <a:rPr lang="nl-NL" sz="1100" baseline="0"/>
            <a:t>- Vesta 2.0 - uitbreidingen en dataverificaties (CE Delft, 2013)</a:t>
          </a:r>
        </a:p>
        <a:p>
          <a:endParaRPr lang="nl-NL" sz="1100" baseline="0"/>
        </a:p>
        <a:p>
          <a:r>
            <a:rPr lang="nl-NL" sz="1100" baseline="0"/>
            <a:t>Alle gebruikte formules en berekeningen zijn terug te vinden in deze documenten, tenzij anders aangegeven.</a:t>
          </a:r>
        </a:p>
        <a:p>
          <a:endParaRPr lang="nl-NL" sz="1100" baseline="0"/>
        </a:p>
        <a:p>
          <a:r>
            <a:rPr lang="nl-NL" sz="1100">
              <a:solidFill>
                <a:schemeClr val="dk1"/>
              </a:solidFill>
              <a:effectLst/>
              <a:latin typeface="+mn-lt"/>
              <a:ea typeface="+mn-ea"/>
              <a:cs typeface="+mn-cs"/>
            </a:rPr>
            <a:t>Voor deze voorbeelden worden de volgende onderdelen in het rekenvoorbeeld meegenomen, daar waar zij relevant zijn (per voorbeeld is in</a:t>
          </a:r>
          <a:r>
            <a:rPr lang="nl-NL" sz="1100" baseline="0">
              <a:solidFill>
                <a:schemeClr val="dk1"/>
              </a:solidFill>
              <a:effectLst/>
              <a:latin typeface="+mn-lt"/>
              <a:ea typeface="+mn-ea"/>
              <a:cs typeface="+mn-cs"/>
            </a:rPr>
            <a:t> het diagram aangegeven welke onderdelen onderdeel zijn van het voorbeeld)</a:t>
          </a:r>
          <a:r>
            <a:rPr lang="nl-NL" sz="1100">
              <a:solidFill>
                <a:schemeClr val="dk1"/>
              </a:solidFill>
              <a:effectLst/>
              <a:latin typeface="+mn-lt"/>
              <a:ea typeface="+mn-ea"/>
              <a:cs typeface="+mn-cs"/>
            </a:rPr>
            <a:t>:</a:t>
          </a:r>
          <a:endParaRPr lang="nl-NL">
            <a:effectLst/>
          </a:endParaRPr>
        </a:p>
        <a:p>
          <a:r>
            <a:rPr lang="nl-NL" sz="1100" baseline="0">
              <a:solidFill>
                <a:schemeClr val="dk1"/>
              </a:solidFill>
              <a:effectLst/>
              <a:latin typeface="+mn-lt"/>
              <a:ea typeface="+mn-ea"/>
              <a:cs typeface="+mn-cs"/>
            </a:rPr>
            <a:t>- productie</a:t>
          </a:r>
          <a:endParaRPr lang="nl-NL">
            <a:effectLst/>
          </a:endParaRPr>
        </a:p>
        <a:p>
          <a:r>
            <a:rPr lang="nl-NL" sz="1100" baseline="0">
              <a:solidFill>
                <a:schemeClr val="dk1"/>
              </a:solidFill>
              <a:effectLst/>
              <a:latin typeface="+mn-lt"/>
              <a:ea typeface="+mn-ea"/>
              <a:cs typeface="+mn-cs"/>
            </a:rPr>
            <a:t>- transport en distributie</a:t>
          </a:r>
          <a:endParaRPr lang="nl-NL">
            <a:effectLst/>
          </a:endParaRPr>
        </a:p>
        <a:p>
          <a:r>
            <a:rPr lang="nl-NL" sz="1100" baseline="0">
              <a:solidFill>
                <a:schemeClr val="dk1"/>
              </a:solidFill>
              <a:effectLst/>
              <a:latin typeface="+mn-lt"/>
              <a:ea typeface="+mn-ea"/>
              <a:cs typeface="+mn-cs"/>
            </a:rPr>
            <a:t>- consumptie</a:t>
          </a:r>
          <a:endParaRPr lang="nl-NL">
            <a:effectLst/>
          </a:endParaRPr>
        </a:p>
        <a:p>
          <a:r>
            <a:rPr lang="nl-NL" sz="1100" baseline="0">
              <a:solidFill>
                <a:schemeClr val="dk1"/>
              </a:solidFill>
              <a:effectLst/>
              <a:latin typeface="+mn-lt"/>
              <a:ea typeface="+mn-ea"/>
              <a:cs typeface="+mn-cs"/>
            </a:rPr>
            <a:t>- besparingsmaatregelen (alléén bij NoM)</a:t>
          </a:r>
          <a:endParaRPr lang="nl-NL">
            <a:effectLst/>
          </a:endParaRPr>
        </a:p>
        <a:p>
          <a:endParaRPr lang="nl-NL" sz="1100" baseline="0">
            <a:solidFill>
              <a:schemeClr val="dk1"/>
            </a:solidFill>
            <a:effectLst/>
            <a:latin typeface="+mn-lt"/>
            <a:ea typeface="+mn-ea"/>
            <a:cs typeface="+mn-cs"/>
          </a:endParaRPr>
        </a:p>
        <a:p>
          <a:r>
            <a:rPr lang="nl-NL" sz="1100" baseline="0">
              <a:solidFill>
                <a:schemeClr val="dk1"/>
              </a:solidFill>
              <a:effectLst/>
              <a:latin typeface="+mn-lt"/>
              <a:ea typeface="+mn-ea"/>
              <a:cs typeface="+mn-cs"/>
            </a:rPr>
            <a:t>De berekeningen worden gedaan met de huidige kosten/prijzen. Er wordt geen rekening gehouden met de gepresenteerde prijsscenario's of leercurves. In Vesta+ wordt daarentegen wel met een tijdsdimensie gerekend.</a:t>
          </a:r>
          <a:endParaRPr lang="nl-NL">
            <a:effectLst/>
          </a:endParaRPr>
        </a:p>
        <a:p>
          <a:endParaRPr lang="nl-NL" sz="1100" baseline="0"/>
        </a:p>
      </xdr:txBody>
    </xdr:sp>
    <xdr:clientData/>
  </xdr:twoCellAnchor>
  <xdr:twoCellAnchor editAs="oneCell">
    <xdr:from>
      <xdr:col>7</xdr:col>
      <xdr:colOff>314325</xdr:colOff>
      <xdr:row>0</xdr:row>
      <xdr:rowOff>95250</xdr:rowOff>
    </xdr:from>
    <xdr:to>
      <xdr:col>9</xdr:col>
      <xdr:colOff>581025</xdr:colOff>
      <xdr:row>2</xdr:row>
      <xdr:rowOff>127310</xdr:rowOff>
    </xdr:to>
    <xdr:pic>
      <xdr:nvPicPr>
        <xdr:cNvPr id="4" name="Afbeelding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67250" y="95250"/>
          <a:ext cx="1485900" cy="4892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0</xdr:colOff>
      <xdr:row>5</xdr:row>
      <xdr:rowOff>0</xdr:rowOff>
    </xdr:to>
    <xdr:sp macro="" textlink="">
      <xdr:nvSpPr>
        <xdr:cNvPr id="2" name="Tekstvak 1">
          <a:extLst>
            <a:ext uri="{FF2B5EF4-FFF2-40B4-BE49-F238E27FC236}">
              <a16:creationId xmlns:a16="http://schemas.microsoft.com/office/drawing/2014/main" id="{00000000-0008-0000-0400-000002000000}"/>
            </a:ext>
          </a:extLst>
        </xdr:cNvPr>
        <xdr:cNvSpPr txBox="1"/>
      </xdr:nvSpPr>
      <xdr:spPr>
        <a:xfrm>
          <a:off x="0" y="450850"/>
          <a:ext cx="16891000" cy="55245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Omschrijving</a:t>
          </a:r>
        </a:p>
        <a:p>
          <a:r>
            <a:rPr lang="nl-NL" sz="1100" b="0"/>
            <a:t>Dit rekenvoorbeeld heeft betrekking op een LT warmtenet met collectieve warmtepomp</a:t>
          </a:r>
          <a:r>
            <a:rPr lang="nl-NL" sz="1100" b="0" baseline="0"/>
            <a:t>.</a:t>
          </a:r>
          <a:endParaRPr lang="nl-NL" sz="1100" b="0"/>
        </a:p>
      </xdr:txBody>
    </xdr:sp>
    <xdr:clientData/>
  </xdr:twoCellAnchor>
  <xdr:twoCellAnchor>
    <xdr:from>
      <xdr:col>0</xdr:col>
      <xdr:colOff>0</xdr:colOff>
      <xdr:row>5</xdr:row>
      <xdr:rowOff>1</xdr:rowOff>
    </xdr:from>
    <xdr:to>
      <xdr:col>4</xdr:col>
      <xdr:colOff>681038</xdr:colOff>
      <xdr:row>10</xdr:row>
      <xdr:rowOff>1</xdr:rowOff>
    </xdr:to>
    <xdr:graphicFrame macro="">
      <xdr:nvGraphicFramePr>
        <xdr:cNvPr id="3" name="Diagram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0</xdr:colOff>
      <xdr:row>5</xdr:row>
      <xdr:rowOff>0</xdr:rowOff>
    </xdr:to>
    <xdr:sp macro="" textlink="">
      <xdr:nvSpPr>
        <xdr:cNvPr id="2" name="Tekstvak 1">
          <a:extLst>
            <a:ext uri="{FF2B5EF4-FFF2-40B4-BE49-F238E27FC236}">
              <a16:creationId xmlns:a16="http://schemas.microsoft.com/office/drawing/2014/main" id="{00000000-0008-0000-0500-000002000000}"/>
            </a:ext>
          </a:extLst>
        </xdr:cNvPr>
        <xdr:cNvSpPr txBox="1"/>
      </xdr:nvSpPr>
      <xdr:spPr>
        <a:xfrm>
          <a:off x="0" y="457200"/>
          <a:ext cx="13935075" cy="571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Omschrijving</a:t>
          </a:r>
        </a:p>
        <a:p>
          <a:r>
            <a:rPr lang="nl-NL" sz="1100" b="0"/>
            <a:t>Dit rekenvoorbeeld heeft betrekking op een LT warmtenet met individuele (decentrale) warmtepompen</a:t>
          </a:r>
          <a:r>
            <a:rPr lang="nl-NL" sz="1100" b="0" baseline="0"/>
            <a:t>.</a:t>
          </a:r>
          <a:endParaRPr lang="nl-NL" sz="1100" b="0"/>
        </a:p>
      </xdr:txBody>
    </xdr:sp>
    <xdr:clientData/>
  </xdr:twoCellAnchor>
  <xdr:twoCellAnchor>
    <xdr:from>
      <xdr:col>0</xdr:col>
      <xdr:colOff>0</xdr:colOff>
      <xdr:row>5</xdr:row>
      <xdr:rowOff>1</xdr:rowOff>
    </xdr:from>
    <xdr:to>
      <xdr:col>4</xdr:col>
      <xdr:colOff>681038</xdr:colOff>
      <xdr:row>10</xdr:row>
      <xdr:rowOff>1</xdr:rowOff>
    </xdr:to>
    <xdr:graphicFrame macro="">
      <xdr:nvGraphicFramePr>
        <xdr:cNvPr id="3" name="Diagram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0</xdr:colOff>
      <xdr:row>5</xdr:row>
      <xdr:rowOff>0</xdr:rowOff>
    </xdr:to>
    <xdr:sp macro="" textlink="">
      <xdr:nvSpPr>
        <xdr:cNvPr id="2" name="Tekstvak 1">
          <a:extLst>
            <a:ext uri="{FF2B5EF4-FFF2-40B4-BE49-F238E27FC236}">
              <a16:creationId xmlns:a16="http://schemas.microsoft.com/office/drawing/2014/main" id="{9DCB80B6-9A91-4AB1-9A7E-447799B8AA6F}"/>
            </a:ext>
          </a:extLst>
        </xdr:cNvPr>
        <xdr:cNvSpPr txBox="1"/>
      </xdr:nvSpPr>
      <xdr:spPr>
        <a:xfrm>
          <a:off x="0" y="457200"/>
          <a:ext cx="14944725" cy="571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Omschrijving</a:t>
          </a:r>
        </a:p>
        <a:p>
          <a:r>
            <a:rPr lang="nl-NL" sz="1100" b="0"/>
            <a:t>Dit rekenvoorbeeld heeft betrekking op een LT warmtenet met individuele (decentrale) warmtepompen</a:t>
          </a:r>
          <a:r>
            <a:rPr lang="nl-NL" sz="1100" b="0" baseline="0"/>
            <a:t>.</a:t>
          </a:r>
          <a:endParaRPr lang="nl-NL" sz="1100" b="0"/>
        </a:p>
      </xdr:txBody>
    </xdr:sp>
    <xdr:clientData/>
  </xdr:twoCellAnchor>
  <xdr:twoCellAnchor>
    <xdr:from>
      <xdr:col>0</xdr:col>
      <xdr:colOff>0</xdr:colOff>
      <xdr:row>5</xdr:row>
      <xdr:rowOff>1</xdr:rowOff>
    </xdr:from>
    <xdr:to>
      <xdr:col>4</xdr:col>
      <xdr:colOff>681038</xdr:colOff>
      <xdr:row>10</xdr:row>
      <xdr:rowOff>1</xdr:rowOff>
    </xdr:to>
    <xdr:graphicFrame macro="">
      <xdr:nvGraphicFramePr>
        <xdr:cNvPr id="3" name="Diagram 2">
          <a:extLst>
            <a:ext uri="{FF2B5EF4-FFF2-40B4-BE49-F238E27FC236}">
              <a16:creationId xmlns:a16="http://schemas.microsoft.com/office/drawing/2014/main" id="{F7F084FE-1D74-41BC-AB59-8B1CA595C8BE}"/>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0</xdr:rowOff>
    </xdr:from>
    <xdr:to>
      <xdr:col>4</xdr:col>
      <xdr:colOff>0</xdr:colOff>
      <xdr:row>10</xdr:row>
      <xdr:rowOff>0</xdr:rowOff>
    </xdr:to>
    <xdr:sp macro="" textlink="">
      <xdr:nvSpPr>
        <xdr:cNvPr id="2" name="Tekstvak 1">
          <a:extLst>
            <a:ext uri="{FF2B5EF4-FFF2-40B4-BE49-F238E27FC236}">
              <a16:creationId xmlns:a16="http://schemas.microsoft.com/office/drawing/2014/main" id="{00000000-0008-0000-0100-000002000000}"/>
            </a:ext>
          </a:extLst>
        </xdr:cNvPr>
        <xdr:cNvSpPr txBox="1"/>
      </xdr:nvSpPr>
      <xdr:spPr>
        <a:xfrm>
          <a:off x="0" y="457200"/>
          <a:ext cx="10668000" cy="15240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Omschrijving</a:t>
          </a:r>
        </a:p>
        <a:p>
          <a:r>
            <a:rPr lang="nl-NL" sz="1100" b="0"/>
            <a:t>Het rekenvoorbeeld</a:t>
          </a:r>
          <a:r>
            <a:rPr lang="nl-NL" sz="1100" b="0" baseline="0"/>
            <a:t> van de Referentie heeft betrekking op de huidige standaardsituatie (default) in Vesta: warmte komt uit een HR-ketel op aardgas. De kosten van deze referentie zijn niet uitgewerkt in Vesta, omdat het model niet kijkt naar de kosten van het alternatief </a:t>
          </a:r>
          <a:r>
            <a:rPr lang="nl-NL" sz="1100" b="1" u="sng" baseline="0"/>
            <a:t>ten opzichte van</a:t>
          </a:r>
          <a:r>
            <a:rPr lang="nl-NL" sz="1100" b="0" baseline="0"/>
            <a:t> de default, maar kijkt of het alternatief </a:t>
          </a:r>
          <a:r>
            <a:rPr lang="nl-NL" sz="1100" b="1" u="sng" baseline="0"/>
            <a:t>op zichzelf</a:t>
          </a:r>
          <a:r>
            <a:rPr lang="nl-NL" sz="1100" b="0" baseline="0"/>
            <a:t> rendabel is. Als het alternatief rendabel is, wordt het toegepast (als dat is ingesteld door de gebruiker), ongeacht of de default goedkoper of duurder is. De onderstaande berekeningen worden dan ook grotendeels uitgevoerd op basis van externe gegevens. Daar waar de gegevens uit Vesta komen, is dit aangegeven. De berekeningen zijn </a:t>
          </a:r>
          <a:r>
            <a:rPr lang="nl-NL" sz="1100" b="0" u="sng" baseline="0"/>
            <a:t>inclusief</a:t>
          </a:r>
          <a:r>
            <a:rPr lang="nl-NL" sz="1100" b="0" u="none" baseline="0"/>
            <a:t> BTW.</a:t>
          </a:r>
          <a:endParaRPr lang="nl-NL" sz="1100" b="0" baseline="0"/>
        </a:p>
        <a:p>
          <a:endParaRPr lang="nl-NL" sz="1100" b="0" baseline="0"/>
        </a:p>
        <a:p>
          <a:r>
            <a:rPr lang="nl-NL" sz="1100" b="0" baseline="0"/>
            <a:t>De berekening wordt voor één woning uitgevoerd in de huidige situatie, dus zonder besparingsmaatregelen. De waarden die hieronder worden opgenomen, worden  meegenomen in de aanpassingen voor Vesta+.</a:t>
          </a:r>
          <a:endParaRPr lang="nl-NL" sz="1100" b="0"/>
        </a:p>
      </xdr:txBody>
    </xdr:sp>
    <xdr:clientData/>
  </xdr:twoCellAnchor>
  <xdr:twoCellAnchor>
    <xdr:from>
      <xdr:col>0</xdr:col>
      <xdr:colOff>0</xdr:colOff>
      <xdr:row>10</xdr:row>
      <xdr:rowOff>0</xdr:rowOff>
    </xdr:from>
    <xdr:to>
      <xdr:col>3</xdr:col>
      <xdr:colOff>633413</xdr:colOff>
      <xdr:row>15</xdr:row>
      <xdr:rowOff>0</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xdr:row>
      <xdr:rowOff>0</xdr:rowOff>
    </xdr:from>
    <xdr:to>
      <xdr:col>13</xdr:col>
      <xdr:colOff>0</xdr:colOff>
      <xdr:row>5</xdr:row>
      <xdr:rowOff>0</xdr:rowOff>
    </xdr:to>
    <xdr:sp macro="" textlink="">
      <xdr:nvSpPr>
        <xdr:cNvPr id="2" name="Tekstvak 1">
          <a:extLst>
            <a:ext uri="{FF2B5EF4-FFF2-40B4-BE49-F238E27FC236}">
              <a16:creationId xmlns:a16="http://schemas.microsoft.com/office/drawing/2014/main" id="{00000000-0008-0000-0600-000002000000}"/>
            </a:ext>
          </a:extLst>
        </xdr:cNvPr>
        <xdr:cNvSpPr txBox="1"/>
      </xdr:nvSpPr>
      <xdr:spPr>
        <a:xfrm>
          <a:off x="0" y="457200"/>
          <a:ext cx="16106775" cy="571500"/>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t>Omschrijving</a:t>
          </a:r>
        </a:p>
        <a:p>
          <a:r>
            <a:rPr lang="nl-NL" sz="1100" b="0"/>
            <a:t>Dit rekenvoorbeeld heeft betrekking op een groot warmtenet dat wordt gevoed door</a:t>
          </a:r>
          <a:r>
            <a:rPr lang="nl-NL" sz="1100" b="0" baseline="0"/>
            <a:t> een STEG.</a:t>
          </a:r>
          <a:endParaRPr lang="nl-NL" sz="1100" b="0"/>
        </a:p>
      </xdr:txBody>
    </xdr:sp>
    <xdr:clientData/>
  </xdr:twoCellAnchor>
  <xdr:twoCellAnchor>
    <xdr:from>
      <xdr:col>0</xdr:col>
      <xdr:colOff>0</xdr:colOff>
      <xdr:row>5</xdr:row>
      <xdr:rowOff>1</xdr:rowOff>
    </xdr:from>
    <xdr:to>
      <xdr:col>3</xdr:col>
      <xdr:colOff>681038</xdr:colOff>
      <xdr:row>10</xdr:row>
      <xdr:rowOff>1</xdr:rowOff>
    </xdr:to>
    <xdr:graphicFrame macro="">
      <xdr:nvGraphicFramePr>
        <xdr:cNvPr id="3" name="Diagram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10</xdr:row>
      <xdr:rowOff>0</xdr:rowOff>
    </xdr:from>
    <xdr:to>
      <xdr:col>1</xdr:col>
      <xdr:colOff>2356485</xdr:colOff>
      <xdr:row>25</xdr:row>
      <xdr:rowOff>33020</xdr:rowOff>
    </xdr:to>
    <xdr:pic>
      <xdr:nvPicPr>
        <xdr:cNvPr id="2" name="Afbeelding 1">
          <a:extLst>
            <a:ext uri="{FF2B5EF4-FFF2-40B4-BE49-F238E27FC236}">
              <a16:creationId xmlns:a16="http://schemas.microsoft.com/office/drawing/2014/main" id="{00000000-0008-0000-0E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19300"/>
          <a:ext cx="4499610" cy="2890520"/>
        </a:xfrm>
        <a:prstGeom prst="rect">
          <a:avLst/>
        </a:prstGeom>
        <a:noFill/>
      </xdr:spPr>
    </xdr:pic>
    <xdr:clientData/>
  </xdr:twoCellAnchor>
  <xdr:twoCellAnchor editAs="oneCell">
    <xdr:from>
      <xdr:col>2</xdr:col>
      <xdr:colOff>0</xdr:colOff>
      <xdr:row>10</xdr:row>
      <xdr:rowOff>0</xdr:rowOff>
    </xdr:from>
    <xdr:to>
      <xdr:col>9</xdr:col>
      <xdr:colOff>232410</xdr:colOff>
      <xdr:row>25</xdr:row>
      <xdr:rowOff>58420</xdr:rowOff>
    </xdr:to>
    <xdr:pic>
      <xdr:nvPicPr>
        <xdr:cNvPr id="3" name="Afbeelding 2">
          <a:extLst>
            <a:ext uri="{FF2B5EF4-FFF2-40B4-BE49-F238E27FC236}">
              <a16:creationId xmlns:a16="http://schemas.microsoft.com/office/drawing/2014/main" id="{00000000-0008-0000-0E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91075" y="2019300"/>
          <a:ext cx="4499610" cy="2915920"/>
        </a:xfrm>
        <a:prstGeom prst="rect">
          <a:avLst/>
        </a:prstGeom>
        <a:noFill/>
      </xdr:spPr>
    </xdr:pic>
    <xdr:clientData/>
  </xdr:twoCellAnchor>
  <xdr:twoCellAnchor editAs="oneCell">
    <xdr:from>
      <xdr:col>0</xdr:col>
      <xdr:colOff>0</xdr:colOff>
      <xdr:row>28</xdr:row>
      <xdr:rowOff>0</xdr:rowOff>
    </xdr:from>
    <xdr:to>
      <xdr:col>1</xdr:col>
      <xdr:colOff>2356485</xdr:colOff>
      <xdr:row>41</xdr:row>
      <xdr:rowOff>68580</xdr:rowOff>
    </xdr:to>
    <xdr:pic>
      <xdr:nvPicPr>
        <xdr:cNvPr id="4" name="Afbeelding 3">
          <a:extLst>
            <a:ext uri="{FF2B5EF4-FFF2-40B4-BE49-F238E27FC236}">
              <a16:creationId xmlns:a16="http://schemas.microsoft.com/office/drawing/2014/main" id="{00000000-0008-0000-0E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448300"/>
          <a:ext cx="4499610" cy="2545080"/>
        </a:xfrm>
        <a:prstGeom prst="rect">
          <a:avLst/>
        </a:prstGeom>
        <a:noFill/>
      </xdr:spPr>
    </xdr:pic>
    <xdr:clientData/>
  </xdr:twoCellAnchor>
  <xdr:twoCellAnchor editAs="oneCell">
    <xdr:from>
      <xdr:col>2</xdr:col>
      <xdr:colOff>0</xdr:colOff>
      <xdr:row>28</xdr:row>
      <xdr:rowOff>0</xdr:rowOff>
    </xdr:from>
    <xdr:to>
      <xdr:col>9</xdr:col>
      <xdr:colOff>232410</xdr:colOff>
      <xdr:row>41</xdr:row>
      <xdr:rowOff>68580</xdr:rowOff>
    </xdr:to>
    <xdr:pic>
      <xdr:nvPicPr>
        <xdr:cNvPr id="5" name="Afbeelding 4">
          <a:extLst>
            <a:ext uri="{FF2B5EF4-FFF2-40B4-BE49-F238E27FC236}">
              <a16:creationId xmlns:a16="http://schemas.microsoft.com/office/drawing/2014/main" id="{00000000-0008-0000-0E00-000005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791075" y="5448300"/>
          <a:ext cx="4499610" cy="2545080"/>
        </a:xfrm>
        <a:prstGeom prst="rect">
          <a:avLst/>
        </a:prstGeom>
        <a:noFill/>
      </xdr:spPr>
    </xdr:pic>
    <xdr:clientData/>
  </xdr:twoCellAnchor>
  <xdr:twoCellAnchor editAs="oneCell">
    <xdr:from>
      <xdr:col>10</xdr:col>
      <xdr:colOff>0</xdr:colOff>
      <xdr:row>28</xdr:row>
      <xdr:rowOff>0</xdr:rowOff>
    </xdr:from>
    <xdr:to>
      <xdr:col>17</xdr:col>
      <xdr:colOff>232410</xdr:colOff>
      <xdr:row>41</xdr:row>
      <xdr:rowOff>68580</xdr:rowOff>
    </xdr:to>
    <xdr:pic>
      <xdr:nvPicPr>
        <xdr:cNvPr id="6" name="Afbeelding 5">
          <a:extLst>
            <a:ext uri="{FF2B5EF4-FFF2-40B4-BE49-F238E27FC236}">
              <a16:creationId xmlns:a16="http://schemas.microsoft.com/office/drawing/2014/main" id="{00000000-0008-0000-0E00-000006000000}"/>
            </a:ext>
          </a:extLst>
        </xdr:cNvPr>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667875" y="5448300"/>
          <a:ext cx="4499610" cy="2545080"/>
        </a:xfrm>
        <a:prstGeom prst="rect">
          <a:avLst/>
        </a:prstGeom>
        <a:noFill/>
      </xdr:spPr>
    </xdr:pic>
    <xdr:clientData/>
  </xdr:twoCellAnchor>
  <xdr:twoCellAnchor editAs="oneCell">
    <xdr:from>
      <xdr:col>18</xdr:col>
      <xdr:colOff>0</xdr:colOff>
      <xdr:row>28</xdr:row>
      <xdr:rowOff>0</xdr:rowOff>
    </xdr:from>
    <xdr:to>
      <xdr:col>25</xdr:col>
      <xdr:colOff>232410</xdr:colOff>
      <xdr:row>41</xdr:row>
      <xdr:rowOff>82550</xdr:rowOff>
    </xdr:to>
    <xdr:pic>
      <xdr:nvPicPr>
        <xdr:cNvPr id="7" name="Afbeelding 6">
          <a:extLst>
            <a:ext uri="{FF2B5EF4-FFF2-40B4-BE49-F238E27FC236}">
              <a16:creationId xmlns:a16="http://schemas.microsoft.com/office/drawing/2014/main" id="{00000000-0008-0000-0E00-000007000000}"/>
            </a:ext>
          </a:extLst>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544675" y="5448300"/>
          <a:ext cx="4499610" cy="2559050"/>
        </a:xfrm>
        <a:prstGeom prst="rect">
          <a:avLst/>
        </a:prstGeom>
        <a:noFill/>
      </xdr:spPr>
    </xdr:pic>
    <xdr:clientData/>
  </xdr:twoCellAnchor>
  <xdr:twoCellAnchor editAs="oneCell">
    <xdr:from>
      <xdr:col>26</xdr:col>
      <xdr:colOff>0</xdr:colOff>
      <xdr:row>28</xdr:row>
      <xdr:rowOff>0</xdr:rowOff>
    </xdr:from>
    <xdr:to>
      <xdr:col>33</xdr:col>
      <xdr:colOff>232410</xdr:colOff>
      <xdr:row>41</xdr:row>
      <xdr:rowOff>82550</xdr:rowOff>
    </xdr:to>
    <xdr:pic>
      <xdr:nvPicPr>
        <xdr:cNvPr id="8" name="Afbeelding 7">
          <a:extLst>
            <a:ext uri="{FF2B5EF4-FFF2-40B4-BE49-F238E27FC236}">
              <a16:creationId xmlns:a16="http://schemas.microsoft.com/office/drawing/2014/main" id="{00000000-0008-0000-0E00-000008000000}"/>
            </a:ext>
          </a:extLst>
        </xdr:cNvPr>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9421475" y="5448300"/>
          <a:ext cx="4499610" cy="2559050"/>
        </a:xfrm>
        <a:prstGeom prst="rect">
          <a:avLst/>
        </a:prstGeom>
        <a:noFill/>
      </xdr:spPr>
    </xdr:pic>
    <xdr:clientData/>
  </xdr:twoCellAnchor>
  <xdr:twoCellAnchor editAs="oneCell">
    <xdr:from>
      <xdr:col>34</xdr:col>
      <xdr:colOff>0</xdr:colOff>
      <xdr:row>28</xdr:row>
      <xdr:rowOff>0</xdr:rowOff>
    </xdr:from>
    <xdr:to>
      <xdr:col>41</xdr:col>
      <xdr:colOff>232410</xdr:colOff>
      <xdr:row>41</xdr:row>
      <xdr:rowOff>82550</xdr:rowOff>
    </xdr:to>
    <xdr:pic>
      <xdr:nvPicPr>
        <xdr:cNvPr id="9" name="Afbeelding 8">
          <a:extLst>
            <a:ext uri="{FF2B5EF4-FFF2-40B4-BE49-F238E27FC236}">
              <a16:creationId xmlns:a16="http://schemas.microsoft.com/office/drawing/2014/main" id="{00000000-0008-0000-0E00-000009000000}"/>
            </a:ext>
          </a:extLst>
        </xdr:cNvPr>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298275" y="5448300"/>
          <a:ext cx="4499610" cy="2559050"/>
        </a:xfrm>
        <a:prstGeom prst="rect">
          <a:avLst/>
        </a:prstGeom>
        <a:noFill/>
      </xdr:spPr>
    </xdr:pic>
    <xdr:clientData/>
  </xdr:twoCellAnchor>
  <xdr:twoCellAnchor editAs="oneCell">
    <xdr:from>
      <xdr:col>0</xdr:col>
      <xdr:colOff>0</xdr:colOff>
      <xdr:row>44</xdr:row>
      <xdr:rowOff>0</xdr:rowOff>
    </xdr:from>
    <xdr:to>
      <xdr:col>1</xdr:col>
      <xdr:colOff>2356485</xdr:colOff>
      <xdr:row>60</xdr:row>
      <xdr:rowOff>26035</xdr:rowOff>
    </xdr:to>
    <xdr:pic>
      <xdr:nvPicPr>
        <xdr:cNvPr id="10" name="Afbeelding 9">
          <a:extLst>
            <a:ext uri="{FF2B5EF4-FFF2-40B4-BE49-F238E27FC236}">
              <a16:creationId xmlns:a16="http://schemas.microsoft.com/office/drawing/2014/main" id="{00000000-0008-0000-0E00-00000A000000}"/>
            </a:ext>
          </a:extLst>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8496300"/>
          <a:ext cx="4499610" cy="3074035"/>
        </a:xfrm>
        <a:prstGeom prst="rect">
          <a:avLst/>
        </a:prstGeom>
        <a:noFill/>
      </xdr:spPr>
    </xdr:pic>
    <xdr:clientData/>
  </xdr:twoCellAnchor>
  <xdr:twoCellAnchor editAs="oneCell">
    <xdr:from>
      <xdr:col>0</xdr:col>
      <xdr:colOff>0</xdr:colOff>
      <xdr:row>67</xdr:row>
      <xdr:rowOff>0</xdr:rowOff>
    </xdr:from>
    <xdr:to>
      <xdr:col>1</xdr:col>
      <xdr:colOff>2356485</xdr:colOff>
      <xdr:row>95</xdr:row>
      <xdr:rowOff>41275</xdr:rowOff>
    </xdr:to>
    <xdr:pic>
      <xdr:nvPicPr>
        <xdr:cNvPr id="11" name="Afbeelding 10">
          <a:extLst>
            <a:ext uri="{FF2B5EF4-FFF2-40B4-BE49-F238E27FC236}">
              <a16:creationId xmlns:a16="http://schemas.microsoft.com/office/drawing/2014/main" id="{00000000-0008-0000-0E00-00000B000000}"/>
            </a:ext>
          </a:extLst>
        </xdr:cNvPr>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12687300"/>
          <a:ext cx="4499610" cy="5375275"/>
        </a:xfrm>
        <a:prstGeom prst="rect">
          <a:avLst/>
        </a:prstGeom>
        <a:noFill/>
      </xdr:spPr>
    </xdr:pic>
    <xdr:clientData/>
  </xdr:twoCellAnchor>
  <xdr:twoCellAnchor editAs="oneCell">
    <xdr:from>
      <xdr:col>0</xdr:col>
      <xdr:colOff>0</xdr:colOff>
      <xdr:row>98</xdr:row>
      <xdr:rowOff>0</xdr:rowOff>
    </xdr:from>
    <xdr:to>
      <xdr:col>1</xdr:col>
      <xdr:colOff>2356485</xdr:colOff>
      <xdr:row>112</xdr:row>
      <xdr:rowOff>100965</xdr:rowOff>
    </xdr:to>
    <xdr:pic>
      <xdr:nvPicPr>
        <xdr:cNvPr id="12" name="Afbeelding 11">
          <a:extLst>
            <a:ext uri="{FF2B5EF4-FFF2-40B4-BE49-F238E27FC236}">
              <a16:creationId xmlns:a16="http://schemas.microsoft.com/office/drawing/2014/main" id="{00000000-0008-0000-0E00-00000C000000}"/>
            </a:ext>
          </a:extLst>
        </xdr:cNvPr>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18592800"/>
          <a:ext cx="4499610" cy="2767965"/>
        </a:xfrm>
        <a:prstGeom prst="rect">
          <a:avLst/>
        </a:prstGeom>
        <a:noFill/>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workbookViewId="0">
      <selection activeCell="B5" sqref="B5"/>
    </sheetView>
  </sheetViews>
  <sheetFormatPr defaultColWidth="9.1796875" defaultRowHeight="14.5" x14ac:dyDescent="0.35"/>
  <cols>
    <col min="1" max="1" width="9.1796875" style="1"/>
    <col min="2" max="2" width="10.453125" style="1" bestFit="1" customWidth="1"/>
    <col min="3" max="11" width="9.1796875" style="1"/>
    <col min="12" max="12" width="10.1796875" style="1" bestFit="1" customWidth="1"/>
    <col min="13" max="13" width="10.453125" style="1" bestFit="1" customWidth="1"/>
    <col min="14" max="16384" width="9.1796875" style="1"/>
  </cols>
  <sheetData>
    <row r="1" spans="1:14" ht="21" x14ac:dyDescent="0.5">
      <c r="A1" s="2" t="s">
        <v>0</v>
      </c>
    </row>
    <row r="2" spans="1:14" x14ac:dyDescent="0.35">
      <c r="A2" s="3" t="s">
        <v>1</v>
      </c>
    </row>
    <row r="3" spans="1:14" x14ac:dyDescent="0.35">
      <c r="L3" s="93" t="s">
        <v>5</v>
      </c>
      <c r="M3" s="91"/>
      <c r="N3" s="91"/>
    </row>
    <row r="4" spans="1:14" x14ac:dyDescent="0.35">
      <c r="A4" s="4" t="s">
        <v>2</v>
      </c>
      <c r="B4" s="90">
        <v>42508</v>
      </c>
      <c r="L4" s="94" t="s">
        <v>4</v>
      </c>
      <c r="M4" s="92">
        <v>42311</v>
      </c>
      <c r="N4" s="91" t="s">
        <v>6</v>
      </c>
    </row>
    <row r="5" spans="1:14" x14ac:dyDescent="0.35">
      <c r="A5" s="4" t="s">
        <v>3</v>
      </c>
      <c r="B5" s="1" t="s">
        <v>347</v>
      </c>
      <c r="L5" s="91" t="s">
        <v>227</v>
      </c>
      <c r="M5" s="92">
        <v>42333</v>
      </c>
      <c r="N5" s="91" t="s">
        <v>228</v>
      </c>
    </row>
    <row r="6" spans="1:14" x14ac:dyDescent="0.35">
      <c r="L6" s="91" t="s">
        <v>229</v>
      </c>
      <c r="M6" s="92">
        <v>42340</v>
      </c>
      <c r="N6" s="91" t="s">
        <v>230</v>
      </c>
    </row>
    <row r="29" spans="1:2" x14ac:dyDescent="0.35">
      <c r="A29" s="4" t="s">
        <v>7</v>
      </c>
    </row>
    <row r="30" spans="1:2" x14ac:dyDescent="0.35">
      <c r="A30" s="5" t="s">
        <v>10</v>
      </c>
      <c r="B30" s="6" t="s">
        <v>8</v>
      </c>
    </row>
    <row r="31" spans="1:2" x14ac:dyDescent="0.35">
      <c r="A31" s="5" t="s">
        <v>11</v>
      </c>
      <c r="B31" s="6" t="s">
        <v>9</v>
      </c>
    </row>
    <row r="32" spans="1:2" x14ac:dyDescent="0.35">
      <c r="A32" s="5" t="s">
        <v>12</v>
      </c>
      <c r="B32" s="6" t="s">
        <v>14</v>
      </c>
    </row>
    <row r="33" spans="1:2" x14ac:dyDescent="0.35">
      <c r="A33" s="5" t="s">
        <v>13</v>
      </c>
      <c r="B33" s="6" t="s">
        <v>15</v>
      </c>
    </row>
    <row r="34" spans="1:2" x14ac:dyDescent="0.35">
      <c r="A34" s="5" t="s">
        <v>16</v>
      </c>
      <c r="B34" s="6" t="s">
        <v>17</v>
      </c>
    </row>
    <row r="35" spans="1:2" x14ac:dyDescent="0.35">
      <c r="A35" s="5" t="s">
        <v>18</v>
      </c>
      <c r="B35" s="6" t="s">
        <v>19</v>
      </c>
    </row>
    <row r="36" spans="1:2" x14ac:dyDescent="0.35">
      <c r="A36" s="5" t="s">
        <v>20</v>
      </c>
      <c r="B36" s="6" t="s">
        <v>21</v>
      </c>
    </row>
    <row r="37" spans="1:2" x14ac:dyDescent="0.35">
      <c r="A37" s="5" t="s">
        <v>22</v>
      </c>
      <c r="B37" s="6" t="s">
        <v>23</v>
      </c>
    </row>
    <row r="38" spans="1:2" x14ac:dyDescent="0.35">
      <c r="A38" s="5"/>
      <c r="B38" s="6"/>
    </row>
    <row r="39" spans="1:2" x14ac:dyDescent="0.35">
      <c r="A39" s="13" t="s">
        <v>231</v>
      </c>
      <c r="B39" s="6"/>
    </row>
    <row r="40" spans="1:2" x14ac:dyDescent="0.35">
      <c r="A40" s="5"/>
      <c r="B40" s="6" t="s">
        <v>232</v>
      </c>
    </row>
    <row r="41" spans="1:2" x14ac:dyDescent="0.35">
      <c r="A41" s="5"/>
      <c r="B41" s="6" t="s">
        <v>318</v>
      </c>
    </row>
    <row r="42" spans="1:2" x14ac:dyDescent="0.35">
      <c r="A42" s="5"/>
    </row>
    <row r="43" spans="1:2" x14ac:dyDescent="0.35">
      <c r="A43" s="5"/>
    </row>
    <row r="44" spans="1:2" x14ac:dyDescent="0.35">
      <c r="A44" s="5"/>
    </row>
    <row r="45" spans="1:2" x14ac:dyDescent="0.35">
      <c r="A45" s="5"/>
    </row>
    <row r="46" spans="1:2" x14ac:dyDescent="0.35">
      <c r="A46" s="5"/>
    </row>
    <row r="47" spans="1:2" x14ac:dyDescent="0.35">
      <c r="A47" s="5"/>
    </row>
    <row r="48" spans="1:2" x14ac:dyDescent="0.35">
      <c r="A48" s="5"/>
    </row>
    <row r="49" spans="1:1" x14ac:dyDescent="0.35">
      <c r="A49" s="5"/>
    </row>
    <row r="50" spans="1:1" x14ac:dyDescent="0.35">
      <c r="A50" s="5"/>
    </row>
    <row r="51" spans="1:1" x14ac:dyDescent="0.35">
      <c r="A51" s="13"/>
    </row>
    <row r="52" spans="1:1" x14ac:dyDescent="0.35">
      <c r="A52" s="5"/>
    </row>
    <row r="53" spans="1:1" x14ac:dyDescent="0.35">
      <c r="A53" s="5"/>
    </row>
    <row r="54" spans="1:1" x14ac:dyDescent="0.35">
      <c r="A54" s="5"/>
    </row>
  </sheetData>
  <hyperlinks>
    <hyperlink ref="B30" location="Referentie!A1" display="Referentie (aardgas met HR-ketel)" xr:uid="{00000000-0004-0000-0000-000000000000}"/>
    <hyperlink ref="B31" location="GrWNet_STEG!A1" display="Groot warmtenet (warmte met STEG)" xr:uid="{00000000-0004-0000-0000-000001000000}"/>
    <hyperlink ref="B32" location="GrWNet_IR!A1" display="Groot warmtenet (warmte met industriële restwarmte)" xr:uid="{00000000-0004-0000-0000-000002000000}"/>
    <hyperlink ref="B33" location="GrWNet_Geo!A1" display="Groot warmtenet (warmte met geothermie)" xr:uid="{00000000-0004-0000-0000-000003000000}"/>
    <hyperlink ref="B34" location="KlWnet_Bio!A1" display="Klein warmtenet (warmte met biomassacentrale)" xr:uid="{00000000-0004-0000-0000-000004000000}"/>
    <hyperlink ref="B35" location="WKO!A1" display="WKO-net" xr:uid="{00000000-0004-0000-0000-000005000000}"/>
    <hyperlink ref="B36" location="NoM!A1" display="Nul-op-de-meter (elektriciteit met individuele warmtepomp)" xr:uid="{00000000-0004-0000-0000-000006000000}"/>
    <hyperlink ref="B37" location="HybrideWP!A1" display="Hybride warmtepomp (aardgas/elektriciteit met hybride warmtepomp)" xr:uid="{00000000-0004-0000-0000-000007000000}"/>
    <hyperlink ref="B40" location="Energieprijzen!A1" display="Energieprijzen" xr:uid="{00000000-0004-0000-0000-000008000000}"/>
    <hyperlink ref="B41" location="Leercurves!A1" display="Leercurves" xr:uid="{00000000-0004-0000-0000-000009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1:B102"/>
  <sheetViews>
    <sheetView workbookViewId="0"/>
  </sheetViews>
  <sheetFormatPr defaultRowHeight="14.5" x14ac:dyDescent="0.35"/>
  <sheetData>
    <row r="1" spans="1:2" x14ac:dyDescent="0.35">
      <c r="A1" s="48" t="s">
        <v>223</v>
      </c>
      <c r="B1" s="48" t="s">
        <v>224</v>
      </c>
    </row>
    <row r="2" spans="1:2" x14ac:dyDescent="0.35">
      <c r="A2" s="49">
        <v>0</v>
      </c>
      <c r="B2" s="50">
        <v>0</v>
      </c>
    </row>
    <row r="3" spans="1:2" x14ac:dyDescent="0.35">
      <c r="A3" s="51">
        <v>0.01</v>
      </c>
      <c r="B3" s="50">
        <v>0.03</v>
      </c>
    </row>
    <row r="4" spans="1:2" x14ac:dyDescent="0.35">
      <c r="A4" s="51">
        <v>0.02</v>
      </c>
      <c r="B4" s="50">
        <v>0.06</v>
      </c>
    </row>
    <row r="5" spans="1:2" x14ac:dyDescent="0.35">
      <c r="A5" s="51">
        <v>0.03</v>
      </c>
      <c r="B5" s="50">
        <v>0.09</v>
      </c>
    </row>
    <row r="6" spans="1:2" x14ac:dyDescent="0.35">
      <c r="A6" s="49">
        <v>0.04</v>
      </c>
      <c r="B6" s="50">
        <v>0.12</v>
      </c>
    </row>
    <row r="7" spans="1:2" x14ac:dyDescent="0.35">
      <c r="A7" s="49">
        <v>0.05</v>
      </c>
      <c r="B7" s="50">
        <v>0.15</v>
      </c>
    </row>
    <row r="8" spans="1:2" x14ac:dyDescent="0.35">
      <c r="A8" s="49">
        <v>0.06</v>
      </c>
      <c r="B8" s="50">
        <v>0.18</v>
      </c>
    </row>
    <row r="9" spans="1:2" x14ac:dyDescent="0.35">
      <c r="A9" s="49">
        <v>7.0000000000000007E-2</v>
      </c>
      <c r="B9" s="50">
        <v>0.21</v>
      </c>
    </row>
    <row r="10" spans="1:2" x14ac:dyDescent="0.35">
      <c r="A10" s="49">
        <v>0.08</v>
      </c>
      <c r="B10" s="50">
        <v>0.24</v>
      </c>
    </row>
    <row r="11" spans="1:2" x14ac:dyDescent="0.35">
      <c r="A11" s="49">
        <v>0.09</v>
      </c>
      <c r="B11" s="50">
        <v>0.27</v>
      </c>
    </row>
    <row r="12" spans="1:2" x14ac:dyDescent="0.35">
      <c r="A12" s="49">
        <v>0.1</v>
      </c>
      <c r="B12" s="50">
        <v>0.3</v>
      </c>
    </row>
    <row r="13" spans="1:2" x14ac:dyDescent="0.35">
      <c r="A13" s="49">
        <v>0.11</v>
      </c>
      <c r="B13" s="50">
        <v>0.32600000000000001</v>
      </c>
    </row>
    <row r="14" spans="1:2" x14ac:dyDescent="0.35">
      <c r="A14" s="49">
        <v>0.12</v>
      </c>
      <c r="B14" s="50">
        <v>0.35200000000000004</v>
      </c>
    </row>
    <row r="15" spans="1:2" x14ac:dyDescent="0.35">
      <c r="A15" s="49">
        <v>0.13</v>
      </c>
      <c r="B15" s="50">
        <v>0.37800000000000006</v>
      </c>
    </row>
    <row r="16" spans="1:2" x14ac:dyDescent="0.35">
      <c r="A16" s="49">
        <v>0.14000000000000001</v>
      </c>
      <c r="B16" s="50">
        <v>0.40400000000000008</v>
      </c>
    </row>
    <row r="17" spans="1:2" x14ac:dyDescent="0.35">
      <c r="A17" s="49">
        <v>0.15</v>
      </c>
      <c r="B17" s="50">
        <v>0.43</v>
      </c>
    </row>
    <row r="18" spans="1:2" x14ac:dyDescent="0.35">
      <c r="A18" s="49">
        <v>0.16</v>
      </c>
      <c r="B18" s="50">
        <v>0.45400000000000001</v>
      </c>
    </row>
    <row r="19" spans="1:2" x14ac:dyDescent="0.35">
      <c r="A19" s="49">
        <v>0.17</v>
      </c>
      <c r="B19" s="50">
        <v>0.47800000000000004</v>
      </c>
    </row>
    <row r="20" spans="1:2" x14ac:dyDescent="0.35">
      <c r="A20" s="49">
        <v>0.18</v>
      </c>
      <c r="B20" s="50">
        <v>0.502</v>
      </c>
    </row>
    <row r="21" spans="1:2" x14ac:dyDescent="0.35">
      <c r="A21" s="49">
        <v>0.19</v>
      </c>
      <c r="B21" s="50">
        <v>0.52600000000000002</v>
      </c>
    </row>
    <row r="22" spans="1:2" x14ac:dyDescent="0.35">
      <c r="A22" s="49">
        <v>0.2</v>
      </c>
      <c r="B22" s="50">
        <v>0.55000000000000004</v>
      </c>
    </row>
    <row r="23" spans="1:2" x14ac:dyDescent="0.35">
      <c r="A23" s="49">
        <v>0.21</v>
      </c>
      <c r="B23" s="50">
        <v>0.57000000000000006</v>
      </c>
    </row>
    <row r="24" spans="1:2" x14ac:dyDescent="0.35">
      <c r="A24" s="49">
        <v>0.22</v>
      </c>
      <c r="B24" s="50">
        <v>0.59000000000000008</v>
      </c>
    </row>
    <row r="25" spans="1:2" x14ac:dyDescent="0.35">
      <c r="A25" s="49">
        <v>0.23</v>
      </c>
      <c r="B25" s="50">
        <v>0.6100000000000001</v>
      </c>
    </row>
    <row r="26" spans="1:2" x14ac:dyDescent="0.35">
      <c r="A26" s="49">
        <v>0.24</v>
      </c>
      <c r="B26" s="50">
        <v>0.63000000000000012</v>
      </c>
    </row>
    <row r="27" spans="1:2" x14ac:dyDescent="0.35">
      <c r="A27" s="49">
        <v>0.25</v>
      </c>
      <c r="B27" s="50">
        <v>0.65000000000000013</v>
      </c>
    </row>
    <row r="28" spans="1:2" x14ac:dyDescent="0.35">
      <c r="A28" s="49">
        <v>0.26</v>
      </c>
      <c r="B28" s="50">
        <v>0.67000000000000015</v>
      </c>
    </row>
    <row r="29" spans="1:2" x14ac:dyDescent="0.35">
      <c r="A29" s="49">
        <v>0.27</v>
      </c>
      <c r="B29" s="50">
        <v>0.69000000000000017</v>
      </c>
    </row>
    <row r="30" spans="1:2" x14ac:dyDescent="0.35">
      <c r="A30" s="49">
        <v>0.28000000000000003</v>
      </c>
      <c r="B30" s="50">
        <v>0.71000000000000019</v>
      </c>
    </row>
    <row r="31" spans="1:2" x14ac:dyDescent="0.35">
      <c r="A31" s="49">
        <v>0.28999999999999998</v>
      </c>
      <c r="B31" s="50">
        <v>0.7300000000000002</v>
      </c>
    </row>
    <row r="32" spans="1:2" x14ac:dyDescent="0.35">
      <c r="A32" s="49">
        <v>0.3</v>
      </c>
      <c r="B32" s="50">
        <v>0.75</v>
      </c>
    </row>
    <row r="33" spans="1:2" x14ac:dyDescent="0.35">
      <c r="A33" s="49">
        <v>0.31</v>
      </c>
      <c r="B33" s="50">
        <v>0.76</v>
      </c>
    </row>
    <row r="34" spans="1:2" x14ac:dyDescent="0.35">
      <c r="A34" s="49">
        <v>0.32</v>
      </c>
      <c r="B34" s="50">
        <v>0.77</v>
      </c>
    </row>
    <row r="35" spans="1:2" x14ac:dyDescent="0.35">
      <c r="A35" s="49">
        <v>0.33</v>
      </c>
      <c r="B35" s="50">
        <v>0.78</v>
      </c>
    </row>
    <row r="36" spans="1:2" x14ac:dyDescent="0.35">
      <c r="A36" s="49">
        <v>0.34</v>
      </c>
      <c r="B36" s="50">
        <v>0.79</v>
      </c>
    </row>
    <row r="37" spans="1:2" x14ac:dyDescent="0.35">
      <c r="A37" s="49">
        <v>0.35</v>
      </c>
      <c r="B37" s="50">
        <v>0.8</v>
      </c>
    </row>
    <row r="38" spans="1:2" x14ac:dyDescent="0.35">
      <c r="A38" s="49">
        <v>0.36</v>
      </c>
      <c r="B38" s="50">
        <v>0.81</v>
      </c>
    </row>
    <row r="39" spans="1:2" x14ac:dyDescent="0.35">
      <c r="A39" s="49">
        <v>0.37</v>
      </c>
      <c r="B39" s="50">
        <v>0.82000000000000006</v>
      </c>
    </row>
    <row r="40" spans="1:2" x14ac:dyDescent="0.35">
      <c r="A40" s="49">
        <v>0.38</v>
      </c>
      <c r="B40" s="50">
        <v>0.83000000000000007</v>
      </c>
    </row>
    <row r="41" spans="1:2" x14ac:dyDescent="0.35">
      <c r="A41" s="49">
        <v>0.39</v>
      </c>
      <c r="B41" s="50">
        <v>0.84000000000000008</v>
      </c>
    </row>
    <row r="42" spans="1:2" x14ac:dyDescent="0.35">
      <c r="A42" s="49">
        <v>0.4</v>
      </c>
      <c r="B42" s="50">
        <v>0.85</v>
      </c>
    </row>
    <row r="43" spans="1:2" x14ac:dyDescent="0.35">
      <c r="A43" s="49">
        <v>0.41</v>
      </c>
      <c r="B43" s="50">
        <v>0.86</v>
      </c>
    </row>
    <row r="44" spans="1:2" x14ac:dyDescent="0.35">
      <c r="A44" s="49">
        <v>0.42</v>
      </c>
      <c r="B44" s="50">
        <v>0.87</v>
      </c>
    </row>
    <row r="45" spans="1:2" x14ac:dyDescent="0.35">
      <c r="A45" s="49">
        <v>0.43</v>
      </c>
      <c r="B45" s="50">
        <v>0.88</v>
      </c>
    </row>
    <row r="46" spans="1:2" x14ac:dyDescent="0.35">
      <c r="A46" s="49">
        <v>0.44</v>
      </c>
      <c r="B46" s="50">
        <v>0.89</v>
      </c>
    </row>
    <row r="47" spans="1:2" x14ac:dyDescent="0.35">
      <c r="A47" s="49">
        <v>0.45</v>
      </c>
      <c r="B47" s="50">
        <v>0.9</v>
      </c>
    </row>
    <row r="48" spans="1:2" x14ac:dyDescent="0.35">
      <c r="A48" s="49">
        <v>0.46</v>
      </c>
      <c r="B48" s="50">
        <v>0.91</v>
      </c>
    </row>
    <row r="49" spans="1:2" x14ac:dyDescent="0.35">
      <c r="A49" s="49">
        <v>0.47</v>
      </c>
      <c r="B49" s="50">
        <v>0.92</v>
      </c>
    </row>
    <row r="50" spans="1:2" x14ac:dyDescent="0.35">
      <c r="A50" s="49">
        <v>0.48</v>
      </c>
      <c r="B50" s="50">
        <v>0.93</v>
      </c>
    </row>
    <row r="51" spans="1:2" x14ac:dyDescent="0.35">
      <c r="A51" s="49">
        <v>0.49</v>
      </c>
      <c r="B51" s="50">
        <v>0.94000000000000006</v>
      </c>
    </row>
    <row r="52" spans="1:2" x14ac:dyDescent="0.35">
      <c r="A52" s="49">
        <v>0.5</v>
      </c>
      <c r="B52" s="50">
        <v>0.95</v>
      </c>
    </row>
    <row r="53" spans="1:2" x14ac:dyDescent="0.35">
      <c r="A53" s="49">
        <v>0.51</v>
      </c>
      <c r="B53" s="50">
        <v>0.95299999999999996</v>
      </c>
    </row>
    <row r="54" spans="1:2" x14ac:dyDescent="0.35">
      <c r="A54" s="49">
        <v>0.52</v>
      </c>
      <c r="B54" s="50">
        <v>0.95599999999999996</v>
      </c>
    </row>
    <row r="55" spans="1:2" x14ac:dyDescent="0.35">
      <c r="A55" s="49">
        <v>0.53</v>
      </c>
      <c r="B55" s="50">
        <v>0.95899999999999996</v>
      </c>
    </row>
    <row r="56" spans="1:2" x14ac:dyDescent="0.35">
      <c r="A56" s="49">
        <v>0.54</v>
      </c>
      <c r="B56" s="50">
        <v>0.96199999999999997</v>
      </c>
    </row>
    <row r="57" spans="1:2" x14ac:dyDescent="0.35">
      <c r="A57" s="49">
        <v>0.55000000000000004</v>
      </c>
      <c r="B57" s="50">
        <v>0.96499999999999997</v>
      </c>
    </row>
    <row r="58" spans="1:2" x14ac:dyDescent="0.35">
      <c r="A58" s="49">
        <v>0.56000000000000005</v>
      </c>
      <c r="B58" s="50">
        <v>0.96799999999999997</v>
      </c>
    </row>
    <row r="59" spans="1:2" x14ac:dyDescent="0.35">
      <c r="A59" s="49">
        <v>0.56999999999999995</v>
      </c>
      <c r="B59" s="50">
        <v>0.97099999999999997</v>
      </c>
    </row>
    <row r="60" spans="1:2" x14ac:dyDescent="0.35">
      <c r="A60" s="49">
        <v>0.57999999999999996</v>
      </c>
      <c r="B60" s="50">
        <v>0.97399999999999998</v>
      </c>
    </row>
    <row r="61" spans="1:2" x14ac:dyDescent="0.35">
      <c r="A61" s="49">
        <v>0.59</v>
      </c>
      <c r="B61" s="50">
        <v>0.97699999999999998</v>
      </c>
    </row>
    <row r="62" spans="1:2" x14ac:dyDescent="0.35">
      <c r="A62" s="49">
        <v>0.6</v>
      </c>
      <c r="B62" s="50">
        <v>0.98</v>
      </c>
    </row>
    <row r="63" spans="1:2" x14ac:dyDescent="0.35">
      <c r="A63" s="49">
        <v>0.61</v>
      </c>
      <c r="B63" s="50">
        <v>0.98199999999999998</v>
      </c>
    </row>
    <row r="64" spans="1:2" x14ac:dyDescent="0.35">
      <c r="A64" s="49">
        <v>0.62</v>
      </c>
      <c r="B64" s="50">
        <v>0.98399999999999999</v>
      </c>
    </row>
    <row r="65" spans="1:2" x14ac:dyDescent="0.35">
      <c r="A65" s="49">
        <v>0.63</v>
      </c>
      <c r="B65" s="50">
        <v>0.98599999999999999</v>
      </c>
    </row>
    <row r="66" spans="1:2" x14ac:dyDescent="0.35">
      <c r="A66" s="49">
        <v>0.64</v>
      </c>
      <c r="B66" s="50">
        <v>0.98799999999999999</v>
      </c>
    </row>
    <row r="67" spans="1:2" x14ac:dyDescent="0.35">
      <c r="A67" s="49">
        <v>0.65</v>
      </c>
      <c r="B67" s="50">
        <v>0.99</v>
      </c>
    </row>
    <row r="68" spans="1:2" x14ac:dyDescent="0.35">
      <c r="A68" s="49">
        <v>0.66</v>
      </c>
      <c r="B68" s="50">
        <v>0.99199999999999999</v>
      </c>
    </row>
    <row r="69" spans="1:2" x14ac:dyDescent="0.35">
      <c r="A69" s="49">
        <v>0.67</v>
      </c>
      <c r="B69" s="50">
        <v>0.99399999999999999</v>
      </c>
    </row>
    <row r="70" spans="1:2" x14ac:dyDescent="0.35">
      <c r="A70" s="49">
        <v>0.68</v>
      </c>
      <c r="B70" s="50">
        <v>0.996</v>
      </c>
    </row>
    <row r="71" spans="1:2" x14ac:dyDescent="0.35">
      <c r="A71" s="49">
        <v>0.69</v>
      </c>
      <c r="B71" s="50">
        <v>0.998</v>
      </c>
    </row>
    <row r="72" spans="1:2" x14ac:dyDescent="0.35">
      <c r="A72" s="49">
        <v>0.7</v>
      </c>
      <c r="B72" s="50">
        <v>1</v>
      </c>
    </row>
    <row r="73" spans="1:2" x14ac:dyDescent="0.35">
      <c r="A73" s="49">
        <v>0.71</v>
      </c>
      <c r="B73" s="50">
        <v>1</v>
      </c>
    </row>
    <row r="74" spans="1:2" x14ac:dyDescent="0.35">
      <c r="A74" s="49">
        <v>0.72</v>
      </c>
      <c r="B74" s="50">
        <v>1</v>
      </c>
    </row>
    <row r="75" spans="1:2" x14ac:dyDescent="0.35">
      <c r="A75" s="49">
        <v>0.73</v>
      </c>
      <c r="B75" s="50">
        <v>1</v>
      </c>
    </row>
    <row r="76" spans="1:2" x14ac:dyDescent="0.35">
      <c r="A76" s="49">
        <v>0.74</v>
      </c>
      <c r="B76" s="50">
        <v>1</v>
      </c>
    </row>
    <row r="77" spans="1:2" x14ac:dyDescent="0.35">
      <c r="A77" s="49">
        <v>0.75</v>
      </c>
      <c r="B77" s="50">
        <v>1</v>
      </c>
    </row>
    <row r="78" spans="1:2" x14ac:dyDescent="0.35">
      <c r="A78" s="49">
        <v>0.76</v>
      </c>
      <c r="B78" s="50">
        <v>1</v>
      </c>
    </row>
    <row r="79" spans="1:2" x14ac:dyDescent="0.35">
      <c r="A79" s="49">
        <v>0.77</v>
      </c>
      <c r="B79" s="50">
        <v>1</v>
      </c>
    </row>
    <row r="80" spans="1:2" x14ac:dyDescent="0.35">
      <c r="A80" s="49">
        <v>0.78</v>
      </c>
      <c r="B80" s="50">
        <v>1</v>
      </c>
    </row>
    <row r="81" spans="1:2" x14ac:dyDescent="0.35">
      <c r="A81" s="49">
        <v>0.79</v>
      </c>
      <c r="B81" s="50">
        <v>1</v>
      </c>
    </row>
    <row r="82" spans="1:2" x14ac:dyDescent="0.35">
      <c r="A82" s="49">
        <v>0.8</v>
      </c>
      <c r="B82" s="50">
        <v>1</v>
      </c>
    </row>
    <row r="83" spans="1:2" x14ac:dyDescent="0.35">
      <c r="A83" s="49">
        <v>0.81</v>
      </c>
      <c r="B83" s="50">
        <v>1</v>
      </c>
    </row>
    <row r="84" spans="1:2" x14ac:dyDescent="0.35">
      <c r="A84" s="49">
        <v>0.82</v>
      </c>
      <c r="B84" s="50">
        <v>1</v>
      </c>
    </row>
    <row r="85" spans="1:2" x14ac:dyDescent="0.35">
      <c r="A85" s="49">
        <v>0.83</v>
      </c>
      <c r="B85" s="50">
        <v>1</v>
      </c>
    </row>
    <row r="86" spans="1:2" x14ac:dyDescent="0.35">
      <c r="A86" s="49">
        <v>0.84</v>
      </c>
      <c r="B86" s="50">
        <v>1</v>
      </c>
    </row>
    <row r="87" spans="1:2" x14ac:dyDescent="0.35">
      <c r="A87" s="49">
        <v>0.85</v>
      </c>
      <c r="B87" s="50">
        <v>1</v>
      </c>
    </row>
    <row r="88" spans="1:2" x14ac:dyDescent="0.35">
      <c r="A88" s="49">
        <v>0.86</v>
      </c>
      <c r="B88" s="50">
        <v>1</v>
      </c>
    </row>
    <row r="89" spans="1:2" x14ac:dyDescent="0.35">
      <c r="A89" s="49">
        <v>0.87</v>
      </c>
      <c r="B89" s="50">
        <v>1</v>
      </c>
    </row>
    <row r="90" spans="1:2" x14ac:dyDescent="0.35">
      <c r="A90" s="49">
        <v>0.88</v>
      </c>
      <c r="B90" s="50">
        <v>1</v>
      </c>
    </row>
    <row r="91" spans="1:2" x14ac:dyDescent="0.35">
      <c r="A91" s="49">
        <v>0.89</v>
      </c>
      <c r="B91" s="50">
        <v>1</v>
      </c>
    </row>
    <row r="92" spans="1:2" x14ac:dyDescent="0.35">
      <c r="A92" s="49">
        <v>0.9</v>
      </c>
      <c r="B92" s="50">
        <v>1</v>
      </c>
    </row>
    <row r="93" spans="1:2" x14ac:dyDescent="0.35">
      <c r="A93" s="49">
        <v>0.91</v>
      </c>
      <c r="B93" s="50">
        <v>1</v>
      </c>
    </row>
    <row r="94" spans="1:2" x14ac:dyDescent="0.35">
      <c r="A94" s="49">
        <v>0.92</v>
      </c>
      <c r="B94" s="50">
        <v>1</v>
      </c>
    </row>
    <row r="95" spans="1:2" x14ac:dyDescent="0.35">
      <c r="A95" s="49">
        <v>0.93</v>
      </c>
      <c r="B95" s="50">
        <v>1</v>
      </c>
    </row>
    <row r="96" spans="1:2" x14ac:dyDescent="0.35">
      <c r="A96" s="49">
        <v>0.94</v>
      </c>
      <c r="B96" s="50">
        <v>1</v>
      </c>
    </row>
    <row r="97" spans="1:2" x14ac:dyDescent="0.35">
      <c r="A97" s="49">
        <v>0.95</v>
      </c>
      <c r="B97" s="50">
        <v>1</v>
      </c>
    </row>
    <row r="98" spans="1:2" x14ac:dyDescent="0.35">
      <c r="A98" s="49">
        <v>0.96</v>
      </c>
      <c r="B98" s="50">
        <v>1</v>
      </c>
    </row>
    <row r="99" spans="1:2" x14ac:dyDescent="0.35">
      <c r="A99" s="49">
        <v>0.97</v>
      </c>
      <c r="B99" s="50">
        <v>1</v>
      </c>
    </row>
    <row r="100" spans="1:2" x14ac:dyDescent="0.35">
      <c r="A100" s="49">
        <v>0.98</v>
      </c>
      <c r="B100" s="50">
        <v>1</v>
      </c>
    </row>
    <row r="101" spans="1:2" x14ac:dyDescent="0.35">
      <c r="A101" s="49">
        <v>0.99</v>
      </c>
      <c r="B101" s="50">
        <v>1</v>
      </c>
    </row>
    <row r="102" spans="1:2" x14ac:dyDescent="0.35">
      <c r="A102" s="49">
        <v>1</v>
      </c>
      <c r="B102" s="5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1"/>
  <sheetViews>
    <sheetView topLeftCell="F1" zoomScale="85" zoomScaleNormal="85" workbookViewId="0">
      <selection activeCell="T4" sqref="T4:T8"/>
    </sheetView>
  </sheetViews>
  <sheetFormatPr defaultRowHeight="14.5" x14ac:dyDescent="0.35"/>
  <cols>
    <col min="1" max="1" width="11.54296875" bestFit="1" customWidth="1"/>
    <col min="2" max="2" width="16.54296875" customWidth="1"/>
    <col min="3" max="3" width="12.1796875" bestFit="1" customWidth="1"/>
    <col min="4" max="4" width="11.453125" bestFit="1" customWidth="1"/>
    <col min="5" max="6" width="21.453125" customWidth="1"/>
    <col min="7" max="13" width="12.7265625" customWidth="1"/>
    <col min="14" max="14" width="14.26953125" customWidth="1"/>
    <col min="15" max="15" width="17.26953125" customWidth="1"/>
    <col min="16" max="17" width="12.7265625" customWidth="1"/>
    <col min="18" max="18" width="14.453125" customWidth="1"/>
    <col min="19" max="20" width="13.1796875" customWidth="1"/>
  </cols>
  <sheetData>
    <row r="1" spans="1:20" x14ac:dyDescent="0.35">
      <c r="A1" s="124" t="s">
        <v>428</v>
      </c>
    </row>
    <row r="2" spans="1:20" ht="15" thickBot="1" x14ac:dyDescent="0.4">
      <c r="M2" s="130" t="s">
        <v>430</v>
      </c>
      <c r="N2" s="130"/>
      <c r="O2" s="130"/>
      <c r="P2" s="130"/>
      <c r="Q2" s="131" t="s">
        <v>431</v>
      </c>
      <c r="R2" s="131"/>
      <c r="S2" s="131"/>
      <c r="T2" s="131"/>
    </row>
    <row r="3" spans="1:20" ht="58" x14ac:dyDescent="0.35">
      <c r="A3" t="s">
        <v>387</v>
      </c>
      <c r="B3" s="125" t="s">
        <v>398</v>
      </c>
      <c r="C3" s="126" t="s">
        <v>399</v>
      </c>
      <c r="D3" s="112" t="s">
        <v>401</v>
      </c>
      <c r="E3" s="110" t="s">
        <v>446</v>
      </c>
      <c r="F3" s="110" t="s">
        <v>447</v>
      </c>
      <c r="G3" s="111" t="s">
        <v>393</v>
      </c>
      <c r="H3" s="111" t="s">
        <v>394</v>
      </c>
      <c r="I3" s="111" t="s">
        <v>400</v>
      </c>
      <c r="J3" s="111" t="s">
        <v>395</v>
      </c>
      <c r="K3" s="111" t="s">
        <v>396</v>
      </c>
      <c r="L3" s="111" t="s">
        <v>397</v>
      </c>
      <c r="M3" s="129" t="s">
        <v>429</v>
      </c>
      <c r="N3" s="112" t="s">
        <v>419</v>
      </c>
      <c r="O3" s="112" t="s">
        <v>410</v>
      </c>
      <c r="P3" s="112" t="s">
        <v>425</v>
      </c>
      <c r="Q3" s="111" t="s">
        <v>392</v>
      </c>
      <c r="R3" s="112" t="s">
        <v>419</v>
      </c>
      <c r="S3" s="112" t="s">
        <v>410</v>
      </c>
      <c r="T3" s="112" t="s">
        <v>425</v>
      </c>
    </row>
    <row r="4" spans="1:20" x14ac:dyDescent="0.35">
      <c r="A4" s="109" t="s">
        <v>388</v>
      </c>
      <c r="B4" s="127">
        <v>500</v>
      </c>
      <c r="C4" s="128">
        <v>500</v>
      </c>
      <c r="D4" s="115">
        <f>B4+C4</f>
        <v>1000</v>
      </c>
      <c r="E4" s="113">
        <v>7</v>
      </c>
      <c r="F4" s="157">
        <f>E4/2</f>
        <v>3.5</v>
      </c>
      <c r="G4" s="114">
        <v>2.5</v>
      </c>
      <c r="H4" s="114">
        <v>15</v>
      </c>
      <c r="I4" s="117">
        <v>14</v>
      </c>
      <c r="J4" s="114">
        <v>8</v>
      </c>
      <c r="K4" s="114">
        <v>0</v>
      </c>
      <c r="L4" s="116">
        <v>8000</v>
      </c>
      <c r="M4" s="114">
        <v>6.6</v>
      </c>
      <c r="N4" s="118">
        <f>I4*(1-1/M4)+J4*(1-1/G4)</f>
        <v>16.67878787878788</v>
      </c>
      <c r="O4" s="118">
        <f>I4/M4+J4/G4+K4/H4</f>
        <v>5.3212121212121213</v>
      </c>
      <c r="P4" s="118">
        <f>F4*(1-1/M4)</f>
        <v>2.9696969696969697</v>
      </c>
      <c r="Q4" s="151">
        <v>7.9</v>
      </c>
      <c r="R4" s="118">
        <f>J4*(1-1/G4)+I4*(1-1/Q4)</f>
        <v>17.027848101265821</v>
      </c>
      <c r="S4" s="118">
        <f>I4/Q4+K4/H4+J4/G4</f>
        <v>4.9721518987341771</v>
      </c>
      <c r="T4" s="118">
        <f>F4*(1-1/Q4)</f>
        <v>3.0569620253164556</v>
      </c>
    </row>
    <row r="5" spans="1:20" x14ac:dyDescent="0.35">
      <c r="A5" s="109" t="s">
        <v>389</v>
      </c>
      <c r="B5" s="127">
        <v>500</v>
      </c>
      <c r="C5" s="128">
        <v>500</v>
      </c>
      <c r="D5" s="115">
        <f>B5+C5</f>
        <v>1000</v>
      </c>
      <c r="E5" s="156">
        <v>7.5</v>
      </c>
      <c r="F5" s="157">
        <f t="shared" ref="F5:F8" si="0">E5/2</f>
        <v>3.75</v>
      </c>
      <c r="G5" s="114">
        <v>2.5</v>
      </c>
      <c r="H5" s="114">
        <v>15</v>
      </c>
      <c r="I5" s="117">
        <v>35</v>
      </c>
      <c r="J5" s="114">
        <v>8</v>
      </c>
      <c r="K5" s="114">
        <v>0</v>
      </c>
      <c r="L5" s="116">
        <v>7200</v>
      </c>
      <c r="M5" s="114">
        <v>4.2</v>
      </c>
      <c r="N5" s="118">
        <f>I5*(1-1/M5)+J5*(1-1/G5)</f>
        <v>31.466666666666665</v>
      </c>
      <c r="O5" s="118">
        <f>I5/M5+J5/G5</f>
        <v>11.533333333333331</v>
      </c>
      <c r="P5" s="118">
        <f t="shared" ref="P5:P8" si="1">F5*(1-1/M5)</f>
        <v>2.8571428571428568</v>
      </c>
      <c r="Q5" s="151">
        <v>4.7</v>
      </c>
      <c r="R5" s="118">
        <f t="shared" ref="R5:R8" si="2">J5*(1-1/G5)+I5*(1-1/Q5)</f>
        <v>32.353191489361699</v>
      </c>
      <c r="S5" s="118">
        <f t="shared" ref="S5:S8" si="3">I5/Q5+K5/H5+J5/G5</f>
        <v>10.646808510638298</v>
      </c>
      <c r="T5" s="118">
        <f t="shared" ref="T5:T8" si="4">F5*(1-1/Q5)</f>
        <v>2.9521276595744683</v>
      </c>
    </row>
    <row r="6" spans="1:20" x14ac:dyDescent="0.35">
      <c r="A6" s="109" t="s">
        <v>390</v>
      </c>
      <c r="B6" s="127">
        <v>0</v>
      </c>
      <c r="C6" s="128">
        <v>0</v>
      </c>
      <c r="D6" s="115">
        <f>B6+C6</f>
        <v>0</v>
      </c>
      <c r="E6" s="113">
        <v>10</v>
      </c>
      <c r="F6" s="157">
        <f t="shared" si="0"/>
        <v>5</v>
      </c>
      <c r="G6" s="114">
        <v>2.5</v>
      </c>
      <c r="H6" s="114">
        <v>15</v>
      </c>
      <c r="I6" s="117">
        <v>45</v>
      </c>
      <c r="J6" s="114">
        <v>8</v>
      </c>
      <c r="K6" s="114">
        <v>0</v>
      </c>
      <c r="L6" s="116">
        <v>9700</v>
      </c>
      <c r="M6" s="114">
        <v>3.2</v>
      </c>
      <c r="N6" s="118">
        <f>I6*(1-1/M6)+J6*(1-1/G6)</f>
        <v>35.737499999999997</v>
      </c>
      <c r="O6" s="118">
        <f>I6/M6+J6/G6</f>
        <v>17.262499999999999</v>
      </c>
      <c r="P6" s="118">
        <f t="shared" si="1"/>
        <v>3.4375</v>
      </c>
      <c r="Q6" s="151">
        <v>3.5</v>
      </c>
      <c r="R6" s="118">
        <f t="shared" si="2"/>
        <v>36.942857142857143</v>
      </c>
      <c r="S6" s="118">
        <f t="shared" si="3"/>
        <v>16.057142857142857</v>
      </c>
      <c r="T6" s="118">
        <f t="shared" si="4"/>
        <v>3.5714285714285716</v>
      </c>
    </row>
    <row r="7" spans="1:20" ht="15" thickBot="1" x14ac:dyDescent="0.4">
      <c r="A7" s="132" t="s">
        <v>391</v>
      </c>
      <c r="B7" s="133">
        <v>0</v>
      </c>
      <c r="C7" s="134">
        <v>0</v>
      </c>
      <c r="D7" s="135">
        <f>B7+C7</f>
        <v>0</v>
      </c>
      <c r="E7" s="154">
        <v>12.5</v>
      </c>
      <c r="F7" s="157">
        <f t="shared" si="0"/>
        <v>6.25</v>
      </c>
      <c r="G7" s="136">
        <v>2.5</v>
      </c>
      <c r="H7" s="136">
        <v>15</v>
      </c>
      <c r="I7" s="137">
        <v>55</v>
      </c>
      <c r="J7" s="136">
        <v>8</v>
      </c>
      <c r="K7" s="136">
        <v>0</v>
      </c>
      <c r="L7" s="138">
        <v>10200</v>
      </c>
      <c r="M7" s="136">
        <v>3.2</v>
      </c>
      <c r="N7" s="139">
        <f>I7*(1-1/M7)+J7*(1-1/G7)</f>
        <v>42.612499999999997</v>
      </c>
      <c r="O7" s="139">
        <f>I7/M7+J7/G7</f>
        <v>20.387499999999999</v>
      </c>
      <c r="P7" s="118">
        <f t="shared" si="1"/>
        <v>4.296875</v>
      </c>
      <c r="Q7" s="152">
        <v>3.5</v>
      </c>
      <c r="R7" s="118">
        <f t="shared" si="2"/>
        <v>44.085714285714282</v>
      </c>
      <c r="S7" s="118">
        <f t="shared" si="3"/>
        <v>18.914285714285715</v>
      </c>
      <c r="T7" s="118">
        <f t="shared" si="4"/>
        <v>4.4642857142857144</v>
      </c>
    </row>
    <row r="8" spans="1:20" ht="15" thickBot="1" x14ac:dyDescent="0.4">
      <c r="A8" s="140" t="s">
        <v>432</v>
      </c>
      <c r="B8" s="141">
        <v>0</v>
      </c>
      <c r="C8" s="141">
        <v>0</v>
      </c>
      <c r="D8" s="142">
        <f>B8+C8</f>
        <v>0</v>
      </c>
      <c r="E8" s="143">
        <v>0.11</v>
      </c>
      <c r="F8" s="157">
        <f t="shared" si="0"/>
        <v>5.5E-2</v>
      </c>
      <c r="G8" s="144">
        <v>2.5</v>
      </c>
      <c r="H8" s="145">
        <v>15</v>
      </c>
      <c r="I8" s="146">
        <v>0.33200000000000002</v>
      </c>
      <c r="J8" s="145">
        <v>4.0000000000000001E-3</v>
      </c>
      <c r="K8" s="150">
        <v>7.3431101999999998E-2</v>
      </c>
      <c r="L8" s="147">
        <f>1000*E8</f>
        <v>110</v>
      </c>
      <c r="M8" s="144">
        <v>4.2</v>
      </c>
      <c r="N8" s="149">
        <f>I8*(1-1/M8)+J8*(1-1/G8)</f>
        <v>0.25535238095238094</v>
      </c>
      <c r="O8" s="139">
        <f>I8/M8+J8/G8</f>
        <v>8.0647619047619051E-2</v>
      </c>
      <c r="P8" s="118">
        <f t="shared" si="1"/>
        <v>4.1904761904761903E-2</v>
      </c>
      <c r="Q8" s="153">
        <v>4.7</v>
      </c>
      <c r="R8" s="118">
        <f t="shared" si="2"/>
        <v>0.26376170212765959</v>
      </c>
      <c r="S8" s="118">
        <f t="shared" si="3"/>
        <v>7.7133704672340431E-2</v>
      </c>
      <c r="T8" s="118">
        <f t="shared" si="4"/>
        <v>4.3297872340425536E-2</v>
      </c>
    </row>
    <row r="9" spans="1:20" x14ac:dyDescent="0.35">
      <c r="A9" s="148" t="s">
        <v>434</v>
      </c>
      <c r="L9" t="s">
        <v>433</v>
      </c>
    </row>
    <row r="11" spans="1:20" x14ac:dyDescent="0.35">
      <c r="I11">
        <f>C8*(I8+J8)</f>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H174"/>
  <sheetViews>
    <sheetView topLeftCell="A13" zoomScale="70" zoomScaleNormal="70" workbookViewId="0">
      <selection activeCell="C65" sqref="C65"/>
    </sheetView>
  </sheetViews>
  <sheetFormatPr defaultColWidth="9.1796875" defaultRowHeight="14.5" outlineLevelRow="1" x14ac:dyDescent="0.35"/>
  <cols>
    <col min="1" max="1" width="49.54296875" style="1" customWidth="1"/>
    <col min="2" max="2" width="8.26953125" style="1" bestFit="1" customWidth="1"/>
    <col min="3" max="3" width="14.81640625" style="1" customWidth="1"/>
    <col min="4" max="4" width="23.81640625" style="1" customWidth="1"/>
    <col min="5" max="5" width="39.26953125" style="1" customWidth="1"/>
    <col min="6" max="16384" width="9.1796875" style="1"/>
  </cols>
  <sheetData>
    <row r="1" spans="1:7" ht="21" x14ac:dyDescent="0.5">
      <c r="A1" s="2" t="s">
        <v>382</v>
      </c>
      <c r="B1" s="2"/>
    </row>
    <row r="3" spans="1:7" x14ac:dyDescent="0.35">
      <c r="A3" s="4"/>
      <c r="B3" s="4"/>
    </row>
    <row r="12" spans="1:7" s="9" customFormat="1" x14ac:dyDescent="0.35">
      <c r="A12" s="14" t="s">
        <v>29</v>
      </c>
      <c r="B12" s="14"/>
    </row>
    <row r="13" spans="1:7" outlineLevel="1" x14ac:dyDescent="0.35">
      <c r="B13" s="4" t="s">
        <v>352</v>
      </c>
      <c r="C13" s="23" t="s">
        <v>27</v>
      </c>
      <c r="D13" s="4" t="s">
        <v>28</v>
      </c>
      <c r="E13" s="4" t="s">
        <v>73</v>
      </c>
      <c r="F13" s="4" t="s">
        <v>142</v>
      </c>
      <c r="G13" s="4" t="s">
        <v>143</v>
      </c>
    </row>
    <row r="14" spans="1:7" s="7" customFormat="1" outlineLevel="1" x14ac:dyDescent="0.35">
      <c r="A14" s="21" t="s">
        <v>74</v>
      </c>
      <c r="B14" s="21"/>
      <c r="C14" s="22"/>
    </row>
    <row r="15" spans="1:7" outlineLevel="1" x14ac:dyDescent="0.35">
      <c r="A15" s="1" t="s">
        <v>75</v>
      </c>
      <c r="B15" s="1" t="s">
        <v>353</v>
      </c>
      <c r="C15" s="15">
        <f>SUM('Invoer woningen en utiliteit'!C4:C7)</f>
        <v>1000</v>
      </c>
      <c r="D15" s="1" t="s">
        <v>31</v>
      </c>
      <c r="E15" s="1" t="s">
        <v>428</v>
      </c>
    </row>
    <row r="16" spans="1:7" outlineLevel="1" x14ac:dyDescent="0.35">
      <c r="A16" s="1" t="s">
        <v>144</v>
      </c>
      <c r="B16" s="1" t="s">
        <v>354</v>
      </c>
      <c r="C16" s="15">
        <f>SUM('Invoer woningen en utiliteit'!B4:B7)</f>
        <v>1000</v>
      </c>
      <c r="D16" s="1" t="s">
        <v>31</v>
      </c>
      <c r="E16" s="1" t="s">
        <v>428</v>
      </c>
    </row>
    <row r="17" spans="1:7" outlineLevel="1" x14ac:dyDescent="0.35">
      <c r="A17" s="1" t="s">
        <v>145</v>
      </c>
      <c r="C17" s="15">
        <v>40</v>
      </c>
      <c r="D17" s="1" t="s">
        <v>32</v>
      </c>
      <c r="E17" s="1" t="s">
        <v>76</v>
      </c>
    </row>
    <row r="18" spans="1:7" outlineLevel="1" x14ac:dyDescent="0.35">
      <c r="A18" s="1" t="s">
        <v>146</v>
      </c>
      <c r="C18" s="15">
        <v>10</v>
      </c>
      <c r="D18" s="1" t="s">
        <v>32</v>
      </c>
      <c r="E18" s="1" t="s">
        <v>76</v>
      </c>
    </row>
    <row r="19" spans="1:7" outlineLevel="1" x14ac:dyDescent="0.35">
      <c r="A19" s="1" t="s">
        <v>33</v>
      </c>
      <c r="C19" s="15">
        <f>C15/C17+C16/C18</f>
        <v>125</v>
      </c>
      <c r="D19" s="1" t="s">
        <v>34</v>
      </c>
    </row>
    <row r="20" spans="1:7" outlineLevel="1" x14ac:dyDescent="0.35">
      <c r="A20" s="1" t="s">
        <v>33</v>
      </c>
      <c r="C20" s="15">
        <f>10000*C19</f>
        <v>1250000</v>
      </c>
      <c r="D20" s="1" t="s">
        <v>35</v>
      </c>
    </row>
    <row r="21" spans="1:7" outlineLevel="1" x14ac:dyDescent="0.35">
      <c r="A21" s="1" t="s">
        <v>37</v>
      </c>
      <c r="B21" s="1" t="s">
        <v>355</v>
      </c>
      <c r="C21" s="17">
        <v>0.5</v>
      </c>
      <c r="E21" s="1" t="s">
        <v>150</v>
      </c>
      <c r="F21" s="1" t="s">
        <v>149</v>
      </c>
    </row>
    <row r="22" spans="1:7" outlineLevel="1" x14ac:dyDescent="0.35">
      <c r="A22" s="1" t="s">
        <v>38</v>
      </c>
      <c r="B22" s="1" t="s">
        <v>356</v>
      </c>
      <c r="C22" s="119">
        <v>0.05</v>
      </c>
      <c r="D22" s="1" t="s">
        <v>39</v>
      </c>
      <c r="E22" s="1" t="s">
        <v>150</v>
      </c>
      <c r="F22" s="1" t="s">
        <v>151</v>
      </c>
      <c r="G22" s="96" t="s">
        <v>337</v>
      </c>
    </row>
    <row r="23" spans="1:7" outlineLevel="1" x14ac:dyDescent="0.35">
      <c r="A23" s="1" t="s">
        <v>41</v>
      </c>
      <c r="B23" s="1" t="s">
        <v>426</v>
      </c>
      <c r="C23" s="15">
        <f>SUMPRODUCT('Invoer woningen en utiliteit'!D4:D8,'Invoer woningen en utiliteit'!I4:I8)+SUMPRODUCT('Invoer woningen en utiliteit'!D4:D8,'Invoer woningen en utiliteit'!J4:J8)</f>
        <v>65000</v>
      </c>
      <c r="D23" s="1" t="s">
        <v>40</v>
      </c>
      <c r="E23" s="1" t="s">
        <v>428</v>
      </c>
    </row>
    <row r="24" spans="1:7" outlineLevel="1" x14ac:dyDescent="0.35">
      <c r="A24" s="1" t="s">
        <v>42</v>
      </c>
      <c r="C24" s="15">
        <f>(SUMPRODUCT('Invoer woningen en utiliteit'!D4:D8,'Invoer woningen en utiliteit'!E4:E8))*C21</f>
        <v>7250</v>
      </c>
      <c r="D24" s="1" t="s">
        <v>43</v>
      </c>
      <c r="E24" s="1" t="s">
        <v>428</v>
      </c>
      <c r="G24" s="3" t="s">
        <v>44</v>
      </c>
    </row>
    <row r="25" spans="1:7" outlineLevel="1" x14ac:dyDescent="0.35">
      <c r="A25" s="1" t="s">
        <v>156</v>
      </c>
      <c r="C25" s="15">
        <v>3000</v>
      </c>
      <c r="D25" s="1" t="s">
        <v>45</v>
      </c>
      <c r="E25" s="1" t="s">
        <v>150</v>
      </c>
      <c r="F25" s="1" t="s">
        <v>149</v>
      </c>
      <c r="G25" s="1" t="s">
        <v>158</v>
      </c>
    </row>
    <row r="26" spans="1:7" outlineLevel="1" x14ac:dyDescent="0.35">
      <c r="A26" s="1" t="s">
        <v>157</v>
      </c>
      <c r="C26" s="15">
        <v>6000</v>
      </c>
      <c r="D26" s="1" t="s">
        <v>45</v>
      </c>
      <c r="E26" s="1" t="s">
        <v>150</v>
      </c>
      <c r="F26" s="1" t="s">
        <v>149</v>
      </c>
      <c r="G26" s="1" t="s">
        <v>158</v>
      </c>
    </row>
    <row r="27" spans="1:7" outlineLevel="1" x14ac:dyDescent="0.35">
      <c r="A27" s="1" t="s">
        <v>159</v>
      </c>
      <c r="C27" s="35">
        <v>2.5000000000000001E-2</v>
      </c>
      <c r="E27" s="1" t="s">
        <v>150</v>
      </c>
      <c r="F27" s="1" t="s">
        <v>149</v>
      </c>
      <c r="G27" s="1" t="s">
        <v>158</v>
      </c>
    </row>
    <row r="28" spans="1:7" outlineLevel="1" x14ac:dyDescent="0.35">
      <c r="C28" s="15"/>
    </row>
    <row r="29" spans="1:7" s="7" customFormat="1" outlineLevel="1" x14ac:dyDescent="0.35">
      <c r="A29" s="21" t="s">
        <v>49</v>
      </c>
      <c r="B29" s="21"/>
      <c r="C29" s="22"/>
    </row>
    <row r="30" spans="1:7" outlineLevel="1" x14ac:dyDescent="0.35">
      <c r="A30" s="1" t="s">
        <v>50</v>
      </c>
      <c r="B30" s="1" t="s">
        <v>357</v>
      </c>
      <c r="C30" s="15">
        <v>600</v>
      </c>
      <c r="D30" s="1" t="s">
        <v>43</v>
      </c>
      <c r="E30" s="1" t="s">
        <v>150</v>
      </c>
      <c r="F30" s="1" t="s">
        <v>149</v>
      </c>
    </row>
    <row r="31" spans="1:7" outlineLevel="1" x14ac:dyDescent="0.35">
      <c r="A31" s="1" t="s">
        <v>77</v>
      </c>
      <c r="B31" s="1" t="s">
        <v>358</v>
      </c>
      <c r="C31" s="15">
        <v>100</v>
      </c>
      <c r="D31" s="1" t="s">
        <v>51</v>
      </c>
      <c r="E31" s="1" t="s">
        <v>150</v>
      </c>
      <c r="F31" s="1" t="s">
        <v>151</v>
      </c>
    </row>
    <row r="32" spans="1:7" outlineLevel="1" x14ac:dyDescent="0.35">
      <c r="A32" s="1" t="s">
        <v>351</v>
      </c>
      <c r="B32" s="1" t="s">
        <v>359</v>
      </c>
      <c r="C32" s="18">
        <f>(1/(1-C22)*C24)/C30</f>
        <v>12.719298245614034</v>
      </c>
      <c r="D32" s="1" t="s">
        <v>31</v>
      </c>
      <c r="E32" s="1" t="s">
        <v>150</v>
      </c>
      <c r="F32" s="1" t="s">
        <v>151</v>
      </c>
    </row>
    <row r="33" spans="1:6" outlineLevel="1" x14ac:dyDescent="0.35">
      <c r="A33" s="1" t="s">
        <v>79</v>
      </c>
      <c r="C33" s="15">
        <f>ROUNDDOWN(C32,0)</f>
        <v>12</v>
      </c>
      <c r="D33" s="1" t="s">
        <v>31</v>
      </c>
      <c r="E33" s="1" t="s">
        <v>178</v>
      </c>
    </row>
    <row r="34" spans="1:6" outlineLevel="1" x14ac:dyDescent="0.35">
      <c r="A34" s="1" t="s">
        <v>80</v>
      </c>
      <c r="B34" s="1" t="s">
        <v>372</v>
      </c>
      <c r="C34" s="15">
        <f>C33*C30</f>
        <v>7200</v>
      </c>
      <c r="D34" s="1" t="s">
        <v>43</v>
      </c>
    </row>
    <row r="35" spans="1:6" outlineLevel="1" x14ac:dyDescent="0.35">
      <c r="A35" s="1" t="s">
        <v>48</v>
      </c>
      <c r="C35" s="17">
        <v>0.03</v>
      </c>
      <c r="E35" s="1" t="s">
        <v>150</v>
      </c>
      <c r="F35" s="1" t="s">
        <v>149</v>
      </c>
    </row>
    <row r="36" spans="1:6" outlineLevel="1" x14ac:dyDescent="0.35">
      <c r="C36" s="15"/>
    </row>
    <row r="37" spans="1:6" s="7" customFormat="1" outlineLevel="1" x14ac:dyDescent="0.35">
      <c r="A37" s="21" t="s">
        <v>52</v>
      </c>
      <c r="B37" s="21"/>
      <c r="C37" s="22"/>
    </row>
    <row r="38" spans="1:6" outlineLevel="1" x14ac:dyDescent="0.35">
      <c r="A38" s="1" t="s">
        <v>81</v>
      </c>
      <c r="B38" s="1" t="s">
        <v>360</v>
      </c>
      <c r="C38" s="18">
        <v>1.25</v>
      </c>
      <c r="E38" s="1" t="s">
        <v>150</v>
      </c>
      <c r="F38" s="1" t="s">
        <v>160</v>
      </c>
    </row>
    <row r="39" spans="1:6" outlineLevel="1" x14ac:dyDescent="0.35">
      <c r="A39" s="3" t="s">
        <v>82</v>
      </c>
      <c r="B39" s="3"/>
      <c r="C39" s="15"/>
    </row>
    <row r="40" spans="1:6" outlineLevel="1" x14ac:dyDescent="0.35">
      <c r="A40" s="16" t="s">
        <v>85</v>
      </c>
      <c r="B40" s="16"/>
      <c r="C40" s="15">
        <f>C38*SQRT(2)*SQRT(C20)</f>
        <v>1976.4235376052372</v>
      </c>
      <c r="D40" s="1" t="s">
        <v>66</v>
      </c>
      <c r="E40" s="1" t="s">
        <v>150</v>
      </c>
      <c r="F40" s="1" t="s">
        <v>160</v>
      </c>
    </row>
    <row r="41" spans="1:6" outlineLevel="1" x14ac:dyDescent="0.35">
      <c r="A41" s="1" t="s">
        <v>53</v>
      </c>
      <c r="B41" s="1" t="s">
        <v>361</v>
      </c>
      <c r="C41" s="95">
        <f>215.5*POWER((C33*C30/1000),0.4828)</f>
        <v>558.94284838720205</v>
      </c>
      <c r="D41" s="1" t="s">
        <v>83</v>
      </c>
      <c r="E41" s="1" t="s">
        <v>150</v>
      </c>
      <c r="F41" s="1" t="s">
        <v>160</v>
      </c>
    </row>
    <row r="42" spans="1:6" outlineLevel="1" x14ac:dyDescent="0.35">
      <c r="A42" s="1" t="s">
        <v>54</v>
      </c>
      <c r="B42" s="1" t="s">
        <v>361</v>
      </c>
      <c r="C42" s="95">
        <f>379.29*POWER((C33*C30/1000),0.4739)</f>
        <v>966.63221036748348</v>
      </c>
      <c r="D42" s="1" t="s">
        <v>83</v>
      </c>
      <c r="E42" s="1" t="s">
        <v>150</v>
      </c>
      <c r="F42" s="1" t="s">
        <v>160</v>
      </c>
    </row>
    <row r="43" spans="1:6" outlineLevel="1" x14ac:dyDescent="0.35">
      <c r="A43" s="3" t="s">
        <v>84</v>
      </c>
      <c r="B43" s="3"/>
      <c r="C43" s="15"/>
    </row>
    <row r="44" spans="1:6" outlineLevel="1" x14ac:dyDescent="0.35">
      <c r="A44" s="16" t="s">
        <v>86</v>
      </c>
      <c r="B44" s="16"/>
      <c r="C44" s="15">
        <f>C38*C33*0.25*0.5*SQRT(2)*SQRT(C20)</f>
        <v>2964.6353064078558</v>
      </c>
      <c r="D44" s="1" t="s">
        <v>66</v>
      </c>
      <c r="E44" s="1" t="s">
        <v>150</v>
      </c>
      <c r="F44" s="1" t="s">
        <v>160</v>
      </c>
    </row>
    <row r="45" spans="1:6" outlineLevel="1" x14ac:dyDescent="0.35">
      <c r="A45" s="1" t="s">
        <v>53</v>
      </c>
      <c r="B45" s="1" t="s">
        <v>361</v>
      </c>
      <c r="C45" s="15">
        <f>215.5*POWER((C30/1000),0.4828)</f>
        <v>168.39868590942751</v>
      </c>
      <c r="D45" s="1" t="s">
        <v>83</v>
      </c>
      <c r="E45" s="1" t="s">
        <v>150</v>
      </c>
      <c r="F45" s="1" t="s">
        <v>160</v>
      </c>
    </row>
    <row r="46" spans="1:6" outlineLevel="1" x14ac:dyDescent="0.35">
      <c r="A46" s="1" t="s">
        <v>54</v>
      </c>
      <c r="B46" s="1" t="s">
        <v>361</v>
      </c>
      <c r="C46" s="15">
        <f>379.29*POWER((C30/1000),0.4739)</f>
        <v>297.74005908362136</v>
      </c>
      <c r="D46" s="1" t="s">
        <v>83</v>
      </c>
      <c r="E46" s="1" t="s">
        <v>150</v>
      </c>
      <c r="F46" s="1" t="s">
        <v>160</v>
      </c>
    </row>
    <row r="47" spans="1:6" outlineLevel="1" x14ac:dyDescent="0.35">
      <c r="A47" s="1" t="s">
        <v>48</v>
      </c>
      <c r="C47" s="17">
        <v>0.01</v>
      </c>
      <c r="E47" s="1" t="s">
        <v>150</v>
      </c>
      <c r="F47" s="1" t="s">
        <v>149</v>
      </c>
    </row>
    <row r="48" spans="1:6" outlineLevel="1" x14ac:dyDescent="0.35">
      <c r="C48" s="17"/>
    </row>
    <row r="49" spans="1:7" s="7" customFormat="1" outlineLevel="1" x14ac:dyDescent="0.35">
      <c r="A49" s="21" t="s">
        <v>87</v>
      </c>
      <c r="B49" s="21"/>
      <c r="C49" s="24"/>
      <c r="D49" s="21"/>
      <c r="E49" s="21"/>
      <c r="F49" s="21"/>
    </row>
    <row r="50" spans="1:7" outlineLevel="1" x14ac:dyDescent="0.35">
      <c r="A50" s="1" t="s">
        <v>88</v>
      </c>
      <c r="C50" s="95">
        <v>750</v>
      </c>
      <c r="D50" s="1" t="s">
        <v>66</v>
      </c>
      <c r="E50" s="1" t="s">
        <v>76</v>
      </c>
      <c r="G50" s="1" t="s">
        <v>164</v>
      </c>
    </row>
    <row r="51" spans="1:7" outlineLevel="1" x14ac:dyDescent="0.35">
      <c r="A51" s="1" t="s">
        <v>67</v>
      </c>
      <c r="B51" s="1" t="s">
        <v>364</v>
      </c>
      <c r="C51" s="15">
        <f>215.5*POWER((C33*C30)/1000,0.4828)</f>
        <v>558.94284838720205</v>
      </c>
      <c r="D51" s="1" t="s">
        <v>83</v>
      </c>
      <c r="E51" s="1" t="s">
        <v>150</v>
      </c>
      <c r="F51" s="1" t="s">
        <v>162</v>
      </c>
    </row>
    <row r="52" spans="1:7" outlineLevel="1" x14ac:dyDescent="0.35">
      <c r="A52" s="1" t="s">
        <v>68</v>
      </c>
      <c r="B52" s="1" t="s">
        <v>364</v>
      </c>
      <c r="C52" s="15">
        <f>379.29*POWER((C33*C30)/1000,0.4739)</f>
        <v>966.63221036748348</v>
      </c>
      <c r="D52" s="1" t="s">
        <v>83</v>
      </c>
      <c r="E52" s="1" t="s">
        <v>150</v>
      </c>
      <c r="F52" s="1" t="s">
        <v>162</v>
      </c>
    </row>
    <row r="53" spans="1:7" outlineLevel="1" x14ac:dyDescent="0.35">
      <c r="A53" s="1" t="s">
        <v>48</v>
      </c>
      <c r="C53" s="17">
        <v>0.01</v>
      </c>
      <c r="E53" s="1" t="s">
        <v>150</v>
      </c>
      <c r="F53" s="1" t="s">
        <v>149</v>
      </c>
    </row>
    <row r="54" spans="1:7" outlineLevel="1" x14ac:dyDescent="0.35">
      <c r="C54" s="15"/>
    </row>
    <row r="55" spans="1:7" s="7" customFormat="1" outlineLevel="1" x14ac:dyDescent="0.35">
      <c r="A55" s="104" t="s">
        <v>362</v>
      </c>
      <c r="B55" s="21"/>
      <c r="C55" s="22"/>
    </row>
    <row r="56" spans="1:7" outlineLevel="1" x14ac:dyDescent="0.35">
      <c r="A56" s="1" t="s">
        <v>366</v>
      </c>
      <c r="B56" s="1" t="s">
        <v>363</v>
      </c>
      <c r="C56" s="95">
        <f>950000</f>
        <v>950000</v>
      </c>
      <c r="D56" s="1" t="s">
        <v>89</v>
      </c>
      <c r="E56" s="1" t="s">
        <v>414</v>
      </c>
      <c r="G56" s="1" t="s">
        <v>163</v>
      </c>
    </row>
    <row r="57" spans="1:7" outlineLevel="1" x14ac:dyDescent="0.35">
      <c r="A57" s="1" t="s">
        <v>48</v>
      </c>
      <c r="C57" s="35">
        <v>3.5000000000000003E-2</v>
      </c>
      <c r="E57" s="1" t="s">
        <v>414</v>
      </c>
    </row>
    <row r="58" spans="1:7" outlineLevel="1" x14ac:dyDescent="0.35">
      <c r="C58" s="15"/>
    </row>
    <row r="59" spans="1:7" s="7" customFormat="1" outlineLevel="1" x14ac:dyDescent="0.35">
      <c r="A59" s="104" t="s">
        <v>368</v>
      </c>
      <c r="B59" s="21"/>
      <c r="C59" s="22"/>
    </row>
    <row r="60" spans="1:7" outlineLevel="1" x14ac:dyDescent="0.35">
      <c r="A60" s="1" t="s">
        <v>185</v>
      </c>
      <c r="B60" s="1" t="s">
        <v>367</v>
      </c>
      <c r="C60" s="19">
        <v>3.8</v>
      </c>
      <c r="E60" s="1" t="s">
        <v>414</v>
      </c>
    </row>
    <row r="61" spans="1:7" outlineLevel="1" x14ac:dyDescent="0.35">
      <c r="A61" s="16" t="s">
        <v>183</v>
      </c>
      <c r="B61" s="16"/>
      <c r="C61" s="18">
        <f>SUM(Energieprijzen!I9:N9)/3.6*1000</f>
        <v>29.722222222222225</v>
      </c>
      <c r="D61" s="1" t="s">
        <v>72</v>
      </c>
      <c r="E61" s="1" t="s">
        <v>150</v>
      </c>
      <c r="F61" s="1" t="s">
        <v>169</v>
      </c>
      <c r="G61" s="1" t="s">
        <v>170</v>
      </c>
    </row>
    <row r="62" spans="1:7" outlineLevel="1" x14ac:dyDescent="0.35">
      <c r="A62" s="16" t="s">
        <v>370</v>
      </c>
      <c r="B62" s="16"/>
      <c r="C62" s="43">
        <v>0.03</v>
      </c>
    </row>
    <row r="63" spans="1:7" outlineLevel="1" x14ac:dyDescent="0.35">
      <c r="A63" s="108" t="s">
        <v>375</v>
      </c>
      <c r="B63" s="16"/>
      <c r="C63" s="106">
        <f>C23*(1-1/C60)</f>
        <v>47894.736842105267</v>
      </c>
      <c r="D63" s="1" t="s">
        <v>376</v>
      </c>
      <c r="G63" s="1" t="s">
        <v>379</v>
      </c>
    </row>
    <row r="64" spans="1:7" outlineLevel="1" x14ac:dyDescent="0.35">
      <c r="A64" s="16" t="s">
        <v>91</v>
      </c>
      <c r="B64" s="16"/>
      <c r="C64" s="120">
        <v>0</v>
      </c>
      <c r="D64" s="1" t="s">
        <v>58</v>
      </c>
      <c r="E64" s="123"/>
      <c r="F64" s="1" t="s">
        <v>166</v>
      </c>
    </row>
    <row r="65" spans="1:7" outlineLevel="1" x14ac:dyDescent="0.35">
      <c r="A65" s="16" t="s">
        <v>92</v>
      </c>
      <c r="B65" s="16" t="s">
        <v>369</v>
      </c>
      <c r="C65" s="99">
        <v>0.15</v>
      </c>
      <c r="D65" s="1" t="s">
        <v>58</v>
      </c>
      <c r="E65" s="1" t="s">
        <v>344</v>
      </c>
      <c r="F65" s="1" t="s">
        <v>165</v>
      </c>
      <c r="G65" s="1" t="s">
        <v>378</v>
      </c>
    </row>
    <row r="66" spans="1:7" outlineLevel="1" x14ac:dyDescent="0.35">
      <c r="A66" s="16"/>
      <c r="B66" s="16"/>
      <c r="C66" s="18"/>
    </row>
    <row r="67" spans="1:7" s="7" customFormat="1" outlineLevel="1" x14ac:dyDescent="0.35">
      <c r="A67" s="21" t="s">
        <v>61</v>
      </c>
      <c r="B67" s="21"/>
      <c r="C67" s="22"/>
    </row>
    <row r="68" spans="1:7" outlineLevel="1" x14ac:dyDescent="0.35">
      <c r="A68" s="1" t="s">
        <v>62</v>
      </c>
      <c r="B68" s="1" t="s">
        <v>371</v>
      </c>
      <c r="C68" s="15">
        <v>250</v>
      </c>
      <c r="D68" s="1" t="s">
        <v>63</v>
      </c>
      <c r="E68" s="1" t="s">
        <v>150</v>
      </c>
      <c r="F68" s="1" t="s">
        <v>179</v>
      </c>
      <c r="G68" s="96" t="s">
        <v>415</v>
      </c>
    </row>
    <row r="69" spans="1:7" outlineLevel="1" x14ac:dyDescent="0.35">
      <c r="A69" s="1" t="s">
        <v>377</v>
      </c>
      <c r="C69" s="17">
        <v>0.05</v>
      </c>
      <c r="E69" s="1" t="s">
        <v>150</v>
      </c>
      <c r="F69" s="1" t="s">
        <v>179</v>
      </c>
    </row>
    <row r="70" spans="1:7" outlineLevel="1" x14ac:dyDescent="0.35">
      <c r="A70" s="100" t="s">
        <v>416</v>
      </c>
      <c r="B70" s="16"/>
      <c r="C70" s="105">
        <f>C74*C75+C61/C60</f>
        <v>8.0891374269005851</v>
      </c>
      <c r="D70" s="1" t="s">
        <v>65</v>
      </c>
      <c r="E70" s="1" t="s">
        <v>150</v>
      </c>
      <c r="F70" s="1" t="s">
        <v>168</v>
      </c>
      <c r="G70" s="1" t="s">
        <v>181</v>
      </c>
    </row>
    <row r="71" spans="1:7" outlineLevel="1" x14ac:dyDescent="0.35"/>
    <row r="72" spans="1:7" s="7" customFormat="1" outlineLevel="1" x14ac:dyDescent="0.35">
      <c r="A72" s="21" t="s">
        <v>69</v>
      </c>
      <c r="B72" s="21"/>
      <c r="C72" s="22"/>
    </row>
    <row r="73" spans="1:7" outlineLevel="1" x14ac:dyDescent="0.35">
      <c r="A73" s="1" t="s">
        <v>94</v>
      </c>
      <c r="C73" s="19">
        <v>2.5</v>
      </c>
      <c r="D73" s="1" t="s">
        <v>70</v>
      </c>
      <c r="E73" s="1" t="s">
        <v>150</v>
      </c>
      <c r="F73" s="1" t="s">
        <v>168</v>
      </c>
    </row>
    <row r="74" spans="1:7" outlineLevel="1" x14ac:dyDescent="0.35">
      <c r="A74" s="1" t="s">
        <v>182</v>
      </c>
      <c r="C74" s="20">
        <f>C73*3.6/1000</f>
        <v>8.9999999999999993E-3</v>
      </c>
      <c r="D74" s="1" t="s">
        <v>71</v>
      </c>
    </row>
    <row r="75" spans="1:7" outlineLevel="1" x14ac:dyDescent="0.35">
      <c r="A75" s="1" t="s">
        <v>183</v>
      </c>
      <c r="C75" s="18">
        <f>SUM(Energieprijzen!I9:N9)/3.6*1000</f>
        <v>29.722222222222225</v>
      </c>
      <c r="D75" s="1" t="s">
        <v>72</v>
      </c>
      <c r="E75" s="1" t="s">
        <v>150</v>
      </c>
      <c r="F75" s="1" t="s">
        <v>171</v>
      </c>
      <c r="G75" s="1" t="s">
        <v>180</v>
      </c>
    </row>
    <row r="76" spans="1:7" outlineLevel="1" x14ac:dyDescent="0.35"/>
    <row r="77" spans="1:7" s="7" customFormat="1" outlineLevel="1" x14ac:dyDescent="0.35">
      <c r="A77" s="21" t="s">
        <v>127</v>
      </c>
      <c r="B77" s="21"/>
      <c r="C77" s="31"/>
      <c r="D77" s="21"/>
      <c r="E77" s="21"/>
    </row>
    <row r="78" spans="1:7" outlineLevel="1" x14ac:dyDescent="0.35">
      <c r="A78" s="1" t="s">
        <v>128</v>
      </c>
      <c r="C78" s="32">
        <v>30</v>
      </c>
      <c r="D78" s="16" t="s">
        <v>203</v>
      </c>
      <c r="E78" s="1" t="s">
        <v>150</v>
      </c>
      <c r="F78" s="1" t="s">
        <v>189</v>
      </c>
    </row>
    <row r="79" spans="1:7" outlineLevel="1" x14ac:dyDescent="0.35">
      <c r="A79" s="1" t="s">
        <v>233</v>
      </c>
      <c r="C79" s="33">
        <v>0.06</v>
      </c>
      <c r="D79" s="4"/>
      <c r="E79" s="1" t="s">
        <v>150</v>
      </c>
      <c r="F79" s="1" t="s">
        <v>186</v>
      </c>
    </row>
    <row r="80" spans="1:7" outlineLevel="1" x14ac:dyDescent="0.35">
      <c r="C80" s="23"/>
      <c r="D80" s="4"/>
      <c r="E80" s="4"/>
    </row>
    <row r="81" spans="1:8" s="10" customFormat="1" x14ac:dyDescent="0.35">
      <c r="A81" s="12" t="s">
        <v>114</v>
      </c>
      <c r="B81" s="12"/>
      <c r="C81" s="11"/>
      <c r="H81" s="11"/>
    </row>
    <row r="82" spans="1:8" x14ac:dyDescent="0.35">
      <c r="C82" s="23" t="s">
        <v>27</v>
      </c>
      <c r="D82" s="4" t="s">
        <v>28</v>
      </c>
      <c r="E82" s="4" t="s">
        <v>73</v>
      </c>
      <c r="F82" s="4" t="s">
        <v>142</v>
      </c>
      <c r="G82" s="4" t="s">
        <v>143</v>
      </c>
    </row>
    <row r="83" spans="1:8" s="8" customFormat="1" x14ac:dyDescent="0.35">
      <c r="A83" s="8" t="s">
        <v>25</v>
      </c>
    </row>
    <row r="84" spans="1:8" x14ac:dyDescent="0.35">
      <c r="A84" s="1" t="s">
        <v>64</v>
      </c>
      <c r="B84" s="1" t="s">
        <v>374</v>
      </c>
      <c r="C84" s="15">
        <f>C68*C34/((1-C22))*(1-1/C60)</f>
        <v>1396121.8836565099</v>
      </c>
      <c r="D84" s="1" t="s">
        <v>46</v>
      </c>
      <c r="E84" s="36"/>
    </row>
    <row r="85" spans="1:8" x14ac:dyDescent="0.35">
      <c r="A85" s="96" t="s">
        <v>365</v>
      </c>
      <c r="B85" s="1" t="s">
        <v>373</v>
      </c>
      <c r="C85" s="95">
        <f>C56*C34/1000</f>
        <v>6840000</v>
      </c>
      <c r="D85" s="1" t="s">
        <v>46</v>
      </c>
    </row>
    <row r="86" spans="1:8" x14ac:dyDescent="0.35">
      <c r="A86" s="96" t="s">
        <v>384</v>
      </c>
      <c r="B86" s="1" t="s">
        <v>385</v>
      </c>
      <c r="C86" s="95">
        <v>100000</v>
      </c>
      <c r="D86" s="1" t="s">
        <v>46</v>
      </c>
      <c r="E86" s="1" t="s">
        <v>76</v>
      </c>
    </row>
    <row r="88" spans="1:8" s="8" customFormat="1" x14ac:dyDescent="0.35">
      <c r="A88" s="8" t="s">
        <v>95</v>
      </c>
    </row>
    <row r="89" spans="1:8" x14ac:dyDescent="0.35">
      <c r="A89" s="3" t="s">
        <v>87</v>
      </c>
      <c r="B89" s="3"/>
      <c r="C89" s="15"/>
    </row>
    <row r="90" spans="1:8" x14ac:dyDescent="0.35">
      <c r="A90" s="1" t="s">
        <v>67</v>
      </c>
      <c r="C90" s="15">
        <f>C50*C51</f>
        <v>419207.13629040151</v>
      </c>
      <c r="D90" s="1" t="s">
        <v>46</v>
      </c>
    </row>
    <row r="91" spans="1:8" x14ac:dyDescent="0.35">
      <c r="A91" s="1" t="s">
        <v>68</v>
      </c>
      <c r="C91" s="15">
        <f>C50*C52</f>
        <v>724974.15777561266</v>
      </c>
      <c r="D91" s="1" t="s">
        <v>46</v>
      </c>
    </row>
    <row r="92" spans="1:8" x14ac:dyDescent="0.35">
      <c r="A92" s="1" t="s">
        <v>107</v>
      </c>
      <c r="C92" s="15">
        <f>AVERAGE(C90:C91)</f>
        <v>572090.64703300712</v>
      </c>
      <c r="D92" s="1" t="s">
        <v>46</v>
      </c>
    </row>
    <row r="93" spans="1:8" x14ac:dyDescent="0.35">
      <c r="A93" s="3" t="s">
        <v>52</v>
      </c>
      <c r="B93" s="3"/>
      <c r="C93" s="15"/>
    </row>
    <row r="94" spans="1:8" x14ac:dyDescent="0.35">
      <c r="A94" s="1" t="s">
        <v>96</v>
      </c>
      <c r="C94" s="15">
        <f>C40*C41</f>
        <v>1104707.8017285815</v>
      </c>
      <c r="D94" s="1" t="s">
        <v>46</v>
      </c>
    </row>
    <row r="95" spans="1:8" x14ac:dyDescent="0.35">
      <c r="A95" s="1" t="s">
        <v>97</v>
      </c>
      <c r="C95" s="15">
        <f>C40*C42</f>
        <v>1910474.6527776716</v>
      </c>
      <c r="D95" s="1" t="s">
        <v>46</v>
      </c>
    </row>
    <row r="96" spans="1:8" x14ac:dyDescent="0.35">
      <c r="A96" s="1" t="s">
        <v>100</v>
      </c>
      <c r="C96" s="15">
        <f>AVERAGE(C94:C95)</f>
        <v>1507591.2272531264</v>
      </c>
      <c r="D96" s="1" t="s">
        <v>46</v>
      </c>
    </row>
    <row r="97" spans="1:4" x14ac:dyDescent="0.35">
      <c r="A97" s="1" t="s">
        <v>98</v>
      </c>
      <c r="C97" s="15">
        <f>C44*C45</f>
        <v>499240.68979977589</v>
      </c>
      <c r="D97" s="1" t="s">
        <v>46</v>
      </c>
    </row>
    <row r="98" spans="1:4" x14ac:dyDescent="0.35">
      <c r="A98" s="1" t="s">
        <v>99</v>
      </c>
      <c r="C98" s="15">
        <f>C44*C46</f>
        <v>882690.69129126484</v>
      </c>
      <c r="D98" s="1" t="s">
        <v>46</v>
      </c>
    </row>
    <row r="99" spans="1:4" x14ac:dyDescent="0.35">
      <c r="A99" s="1" t="s">
        <v>101</v>
      </c>
      <c r="C99" s="15">
        <f>AVERAGE(C97:C98)</f>
        <v>690965.6905455204</v>
      </c>
      <c r="D99" s="1" t="s">
        <v>46</v>
      </c>
    </row>
    <row r="100" spans="1:4" x14ac:dyDescent="0.35">
      <c r="A100" s="3" t="s">
        <v>49</v>
      </c>
      <c r="B100" s="3"/>
      <c r="C100" s="15"/>
    </row>
    <row r="101" spans="1:4" x14ac:dyDescent="0.35">
      <c r="A101" s="1" t="s">
        <v>104</v>
      </c>
      <c r="C101" s="15">
        <f>C34*C31</f>
        <v>720000</v>
      </c>
      <c r="D101" s="1" t="s">
        <v>46</v>
      </c>
    </row>
    <row r="102" spans="1:4" x14ac:dyDescent="0.35">
      <c r="A102" s="3" t="s">
        <v>105</v>
      </c>
      <c r="B102" s="3"/>
      <c r="C102" s="15"/>
    </row>
    <row r="103" spans="1:4" x14ac:dyDescent="0.35">
      <c r="A103" s="1" t="s">
        <v>106</v>
      </c>
      <c r="C103" s="15">
        <f>C15*C25+C16*C26</f>
        <v>9000000</v>
      </c>
      <c r="D103" s="1" t="s">
        <v>46</v>
      </c>
    </row>
    <row r="104" spans="1:4" x14ac:dyDescent="0.35">
      <c r="C104" s="15"/>
    </row>
    <row r="105" spans="1:4" s="8" customFormat="1" x14ac:dyDescent="0.35">
      <c r="A105" s="8" t="s">
        <v>109</v>
      </c>
      <c r="C105" s="25"/>
    </row>
    <row r="106" spans="1:4" x14ac:dyDescent="0.35">
      <c r="A106" s="1" t="s">
        <v>110</v>
      </c>
      <c r="C106" s="15">
        <f>C84+C90+C94+C97+C85+C101+C103+C86</f>
        <v>20079277.511475269</v>
      </c>
      <c r="D106" s="1" t="s">
        <v>46</v>
      </c>
    </row>
    <row r="107" spans="1:4" x14ac:dyDescent="0.35">
      <c r="A107" s="1" t="s">
        <v>111</v>
      </c>
      <c r="C107" s="15">
        <f>C84+C91+C95+C98+C85+C101+C103+C86</f>
        <v>21574261.385501061</v>
      </c>
      <c r="D107" s="1" t="s">
        <v>46</v>
      </c>
    </row>
    <row r="108" spans="1:4" x14ac:dyDescent="0.35">
      <c r="A108" s="1" t="s">
        <v>112</v>
      </c>
      <c r="C108" s="15">
        <f>C84+C92+C96+C99+C85+C101+C103+C86</f>
        <v>20826769.448488165</v>
      </c>
      <c r="D108" s="1" t="s">
        <v>46</v>
      </c>
    </row>
    <row r="109" spans="1:4" x14ac:dyDescent="0.35">
      <c r="A109" s="1" t="s">
        <v>130</v>
      </c>
      <c r="C109" s="15">
        <f>-PMT(C79,C78,C108,0,1)</f>
        <v>1427398.2361196566</v>
      </c>
      <c r="D109" s="1" t="s">
        <v>47</v>
      </c>
    </row>
    <row r="110" spans="1:4" x14ac:dyDescent="0.35">
      <c r="A110" s="1" t="s">
        <v>129</v>
      </c>
      <c r="C110" s="18">
        <f>C109/C23</f>
        <v>21.959972863379331</v>
      </c>
      <c r="D110" s="1" t="s">
        <v>65</v>
      </c>
    </row>
    <row r="111" spans="1:4" x14ac:dyDescent="0.35">
      <c r="C111" s="15"/>
    </row>
    <row r="112" spans="1:4" s="30" customFormat="1" x14ac:dyDescent="0.35">
      <c r="A112" s="28" t="s">
        <v>113</v>
      </c>
      <c r="B112" s="28"/>
      <c r="C112" s="29"/>
    </row>
    <row r="113" spans="1:7" x14ac:dyDescent="0.35">
      <c r="C113" s="23" t="s">
        <v>27</v>
      </c>
      <c r="D113" s="4" t="s">
        <v>28</v>
      </c>
      <c r="E113" s="4" t="s">
        <v>73</v>
      </c>
      <c r="F113" s="4" t="s">
        <v>142</v>
      </c>
      <c r="G113" s="4" t="s">
        <v>143</v>
      </c>
    </row>
    <row r="114" spans="1:7" s="27" customFormat="1" x14ac:dyDescent="0.35">
      <c r="A114" s="27" t="s">
        <v>25</v>
      </c>
      <c r="C114" s="26"/>
    </row>
    <row r="115" spans="1:7" x14ac:dyDescent="0.35">
      <c r="A115" s="1" t="s">
        <v>386</v>
      </c>
      <c r="C115" s="15">
        <f>C69*(C84+C86)</f>
        <v>74806.094182825502</v>
      </c>
      <c r="D115" s="1" t="s">
        <v>47</v>
      </c>
    </row>
    <row r="116" spans="1:7" x14ac:dyDescent="0.35">
      <c r="A116" s="1" t="s">
        <v>417</v>
      </c>
      <c r="C116" s="95">
        <f>C23*1/(1-C65)*C70</f>
        <v>618581.09735122125</v>
      </c>
      <c r="D116" s="1" t="s">
        <v>47</v>
      </c>
      <c r="E116" s="1" t="s">
        <v>150</v>
      </c>
      <c r="F116" s="1" t="s">
        <v>165</v>
      </c>
    </row>
    <row r="117" spans="1:7" x14ac:dyDescent="0.35">
      <c r="C117" s="95"/>
    </row>
    <row r="118" spans="1:7" x14ac:dyDescent="0.35">
      <c r="C118" s="15"/>
    </row>
    <row r="119" spans="1:7" s="27" customFormat="1" x14ac:dyDescent="0.35">
      <c r="A119" s="27" t="s">
        <v>95</v>
      </c>
      <c r="C119" s="26"/>
    </row>
    <row r="120" spans="1:7" x14ac:dyDescent="0.35">
      <c r="A120" s="1" t="s">
        <v>117</v>
      </c>
      <c r="C120" s="15">
        <f>C92*C53</f>
        <v>5720.906470330071</v>
      </c>
      <c r="D120" s="1" t="s">
        <v>47</v>
      </c>
    </row>
    <row r="121" spans="1:7" x14ac:dyDescent="0.35">
      <c r="A121" s="1" t="s">
        <v>118</v>
      </c>
      <c r="C121" s="15">
        <f>C96*C47</f>
        <v>15075.912272531265</v>
      </c>
      <c r="D121" s="1" t="s">
        <v>47</v>
      </c>
    </row>
    <row r="122" spans="1:7" x14ac:dyDescent="0.35">
      <c r="A122" s="1" t="s">
        <v>119</v>
      </c>
      <c r="C122" s="15">
        <f>C99*C47</f>
        <v>6909.6569054552037</v>
      </c>
      <c r="D122" s="1" t="s">
        <v>47</v>
      </c>
    </row>
    <row r="123" spans="1:7" x14ac:dyDescent="0.35">
      <c r="A123" s="1" t="s">
        <v>120</v>
      </c>
      <c r="C123" s="15">
        <f>C85*C57</f>
        <v>239400.00000000003</v>
      </c>
      <c r="D123" s="1" t="s">
        <v>47</v>
      </c>
    </row>
    <row r="124" spans="1:7" x14ac:dyDescent="0.35">
      <c r="A124" s="1" t="s">
        <v>121</v>
      </c>
      <c r="C124" s="15">
        <f>C101*C35</f>
        <v>21600</v>
      </c>
      <c r="D124" s="1" t="s">
        <v>47</v>
      </c>
    </row>
    <row r="125" spans="1:7" x14ac:dyDescent="0.35">
      <c r="A125" s="1" t="s">
        <v>122</v>
      </c>
      <c r="C125" s="15">
        <f>C103*C27</f>
        <v>225000</v>
      </c>
      <c r="D125" s="1" t="s">
        <v>47</v>
      </c>
    </row>
    <row r="126" spans="1:7" x14ac:dyDescent="0.35">
      <c r="A126" s="1" t="s">
        <v>131</v>
      </c>
      <c r="C126" s="15">
        <f>C75*C74*C23</f>
        <v>17387.5</v>
      </c>
      <c r="D126" s="1" t="s">
        <v>47</v>
      </c>
      <c r="G126" s="96" t="s">
        <v>381</v>
      </c>
    </row>
    <row r="127" spans="1:7" x14ac:dyDescent="0.35">
      <c r="C127" s="15"/>
    </row>
    <row r="128" spans="1:7" s="27" customFormat="1" x14ac:dyDescent="0.35">
      <c r="A128" s="27" t="s">
        <v>124</v>
      </c>
      <c r="C128" s="26"/>
    </row>
    <row r="129" spans="1:4" x14ac:dyDescent="0.35">
      <c r="A129" s="1" t="s">
        <v>125</v>
      </c>
      <c r="C129" s="15">
        <f>SUM(C115:C117)+SUM(C120:C126)</f>
        <v>1224481.1671823633</v>
      </c>
      <c r="D129" s="1" t="s">
        <v>47</v>
      </c>
    </row>
    <row r="130" spans="1:4" x14ac:dyDescent="0.35">
      <c r="A130" s="1" t="s">
        <v>126</v>
      </c>
      <c r="C130" s="18">
        <f>C129/C23</f>
        <v>18.83817180280559</v>
      </c>
      <c r="D130" s="1" t="s">
        <v>65</v>
      </c>
    </row>
    <row r="131" spans="1:4" x14ac:dyDescent="0.35">
      <c r="C131" s="15"/>
    </row>
    <row r="132" spans="1:4" s="39" customFormat="1" x14ac:dyDescent="0.35">
      <c r="A132" s="37" t="s">
        <v>174</v>
      </c>
      <c r="B132" s="37"/>
      <c r="C132" s="38"/>
    </row>
    <row r="133" spans="1:4" x14ac:dyDescent="0.35">
      <c r="C133" s="23" t="s">
        <v>27</v>
      </c>
      <c r="D133" s="4" t="s">
        <v>28</v>
      </c>
    </row>
    <row r="134" spans="1:4" x14ac:dyDescent="0.35">
      <c r="A134" s="1" t="s">
        <v>175</v>
      </c>
      <c r="C134" s="15">
        <f>C108/(C15+C16)</f>
        <v>10413.384724244082</v>
      </c>
      <c r="D134" s="1" t="s">
        <v>46</v>
      </c>
    </row>
    <row r="135" spans="1:4" x14ac:dyDescent="0.35">
      <c r="A135" s="16" t="s">
        <v>176</v>
      </c>
      <c r="B135" s="16"/>
      <c r="C135" s="15">
        <f>C129/(C15+C16)</f>
        <v>612.24058359118169</v>
      </c>
      <c r="D135" s="1" t="s">
        <v>177</v>
      </c>
    </row>
    <row r="136" spans="1:4" x14ac:dyDescent="0.35">
      <c r="A136" s="16"/>
      <c r="B136" s="16"/>
      <c r="C136" s="15"/>
    </row>
    <row r="137" spans="1:4" x14ac:dyDescent="0.35">
      <c r="C137" s="15"/>
    </row>
    <row r="138" spans="1:4" x14ac:dyDescent="0.35">
      <c r="C138" s="15"/>
    </row>
    <row r="139" spans="1:4" x14ac:dyDescent="0.35">
      <c r="C139" s="15"/>
    </row>
    <row r="140" spans="1:4" x14ac:dyDescent="0.35">
      <c r="C140" s="15"/>
    </row>
    <row r="141" spans="1:4" x14ac:dyDescent="0.35">
      <c r="C141" s="15"/>
    </row>
    <row r="142" spans="1:4" x14ac:dyDescent="0.35">
      <c r="C142" s="15"/>
    </row>
    <row r="143" spans="1:4" x14ac:dyDescent="0.35">
      <c r="C143" s="15"/>
    </row>
    <row r="144" spans="1:4" x14ac:dyDescent="0.35">
      <c r="C144" s="15"/>
    </row>
    <row r="145" spans="3:3" x14ac:dyDescent="0.35">
      <c r="C145" s="15"/>
    </row>
    <row r="146" spans="3:3" x14ac:dyDescent="0.35">
      <c r="C146" s="15"/>
    </row>
    <row r="147" spans="3:3" x14ac:dyDescent="0.35">
      <c r="C147" s="15"/>
    </row>
    <row r="148" spans="3:3" x14ac:dyDescent="0.35">
      <c r="C148" s="15"/>
    </row>
    <row r="149" spans="3:3" x14ac:dyDescent="0.35">
      <c r="C149" s="15"/>
    </row>
    <row r="150" spans="3:3" x14ac:dyDescent="0.35">
      <c r="C150" s="15"/>
    </row>
    <row r="151" spans="3:3" x14ac:dyDescent="0.35">
      <c r="C151" s="15"/>
    </row>
    <row r="152" spans="3:3" x14ac:dyDescent="0.35">
      <c r="C152" s="15"/>
    </row>
    <row r="153" spans="3:3" x14ac:dyDescent="0.35">
      <c r="C153" s="15"/>
    </row>
    <row r="154" spans="3:3" x14ac:dyDescent="0.35">
      <c r="C154" s="15"/>
    </row>
    <row r="155" spans="3:3" x14ac:dyDescent="0.35">
      <c r="C155" s="15"/>
    </row>
    <row r="156" spans="3:3" x14ac:dyDescent="0.35">
      <c r="C156" s="15"/>
    </row>
    <row r="157" spans="3:3" x14ac:dyDescent="0.35">
      <c r="C157" s="15"/>
    </row>
    <row r="158" spans="3:3" x14ac:dyDescent="0.35">
      <c r="C158" s="15"/>
    </row>
    <row r="159" spans="3:3" x14ac:dyDescent="0.35">
      <c r="C159" s="15"/>
    </row>
    <row r="160" spans="3:3" x14ac:dyDescent="0.35">
      <c r="C160" s="15"/>
    </row>
    <row r="161" spans="3:3" x14ac:dyDescent="0.35">
      <c r="C161" s="15"/>
    </row>
    <row r="162" spans="3:3" x14ac:dyDescent="0.35">
      <c r="C162" s="15"/>
    </row>
    <row r="163" spans="3:3" x14ac:dyDescent="0.35">
      <c r="C163" s="15"/>
    </row>
    <row r="164" spans="3:3" x14ac:dyDescent="0.35">
      <c r="C164" s="15"/>
    </row>
    <row r="165" spans="3:3" x14ac:dyDescent="0.35">
      <c r="C165" s="15"/>
    </row>
    <row r="166" spans="3:3" x14ac:dyDescent="0.35">
      <c r="C166" s="15"/>
    </row>
    <row r="167" spans="3:3" x14ac:dyDescent="0.35">
      <c r="C167" s="15"/>
    </row>
    <row r="168" spans="3:3" x14ac:dyDescent="0.35">
      <c r="C168" s="15"/>
    </row>
    <row r="169" spans="3:3" x14ac:dyDescent="0.35">
      <c r="C169" s="15"/>
    </row>
    <row r="170" spans="3:3" x14ac:dyDescent="0.35">
      <c r="C170" s="15"/>
    </row>
    <row r="171" spans="3:3" x14ac:dyDescent="0.35">
      <c r="C171" s="15"/>
    </row>
    <row r="172" spans="3:3" x14ac:dyDescent="0.35">
      <c r="C172" s="15"/>
    </row>
    <row r="173" spans="3:3" x14ac:dyDescent="0.35">
      <c r="C173" s="15"/>
    </row>
    <row r="174" spans="3:3" x14ac:dyDescent="0.35">
      <c r="C174" s="15"/>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H184"/>
  <sheetViews>
    <sheetView tabSelected="1" topLeftCell="A28" zoomScale="80" zoomScaleNormal="80" workbookViewId="0">
      <selection activeCell="C66" sqref="C66"/>
    </sheetView>
  </sheetViews>
  <sheetFormatPr defaultColWidth="9.1796875" defaultRowHeight="14.5" outlineLevelRow="1" x14ac:dyDescent="0.35"/>
  <cols>
    <col min="1" max="1" width="49.54296875" style="1" customWidth="1"/>
    <col min="2" max="2" width="10.26953125" style="1" customWidth="1"/>
    <col min="3" max="3" width="13.81640625" style="1" customWidth="1"/>
    <col min="4" max="4" width="23.81640625" style="1" customWidth="1"/>
    <col min="5" max="5" width="33.1796875" style="1" customWidth="1"/>
    <col min="6" max="8" width="9.1796875" style="1"/>
    <col min="9" max="9" width="11.453125" style="1" customWidth="1"/>
    <col min="10" max="10" width="12.453125" style="1" customWidth="1"/>
    <col min="11" max="11" width="9.1796875" style="1"/>
    <col min="12" max="12" width="11.453125" style="1" customWidth="1"/>
    <col min="13" max="13" width="9.1796875" style="1"/>
    <col min="14" max="14" width="12.453125" style="1" bestFit="1" customWidth="1"/>
    <col min="15" max="15" width="9.1796875" style="1"/>
    <col min="16" max="16" width="13.453125" style="1" customWidth="1"/>
    <col min="17" max="16384" width="9.1796875" style="1"/>
  </cols>
  <sheetData>
    <row r="1" spans="1:7" ht="21" x14ac:dyDescent="0.5">
      <c r="A1" s="2" t="s">
        <v>383</v>
      </c>
      <c r="B1" s="2"/>
    </row>
    <row r="3" spans="1:7" x14ac:dyDescent="0.35">
      <c r="A3" s="4"/>
      <c r="B3" s="4"/>
    </row>
    <row r="12" spans="1:7" s="9" customFormat="1" x14ac:dyDescent="0.35">
      <c r="A12" s="14" t="s">
        <v>29</v>
      </c>
      <c r="B12" s="14"/>
    </row>
    <row r="13" spans="1:7" outlineLevel="1" x14ac:dyDescent="0.35">
      <c r="B13" s="4" t="s">
        <v>352</v>
      </c>
      <c r="C13" s="23" t="s">
        <v>27</v>
      </c>
      <c r="D13" s="4" t="s">
        <v>28</v>
      </c>
      <c r="E13" s="4" t="s">
        <v>73</v>
      </c>
      <c r="F13" s="4" t="s">
        <v>142</v>
      </c>
      <c r="G13" s="4" t="s">
        <v>143</v>
      </c>
    </row>
    <row r="14" spans="1:7" s="7" customFormat="1" outlineLevel="1" x14ac:dyDescent="0.35">
      <c r="A14" s="21" t="s">
        <v>74</v>
      </c>
      <c r="B14" s="21"/>
      <c r="C14" s="22"/>
    </row>
    <row r="15" spans="1:7" outlineLevel="1" x14ac:dyDescent="0.35">
      <c r="A15" s="1" t="s">
        <v>75</v>
      </c>
      <c r="B15" s="1" t="s">
        <v>353</v>
      </c>
      <c r="C15" s="15">
        <f>SUM('Invoer woningen en utiliteit'!C4:C7)</f>
        <v>1000</v>
      </c>
      <c r="D15" s="1" t="s">
        <v>31</v>
      </c>
      <c r="E15" s="1" t="s">
        <v>76</v>
      </c>
    </row>
    <row r="16" spans="1:7" outlineLevel="1" x14ac:dyDescent="0.35">
      <c r="A16" s="1" t="s">
        <v>144</v>
      </c>
      <c r="B16" s="1" t="s">
        <v>354</v>
      </c>
      <c r="C16" s="15">
        <f>SUM('Invoer woningen en utiliteit'!B4:B7)</f>
        <v>1000</v>
      </c>
      <c r="D16" s="1" t="s">
        <v>31</v>
      </c>
      <c r="E16" s="1" t="s">
        <v>76</v>
      </c>
    </row>
    <row r="17" spans="1:7" outlineLevel="1" x14ac:dyDescent="0.35">
      <c r="A17" s="1" t="s">
        <v>145</v>
      </c>
      <c r="C17" s="15">
        <v>40</v>
      </c>
      <c r="D17" s="1" t="s">
        <v>32</v>
      </c>
      <c r="E17" s="1" t="s">
        <v>76</v>
      </c>
    </row>
    <row r="18" spans="1:7" outlineLevel="1" x14ac:dyDescent="0.35">
      <c r="A18" s="1" t="s">
        <v>146</v>
      </c>
      <c r="C18" s="15">
        <v>10</v>
      </c>
      <c r="D18" s="1" t="s">
        <v>32</v>
      </c>
      <c r="E18" s="1" t="s">
        <v>76</v>
      </c>
    </row>
    <row r="19" spans="1:7" outlineLevel="1" x14ac:dyDescent="0.35">
      <c r="A19" s="1" t="s">
        <v>33</v>
      </c>
      <c r="C19" s="15">
        <f>C15/C17+C16/C18</f>
        <v>125</v>
      </c>
      <c r="D19" s="1" t="s">
        <v>34</v>
      </c>
    </row>
    <row r="20" spans="1:7" outlineLevel="1" x14ac:dyDescent="0.35">
      <c r="A20" s="1" t="s">
        <v>33</v>
      </c>
      <c r="C20" s="15">
        <f>10000*C19</f>
        <v>1250000</v>
      </c>
      <c r="D20" s="1" t="s">
        <v>35</v>
      </c>
    </row>
    <row r="21" spans="1:7" outlineLevel="1" x14ac:dyDescent="0.35">
      <c r="A21" s="1" t="s">
        <v>37</v>
      </c>
      <c r="B21" s="1" t="s">
        <v>355</v>
      </c>
      <c r="C21" s="17">
        <v>0.5</v>
      </c>
      <c r="E21" s="1" t="s">
        <v>150</v>
      </c>
      <c r="F21" s="1" t="s">
        <v>149</v>
      </c>
    </row>
    <row r="22" spans="1:7" outlineLevel="1" x14ac:dyDescent="0.35">
      <c r="A22" s="1" t="s">
        <v>38</v>
      </c>
      <c r="B22" s="1" t="s">
        <v>356</v>
      </c>
      <c r="C22" s="97">
        <v>0.05</v>
      </c>
      <c r="D22" s="1" t="s">
        <v>39</v>
      </c>
      <c r="E22" s="1" t="s">
        <v>150</v>
      </c>
      <c r="F22" s="1" t="s">
        <v>151</v>
      </c>
      <c r="G22" s="96" t="s">
        <v>337</v>
      </c>
    </row>
    <row r="23" spans="1:7" outlineLevel="1" x14ac:dyDescent="0.35">
      <c r="A23" s="1" t="s">
        <v>435</v>
      </c>
      <c r="B23" s="1" t="s">
        <v>426</v>
      </c>
      <c r="C23" s="95">
        <f>SUMPRODUCT('Invoer woningen en utiliteit'!D4:D8,'Invoer woningen en utiliteit'!N4:N8)</f>
        <v>48145.454545454544</v>
      </c>
      <c r="D23" s="1" t="s">
        <v>40</v>
      </c>
      <c r="E23" s="1" t="s">
        <v>414</v>
      </c>
    </row>
    <row r="24" spans="1:7" outlineLevel="1" x14ac:dyDescent="0.35">
      <c r="A24" s="1" t="s">
        <v>427</v>
      </c>
      <c r="B24" s="1" t="s">
        <v>413</v>
      </c>
      <c r="C24" s="95">
        <f>SUMPRODUCT('Invoer woningen en utiliteit'!D4:D8,'Invoer woningen en utiliteit'!P4:P8)*WNet_LT_2!C21</f>
        <v>2913.4199134199134</v>
      </c>
      <c r="D24" s="1" t="s">
        <v>43</v>
      </c>
      <c r="E24" s="1" t="s">
        <v>414</v>
      </c>
      <c r="G24" s="3" t="s">
        <v>44</v>
      </c>
    </row>
    <row r="25" spans="1:7" outlineLevel="1" x14ac:dyDescent="0.35">
      <c r="A25" s="1" t="s">
        <v>156</v>
      </c>
      <c r="C25" s="15">
        <v>3000</v>
      </c>
      <c r="D25" s="1" t="s">
        <v>45</v>
      </c>
      <c r="E25" s="1" t="s">
        <v>150</v>
      </c>
      <c r="F25" s="1" t="s">
        <v>149</v>
      </c>
      <c r="G25" s="1" t="s">
        <v>158</v>
      </c>
    </row>
    <row r="26" spans="1:7" outlineLevel="1" x14ac:dyDescent="0.35">
      <c r="A26" s="1" t="s">
        <v>157</v>
      </c>
      <c r="C26" s="15">
        <v>6000</v>
      </c>
      <c r="D26" s="1" t="s">
        <v>45</v>
      </c>
      <c r="E26" s="1" t="s">
        <v>150</v>
      </c>
      <c r="F26" s="1" t="s">
        <v>149</v>
      </c>
      <c r="G26" s="1" t="s">
        <v>158</v>
      </c>
    </row>
    <row r="27" spans="1:7" outlineLevel="1" x14ac:dyDescent="0.35">
      <c r="A27" s="1" t="s">
        <v>159</v>
      </c>
      <c r="C27" s="35">
        <v>2.5000000000000001E-2</v>
      </c>
      <c r="E27" s="1" t="s">
        <v>150</v>
      </c>
      <c r="F27" s="1" t="s">
        <v>149</v>
      </c>
      <c r="G27" s="1" t="s">
        <v>158</v>
      </c>
    </row>
    <row r="28" spans="1:7" outlineLevel="1" x14ac:dyDescent="0.35">
      <c r="C28" s="15"/>
    </row>
    <row r="29" spans="1:7" s="7" customFormat="1" outlineLevel="1" x14ac:dyDescent="0.35">
      <c r="A29" s="21" t="s">
        <v>49</v>
      </c>
      <c r="B29" s="21"/>
      <c r="C29" s="22"/>
    </row>
    <row r="30" spans="1:7" outlineLevel="1" x14ac:dyDescent="0.35">
      <c r="A30" s="1" t="s">
        <v>50</v>
      </c>
      <c r="B30" s="1" t="s">
        <v>357</v>
      </c>
      <c r="C30" s="95">
        <v>600</v>
      </c>
      <c r="D30" s="1" t="s">
        <v>43</v>
      </c>
      <c r="E30" s="1" t="s">
        <v>150</v>
      </c>
      <c r="F30" s="1" t="s">
        <v>149</v>
      </c>
    </row>
    <row r="31" spans="1:7" outlineLevel="1" x14ac:dyDescent="0.35">
      <c r="A31" s="1" t="s">
        <v>77</v>
      </c>
      <c r="B31" s="1" t="s">
        <v>358</v>
      </c>
      <c r="C31" s="15">
        <v>100</v>
      </c>
      <c r="D31" s="1" t="s">
        <v>51</v>
      </c>
      <c r="E31" s="1" t="s">
        <v>150</v>
      </c>
      <c r="F31" s="1" t="s">
        <v>151</v>
      </c>
    </row>
    <row r="32" spans="1:7" outlineLevel="1" x14ac:dyDescent="0.35">
      <c r="A32" s="1" t="s">
        <v>351</v>
      </c>
      <c r="B32" s="1" t="s">
        <v>359</v>
      </c>
      <c r="C32" s="18">
        <f>(1/(1-C22)*C24)/C30</f>
        <v>5.1112630059998478</v>
      </c>
      <c r="D32" s="1" t="s">
        <v>31</v>
      </c>
      <c r="E32" s="1" t="s">
        <v>150</v>
      </c>
      <c r="F32" s="1" t="s">
        <v>151</v>
      </c>
    </row>
    <row r="33" spans="1:6" outlineLevel="1" x14ac:dyDescent="0.35">
      <c r="A33" s="1" t="s">
        <v>79</v>
      </c>
      <c r="C33" s="15">
        <f>ROUNDDOWN(C32,0)</f>
        <v>5</v>
      </c>
      <c r="D33" s="1" t="s">
        <v>31</v>
      </c>
      <c r="E33" s="1" t="s">
        <v>178</v>
      </c>
    </row>
    <row r="34" spans="1:6" outlineLevel="1" x14ac:dyDescent="0.35">
      <c r="A34" s="1" t="s">
        <v>80</v>
      </c>
      <c r="B34" s="1" t="s">
        <v>372</v>
      </c>
      <c r="C34" s="15">
        <f>C33*C30</f>
        <v>3000</v>
      </c>
      <c r="D34" s="1" t="s">
        <v>43</v>
      </c>
    </row>
    <row r="35" spans="1:6" outlineLevel="1" x14ac:dyDescent="0.35">
      <c r="A35" s="1" t="s">
        <v>48</v>
      </c>
      <c r="C35" s="119">
        <v>0.03</v>
      </c>
      <c r="E35" s="1" t="s">
        <v>150</v>
      </c>
      <c r="F35" s="1" t="s">
        <v>149</v>
      </c>
    </row>
    <row r="36" spans="1:6" outlineLevel="1" x14ac:dyDescent="0.35">
      <c r="C36" s="15"/>
    </row>
    <row r="37" spans="1:6" s="7" customFormat="1" outlineLevel="1" x14ac:dyDescent="0.35">
      <c r="A37" s="21" t="s">
        <v>52</v>
      </c>
      <c r="B37" s="21"/>
      <c r="C37" s="22"/>
    </row>
    <row r="38" spans="1:6" outlineLevel="1" x14ac:dyDescent="0.35">
      <c r="A38" s="1" t="s">
        <v>81</v>
      </c>
      <c r="B38" s="1" t="s">
        <v>360</v>
      </c>
      <c r="C38" s="18">
        <v>1.25</v>
      </c>
      <c r="E38" s="1" t="s">
        <v>150</v>
      </c>
      <c r="F38" s="1" t="s">
        <v>160</v>
      </c>
    </row>
    <row r="39" spans="1:6" outlineLevel="1" x14ac:dyDescent="0.35">
      <c r="A39" s="3" t="s">
        <v>82</v>
      </c>
      <c r="B39" s="3"/>
      <c r="C39" s="15"/>
    </row>
    <row r="40" spans="1:6" outlineLevel="1" x14ac:dyDescent="0.35">
      <c r="A40" s="16" t="s">
        <v>85</v>
      </c>
      <c r="B40" s="16"/>
      <c r="C40" s="15">
        <f>C38*SQRT(2)*SQRT(C20)</f>
        <v>1976.4235376052372</v>
      </c>
      <c r="D40" s="1" t="s">
        <v>66</v>
      </c>
      <c r="E40" s="1" t="s">
        <v>150</v>
      </c>
      <c r="F40" s="1" t="s">
        <v>160</v>
      </c>
    </row>
    <row r="41" spans="1:6" outlineLevel="1" x14ac:dyDescent="0.35">
      <c r="A41" s="1" t="s">
        <v>53</v>
      </c>
      <c r="B41" s="1" t="s">
        <v>361</v>
      </c>
      <c r="C41" s="95">
        <f>0.8*215.5*POWER((C33*C30/1000),0.4828)</f>
        <v>293.01604575852258</v>
      </c>
      <c r="D41" s="1" t="s">
        <v>83</v>
      </c>
      <c r="E41" s="1" t="s">
        <v>150</v>
      </c>
      <c r="F41" s="1" t="s">
        <v>160</v>
      </c>
    </row>
    <row r="42" spans="1:6" outlineLevel="1" x14ac:dyDescent="0.35">
      <c r="A42" s="1" t="s">
        <v>54</v>
      </c>
      <c r="B42" s="1" t="s">
        <v>361</v>
      </c>
      <c r="C42" s="95">
        <f>0.8*379.29*POWER((C33*C30/1000),0.4739)</f>
        <v>510.70386224664304</v>
      </c>
      <c r="D42" s="1" t="s">
        <v>83</v>
      </c>
      <c r="E42" s="1" t="s">
        <v>150</v>
      </c>
      <c r="F42" s="1" t="s">
        <v>160</v>
      </c>
    </row>
    <row r="43" spans="1:6" outlineLevel="1" x14ac:dyDescent="0.35">
      <c r="A43" s="3" t="s">
        <v>84</v>
      </c>
      <c r="B43" s="3"/>
      <c r="C43" s="15"/>
    </row>
    <row r="44" spans="1:6" outlineLevel="1" x14ac:dyDescent="0.35">
      <c r="A44" s="16" t="s">
        <v>86</v>
      </c>
      <c r="B44" s="16"/>
      <c r="C44" s="15">
        <f>C38*C33*0.25*0.5*SQRT(2)*SQRT(C20)</f>
        <v>1235.2647110032733</v>
      </c>
      <c r="D44" s="1" t="s">
        <v>66</v>
      </c>
      <c r="E44" s="1" t="s">
        <v>150</v>
      </c>
      <c r="F44" s="1" t="s">
        <v>160</v>
      </c>
    </row>
    <row r="45" spans="1:6" outlineLevel="1" x14ac:dyDescent="0.35">
      <c r="A45" s="1" t="s">
        <v>53</v>
      </c>
      <c r="B45" s="1" t="s">
        <v>361</v>
      </c>
      <c r="C45" s="15">
        <f>215.5*POWER((C30/1000),0.4828)</f>
        <v>168.39868590942751</v>
      </c>
      <c r="D45" s="1" t="s">
        <v>83</v>
      </c>
      <c r="E45" s="1" t="s">
        <v>150</v>
      </c>
      <c r="F45" s="1" t="s">
        <v>160</v>
      </c>
    </row>
    <row r="46" spans="1:6" outlineLevel="1" x14ac:dyDescent="0.35">
      <c r="A46" s="1" t="s">
        <v>54</v>
      </c>
      <c r="B46" s="1" t="s">
        <v>361</v>
      </c>
      <c r="C46" s="15">
        <f>379.29*POWER((C30/1000),0.4739)</f>
        <v>297.74005908362136</v>
      </c>
      <c r="D46" s="1" t="s">
        <v>83</v>
      </c>
      <c r="E46" s="1" t="s">
        <v>150</v>
      </c>
      <c r="F46" s="1" t="s">
        <v>160</v>
      </c>
    </row>
    <row r="47" spans="1:6" outlineLevel="1" x14ac:dyDescent="0.35">
      <c r="A47" s="1" t="s">
        <v>48</v>
      </c>
      <c r="C47" s="17">
        <v>0.01</v>
      </c>
      <c r="E47" s="1" t="s">
        <v>150</v>
      </c>
      <c r="F47" s="1" t="s">
        <v>149</v>
      </c>
    </row>
    <row r="48" spans="1:6" outlineLevel="1" x14ac:dyDescent="0.35">
      <c r="C48" s="17"/>
    </row>
    <row r="49" spans="1:7" s="7" customFormat="1" outlineLevel="1" x14ac:dyDescent="0.35">
      <c r="A49" s="21" t="s">
        <v>87</v>
      </c>
      <c r="B49" s="21"/>
      <c r="C49" s="24"/>
      <c r="D49" s="21"/>
      <c r="E49" s="21"/>
      <c r="F49" s="21"/>
    </row>
    <row r="50" spans="1:7" outlineLevel="1" x14ac:dyDescent="0.35">
      <c r="A50" s="1" t="s">
        <v>88</v>
      </c>
      <c r="C50" s="95">
        <v>750</v>
      </c>
      <c r="D50" s="1" t="s">
        <v>66</v>
      </c>
      <c r="E50" s="1" t="s">
        <v>76</v>
      </c>
      <c r="G50" s="1" t="s">
        <v>164</v>
      </c>
    </row>
    <row r="51" spans="1:7" outlineLevel="1" x14ac:dyDescent="0.35">
      <c r="A51" s="1" t="s">
        <v>67</v>
      </c>
      <c r="B51" s="1" t="s">
        <v>364</v>
      </c>
      <c r="C51" s="15">
        <f>0.5*215.5*POWER((C33*C30)/1000,0.4828)</f>
        <v>183.13502859907661</v>
      </c>
      <c r="D51" s="1" t="s">
        <v>83</v>
      </c>
      <c r="E51" s="1" t="s">
        <v>150</v>
      </c>
      <c r="F51" s="1" t="s">
        <v>162</v>
      </c>
      <c r="G51" s="1" t="s">
        <v>161</v>
      </c>
    </row>
    <row r="52" spans="1:7" outlineLevel="1" x14ac:dyDescent="0.35">
      <c r="A52" s="1" t="s">
        <v>68</v>
      </c>
      <c r="B52" s="1" t="s">
        <v>364</v>
      </c>
      <c r="C52" s="15">
        <f>0.5*379.29*POWER((C33*C30)/1000,0.4739)</f>
        <v>319.18991390415192</v>
      </c>
      <c r="D52" s="1" t="s">
        <v>83</v>
      </c>
      <c r="E52" s="1" t="s">
        <v>150</v>
      </c>
      <c r="F52" s="1" t="s">
        <v>162</v>
      </c>
      <c r="G52" s="1" t="s">
        <v>161</v>
      </c>
    </row>
    <row r="53" spans="1:7" outlineLevel="1" x14ac:dyDescent="0.35">
      <c r="A53" s="1" t="s">
        <v>48</v>
      </c>
      <c r="C53" s="17">
        <v>0.01</v>
      </c>
      <c r="E53" s="1" t="s">
        <v>150</v>
      </c>
      <c r="F53" s="1" t="s">
        <v>149</v>
      </c>
    </row>
    <row r="54" spans="1:7" outlineLevel="1" x14ac:dyDescent="0.35">
      <c r="A54" s="1" t="s">
        <v>423</v>
      </c>
      <c r="B54" s="1" t="s">
        <v>422</v>
      </c>
      <c r="C54" s="99">
        <v>0.05</v>
      </c>
      <c r="E54" s="1" t="s">
        <v>414</v>
      </c>
    </row>
    <row r="55" spans="1:7" outlineLevel="1" x14ac:dyDescent="0.35">
      <c r="C55" s="15"/>
    </row>
    <row r="56" spans="1:7" s="7" customFormat="1" outlineLevel="1" x14ac:dyDescent="0.35">
      <c r="A56" s="104" t="s">
        <v>362</v>
      </c>
      <c r="B56" s="21"/>
      <c r="C56" s="22"/>
    </row>
    <row r="57" spans="1:7" outlineLevel="1" x14ac:dyDescent="0.35">
      <c r="A57" s="1" t="s">
        <v>366</v>
      </c>
      <c r="B57" s="1" t="s">
        <v>363</v>
      </c>
      <c r="C57" s="95">
        <f>950000</f>
        <v>950000</v>
      </c>
      <c r="D57" s="1" t="s">
        <v>89</v>
      </c>
      <c r="E57" s="1" t="s">
        <v>414</v>
      </c>
      <c r="F57" s="1" t="s">
        <v>160</v>
      </c>
    </row>
    <row r="58" spans="1:7" outlineLevel="1" x14ac:dyDescent="0.35">
      <c r="A58" s="1" t="s">
        <v>48</v>
      </c>
      <c r="C58" s="35">
        <v>3.5000000000000003E-2</v>
      </c>
      <c r="E58" s="1" t="s">
        <v>150</v>
      </c>
      <c r="F58" s="1" t="s">
        <v>149</v>
      </c>
    </row>
    <row r="59" spans="1:7" outlineLevel="1" x14ac:dyDescent="0.35">
      <c r="C59" s="15"/>
    </row>
    <row r="60" spans="1:7" s="7" customFormat="1" outlineLevel="1" x14ac:dyDescent="0.35">
      <c r="A60" s="104" t="s">
        <v>368</v>
      </c>
      <c r="B60" s="21"/>
      <c r="C60" s="22"/>
    </row>
    <row r="61" spans="1:7" outlineLevel="1" x14ac:dyDescent="0.35">
      <c r="A61" s="107" t="s">
        <v>185</v>
      </c>
      <c r="B61" s="1" t="s">
        <v>367</v>
      </c>
      <c r="C61" s="122">
        <v>8</v>
      </c>
      <c r="E61" s="1" t="s">
        <v>150</v>
      </c>
      <c r="F61" s="1" t="s">
        <v>184</v>
      </c>
    </row>
    <row r="62" spans="1:7" outlineLevel="1" x14ac:dyDescent="0.35">
      <c r="A62" s="16" t="s">
        <v>183</v>
      </c>
      <c r="B62" s="16"/>
      <c r="C62" s="18">
        <f>SUM(Energieprijzen!I9:N9)/3.6*1000</f>
        <v>29.722222222222225</v>
      </c>
      <c r="D62" s="1" t="s">
        <v>72</v>
      </c>
      <c r="E62" s="1" t="s">
        <v>150</v>
      </c>
      <c r="F62" s="1" t="s">
        <v>169</v>
      </c>
      <c r="G62" s="1" t="s">
        <v>170</v>
      </c>
    </row>
    <row r="63" spans="1:7" outlineLevel="1" x14ac:dyDescent="0.35">
      <c r="A63" s="16" t="s">
        <v>370</v>
      </c>
      <c r="B63" s="16"/>
      <c r="C63" s="43">
        <v>0.03</v>
      </c>
    </row>
    <row r="64" spans="1:7" outlineLevel="1" x14ac:dyDescent="0.35">
      <c r="A64" s="16" t="s">
        <v>402</v>
      </c>
      <c r="B64" s="16" t="s">
        <v>404</v>
      </c>
      <c r="C64" s="98">
        <v>0.3</v>
      </c>
      <c r="D64" s="1" t="s">
        <v>58</v>
      </c>
      <c r="E64" s="96" t="s">
        <v>344</v>
      </c>
      <c r="F64" s="1" t="s">
        <v>166</v>
      </c>
      <c r="G64" s="96" t="s">
        <v>421</v>
      </c>
    </row>
    <row r="65" spans="1:7" outlineLevel="1" x14ac:dyDescent="0.35">
      <c r="A65" s="16" t="s">
        <v>403</v>
      </c>
      <c r="B65" s="16" t="s">
        <v>405</v>
      </c>
      <c r="C65" s="98">
        <v>0.7</v>
      </c>
      <c r="D65" s="1" t="s">
        <v>418</v>
      </c>
      <c r="E65" s="96" t="s">
        <v>344</v>
      </c>
      <c r="F65" s="1" t="s">
        <v>166</v>
      </c>
      <c r="G65" s="96" t="s">
        <v>420</v>
      </c>
    </row>
    <row r="66" spans="1:7" outlineLevel="1" x14ac:dyDescent="0.35">
      <c r="A66" s="121" t="s">
        <v>92</v>
      </c>
      <c r="B66" s="16" t="s">
        <v>369</v>
      </c>
      <c r="C66" s="99">
        <v>0.15</v>
      </c>
      <c r="D66" s="1" t="s">
        <v>58</v>
      </c>
      <c r="E66" s="96" t="s">
        <v>344</v>
      </c>
      <c r="F66" s="1" t="s">
        <v>165</v>
      </c>
      <c r="G66" s="107" t="s">
        <v>378</v>
      </c>
    </row>
    <row r="67" spans="1:7" outlineLevel="1" x14ac:dyDescent="0.35">
      <c r="A67" s="16"/>
      <c r="B67" s="16"/>
      <c r="C67" s="18"/>
    </row>
    <row r="68" spans="1:7" s="7" customFormat="1" outlineLevel="1" x14ac:dyDescent="0.35">
      <c r="A68" s="21" t="s">
        <v>61</v>
      </c>
      <c r="B68" s="21"/>
      <c r="C68" s="22"/>
    </row>
    <row r="69" spans="1:7" outlineLevel="1" x14ac:dyDescent="0.35">
      <c r="A69" s="1" t="s">
        <v>62</v>
      </c>
      <c r="B69" s="1" t="s">
        <v>371</v>
      </c>
      <c r="C69" s="15">
        <v>250</v>
      </c>
      <c r="D69" s="1" t="s">
        <v>63</v>
      </c>
      <c r="E69" s="1" t="s">
        <v>150</v>
      </c>
      <c r="F69" s="1" t="s">
        <v>179</v>
      </c>
      <c r="G69" s="96" t="s">
        <v>339</v>
      </c>
    </row>
    <row r="70" spans="1:7" outlineLevel="1" x14ac:dyDescent="0.35">
      <c r="A70" s="1" t="s">
        <v>377</v>
      </c>
      <c r="C70" s="17">
        <v>0.05</v>
      </c>
      <c r="E70" s="1" t="s">
        <v>150</v>
      </c>
      <c r="F70" s="1" t="s">
        <v>179</v>
      </c>
    </row>
    <row r="71" spans="1:7" outlineLevel="1" x14ac:dyDescent="0.35">
      <c r="A71" s="100" t="s">
        <v>416</v>
      </c>
      <c r="B71" s="16" t="s">
        <v>406</v>
      </c>
      <c r="C71" s="105">
        <f>C75*C76+C64*C62/C61</f>
        <v>1.3820833333333336</v>
      </c>
      <c r="D71" s="1" t="s">
        <v>65</v>
      </c>
      <c r="E71" s="1" t="s">
        <v>150</v>
      </c>
      <c r="F71" s="1" t="s">
        <v>168</v>
      </c>
      <c r="G71" s="1" t="s">
        <v>181</v>
      </c>
    </row>
    <row r="72" spans="1:7" outlineLevel="1" x14ac:dyDescent="0.35"/>
    <row r="73" spans="1:7" s="7" customFormat="1" outlineLevel="1" x14ac:dyDescent="0.35">
      <c r="A73" s="21" t="s">
        <v>69</v>
      </c>
      <c r="B73" s="21"/>
      <c r="C73" s="22"/>
    </row>
    <row r="74" spans="1:7" outlineLevel="1" x14ac:dyDescent="0.35">
      <c r="A74" s="1" t="s">
        <v>94</v>
      </c>
      <c r="C74" s="19">
        <v>2.5</v>
      </c>
      <c r="D74" s="1" t="s">
        <v>70</v>
      </c>
      <c r="E74" s="1" t="s">
        <v>150</v>
      </c>
      <c r="F74" s="1" t="s">
        <v>168</v>
      </c>
    </row>
    <row r="75" spans="1:7" outlineLevel="1" x14ac:dyDescent="0.35">
      <c r="A75" s="1" t="s">
        <v>182</v>
      </c>
      <c r="C75" s="20">
        <f>C74*3.6/1000</f>
        <v>8.9999999999999993E-3</v>
      </c>
      <c r="D75" s="1" t="s">
        <v>71</v>
      </c>
    </row>
    <row r="76" spans="1:7" outlineLevel="1" x14ac:dyDescent="0.35">
      <c r="A76" s="1" t="s">
        <v>183</v>
      </c>
      <c r="C76" s="18">
        <f>SUM(Energieprijzen!I9:N9)/3.6*1000</f>
        <v>29.722222222222225</v>
      </c>
      <c r="D76" s="1" t="s">
        <v>72</v>
      </c>
      <c r="E76" s="1" t="s">
        <v>150</v>
      </c>
      <c r="F76" s="1" t="s">
        <v>171</v>
      </c>
      <c r="G76" s="1" t="s">
        <v>180</v>
      </c>
    </row>
    <row r="77" spans="1:7" outlineLevel="1" x14ac:dyDescent="0.35"/>
    <row r="78" spans="1:7" s="7" customFormat="1" outlineLevel="1" x14ac:dyDescent="0.35">
      <c r="A78" s="21" t="s">
        <v>127</v>
      </c>
      <c r="B78" s="21"/>
      <c r="C78" s="31"/>
      <c r="D78" s="21"/>
      <c r="E78" s="21"/>
    </row>
    <row r="79" spans="1:7" outlineLevel="1" x14ac:dyDescent="0.35">
      <c r="A79" s="1" t="s">
        <v>128</v>
      </c>
      <c r="C79" s="32">
        <v>30</v>
      </c>
      <c r="D79" s="16" t="s">
        <v>203</v>
      </c>
      <c r="E79" s="1" t="s">
        <v>150</v>
      </c>
      <c r="F79" s="1" t="s">
        <v>189</v>
      </c>
    </row>
    <row r="80" spans="1:7" outlineLevel="1" x14ac:dyDescent="0.35">
      <c r="A80" s="1" t="s">
        <v>233</v>
      </c>
      <c r="C80" s="33">
        <v>0.06</v>
      </c>
      <c r="D80" s="4"/>
      <c r="E80" s="1" t="s">
        <v>150</v>
      </c>
      <c r="F80" s="1" t="s">
        <v>186</v>
      </c>
    </row>
    <row r="81" spans="1:8" outlineLevel="1" x14ac:dyDescent="0.35">
      <c r="C81" s="23"/>
      <c r="D81" s="4"/>
      <c r="E81" s="4"/>
    </row>
    <row r="82" spans="1:8" s="10" customFormat="1" x14ac:dyDescent="0.35">
      <c r="A82" s="12" t="s">
        <v>114</v>
      </c>
      <c r="B82" s="12"/>
      <c r="C82" s="11"/>
      <c r="H82" s="11"/>
    </row>
    <row r="83" spans="1:8" x14ac:dyDescent="0.35">
      <c r="C83" s="23" t="s">
        <v>27</v>
      </c>
      <c r="D83" s="4" t="s">
        <v>28</v>
      </c>
      <c r="E83" s="4" t="s">
        <v>73</v>
      </c>
      <c r="F83" s="4" t="s">
        <v>142</v>
      </c>
      <c r="G83" s="4" t="s">
        <v>143</v>
      </c>
    </row>
    <row r="84" spans="1:8" s="8" customFormat="1" x14ac:dyDescent="0.35">
      <c r="A84" s="8" t="s">
        <v>25</v>
      </c>
    </row>
    <row r="85" spans="1:8" x14ac:dyDescent="0.35">
      <c r="A85" s="1" t="s">
        <v>64</v>
      </c>
      <c r="B85" s="1" t="s">
        <v>374</v>
      </c>
      <c r="C85" s="15">
        <f>C69*C34/((1-C22)*(1-C54))</f>
        <v>831024.93074792251</v>
      </c>
      <c r="D85" s="1" t="s">
        <v>46</v>
      </c>
      <c r="E85" s="36"/>
    </row>
    <row r="86" spans="1:8" x14ac:dyDescent="0.35">
      <c r="A86" s="96" t="s">
        <v>365</v>
      </c>
      <c r="B86" s="1" t="s">
        <v>373</v>
      </c>
      <c r="C86" s="95">
        <f>C65*C57*C34/1000</f>
        <v>1995000</v>
      </c>
      <c r="D86" s="1" t="s">
        <v>46</v>
      </c>
    </row>
    <row r="87" spans="1:8" x14ac:dyDescent="0.35">
      <c r="A87" s="96" t="s">
        <v>384</v>
      </c>
      <c r="B87" s="1" t="s">
        <v>385</v>
      </c>
      <c r="C87" s="95">
        <v>100000</v>
      </c>
      <c r="D87" s="1" t="s">
        <v>46</v>
      </c>
      <c r="E87" s="1" t="s">
        <v>76</v>
      </c>
    </row>
    <row r="89" spans="1:8" s="8" customFormat="1" x14ac:dyDescent="0.35">
      <c r="A89" s="8" t="s">
        <v>95</v>
      </c>
    </row>
    <row r="90" spans="1:8" x14ac:dyDescent="0.35">
      <c r="A90" s="3" t="s">
        <v>87</v>
      </c>
      <c r="B90" s="3"/>
      <c r="C90" s="15"/>
    </row>
    <row r="91" spans="1:8" x14ac:dyDescent="0.35">
      <c r="A91" s="1" t="s">
        <v>67</v>
      </c>
      <c r="C91" s="15">
        <f>C50*C51</f>
        <v>137351.27144930745</v>
      </c>
      <c r="D91" s="1" t="s">
        <v>46</v>
      </c>
    </row>
    <row r="92" spans="1:8" x14ac:dyDescent="0.35">
      <c r="A92" s="1" t="s">
        <v>68</v>
      </c>
      <c r="C92" s="15">
        <f>C50*C52</f>
        <v>239392.43542811394</v>
      </c>
      <c r="D92" s="1" t="s">
        <v>46</v>
      </c>
    </row>
    <row r="93" spans="1:8" x14ac:dyDescent="0.35">
      <c r="A93" s="1" t="s">
        <v>107</v>
      </c>
      <c r="C93" s="15">
        <f>AVERAGE(C91:C92)</f>
        <v>188371.85343871068</v>
      </c>
      <c r="D93" s="1" t="s">
        <v>46</v>
      </c>
    </row>
    <row r="94" spans="1:8" x14ac:dyDescent="0.35">
      <c r="A94" s="3" t="s">
        <v>52</v>
      </c>
      <c r="B94" s="3"/>
      <c r="C94" s="15"/>
    </row>
    <row r="95" spans="1:8" x14ac:dyDescent="0.35">
      <c r="A95" s="1" t="s">
        <v>96</v>
      </c>
      <c r="C95" s="15">
        <f>C40*C41</f>
        <v>579123.80973315728</v>
      </c>
      <c r="D95" s="1" t="s">
        <v>46</v>
      </c>
    </row>
    <row r="96" spans="1:8" x14ac:dyDescent="0.35">
      <c r="A96" s="1" t="s">
        <v>97</v>
      </c>
      <c r="C96" s="15">
        <f>C40*C42</f>
        <v>1009367.1340901681</v>
      </c>
      <c r="D96" s="1" t="s">
        <v>46</v>
      </c>
    </row>
    <row r="97" spans="1:4" x14ac:dyDescent="0.35">
      <c r="A97" s="1" t="s">
        <v>100</v>
      </c>
      <c r="C97" s="15">
        <f>AVERAGE(C95:C96)</f>
        <v>794245.47191166272</v>
      </c>
      <c r="D97" s="1" t="s">
        <v>46</v>
      </c>
    </row>
    <row r="98" spans="1:4" x14ac:dyDescent="0.35">
      <c r="A98" s="1" t="s">
        <v>98</v>
      </c>
      <c r="C98" s="15">
        <f>C44*C45</f>
        <v>208016.95408323998</v>
      </c>
      <c r="D98" s="1" t="s">
        <v>46</v>
      </c>
    </row>
    <row r="99" spans="1:4" x14ac:dyDescent="0.35">
      <c r="A99" s="1" t="s">
        <v>99</v>
      </c>
      <c r="C99" s="15">
        <f>C44*C46</f>
        <v>367787.78803802707</v>
      </c>
      <c r="D99" s="1" t="s">
        <v>46</v>
      </c>
    </row>
    <row r="100" spans="1:4" x14ac:dyDescent="0.35">
      <c r="A100" s="1" t="s">
        <v>101</v>
      </c>
      <c r="C100" s="15">
        <f>AVERAGE(C98:C99)</f>
        <v>287902.37106063351</v>
      </c>
      <c r="D100" s="1" t="s">
        <v>46</v>
      </c>
    </row>
    <row r="101" spans="1:4" x14ac:dyDescent="0.35">
      <c r="A101" s="3" t="s">
        <v>49</v>
      </c>
      <c r="B101" s="3"/>
      <c r="C101" s="15"/>
    </row>
    <row r="102" spans="1:4" x14ac:dyDescent="0.35">
      <c r="A102" s="1" t="s">
        <v>104</v>
      </c>
      <c r="C102" s="15">
        <f>C34*C31</f>
        <v>300000</v>
      </c>
      <c r="D102" s="1" t="s">
        <v>46</v>
      </c>
    </row>
    <row r="103" spans="1:4" x14ac:dyDescent="0.35">
      <c r="A103" s="3" t="s">
        <v>105</v>
      </c>
      <c r="B103" s="3"/>
      <c r="C103" s="15"/>
    </row>
    <row r="104" spans="1:4" x14ac:dyDescent="0.35">
      <c r="A104" s="1" t="s">
        <v>106</v>
      </c>
      <c r="C104" s="15">
        <f>C15*C25+C16*C26+SUMPRODUCT('Invoer woningen en utiliteit'!L4:L8,'Invoer woningen en utiliteit'!D4:D8)</f>
        <v>24200000</v>
      </c>
      <c r="D104" s="1" t="s">
        <v>46</v>
      </c>
    </row>
    <row r="105" spans="1:4" x14ac:dyDescent="0.35">
      <c r="C105" s="15"/>
    </row>
    <row r="106" spans="1:4" s="8" customFormat="1" x14ac:dyDescent="0.35">
      <c r="A106" s="8" t="s">
        <v>109</v>
      </c>
      <c r="C106" s="25"/>
    </row>
    <row r="107" spans="1:4" x14ac:dyDescent="0.35">
      <c r="A107" s="1" t="s">
        <v>110</v>
      </c>
      <c r="C107" s="15">
        <f>C85+C91+C95+C98+C86+C102+C104+C87</f>
        <v>28350516.966013625</v>
      </c>
      <c r="D107" s="1" t="s">
        <v>46</v>
      </c>
    </row>
    <row r="108" spans="1:4" x14ac:dyDescent="0.35">
      <c r="A108" s="1" t="s">
        <v>111</v>
      </c>
      <c r="C108" s="15">
        <f>C85+C92+C96+C99+C86+C102+C104+C87</f>
        <v>29042572.288304232</v>
      </c>
      <c r="D108" s="1" t="s">
        <v>46</v>
      </c>
    </row>
    <row r="109" spans="1:4" x14ac:dyDescent="0.35">
      <c r="A109" s="1" t="s">
        <v>112</v>
      </c>
      <c r="C109" s="15">
        <f>C85+C93+C97+C100+C86+C102+C104+C87</f>
        <v>28696544.627158929</v>
      </c>
      <c r="D109" s="1" t="s">
        <v>46</v>
      </c>
    </row>
    <row r="110" spans="1:4" x14ac:dyDescent="0.35">
      <c r="A110" s="1" t="s">
        <v>130</v>
      </c>
      <c r="C110" s="15">
        <f>-PMT(C80,C79,C109,0,1)</f>
        <v>1966766.7270647727</v>
      </c>
      <c r="D110" s="1" t="s">
        <v>47</v>
      </c>
    </row>
    <row r="111" spans="1:4" x14ac:dyDescent="0.35">
      <c r="A111" s="1" t="s">
        <v>129</v>
      </c>
      <c r="C111" s="18">
        <f>C110/C23</f>
        <v>40.85051736728191</v>
      </c>
      <c r="D111" s="1" t="s">
        <v>65</v>
      </c>
    </row>
    <row r="112" spans="1:4" x14ac:dyDescent="0.35">
      <c r="C112" s="15"/>
    </row>
    <row r="113" spans="1:7" s="30" customFormat="1" x14ac:dyDescent="0.35">
      <c r="A113" s="28" t="s">
        <v>113</v>
      </c>
      <c r="B113" s="28"/>
      <c r="C113" s="29"/>
    </row>
    <row r="114" spans="1:7" x14ac:dyDescent="0.35">
      <c r="C114" s="23" t="s">
        <v>27</v>
      </c>
      <c r="D114" s="4" t="s">
        <v>28</v>
      </c>
      <c r="E114" s="4" t="s">
        <v>73</v>
      </c>
      <c r="F114" s="4" t="s">
        <v>142</v>
      </c>
      <c r="G114" s="4" t="s">
        <v>143</v>
      </c>
    </row>
    <row r="115" spans="1:7" s="27" customFormat="1" x14ac:dyDescent="0.35">
      <c r="A115" s="27" t="s">
        <v>74</v>
      </c>
      <c r="C115" s="26"/>
    </row>
    <row r="116" spans="1:7" x14ac:dyDescent="0.35">
      <c r="A116" s="96" t="s">
        <v>408</v>
      </c>
      <c r="B116" s="96"/>
      <c r="C116" s="105">
        <f>SUM(Energieprijzen!C9:H9)/3.6*1000</f>
        <v>58.333333333333336</v>
      </c>
      <c r="D116" s="96" t="s">
        <v>409</v>
      </c>
    </row>
    <row r="117" spans="1:7" x14ac:dyDescent="0.35">
      <c r="A117" s="96" t="s">
        <v>436</v>
      </c>
      <c r="B117" s="96" t="s">
        <v>407</v>
      </c>
      <c r="C117" s="95">
        <f>C116*(SUMPRODUCT('Invoer woningen en utiliteit'!O4:O8,'Invoer woningen en utiliteit'!D4:D8))</f>
        <v>983181.81818181812</v>
      </c>
      <c r="D117" s="96" t="s">
        <v>47</v>
      </c>
      <c r="G117" s="96" t="s">
        <v>437</v>
      </c>
    </row>
    <row r="118" spans="1:7" x14ac:dyDescent="0.35">
      <c r="C118" s="15"/>
    </row>
    <row r="119" spans="1:7" s="27" customFormat="1" x14ac:dyDescent="0.35">
      <c r="A119" s="27" t="s">
        <v>25</v>
      </c>
      <c r="C119" s="26"/>
    </row>
    <row r="120" spans="1:7" x14ac:dyDescent="0.35">
      <c r="A120" s="1" t="s">
        <v>116</v>
      </c>
      <c r="C120" s="15">
        <f>C70*C85</f>
        <v>41551.246537396131</v>
      </c>
      <c r="D120" s="1" t="s">
        <v>47</v>
      </c>
    </row>
    <row r="121" spans="1:7" x14ac:dyDescent="0.35">
      <c r="A121" s="1" t="s">
        <v>380</v>
      </c>
      <c r="C121" s="95">
        <f>C23*1/(1-C66)*C71</f>
        <v>78283.565062388603</v>
      </c>
      <c r="D121" s="1" t="s">
        <v>47</v>
      </c>
      <c r="E121" s="1" t="s">
        <v>150</v>
      </c>
      <c r="F121" s="1" t="s">
        <v>165</v>
      </c>
    </row>
    <row r="122" spans="1:7" x14ac:dyDescent="0.35">
      <c r="C122" s="95"/>
    </row>
    <row r="123" spans="1:7" x14ac:dyDescent="0.35">
      <c r="C123" s="15"/>
    </row>
    <row r="124" spans="1:7" s="27" customFormat="1" x14ac:dyDescent="0.35">
      <c r="A124" s="27" t="s">
        <v>95</v>
      </c>
      <c r="C124" s="26"/>
    </row>
    <row r="125" spans="1:7" x14ac:dyDescent="0.35">
      <c r="A125" s="1" t="s">
        <v>117</v>
      </c>
      <c r="C125" s="15">
        <f>C93*C53</f>
        <v>1883.7185343871067</v>
      </c>
      <c r="D125" s="1" t="s">
        <v>47</v>
      </c>
    </row>
    <row r="126" spans="1:7" x14ac:dyDescent="0.35">
      <c r="A126" s="1" t="s">
        <v>118</v>
      </c>
      <c r="C126" s="15">
        <f>C97*C47</f>
        <v>7942.4547191166275</v>
      </c>
      <c r="D126" s="1" t="s">
        <v>47</v>
      </c>
    </row>
    <row r="127" spans="1:7" x14ac:dyDescent="0.35">
      <c r="A127" s="1" t="s">
        <v>119</v>
      </c>
      <c r="C127" s="15">
        <f>C100*C47</f>
        <v>2879.023710606335</v>
      </c>
      <c r="D127" s="1" t="s">
        <v>47</v>
      </c>
    </row>
    <row r="128" spans="1:7" x14ac:dyDescent="0.35">
      <c r="A128" s="1" t="s">
        <v>120</v>
      </c>
      <c r="C128" s="15">
        <f>C86*C58</f>
        <v>69825</v>
      </c>
      <c r="D128" s="1" t="s">
        <v>47</v>
      </c>
    </row>
    <row r="129" spans="1:7" x14ac:dyDescent="0.35">
      <c r="A129" s="1" t="s">
        <v>121</v>
      </c>
      <c r="C129" s="15">
        <f>C102*C35</f>
        <v>9000</v>
      </c>
      <c r="D129" s="1" t="s">
        <v>47</v>
      </c>
    </row>
    <row r="130" spans="1:7" x14ac:dyDescent="0.35">
      <c r="A130" s="1" t="s">
        <v>122</v>
      </c>
      <c r="C130" s="15">
        <f>C104*C27</f>
        <v>605000</v>
      </c>
      <c r="D130" s="1" t="s">
        <v>47</v>
      </c>
    </row>
    <row r="131" spans="1:7" x14ac:dyDescent="0.35">
      <c r="A131" s="1" t="s">
        <v>131</v>
      </c>
      <c r="C131" s="15">
        <f>C76*C75*C23</f>
        <v>12878.909090909092</v>
      </c>
      <c r="D131" s="1" t="s">
        <v>47</v>
      </c>
      <c r="G131" s="96" t="s">
        <v>381</v>
      </c>
    </row>
    <row r="132" spans="1:7" x14ac:dyDescent="0.35">
      <c r="C132" s="15"/>
    </row>
    <row r="133" spans="1:7" s="27" customFormat="1" x14ac:dyDescent="0.35">
      <c r="A133" s="27" t="s">
        <v>124</v>
      </c>
      <c r="C133" s="26"/>
    </row>
    <row r="134" spans="1:7" x14ac:dyDescent="0.35">
      <c r="A134" s="1" t="s">
        <v>440</v>
      </c>
      <c r="C134" s="15">
        <f>SUM(C120:C122)+SUM(C125:C131)</f>
        <v>829243.91765480384</v>
      </c>
      <c r="D134" s="1" t="s">
        <v>47</v>
      </c>
    </row>
    <row r="135" spans="1:7" x14ac:dyDescent="0.35">
      <c r="A135" s="1" t="s">
        <v>442</v>
      </c>
      <c r="C135" s="15">
        <f>C23</f>
        <v>48145.454545454544</v>
      </c>
      <c r="D135" s="1" t="s">
        <v>40</v>
      </c>
    </row>
    <row r="136" spans="1:7" x14ac:dyDescent="0.35">
      <c r="A136" s="1" t="s">
        <v>441</v>
      </c>
      <c r="C136" s="15">
        <f>C117</f>
        <v>983181.81818181812</v>
      </c>
      <c r="D136" s="1" t="s">
        <v>47</v>
      </c>
    </row>
    <row r="137" spans="1:7" x14ac:dyDescent="0.35">
      <c r="A137" s="1" t="s">
        <v>443</v>
      </c>
      <c r="C137" s="15">
        <f>SUMPRODUCT('Invoer woningen en utiliteit'!D4:D8,'Invoer woningen en utiliteit'!I4:I8)+SUMPRODUCT('Invoer woningen en utiliteit'!D4:D8,'Invoer woningen en utiliteit'!J4:J8)</f>
        <v>65000</v>
      </c>
      <c r="D137" s="1" t="s">
        <v>40</v>
      </c>
    </row>
    <row r="138" spans="1:7" x14ac:dyDescent="0.35">
      <c r="A138" s="1" t="s">
        <v>124</v>
      </c>
      <c r="C138" s="15">
        <f>SUM(C120:C122)+SUM(C125:C131)+C117</f>
        <v>1812425.7358366218</v>
      </c>
      <c r="D138" s="1" t="s">
        <v>47</v>
      </c>
    </row>
    <row r="139" spans="1:7" x14ac:dyDescent="0.35">
      <c r="A139" s="1" t="s">
        <v>444</v>
      </c>
      <c r="C139" s="18">
        <f>C134/C135</f>
        <v>17.223721854612617</v>
      </c>
      <c r="D139" s="1" t="s">
        <v>65</v>
      </c>
    </row>
    <row r="140" spans="1:7" x14ac:dyDescent="0.35">
      <c r="A140" s="1" t="s">
        <v>445</v>
      </c>
      <c r="C140" s="18">
        <f>C136/C137</f>
        <v>15.125874125874125</v>
      </c>
      <c r="D140" s="1" t="s">
        <v>65</v>
      </c>
    </row>
    <row r="141" spans="1:7" x14ac:dyDescent="0.35">
      <c r="C141" s="15"/>
    </row>
    <row r="142" spans="1:7" s="39" customFormat="1" x14ac:dyDescent="0.35">
      <c r="A142" s="37" t="s">
        <v>174</v>
      </c>
      <c r="B142" s="37"/>
      <c r="C142" s="38"/>
    </row>
    <row r="143" spans="1:7" x14ac:dyDescent="0.35">
      <c r="C143" s="23" t="s">
        <v>27</v>
      </c>
      <c r="D143" s="4" t="s">
        <v>28</v>
      </c>
    </row>
    <row r="144" spans="1:7" x14ac:dyDescent="0.35">
      <c r="A144" s="1" t="s">
        <v>175</v>
      </c>
      <c r="C144" s="15">
        <f>C109/(C15+C16)</f>
        <v>14348.272313579464</v>
      </c>
      <c r="D144" s="1" t="s">
        <v>46</v>
      </c>
      <c r="E144" s="96" t="s">
        <v>438</v>
      </c>
    </row>
    <row r="145" spans="1:4" x14ac:dyDescent="0.35">
      <c r="A145" s="16" t="s">
        <v>176</v>
      </c>
      <c r="B145" s="16"/>
      <c r="C145" s="15">
        <f>C138/(C15+C16)</f>
        <v>906.21286791831096</v>
      </c>
      <c r="D145" s="1" t="s">
        <v>177</v>
      </c>
    </row>
    <row r="146" spans="1:4" x14ac:dyDescent="0.35">
      <c r="A146" s="16"/>
      <c r="B146" s="16"/>
      <c r="C146" s="15"/>
    </row>
    <row r="147" spans="1:4" x14ac:dyDescent="0.35">
      <c r="C147" s="15"/>
    </row>
    <row r="148" spans="1:4" x14ac:dyDescent="0.35">
      <c r="C148" s="15"/>
    </row>
    <row r="149" spans="1:4" x14ac:dyDescent="0.35">
      <c r="C149" s="15"/>
    </row>
    <row r="150" spans="1:4" x14ac:dyDescent="0.35">
      <c r="C150" s="15"/>
    </row>
    <row r="151" spans="1:4" x14ac:dyDescent="0.35">
      <c r="C151" s="15"/>
    </row>
    <row r="152" spans="1:4" x14ac:dyDescent="0.35">
      <c r="C152" s="15"/>
    </row>
    <row r="153" spans="1:4" x14ac:dyDescent="0.35">
      <c r="C153" s="15"/>
    </row>
    <row r="154" spans="1:4" x14ac:dyDescent="0.35">
      <c r="C154" s="15"/>
    </row>
    <row r="155" spans="1:4" x14ac:dyDescent="0.35">
      <c r="C155" s="15"/>
    </row>
    <row r="156" spans="1:4" x14ac:dyDescent="0.35">
      <c r="C156" s="15"/>
    </row>
    <row r="157" spans="1:4" x14ac:dyDescent="0.35">
      <c r="C157" s="15"/>
    </row>
    <row r="158" spans="1:4" x14ac:dyDescent="0.35">
      <c r="C158" s="15"/>
    </row>
    <row r="159" spans="1:4" x14ac:dyDescent="0.35">
      <c r="C159" s="15"/>
    </row>
    <row r="160" spans="1:4" x14ac:dyDescent="0.35">
      <c r="C160" s="15"/>
    </row>
    <row r="161" spans="3:3" x14ac:dyDescent="0.35">
      <c r="C161" s="15"/>
    </row>
    <row r="162" spans="3:3" x14ac:dyDescent="0.35">
      <c r="C162" s="15"/>
    </row>
    <row r="163" spans="3:3" x14ac:dyDescent="0.35">
      <c r="C163" s="15"/>
    </row>
    <row r="164" spans="3:3" x14ac:dyDescent="0.35">
      <c r="C164" s="15"/>
    </row>
    <row r="165" spans="3:3" x14ac:dyDescent="0.35">
      <c r="C165" s="15"/>
    </row>
    <row r="166" spans="3:3" x14ac:dyDescent="0.35">
      <c r="C166" s="15"/>
    </row>
    <row r="167" spans="3:3" x14ac:dyDescent="0.35">
      <c r="C167" s="15"/>
    </row>
    <row r="168" spans="3:3" x14ac:dyDescent="0.35">
      <c r="C168" s="15"/>
    </row>
    <row r="169" spans="3:3" x14ac:dyDescent="0.35">
      <c r="C169" s="15"/>
    </row>
    <row r="170" spans="3:3" x14ac:dyDescent="0.35">
      <c r="C170" s="15"/>
    </row>
    <row r="171" spans="3:3" x14ac:dyDescent="0.35">
      <c r="C171" s="15"/>
    </row>
    <row r="172" spans="3:3" x14ac:dyDescent="0.35">
      <c r="C172" s="15"/>
    </row>
    <row r="173" spans="3:3" x14ac:dyDescent="0.35">
      <c r="C173" s="15"/>
    </row>
    <row r="174" spans="3:3" x14ac:dyDescent="0.35">
      <c r="C174" s="15"/>
    </row>
    <row r="175" spans="3:3" x14ac:dyDescent="0.35">
      <c r="C175" s="15"/>
    </row>
    <row r="176" spans="3:3" x14ac:dyDescent="0.35">
      <c r="C176" s="15"/>
    </row>
    <row r="177" spans="3:3" x14ac:dyDescent="0.35">
      <c r="C177" s="15"/>
    </row>
    <row r="178" spans="3:3" x14ac:dyDescent="0.35">
      <c r="C178" s="15"/>
    </row>
    <row r="179" spans="3:3" x14ac:dyDescent="0.35">
      <c r="C179" s="15"/>
    </row>
    <row r="180" spans="3:3" x14ac:dyDescent="0.35">
      <c r="C180" s="15"/>
    </row>
    <row r="181" spans="3:3" x14ac:dyDescent="0.35">
      <c r="C181" s="15"/>
    </row>
    <row r="182" spans="3:3" x14ac:dyDescent="0.35">
      <c r="C182" s="15"/>
    </row>
    <row r="183" spans="3:3" x14ac:dyDescent="0.35">
      <c r="C183" s="15"/>
    </row>
    <row r="184" spans="3:3" x14ac:dyDescent="0.35">
      <c r="C184" s="15"/>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249977111117893"/>
  </sheetPr>
  <dimension ref="A1:H185"/>
  <sheetViews>
    <sheetView topLeftCell="A91" zoomScale="70" zoomScaleNormal="70" workbookViewId="0">
      <selection activeCell="C68" sqref="C68"/>
    </sheetView>
  </sheetViews>
  <sheetFormatPr defaultColWidth="9.1796875" defaultRowHeight="14.5" outlineLevelRow="1" x14ac:dyDescent="0.35"/>
  <cols>
    <col min="1" max="1" width="49.54296875" style="1" customWidth="1"/>
    <col min="2" max="2" width="10.26953125" style="1" customWidth="1"/>
    <col min="3" max="3" width="13.81640625" style="1" customWidth="1"/>
    <col min="4" max="4" width="23.81640625" style="1" customWidth="1"/>
    <col min="5" max="5" width="33.1796875" style="1" customWidth="1"/>
    <col min="6" max="8" width="9.1796875" style="1"/>
    <col min="9" max="9" width="11.453125" style="1" customWidth="1"/>
    <col min="10" max="10" width="12.453125" style="1" customWidth="1"/>
    <col min="11" max="11" width="9.1796875" style="1"/>
    <col min="12" max="12" width="11.453125" style="1" customWidth="1"/>
    <col min="13" max="13" width="9.1796875" style="1"/>
    <col min="14" max="14" width="12.453125" style="1" bestFit="1" customWidth="1"/>
    <col min="15" max="16384" width="9.1796875" style="1"/>
  </cols>
  <sheetData>
    <row r="1" spans="1:7" ht="21" x14ac:dyDescent="0.5">
      <c r="A1" s="2" t="s">
        <v>383</v>
      </c>
      <c r="B1" s="2"/>
    </row>
    <row r="3" spans="1:7" x14ac:dyDescent="0.35">
      <c r="A3" s="4"/>
      <c r="B3" s="4"/>
    </row>
    <row r="12" spans="1:7" s="9" customFormat="1" x14ac:dyDescent="0.35">
      <c r="A12" s="14" t="s">
        <v>29</v>
      </c>
      <c r="B12" s="14"/>
    </row>
    <row r="13" spans="1:7" outlineLevel="1" x14ac:dyDescent="0.35">
      <c r="B13" s="4" t="s">
        <v>352</v>
      </c>
      <c r="C13" s="23" t="s">
        <v>27</v>
      </c>
      <c r="D13" s="4" t="s">
        <v>28</v>
      </c>
      <c r="E13" s="4" t="s">
        <v>73</v>
      </c>
      <c r="F13" s="4" t="s">
        <v>142</v>
      </c>
      <c r="G13" s="4" t="s">
        <v>143</v>
      </c>
    </row>
    <row r="14" spans="1:7" s="7" customFormat="1" outlineLevel="1" x14ac:dyDescent="0.35">
      <c r="A14" s="21" t="s">
        <v>74</v>
      </c>
      <c r="B14" s="21"/>
      <c r="C14" s="22"/>
    </row>
    <row r="15" spans="1:7" outlineLevel="1" x14ac:dyDescent="0.35">
      <c r="A15" s="1" t="s">
        <v>75</v>
      </c>
      <c r="B15" s="1" t="s">
        <v>353</v>
      </c>
      <c r="C15" s="15">
        <f>SUM('Invoer woningen en utiliteit'!C4:C7)</f>
        <v>1000</v>
      </c>
      <c r="D15" s="1" t="s">
        <v>31</v>
      </c>
      <c r="E15" s="1" t="s">
        <v>428</v>
      </c>
    </row>
    <row r="16" spans="1:7" outlineLevel="1" x14ac:dyDescent="0.35">
      <c r="A16" s="1" t="s">
        <v>144</v>
      </c>
      <c r="B16" s="1" t="s">
        <v>354</v>
      </c>
      <c r="C16" s="15">
        <f>SUM('Invoer woningen en utiliteit'!B4:B7)</f>
        <v>1000</v>
      </c>
      <c r="D16" s="1" t="s">
        <v>31</v>
      </c>
      <c r="E16" s="1" t="s">
        <v>428</v>
      </c>
    </row>
    <row r="17" spans="1:7" outlineLevel="1" x14ac:dyDescent="0.35">
      <c r="A17" s="1" t="s">
        <v>439</v>
      </c>
      <c r="B17" s="1" t="s">
        <v>424</v>
      </c>
      <c r="C17" s="15">
        <f>'Invoer woningen en utiliteit'!D8</f>
        <v>0</v>
      </c>
      <c r="D17" s="1" t="s">
        <v>35</v>
      </c>
      <c r="E17" s="1" t="s">
        <v>428</v>
      </c>
    </row>
    <row r="18" spans="1:7" outlineLevel="1" x14ac:dyDescent="0.35">
      <c r="A18" s="1" t="s">
        <v>145</v>
      </c>
      <c r="C18" s="15">
        <v>40</v>
      </c>
      <c r="D18" s="1" t="s">
        <v>32</v>
      </c>
      <c r="E18" s="1" t="s">
        <v>76</v>
      </c>
    </row>
    <row r="19" spans="1:7" outlineLevel="1" x14ac:dyDescent="0.35">
      <c r="A19" s="1" t="s">
        <v>146</v>
      </c>
      <c r="C19" s="15">
        <v>10</v>
      </c>
      <c r="D19" s="1" t="s">
        <v>32</v>
      </c>
      <c r="E19" s="1" t="s">
        <v>76</v>
      </c>
    </row>
    <row r="20" spans="1:7" outlineLevel="1" x14ac:dyDescent="0.35">
      <c r="A20" s="1" t="s">
        <v>33</v>
      </c>
      <c r="C20" s="15">
        <f>C15/C18+C16/C19</f>
        <v>125</v>
      </c>
      <c r="D20" s="1" t="s">
        <v>34</v>
      </c>
    </row>
    <row r="21" spans="1:7" outlineLevel="1" x14ac:dyDescent="0.35">
      <c r="A21" s="1" t="s">
        <v>33</v>
      </c>
      <c r="C21" s="15">
        <f>10000*C20</f>
        <v>1250000</v>
      </c>
      <c r="D21" s="1" t="s">
        <v>35</v>
      </c>
    </row>
    <row r="22" spans="1:7" outlineLevel="1" x14ac:dyDescent="0.35">
      <c r="A22" s="1" t="s">
        <v>37</v>
      </c>
      <c r="B22" s="1" t="s">
        <v>355</v>
      </c>
      <c r="C22" s="17">
        <v>0.5</v>
      </c>
      <c r="E22" s="1" t="s">
        <v>150</v>
      </c>
      <c r="F22" s="1" t="s">
        <v>149</v>
      </c>
    </row>
    <row r="23" spans="1:7" outlineLevel="1" x14ac:dyDescent="0.35">
      <c r="A23" s="1" t="s">
        <v>38</v>
      </c>
      <c r="B23" s="1" t="s">
        <v>356</v>
      </c>
      <c r="C23" s="97">
        <v>0.05</v>
      </c>
      <c r="D23" s="1" t="s">
        <v>39</v>
      </c>
      <c r="E23" s="1" t="s">
        <v>150</v>
      </c>
      <c r="F23" s="1" t="s">
        <v>151</v>
      </c>
      <c r="G23" s="96" t="s">
        <v>337</v>
      </c>
    </row>
    <row r="24" spans="1:7" outlineLevel="1" x14ac:dyDescent="0.35">
      <c r="A24" s="1" t="s">
        <v>435</v>
      </c>
      <c r="B24" s="1" t="s">
        <v>412</v>
      </c>
      <c r="C24" s="95">
        <f>SUMPRODUCT('Invoer woningen en utiliteit'!D4:D8,'Invoer woningen en utiliteit'!R4:R8)</f>
        <v>49381.039590627523</v>
      </c>
      <c r="D24" s="1" t="s">
        <v>40</v>
      </c>
    </row>
    <row r="25" spans="1:7" outlineLevel="1" x14ac:dyDescent="0.35">
      <c r="A25" s="1" t="s">
        <v>42</v>
      </c>
      <c r="B25" s="1" t="s">
        <v>413</v>
      </c>
      <c r="C25" s="95">
        <f>SUMPRODUCT('Invoer woningen en utiliteit'!D4:D8,'Invoer woningen en utiliteit'!T4:T8)*C22</f>
        <v>3004.5448424454621</v>
      </c>
      <c r="D25" s="1" t="s">
        <v>43</v>
      </c>
      <c r="G25" s="3" t="s">
        <v>44</v>
      </c>
    </row>
    <row r="26" spans="1:7" outlineLevel="1" x14ac:dyDescent="0.35">
      <c r="A26" s="1" t="s">
        <v>156</v>
      </c>
      <c r="C26" s="15">
        <v>3000</v>
      </c>
      <c r="D26" s="1" t="s">
        <v>45</v>
      </c>
      <c r="E26" s="1" t="s">
        <v>150</v>
      </c>
      <c r="F26" s="1" t="s">
        <v>149</v>
      </c>
      <c r="G26" s="1" t="s">
        <v>158</v>
      </c>
    </row>
    <row r="27" spans="1:7" outlineLevel="1" x14ac:dyDescent="0.35">
      <c r="A27" s="1" t="s">
        <v>157</v>
      </c>
      <c r="C27" s="15">
        <v>6000</v>
      </c>
      <c r="D27" s="1" t="s">
        <v>45</v>
      </c>
      <c r="E27" s="1" t="s">
        <v>150</v>
      </c>
      <c r="F27" s="1" t="s">
        <v>149</v>
      </c>
      <c r="G27" s="1" t="s">
        <v>158</v>
      </c>
    </row>
    <row r="28" spans="1:7" outlineLevel="1" x14ac:dyDescent="0.35">
      <c r="A28" s="1" t="s">
        <v>159</v>
      </c>
      <c r="C28" s="35">
        <v>2.5000000000000001E-2</v>
      </c>
      <c r="E28" s="1" t="s">
        <v>150</v>
      </c>
      <c r="F28" s="1" t="s">
        <v>149</v>
      </c>
      <c r="G28" s="1" t="s">
        <v>158</v>
      </c>
    </row>
    <row r="29" spans="1:7" outlineLevel="1" x14ac:dyDescent="0.35">
      <c r="C29" s="15"/>
    </row>
    <row r="30" spans="1:7" s="7" customFormat="1" outlineLevel="1" x14ac:dyDescent="0.35">
      <c r="A30" s="21" t="s">
        <v>49</v>
      </c>
      <c r="B30" s="21"/>
      <c r="C30" s="22"/>
    </row>
    <row r="31" spans="1:7" outlineLevel="1" x14ac:dyDescent="0.35">
      <c r="A31" s="1" t="s">
        <v>50</v>
      </c>
      <c r="B31" s="1" t="s">
        <v>357</v>
      </c>
      <c r="C31" s="95">
        <v>600</v>
      </c>
      <c r="D31" s="1" t="s">
        <v>43</v>
      </c>
      <c r="E31" s="1" t="s">
        <v>150</v>
      </c>
      <c r="F31" s="1" t="s">
        <v>149</v>
      </c>
    </row>
    <row r="32" spans="1:7" outlineLevel="1" x14ac:dyDescent="0.35">
      <c r="A32" s="1" t="s">
        <v>77</v>
      </c>
      <c r="B32" s="1" t="s">
        <v>358</v>
      </c>
      <c r="C32" s="15">
        <v>100</v>
      </c>
      <c r="D32" s="1" t="s">
        <v>51</v>
      </c>
      <c r="E32" s="1" t="s">
        <v>150</v>
      </c>
      <c r="F32" s="1" t="s">
        <v>151</v>
      </c>
    </row>
    <row r="33" spans="1:6" outlineLevel="1" x14ac:dyDescent="0.35">
      <c r="A33" s="1" t="s">
        <v>351</v>
      </c>
      <c r="B33" s="1" t="s">
        <v>359</v>
      </c>
      <c r="C33" s="18">
        <f>(1/(1-C23)*C25)/C31</f>
        <v>5.2711313025358981</v>
      </c>
      <c r="D33" s="1" t="s">
        <v>31</v>
      </c>
      <c r="E33" s="1" t="s">
        <v>150</v>
      </c>
      <c r="F33" s="1" t="s">
        <v>151</v>
      </c>
    </row>
    <row r="34" spans="1:6" outlineLevel="1" x14ac:dyDescent="0.35">
      <c r="A34" s="1" t="s">
        <v>79</v>
      </c>
      <c r="C34" s="15">
        <f>ROUNDDOWN(C33,0)</f>
        <v>5</v>
      </c>
      <c r="D34" s="1" t="s">
        <v>31</v>
      </c>
      <c r="E34" s="1" t="s">
        <v>178</v>
      </c>
    </row>
    <row r="35" spans="1:6" outlineLevel="1" x14ac:dyDescent="0.35">
      <c r="A35" s="1" t="s">
        <v>80</v>
      </c>
      <c r="B35" s="1" t="s">
        <v>372</v>
      </c>
      <c r="C35" s="15">
        <f>C34*C31</f>
        <v>3000</v>
      </c>
      <c r="D35" s="1" t="s">
        <v>43</v>
      </c>
    </row>
    <row r="36" spans="1:6" outlineLevel="1" x14ac:dyDescent="0.35">
      <c r="A36" s="1" t="s">
        <v>48</v>
      </c>
      <c r="C36" s="119">
        <v>0.03</v>
      </c>
      <c r="E36" s="1" t="s">
        <v>150</v>
      </c>
      <c r="F36" s="1" t="s">
        <v>149</v>
      </c>
    </row>
    <row r="37" spans="1:6" outlineLevel="1" x14ac:dyDescent="0.35">
      <c r="C37" s="15"/>
    </row>
    <row r="38" spans="1:6" s="7" customFormat="1" outlineLevel="1" x14ac:dyDescent="0.35">
      <c r="A38" s="21" t="s">
        <v>52</v>
      </c>
      <c r="B38" s="21"/>
      <c r="C38" s="22"/>
    </row>
    <row r="39" spans="1:6" outlineLevel="1" x14ac:dyDescent="0.35">
      <c r="A39" s="1" t="s">
        <v>81</v>
      </c>
      <c r="B39" s="1" t="s">
        <v>360</v>
      </c>
      <c r="C39" s="18">
        <v>1.25</v>
      </c>
      <c r="E39" s="1" t="s">
        <v>150</v>
      </c>
      <c r="F39" s="1" t="s">
        <v>160</v>
      </c>
    </row>
    <row r="40" spans="1:6" outlineLevel="1" x14ac:dyDescent="0.35">
      <c r="A40" s="3" t="s">
        <v>82</v>
      </c>
      <c r="B40" s="3"/>
      <c r="C40" s="15"/>
    </row>
    <row r="41" spans="1:6" outlineLevel="1" x14ac:dyDescent="0.35">
      <c r="A41" s="16" t="s">
        <v>85</v>
      </c>
      <c r="B41" s="16"/>
      <c r="C41" s="15">
        <f>C39*SQRT(2)*SQRT(C21)</f>
        <v>1976.4235376052372</v>
      </c>
      <c r="D41" s="1" t="s">
        <v>66</v>
      </c>
      <c r="E41" s="1" t="s">
        <v>150</v>
      </c>
      <c r="F41" s="1" t="s">
        <v>160</v>
      </c>
    </row>
    <row r="42" spans="1:6" outlineLevel="1" x14ac:dyDescent="0.35">
      <c r="A42" s="1" t="s">
        <v>53</v>
      </c>
      <c r="B42" s="1" t="s">
        <v>361</v>
      </c>
      <c r="C42" s="95">
        <f>0.8*215.5*POWER((C34*C31/1000),0.4828)</f>
        <v>293.01604575852258</v>
      </c>
      <c r="D42" s="1" t="s">
        <v>83</v>
      </c>
      <c r="E42" s="1" t="s">
        <v>150</v>
      </c>
      <c r="F42" s="1" t="s">
        <v>160</v>
      </c>
    </row>
    <row r="43" spans="1:6" outlineLevel="1" x14ac:dyDescent="0.35">
      <c r="A43" s="1" t="s">
        <v>54</v>
      </c>
      <c r="B43" s="1" t="s">
        <v>361</v>
      </c>
      <c r="C43" s="95">
        <f>0.8*379.29*POWER((C34*C31/1000),0.4739)</f>
        <v>510.70386224664304</v>
      </c>
      <c r="D43" s="1" t="s">
        <v>83</v>
      </c>
      <c r="E43" s="1" t="s">
        <v>150</v>
      </c>
      <c r="F43" s="1" t="s">
        <v>160</v>
      </c>
    </row>
    <row r="44" spans="1:6" outlineLevel="1" x14ac:dyDescent="0.35">
      <c r="A44" s="3" t="s">
        <v>84</v>
      </c>
      <c r="B44" s="3"/>
      <c r="C44" s="15"/>
    </row>
    <row r="45" spans="1:6" outlineLevel="1" x14ac:dyDescent="0.35">
      <c r="A45" s="16" t="s">
        <v>86</v>
      </c>
      <c r="B45" s="16"/>
      <c r="C45" s="15">
        <f>C39*C34*0.25*0.5*SQRT(2)*SQRT(C21)</f>
        <v>1235.2647110032733</v>
      </c>
      <c r="D45" s="1" t="s">
        <v>66</v>
      </c>
      <c r="E45" s="1" t="s">
        <v>150</v>
      </c>
      <c r="F45" s="1" t="s">
        <v>160</v>
      </c>
    </row>
    <row r="46" spans="1:6" outlineLevel="1" x14ac:dyDescent="0.35">
      <c r="A46" s="1" t="s">
        <v>53</v>
      </c>
      <c r="B46" s="1" t="s">
        <v>361</v>
      </c>
      <c r="C46" s="15">
        <f>215.5*POWER((C31/1000),0.4828)</f>
        <v>168.39868590942751</v>
      </c>
      <c r="D46" s="1" t="s">
        <v>83</v>
      </c>
      <c r="E46" s="1" t="s">
        <v>150</v>
      </c>
      <c r="F46" s="1" t="s">
        <v>160</v>
      </c>
    </row>
    <row r="47" spans="1:6" outlineLevel="1" x14ac:dyDescent="0.35">
      <c r="A47" s="1" t="s">
        <v>54</v>
      </c>
      <c r="B47" s="1" t="s">
        <v>361</v>
      </c>
      <c r="C47" s="15">
        <f>379.29*POWER((C31/1000),0.4739)</f>
        <v>297.74005908362136</v>
      </c>
      <c r="D47" s="1" t="s">
        <v>83</v>
      </c>
      <c r="E47" s="1" t="s">
        <v>150</v>
      </c>
      <c r="F47" s="1" t="s">
        <v>160</v>
      </c>
    </row>
    <row r="48" spans="1:6" outlineLevel="1" x14ac:dyDescent="0.35">
      <c r="A48" s="1" t="s">
        <v>48</v>
      </c>
      <c r="C48" s="17">
        <v>0.01</v>
      </c>
      <c r="E48" s="1" t="s">
        <v>150</v>
      </c>
      <c r="F48" s="1" t="s">
        <v>149</v>
      </c>
    </row>
    <row r="49" spans="1:7" outlineLevel="1" x14ac:dyDescent="0.35">
      <c r="C49" s="17"/>
    </row>
    <row r="50" spans="1:7" s="7" customFormat="1" outlineLevel="1" x14ac:dyDescent="0.35">
      <c r="A50" s="21" t="s">
        <v>87</v>
      </c>
      <c r="B50" s="21"/>
      <c r="C50" s="24"/>
      <c r="D50" s="21"/>
      <c r="E50" s="21"/>
      <c r="F50" s="21"/>
    </row>
    <row r="51" spans="1:7" outlineLevel="1" x14ac:dyDescent="0.35">
      <c r="A51" s="1" t="s">
        <v>88</v>
      </c>
      <c r="C51" s="95">
        <v>750</v>
      </c>
      <c r="D51" s="1" t="s">
        <v>66</v>
      </c>
      <c r="E51" s="1" t="s">
        <v>76</v>
      </c>
      <c r="G51" s="1" t="s">
        <v>164</v>
      </c>
    </row>
    <row r="52" spans="1:7" outlineLevel="1" x14ac:dyDescent="0.35">
      <c r="A52" s="1" t="s">
        <v>67</v>
      </c>
      <c r="B52" s="1" t="s">
        <v>364</v>
      </c>
      <c r="C52" s="15">
        <f>0.5*215.5*POWER((C34*C31)/1000,0.4828)</f>
        <v>183.13502859907661</v>
      </c>
      <c r="D52" s="1" t="s">
        <v>83</v>
      </c>
      <c r="E52" s="1" t="s">
        <v>150</v>
      </c>
      <c r="F52" s="1" t="s">
        <v>162</v>
      </c>
      <c r="G52" s="1" t="s">
        <v>161</v>
      </c>
    </row>
    <row r="53" spans="1:7" outlineLevel="1" x14ac:dyDescent="0.35">
      <c r="A53" s="1" t="s">
        <v>68</v>
      </c>
      <c r="B53" s="1" t="s">
        <v>364</v>
      </c>
      <c r="C53" s="15">
        <f>0.5*379.29*POWER((C34*C31)/1000,0.4739)</f>
        <v>319.18991390415192</v>
      </c>
      <c r="D53" s="1" t="s">
        <v>83</v>
      </c>
      <c r="E53" s="1" t="s">
        <v>150</v>
      </c>
      <c r="F53" s="1" t="s">
        <v>162</v>
      </c>
      <c r="G53" s="1" t="s">
        <v>161</v>
      </c>
    </row>
    <row r="54" spans="1:7" outlineLevel="1" x14ac:dyDescent="0.35">
      <c r="A54" s="1" t="s">
        <v>48</v>
      </c>
      <c r="C54" s="17">
        <v>0.01</v>
      </c>
      <c r="E54" s="1" t="s">
        <v>150</v>
      </c>
      <c r="F54" s="1" t="s">
        <v>149</v>
      </c>
    </row>
    <row r="55" spans="1:7" outlineLevel="1" x14ac:dyDescent="0.35">
      <c r="A55" s="1" t="s">
        <v>423</v>
      </c>
      <c r="B55" s="1" t="s">
        <v>422</v>
      </c>
      <c r="C55" s="99">
        <v>0.05</v>
      </c>
      <c r="E55" s="1" t="s">
        <v>414</v>
      </c>
    </row>
    <row r="56" spans="1:7" outlineLevel="1" x14ac:dyDescent="0.35">
      <c r="C56" s="15"/>
    </row>
    <row r="57" spans="1:7" s="7" customFormat="1" outlineLevel="1" x14ac:dyDescent="0.35">
      <c r="A57" s="104" t="s">
        <v>362</v>
      </c>
      <c r="B57" s="21"/>
      <c r="C57" s="22"/>
    </row>
    <row r="58" spans="1:7" outlineLevel="1" x14ac:dyDescent="0.35">
      <c r="A58" s="1" t="s">
        <v>366</v>
      </c>
      <c r="B58" s="1" t="s">
        <v>363</v>
      </c>
      <c r="C58" s="95">
        <f>950000</f>
        <v>950000</v>
      </c>
      <c r="D58" s="1" t="s">
        <v>89</v>
      </c>
      <c r="E58" s="1" t="s">
        <v>414</v>
      </c>
      <c r="F58" s="1" t="s">
        <v>160</v>
      </c>
    </row>
    <row r="59" spans="1:7" outlineLevel="1" x14ac:dyDescent="0.35">
      <c r="A59" s="1" t="s">
        <v>48</v>
      </c>
      <c r="C59" s="35">
        <v>3.5000000000000003E-2</v>
      </c>
      <c r="E59" s="1" t="s">
        <v>150</v>
      </c>
      <c r="F59" s="1" t="s">
        <v>149</v>
      </c>
    </row>
    <row r="60" spans="1:7" outlineLevel="1" x14ac:dyDescent="0.35">
      <c r="C60" s="15"/>
    </row>
    <row r="61" spans="1:7" s="7" customFormat="1" outlineLevel="1" x14ac:dyDescent="0.35">
      <c r="A61" s="104" t="s">
        <v>368</v>
      </c>
      <c r="B61" s="21"/>
      <c r="C61" s="22"/>
    </row>
    <row r="62" spans="1:7" outlineLevel="1" x14ac:dyDescent="0.35">
      <c r="A62" s="107" t="s">
        <v>185</v>
      </c>
      <c r="B62" s="1" t="s">
        <v>367</v>
      </c>
      <c r="C62" s="122">
        <v>8</v>
      </c>
      <c r="E62" s="1" t="s">
        <v>150</v>
      </c>
      <c r="F62" s="1" t="s">
        <v>184</v>
      </c>
    </row>
    <row r="63" spans="1:7" outlineLevel="1" x14ac:dyDescent="0.35">
      <c r="A63" s="16" t="s">
        <v>183</v>
      </c>
      <c r="B63" s="16"/>
      <c r="C63" s="18">
        <f>SUM(Energieprijzen!I9:N9)/3.6*1000</f>
        <v>29.722222222222225</v>
      </c>
      <c r="D63" s="1" t="s">
        <v>72</v>
      </c>
      <c r="E63" s="1" t="s">
        <v>150</v>
      </c>
      <c r="F63" s="1" t="s">
        <v>169</v>
      </c>
      <c r="G63" s="1" t="s">
        <v>170</v>
      </c>
    </row>
    <row r="64" spans="1:7" outlineLevel="1" x14ac:dyDescent="0.35">
      <c r="A64" s="16" t="s">
        <v>370</v>
      </c>
      <c r="B64" s="16"/>
      <c r="C64" s="43">
        <v>0.03</v>
      </c>
    </row>
    <row r="65" spans="1:7" outlineLevel="1" x14ac:dyDescent="0.35">
      <c r="A65" s="16" t="s">
        <v>402</v>
      </c>
      <c r="B65" s="16" t="s">
        <v>404</v>
      </c>
      <c r="C65" s="98">
        <v>0.3</v>
      </c>
      <c r="D65" s="1" t="s">
        <v>58</v>
      </c>
      <c r="E65" s="96" t="s">
        <v>344</v>
      </c>
      <c r="F65" s="1" t="s">
        <v>166</v>
      </c>
      <c r="G65" s="96" t="s">
        <v>421</v>
      </c>
    </row>
    <row r="66" spans="1:7" outlineLevel="1" x14ac:dyDescent="0.35">
      <c r="A66" s="16" t="s">
        <v>403</v>
      </c>
      <c r="B66" s="16" t="s">
        <v>405</v>
      </c>
      <c r="C66" s="98">
        <v>0.7</v>
      </c>
      <c r="D66" s="1" t="s">
        <v>418</v>
      </c>
      <c r="E66" s="96" t="s">
        <v>344</v>
      </c>
      <c r="F66" s="1" t="s">
        <v>166</v>
      </c>
      <c r="G66" s="96" t="s">
        <v>420</v>
      </c>
    </row>
    <row r="67" spans="1:7" outlineLevel="1" x14ac:dyDescent="0.35">
      <c r="A67" s="121" t="s">
        <v>92</v>
      </c>
      <c r="B67" s="16" t="s">
        <v>369</v>
      </c>
      <c r="C67" s="99">
        <v>0.15</v>
      </c>
      <c r="D67" s="1" t="s">
        <v>58</v>
      </c>
      <c r="E67" s="96" t="s">
        <v>344</v>
      </c>
      <c r="F67" s="1" t="s">
        <v>165</v>
      </c>
      <c r="G67" s="107" t="s">
        <v>378</v>
      </c>
    </row>
    <row r="68" spans="1:7" outlineLevel="1" x14ac:dyDescent="0.35">
      <c r="A68" s="16"/>
      <c r="B68" s="16"/>
      <c r="C68" s="18"/>
    </row>
    <row r="69" spans="1:7" s="7" customFormat="1" outlineLevel="1" x14ac:dyDescent="0.35">
      <c r="A69" s="21" t="s">
        <v>61</v>
      </c>
      <c r="B69" s="21"/>
      <c r="C69" s="22"/>
    </row>
    <row r="70" spans="1:7" outlineLevel="1" x14ac:dyDescent="0.35">
      <c r="A70" s="1" t="s">
        <v>62</v>
      </c>
      <c r="B70" s="1" t="s">
        <v>371</v>
      </c>
      <c r="C70" s="15">
        <v>250</v>
      </c>
      <c r="D70" s="1" t="s">
        <v>63</v>
      </c>
      <c r="E70" s="1" t="s">
        <v>150</v>
      </c>
      <c r="F70" s="1" t="s">
        <v>179</v>
      </c>
      <c r="G70" s="96" t="s">
        <v>339</v>
      </c>
    </row>
    <row r="71" spans="1:7" outlineLevel="1" x14ac:dyDescent="0.35">
      <c r="A71" s="1" t="s">
        <v>377</v>
      </c>
      <c r="C71" s="17">
        <v>0.05</v>
      </c>
      <c r="E71" s="1" t="s">
        <v>150</v>
      </c>
      <c r="F71" s="1" t="s">
        <v>179</v>
      </c>
    </row>
    <row r="72" spans="1:7" outlineLevel="1" x14ac:dyDescent="0.35">
      <c r="A72" s="100" t="s">
        <v>416</v>
      </c>
      <c r="B72" s="16" t="s">
        <v>406</v>
      </c>
      <c r="C72" s="105">
        <f>C76*C77+C65*C63/C62</f>
        <v>1.3820833333333336</v>
      </c>
      <c r="D72" s="1" t="s">
        <v>65</v>
      </c>
      <c r="E72" s="1" t="s">
        <v>150</v>
      </c>
      <c r="F72" s="1" t="s">
        <v>168</v>
      </c>
      <c r="G72" s="1" t="s">
        <v>181</v>
      </c>
    </row>
    <row r="73" spans="1:7" outlineLevel="1" x14ac:dyDescent="0.35"/>
    <row r="74" spans="1:7" s="7" customFormat="1" outlineLevel="1" x14ac:dyDescent="0.35">
      <c r="A74" s="21" t="s">
        <v>69</v>
      </c>
      <c r="B74" s="21"/>
      <c r="C74" s="22"/>
    </row>
    <row r="75" spans="1:7" outlineLevel="1" x14ac:dyDescent="0.35">
      <c r="A75" s="1" t="s">
        <v>94</v>
      </c>
      <c r="C75" s="19">
        <v>2.5</v>
      </c>
      <c r="D75" s="1" t="s">
        <v>70</v>
      </c>
      <c r="E75" s="1" t="s">
        <v>150</v>
      </c>
      <c r="F75" s="1" t="s">
        <v>168</v>
      </c>
    </row>
    <row r="76" spans="1:7" outlineLevel="1" x14ac:dyDescent="0.35">
      <c r="A76" s="1" t="s">
        <v>182</v>
      </c>
      <c r="C76" s="20">
        <f>C75*3.6/1000</f>
        <v>8.9999999999999993E-3</v>
      </c>
      <c r="D76" s="1" t="s">
        <v>71</v>
      </c>
    </row>
    <row r="77" spans="1:7" outlineLevel="1" x14ac:dyDescent="0.35">
      <c r="A77" s="1" t="s">
        <v>183</v>
      </c>
      <c r="C77" s="18">
        <f>SUM(Energieprijzen!I9:N9)/3.6*1000</f>
        <v>29.722222222222225</v>
      </c>
      <c r="D77" s="1" t="s">
        <v>72</v>
      </c>
      <c r="E77" s="1" t="s">
        <v>150</v>
      </c>
      <c r="F77" s="1" t="s">
        <v>171</v>
      </c>
      <c r="G77" s="1" t="s">
        <v>180</v>
      </c>
    </row>
    <row r="78" spans="1:7" outlineLevel="1" x14ac:dyDescent="0.35"/>
    <row r="79" spans="1:7" s="7" customFormat="1" outlineLevel="1" x14ac:dyDescent="0.35">
      <c r="A79" s="21" t="s">
        <v>127</v>
      </c>
      <c r="B79" s="21"/>
      <c r="C79" s="31"/>
      <c r="D79" s="21"/>
      <c r="E79" s="21"/>
    </row>
    <row r="80" spans="1:7" outlineLevel="1" x14ac:dyDescent="0.35">
      <c r="A80" s="1" t="s">
        <v>128</v>
      </c>
      <c r="C80" s="32">
        <v>30</v>
      </c>
      <c r="D80" s="16" t="s">
        <v>203</v>
      </c>
      <c r="E80" s="1" t="s">
        <v>150</v>
      </c>
      <c r="F80" s="1" t="s">
        <v>189</v>
      </c>
    </row>
    <row r="81" spans="1:8" outlineLevel="1" x14ac:dyDescent="0.35">
      <c r="A81" s="1" t="s">
        <v>233</v>
      </c>
      <c r="C81" s="33">
        <v>0.06</v>
      </c>
      <c r="D81" s="4"/>
      <c r="E81" s="1" t="s">
        <v>150</v>
      </c>
      <c r="F81" s="1" t="s">
        <v>186</v>
      </c>
    </row>
    <row r="82" spans="1:8" outlineLevel="1" x14ac:dyDescent="0.35">
      <c r="C82" s="23"/>
      <c r="D82" s="4"/>
      <c r="E82" s="4"/>
    </row>
    <row r="83" spans="1:8" s="10" customFormat="1" x14ac:dyDescent="0.35">
      <c r="A83" s="12" t="s">
        <v>114</v>
      </c>
      <c r="B83" s="12"/>
      <c r="C83" s="11"/>
      <c r="H83" s="11"/>
    </row>
    <row r="84" spans="1:8" x14ac:dyDescent="0.35">
      <c r="C84" s="23" t="s">
        <v>27</v>
      </c>
      <c r="D84" s="4" t="s">
        <v>28</v>
      </c>
      <c r="E84" s="4" t="s">
        <v>73</v>
      </c>
      <c r="F84" s="4" t="s">
        <v>142</v>
      </c>
      <c r="G84" s="4" t="s">
        <v>143</v>
      </c>
    </row>
    <row r="85" spans="1:8" s="8" customFormat="1" x14ac:dyDescent="0.35">
      <c r="A85" s="8" t="s">
        <v>25</v>
      </c>
    </row>
    <row r="86" spans="1:8" x14ac:dyDescent="0.35">
      <c r="A86" s="1" t="s">
        <v>64</v>
      </c>
      <c r="B86" s="1" t="s">
        <v>374</v>
      </c>
      <c r="C86" s="15">
        <f>C70*C35/((1-C23)*(1-C55))</f>
        <v>831024.93074792251</v>
      </c>
      <c r="D86" s="1" t="s">
        <v>46</v>
      </c>
      <c r="E86" s="36"/>
    </row>
    <row r="87" spans="1:8" x14ac:dyDescent="0.35">
      <c r="A87" s="96" t="s">
        <v>365</v>
      </c>
      <c r="B87" s="1" t="s">
        <v>373</v>
      </c>
      <c r="C87" s="95">
        <f>C66*C58*C35/1000</f>
        <v>1995000</v>
      </c>
      <c r="D87" s="1" t="s">
        <v>46</v>
      </c>
    </row>
    <row r="88" spans="1:8" x14ac:dyDescent="0.35">
      <c r="A88" s="96" t="s">
        <v>384</v>
      </c>
      <c r="B88" s="1" t="s">
        <v>385</v>
      </c>
      <c r="C88" s="95">
        <v>100000</v>
      </c>
      <c r="D88" s="1" t="s">
        <v>46</v>
      </c>
      <c r="E88" s="1" t="s">
        <v>76</v>
      </c>
    </row>
    <row r="90" spans="1:8" s="8" customFormat="1" x14ac:dyDescent="0.35">
      <c r="A90" s="8" t="s">
        <v>95</v>
      </c>
    </row>
    <row r="91" spans="1:8" x14ac:dyDescent="0.35">
      <c r="A91" s="3" t="s">
        <v>87</v>
      </c>
      <c r="B91" s="3"/>
      <c r="C91" s="15"/>
    </row>
    <row r="92" spans="1:8" x14ac:dyDescent="0.35">
      <c r="A92" s="1" t="s">
        <v>67</v>
      </c>
      <c r="C92" s="15">
        <f>C51*C52</f>
        <v>137351.27144930745</v>
      </c>
      <c r="D92" s="1" t="s">
        <v>46</v>
      </c>
    </row>
    <row r="93" spans="1:8" x14ac:dyDescent="0.35">
      <c r="A93" s="1" t="s">
        <v>68</v>
      </c>
      <c r="C93" s="15">
        <f>C51*C53</f>
        <v>239392.43542811394</v>
      </c>
      <c r="D93" s="1" t="s">
        <v>46</v>
      </c>
    </row>
    <row r="94" spans="1:8" x14ac:dyDescent="0.35">
      <c r="A94" s="1" t="s">
        <v>107</v>
      </c>
      <c r="C94" s="15">
        <f>AVERAGE(C92:C93)</f>
        <v>188371.85343871068</v>
      </c>
      <c r="D94" s="1" t="s">
        <v>46</v>
      </c>
    </row>
    <row r="95" spans="1:8" x14ac:dyDescent="0.35">
      <c r="A95" s="3" t="s">
        <v>52</v>
      </c>
      <c r="B95" s="3"/>
      <c r="C95" s="15"/>
    </row>
    <row r="96" spans="1:8" x14ac:dyDescent="0.35">
      <c r="A96" s="1" t="s">
        <v>96</v>
      </c>
      <c r="C96" s="15">
        <f>C41*C42</f>
        <v>579123.80973315728</v>
      </c>
      <c r="D96" s="1" t="s">
        <v>46</v>
      </c>
    </row>
    <row r="97" spans="1:4" x14ac:dyDescent="0.35">
      <c r="A97" s="1" t="s">
        <v>97</v>
      </c>
      <c r="C97" s="15">
        <f>C41*C43</f>
        <v>1009367.1340901681</v>
      </c>
      <c r="D97" s="1" t="s">
        <v>46</v>
      </c>
    </row>
    <row r="98" spans="1:4" x14ac:dyDescent="0.35">
      <c r="A98" s="1" t="s">
        <v>100</v>
      </c>
      <c r="C98" s="15">
        <f>AVERAGE(C96:C97)</f>
        <v>794245.47191166272</v>
      </c>
      <c r="D98" s="1" t="s">
        <v>46</v>
      </c>
    </row>
    <row r="99" spans="1:4" x14ac:dyDescent="0.35">
      <c r="A99" s="1" t="s">
        <v>98</v>
      </c>
      <c r="C99" s="15">
        <f>C45*C46</f>
        <v>208016.95408323998</v>
      </c>
      <c r="D99" s="1" t="s">
        <v>46</v>
      </c>
    </row>
    <row r="100" spans="1:4" x14ac:dyDescent="0.35">
      <c r="A100" s="1" t="s">
        <v>99</v>
      </c>
      <c r="C100" s="15">
        <f>C45*C47</f>
        <v>367787.78803802707</v>
      </c>
      <c r="D100" s="1" t="s">
        <v>46</v>
      </c>
    </row>
    <row r="101" spans="1:4" x14ac:dyDescent="0.35">
      <c r="A101" s="1" t="s">
        <v>101</v>
      </c>
      <c r="C101" s="15">
        <f>AVERAGE(C99:C100)</f>
        <v>287902.37106063351</v>
      </c>
      <c r="D101" s="1" t="s">
        <v>46</v>
      </c>
    </row>
    <row r="102" spans="1:4" x14ac:dyDescent="0.35">
      <c r="A102" s="3" t="s">
        <v>49</v>
      </c>
      <c r="B102" s="3"/>
      <c r="C102" s="15"/>
    </row>
    <row r="103" spans="1:4" x14ac:dyDescent="0.35">
      <c r="A103" s="1" t="s">
        <v>104</v>
      </c>
      <c r="C103" s="15">
        <f>C35*C32</f>
        <v>300000</v>
      </c>
      <c r="D103" s="1" t="s">
        <v>46</v>
      </c>
    </row>
    <row r="104" spans="1:4" x14ac:dyDescent="0.35">
      <c r="A104" s="3" t="s">
        <v>105</v>
      </c>
      <c r="B104" s="3"/>
      <c r="C104" s="15"/>
    </row>
    <row r="105" spans="1:4" x14ac:dyDescent="0.35">
      <c r="A105" s="1" t="s">
        <v>106</v>
      </c>
      <c r="C105" s="15">
        <f>C15*C26+C16*C27+SUMPRODUCT('Invoer woningen en utiliteit'!D4:D8,'Invoer woningen en utiliteit'!L4:L8)</f>
        <v>24200000</v>
      </c>
      <c r="D105" s="1" t="s">
        <v>46</v>
      </c>
    </row>
    <row r="106" spans="1:4" x14ac:dyDescent="0.35">
      <c r="C106" s="15"/>
    </row>
    <row r="107" spans="1:4" s="8" customFormat="1" x14ac:dyDescent="0.35">
      <c r="A107" s="8" t="s">
        <v>109</v>
      </c>
      <c r="C107" s="25"/>
    </row>
    <row r="108" spans="1:4" x14ac:dyDescent="0.35">
      <c r="A108" s="1" t="s">
        <v>110</v>
      </c>
      <c r="C108" s="15">
        <f>C86+C92+C96+C99+C87+C103+C105+C88</f>
        <v>28350516.966013625</v>
      </c>
      <c r="D108" s="1" t="s">
        <v>46</v>
      </c>
    </row>
    <row r="109" spans="1:4" x14ac:dyDescent="0.35">
      <c r="A109" s="1" t="s">
        <v>111</v>
      </c>
      <c r="C109" s="15">
        <f>C86+C93+C97+C100+C87+C103+C105+C88</f>
        <v>29042572.288304232</v>
      </c>
      <c r="D109" s="1" t="s">
        <v>46</v>
      </c>
    </row>
    <row r="110" spans="1:4" x14ac:dyDescent="0.35">
      <c r="A110" s="1" t="s">
        <v>112</v>
      </c>
      <c r="C110" s="15">
        <f>C86+C94+C98+C101+C87+C103+C105+C88</f>
        <v>28696544.627158929</v>
      </c>
      <c r="D110" s="1" t="s">
        <v>46</v>
      </c>
    </row>
    <row r="111" spans="1:4" x14ac:dyDescent="0.35">
      <c r="A111" s="1" t="s">
        <v>130</v>
      </c>
      <c r="C111" s="15">
        <f>-PMT(C81,C80,C110,0,1)</f>
        <v>1966766.7270647727</v>
      </c>
      <c r="D111" s="1" t="s">
        <v>47</v>
      </c>
    </row>
    <row r="112" spans="1:4" x14ac:dyDescent="0.35">
      <c r="A112" s="1" t="s">
        <v>129</v>
      </c>
      <c r="C112" s="18">
        <f>C111/C24</f>
        <v>39.828378328391111</v>
      </c>
      <c r="D112" s="1" t="s">
        <v>65</v>
      </c>
    </row>
    <row r="113" spans="1:7" x14ac:dyDescent="0.35">
      <c r="C113" s="15"/>
    </row>
    <row r="114" spans="1:7" s="30" customFormat="1" x14ac:dyDescent="0.35">
      <c r="A114" s="28" t="s">
        <v>113</v>
      </c>
      <c r="B114" s="28"/>
      <c r="C114" s="29"/>
    </row>
    <row r="115" spans="1:7" x14ac:dyDescent="0.35">
      <c r="C115" s="23" t="s">
        <v>27</v>
      </c>
      <c r="D115" s="4" t="s">
        <v>28</v>
      </c>
      <c r="E115" s="4" t="s">
        <v>73</v>
      </c>
      <c r="F115" s="4" t="s">
        <v>142</v>
      </c>
      <c r="G115" s="4" t="s">
        <v>143</v>
      </c>
    </row>
    <row r="116" spans="1:7" s="27" customFormat="1" x14ac:dyDescent="0.35">
      <c r="A116" s="27" t="s">
        <v>74</v>
      </c>
      <c r="C116" s="26"/>
    </row>
    <row r="117" spans="1:7" x14ac:dyDescent="0.35">
      <c r="A117" s="96" t="s">
        <v>408</v>
      </c>
      <c r="B117" s="96"/>
      <c r="C117" s="105">
        <f>SUM(Energieprijzen!C9:H9)/3.6*1000</f>
        <v>58.333333333333336</v>
      </c>
      <c r="D117" s="96" t="s">
        <v>409</v>
      </c>
    </row>
    <row r="118" spans="1:7" x14ac:dyDescent="0.35">
      <c r="A118" s="96" t="s">
        <v>411</v>
      </c>
      <c r="B118" s="96" t="s">
        <v>407</v>
      </c>
      <c r="C118" s="95">
        <f>C117*(SUMPRODUCT('Invoer woningen en utiliteit'!D4:D8,'Invoer woningen en utiliteit'!S4:S8))</f>
        <v>911106.02388006111</v>
      </c>
      <c r="D118" s="96" t="s">
        <v>47</v>
      </c>
    </row>
    <row r="119" spans="1:7" x14ac:dyDescent="0.35">
      <c r="C119" s="15"/>
    </row>
    <row r="120" spans="1:7" s="27" customFormat="1" x14ac:dyDescent="0.35">
      <c r="A120" s="27" t="s">
        <v>25</v>
      </c>
      <c r="C120" s="26"/>
    </row>
    <row r="121" spans="1:7" x14ac:dyDescent="0.35">
      <c r="A121" s="1" t="s">
        <v>116</v>
      </c>
      <c r="C121" s="15">
        <f>C71*C86</f>
        <v>41551.246537396131</v>
      </c>
      <c r="D121" s="1" t="s">
        <v>47</v>
      </c>
    </row>
    <row r="122" spans="1:7" x14ac:dyDescent="0.35">
      <c r="A122" s="1" t="s">
        <v>380</v>
      </c>
      <c r="C122" s="95">
        <f>C24*1/(1-C67)*C72</f>
        <v>80292.602118682116</v>
      </c>
      <c r="D122" s="1" t="s">
        <v>47</v>
      </c>
      <c r="E122" s="1" t="s">
        <v>150</v>
      </c>
      <c r="F122" s="1" t="s">
        <v>165</v>
      </c>
    </row>
    <row r="123" spans="1:7" x14ac:dyDescent="0.35">
      <c r="C123" s="95"/>
    </row>
    <row r="124" spans="1:7" x14ac:dyDescent="0.35">
      <c r="C124" s="15"/>
    </row>
    <row r="125" spans="1:7" s="27" customFormat="1" x14ac:dyDescent="0.35">
      <c r="A125" s="27" t="s">
        <v>95</v>
      </c>
      <c r="C125" s="26"/>
    </row>
    <row r="126" spans="1:7" x14ac:dyDescent="0.35">
      <c r="A126" s="1" t="s">
        <v>117</v>
      </c>
      <c r="C126" s="15">
        <f>C94*C54</f>
        <v>1883.7185343871067</v>
      </c>
      <c r="D126" s="1" t="s">
        <v>47</v>
      </c>
    </row>
    <row r="127" spans="1:7" x14ac:dyDescent="0.35">
      <c r="A127" s="1" t="s">
        <v>118</v>
      </c>
      <c r="C127" s="15">
        <f>C98*C48</f>
        <v>7942.4547191166275</v>
      </c>
      <c r="D127" s="1" t="s">
        <v>47</v>
      </c>
    </row>
    <row r="128" spans="1:7" x14ac:dyDescent="0.35">
      <c r="A128" s="1" t="s">
        <v>119</v>
      </c>
      <c r="C128" s="15">
        <f>C101*C48</f>
        <v>2879.023710606335</v>
      </c>
      <c r="D128" s="1" t="s">
        <v>47</v>
      </c>
    </row>
    <row r="129" spans="1:7" x14ac:dyDescent="0.35">
      <c r="A129" s="1" t="s">
        <v>120</v>
      </c>
      <c r="C129" s="15">
        <f>C87*C59</f>
        <v>69825</v>
      </c>
      <c r="D129" s="1" t="s">
        <v>47</v>
      </c>
    </row>
    <row r="130" spans="1:7" x14ac:dyDescent="0.35">
      <c r="A130" s="1" t="s">
        <v>121</v>
      </c>
      <c r="C130" s="15">
        <f>C103*C36</f>
        <v>9000</v>
      </c>
      <c r="D130" s="1" t="s">
        <v>47</v>
      </c>
    </row>
    <row r="131" spans="1:7" x14ac:dyDescent="0.35">
      <c r="A131" s="1" t="s">
        <v>122</v>
      </c>
      <c r="C131" s="15">
        <f>C105*C28</f>
        <v>605000</v>
      </c>
      <c r="D131" s="1" t="s">
        <v>47</v>
      </c>
    </row>
    <row r="132" spans="1:7" x14ac:dyDescent="0.35">
      <c r="A132" s="1" t="s">
        <v>131</v>
      </c>
      <c r="C132" s="15">
        <f>C77*C76*C24</f>
        <v>13209.428090492864</v>
      </c>
      <c r="D132" s="1" t="s">
        <v>47</v>
      </c>
      <c r="G132" s="96" t="s">
        <v>381</v>
      </c>
    </row>
    <row r="133" spans="1:7" x14ac:dyDescent="0.35">
      <c r="C133" s="15"/>
    </row>
    <row r="134" spans="1:7" s="27" customFormat="1" x14ac:dyDescent="0.35">
      <c r="A134" s="27" t="s">
        <v>124</v>
      </c>
      <c r="C134" s="26"/>
    </row>
    <row r="135" spans="1:7" x14ac:dyDescent="0.35">
      <c r="A135" s="1" t="s">
        <v>440</v>
      </c>
      <c r="C135" s="15">
        <f>SUM(C121:C123)+SUM(C126:C132)</f>
        <v>831583.47371068108</v>
      </c>
      <c r="D135" s="1" t="s">
        <v>47</v>
      </c>
    </row>
    <row r="136" spans="1:7" x14ac:dyDescent="0.35">
      <c r="A136" s="1" t="s">
        <v>442</v>
      </c>
      <c r="C136" s="15">
        <f>C24</f>
        <v>49381.039590627523</v>
      </c>
      <c r="D136" s="1" t="s">
        <v>40</v>
      </c>
    </row>
    <row r="137" spans="1:7" x14ac:dyDescent="0.35">
      <c r="A137" s="1" t="s">
        <v>441</v>
      </c>
      <c r="C137" s="15">
        <f>C118</f>
        <v>911106.02388006111</v>
      </c>
      <c r="D137" s="1" t="s">
        <v>47</v>
      </c>
    </row>
    <row r="138" spans="1:7" x14ac:dyDescent="0.35">
      <c r="A138" s="1" t="s">
        <v>443</v>
      </c>
      <c r="C138" s="15">
        <f>SUMPRODUCT('Invoer woningen en utiliteit'!D4:D8,'Invoer woningen en utiliteit'!I4:I8)+SUMPRODUCT('Invoer woningen en utiliteit'!D4:D8,'Invoer woningen en utiliteit'!J4:J8)</f>
        <v>65000</v>
      </c>
      <c r="D138" s="1" t="s">
        <v>40</v>
      </c>
    </row>
    <row r="139" spans="1:7" x14ac:dyDescent="0.35">
      <c r="A139" s="1" t="s">
        <v>124</v>
      </c>
      <c r="C139" s="15">
        <f>SUM(C121:C123)+SUM(C126:C132)+C118</f>
        <v>1742689.4975907421</v>
      </c>
      <c r="D139" s="1" t="s">
        <v>47</v>
      </c>
    </row>
    <row r="140" spans="1:7" x14ac:dyDescent="0.35">
      <c r="A140" s="1" t="s">
        <v>444</v>
      </c>
      <c r="C140" s="155">
        <f>C135/C136</f>
        <v>16.840137036493555</v>
      </c>
      <c r="D140" s="1" t="s">
        <v>65</v>
      </c>
    </row>
    <row r="141" spans="1:7" x14ac:dyDescent="0.35">
      <c r="A141" s="1" t="s">
        <v>445</v>
      </c>
      <c r="C141" s="155">
        <f>C137/C138</f>
        <v>14.01701575200094</v>
      </c>
      <c r="D141" s="1" t="s">
        <v>65</v>
      </c>
    </row>
    <row r="142" spans="1:7" x14ac:dyDescent="0.35">
      <c r="C142" s="15"/>
    </row>
    <row r="143" spans="1:7" s="39" customFormat="1" x14ac:dyDescent="0.35">
      <c r="A143" s="37" t="s">
        <v>174</v>
      </c>
      <c r="B143" s="37"/>
      <c r="C143" s="38"/>
    </row>
    <row r="144" spans="1:7" x14ac:dyDescent="0.35">
      <c r="C144" s="23" t="s">
        <v>27</v>
      </c>
      <c r="D144" s="4" t="s">
        <v>28</v>
      </c>
    </row>
    <row r="145" spans="1:5" x14ac:dyDescent="0.35">
      <c r="A145" s="1" t="s">
        <v>175</v>
      </c>
      <c r="C145" s="15">
        <f>C110/(C15+C16)</f>
        <v>14348.272313579464</v>
      </c>
      <c r="D145" s="1" t="s">
        <v>46</v>
      </c>
      <c r="E145" s="96" t="s">
        <v>438</v>
      </c>
    </row>
    <row r="146" spans="1:5" x14ac:dyDescent="0.35">
      <c r="A146" s="16" t="s">
        <v>176</v>
      </c>
      <c r="B146" s="16"/>
      <c r="C146" s="15">
        <f>C139/(C15+C16)</f>
        <v>871.34474879537106</v>
      </c>
      <c r="D146" s="1" t="s">
        <v>177</v>
      </c>
    </row>
    <row r="147" spans="1:5" x14ac:dyDescent="0.35">
      <c r="A147" s="16"/>
      <c r="B147" s="16"/>
      <c r="C147" s="15"/>
    </row>
    <row r="148" spans="1:5" x14ac:dyDescent="0.35">
      <c r="C148" s="15"/>
    </row>
    <row r="149" spans="1:5" x14ac:dyDescent="0.35">
      <c r="C149" s="15"/>
    </row>
    <row r="150" spans="1:5" x14ac:dyDescent="0.35">
      <c r="C150" s="15"/>
    </row>
    <row r="151" spans="1:5" x14ac:dyDescent="0.35">
      <c r="C151" s="15"/>
    </row>
    <row r="152" spans="1:5" x14ac:dyDescent="0.35">
      <c r="C152" s="15"/>
    </row>
    <row r="153" spans="1:5" x14ac:dyDescent="0.35">
      <c r="C153" s="15"/>
    </row>
    <row r="154" spans="1:5" x14ac:dyDescent="0.35">
      <c r="C154" s="15"/>
    </row>
    <row r="155" spans="1:5" x14ac:dyDescent="0.35">
      <c r="C155" s="15"/>
    </row>
    <row r="156" spans="1:5" x14ac:dyDescent="0.35">
      <c r="C156" s="15"/>
    </row>
    <row r="157" spans="1:5" x14ac:dyDescent="0.35">
      <c r="C157" s="15"/>
    </row>
    <row r="158" spans="1:5" x14ac:dyDescent="0.35">
      <c r="C158" s="15"/>
    </row>
    <row r="159" spans="1:5" x14ac:dyDescent="0.35">
      <c r="C159" s="15"/>
    </row>
    <row r="160" spans="1:5" x14ac:dyDescent="0.35">
      <c r="C160" s="15"/>
    </row>
    <row r="161" spans="3:3" x14ac:dyDescent="0.35">
      <c r="C161" s="15"/>
    </row>
    <row r="162" spans="3:3" x14ac:dyDescent="0.35">
      <c r="C162" s="15"/>
    </row>
    <row r="163" spans="3:3" x14ac:dyDescent="0.35">
      <c r="C163" s="15"/>
    </row>
    <row r="164" spans="3:3" x14ac:dyDescent="0.35">
      <c r="C164" s="15"/>
    </row>
    <row r="165" spans="3:3" x14ac:dyDescent="0.35">
      <c r="C165" s="15"/>
    </row>
    <row r="166" spans="3:3" x14ac:dyDescent="0.35">
      <c r="C166" s="15"/>
    </row>
    <row r="167" spans="3:3" x14ac:dyDescent="0.35">
      <c r="C167" s="15"/>
    </row>
    <row r="168" spans="3:3" x14ac:dyDescent="0.35">
      <c r="C168" s="15"/>
    </row>
    <row r="169" spans="3:3" x14ac:dyDescent="0.35">
      <c r="C169" s="15"/>
    </row>
    <row r="170" spans="3:3" x14ac:dyDescent="0.35">
      <c r="C170" s="15"/>
    </row>
    <row r="171" spans="3:3" x14ac:dyDescent="0.35">
      <c r="C171" s="15"/>
    </row>
    <row r="172" spans="3:3" x14ac:dyDescent="0.35">
      <c r="C172" s="15"/>
    </row>
    <row r="173" spans="3:3" x14ac:dyDescent="0.35">
      <c r="C173" s="15"/>
    </row>
    <row r="174" spans="3:3" x14ac:dyDescent="0.35">
      <c r="C174" s="15"/>
    </row>
    <row r="175" spans="3:3" x14ac:dyDescent="0.35">
      <c r="C175" s="15"/>
    </row>
    <row r="176" spans="3:3" x14ac:dyDescent="0.35">
      <c r="C176" s="15"/>
    </row>
    <row r="177" spans="3:3" x14ac:dyDescent="0.35">
      <c r="C177" s="15"/>
    </row>
    <row r="178" spans="3:3" x14ac:dyDescent="0.35">
      <c r="C178" s="15"/>
    </row>
    <row r="179" spans="3:3" x14ac:dyDescent="0.35">
      <c r="C179" s="15"/>
    </row>
    <row r="180" spans="3:3" x14ac:dyDescent="0.35">
      <c r="C180" s="15"/>
    </row>
    <row r="181" spans="3:3" x14ac:dyDescent="0.35">
      <c r="C181" s="15"/>
    </row>
    <row r="182" spans="3:3" x14ac:dyDescent="0.35">
      <c r="C182" s="15"/>
    </row>
    <row r="183" spans="3:3" x14ac:dyDescent="0.35">
      <c r="C183" s="15"/>
    </row>
    <row r="184" spans="3:3" x14ac:dyDescent="0.35">
      <c r="C184" s="15"/>
    </row>
    <row r="185" spans="3:3" x14ac:dyDescent="0.35">
      <c r="C185" s="15"/>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1"/>
  <sheetViews>
    <sheetView zoomScale="60" zoomScaleNormal="60" workbookViewId="0">
      <selection activeCell="B81" sqref="B81"/>
    </sheetView>
  </sheetViews>
  <sheetFormatPr defaultColWidth="9.1796875" defaultRowHeight="14.5" outlineLevelRow="1" x14ac:dyDescent="0.35"/>
  <cols>
    <col min="1" max="1" width="72.81640625" style="1" bestFit="1" customWidth="1"/>
    <col min="2" max="2" width="12.54296875" style="1" bestFit="1" customWidth="1"/>
    <col min="3" max="3" width="31.81640625" style="1" customWidth="1"/>
    <col min="4" max="4" width="42.7265625" style="1" customWidth="1"/>
    <col min="5" max="16384" width="9.1796875" style="1"/>
  </cols>
  <sheetData>
    <row r="1" spans="1:1" ht="21" x14ac:dyDescent="0.5">
      <c r="A1" s="2" t="s">
        <v>24</v>
      </c>
    </row>
    <row r="3" spans="1:1" x14ac:dyDescent="0.35">
      <c r="A3" s="4"/>
    </row>
    <row r="17" spans="1:6" s="9" customFormat="1" x14ac:dyDescent="0.35">
      <c r="A17" s="14" t="s">
        <v>29</v>
      </c>
    </row>
    <row r="18" spans="1:6" outlineLevel="1" x14ac:dyDescent="0.35">
      <c r="B18" s="23" t="s">
        <v>27</v>
      </c>
      <c r="C18" s="4" t="s">
        <v>28</v>
      </c>
      <c r="D18" s="4" t="s">
        <v>73</v>
      </c>
      <c r="E18" s="4" t="s">
        <v>142</v>
      </c>
      <c r="F18" s="4" t="s">
        <v>143</v>
      </c>
    </row>
    <row r="19" spans="1:6" s="7" customFormat="1" outlineLevel="1" x14ac:dyDescent="0.35">
      <c r="A19" s="21" t="s">
        <v>133</v>
      </c>
      <c r="B19" s="22"/>
    </row>
    <row r="20" spans="1:6" outlineLevel="1" x14ac:dyDescent="0.35">
      <c r="A20" s="1" t="s">
        <v>134</v>
      </c>
      <c r="B20" s="42" t="s">
        <v>190</v>
      </c>
      <c r="D20" s="1" t="s">
        <v>191</v>
      </c>
      <c r="E20" s="1" t="s">
        <v>189</v>
      </c>
    </row>
    <row r="21" spans="1:6" outlineLevel="1" x14ac:dyDescent="0.35">
      <c r="A21" s="1" t="s">
        <v>135</v>
      </c>
      <c r="B21" s="42" t="s">
        <v>192</v>
      </c>
      <c r="D21" s="1" t="s">
        <v>191</v>
      </c>
      <c r="E21" s="1" t="s">
        <v>189</v>
      </c>
    </row>
    <row r="22" spans="1:6" outlineLevel="1" x14ac:dyDescent="0.35">
      <c r="A22" s="1" t="s">
        <v>136</v>
      </c>
      <c r="B22" s="42" t="s">
        <v>137</v>
      </c>
      <c r="D22" s="1" t="s">
        <v>191</v>
      </c>
      <c r="E22" s="1" t="s">
        <v>189</v>
      </c>
    </row>
    <row r="23" spans="1:6" outlineLevel="1" x14ac:dyDescent="0.35">
      <c r="A23" s="1" t="s">
        <v>193</v>
      </c>
      <c r="B23" s="15">
        <v>62</v>
      </c>
      <c r="C23" s="1" t="s">
        <v>138</v>
      </c>
      <c r="D23" s="1" t="s">
        <v>191</v>
      </c>
      <c r="E23" s="1" t="s">
        <v>195</v>
      </c>
      <c r="F23" s="1" t="s">
        <v>197</v>
      </c>
    </row>
    <row r="24" spans="1:6" outlineLevel="1" x14ac:dyDescent="0.35">
      <c r="A24" s="1" t="s">
        <v>194</v>
      </c>
      <c r="B24" s="15">
        <v>6.3</v>
      </c>
      <c r="C24" s="1" t="s">
        <v>138</v>
      </c>
      <c r="D24" s="1" t="s">
        <v>191</v>
      </c>
      <c r="E24" s="1" t="s">
        <v>196</v>
      </c>
      <c r="F24" s="1" t="s">
        <v>197</v>
      </c>
    </row>
    <row r="25" spans="1:6" outlineLevel="1" x14ac:dyDescent="0.35">
      <c r="A25" s="1" t="s">
        <v>220</v>
      </c>
      <c r="B25" s="15">
        <f>B23/B33</f>
        <v>59.615384615384613</v>
      </c>
      <c r="C25" s="1" t="s">
        <v>138</v>
      </c>
    </row>
    <row r="26" spans="1:6" outlineLevel="1" x14ac:dyDescent="0.35">
      <c r="A26" s="1" t="s">
        <v>221</v>
      </c>
      <c r="B26" s="15">
        <f>B24/B34</f>
        <v>8.75</v>
      </c>
      <c r="C26" s="1" t="s">
        <v>138</v>
      </c>
    </row>
    <row r="27" spans="1:6" outlineLevel="1" x14ac:dyDescent="0.35">
      <c r="A27" s="96" t="s">
        <v>348</v>
      </c>
      <c r="B27" s="95">
        <v>285</v>
      </c>
      <c r="C27" s="96" t="s">
        <v>349</v>
      </c>
      <c r="D27" s="96" t="s">
        <v>350</v>
      </c>
    </row>
    <row r="28" spans="1:6" outlineLevel="1" x14ac:dyDescent="0.35">
      <c r="A28" s="96" t="s">
        <v>348</v>
      </c>
      <c r="B28" s="103">
        <f>B27*3.6/1000</f>
        <v>1.026</v>
      </c>
      <c r="C28" s="96" t="s">
        <v>138</v>
      </c>
      <c r="D28" s="96" t="s">
        <v>350</v>
      </c>
    </row>
    <row r="29" spans="1:6" outlineLevel="1" x14ac:dyDescent="0.35">
      <c r="B29" s="15"/>
    </row>
    <row r="30" spans="1:6" s="7" customFormat="1" outlineLevel="1" x14ac:dyDescent="0.35">
      <c r="A30" s="21" t="s">
        <v>198</v>
      </c>
      <c r="B30" s="22"/>
    </row>
    <row r="31" spans="1:6" outlineLevel="1" x14ac:dyDescent="0.35">
      <c r="A31" s="16" t="s">
        <v>199</v>
      </c>
      <c r="B31" s="95">
        <v>2284</v>
      </c>
      <c r="C31" s="1" t="s">
        <v>46</v>
      </c>
      <c r="D31" s="96" t="s">
        <v>211</v>
      </c>
    </row>
    <row r="32" spans="1:6" outlineLevel="1" x14ac:dyDescent="0.35">
      <c r="A32" s="16" t="s">
        <v>209</v>
      </c>
      <c r="B32" s="97">
        <v>0.06</v>
      </c>
      <c r="D32" s="96" t="s">
        <v>211</v>
      </c>
      <c r="F32" s="96" t="s">
        <v>340</v>
      </c>
    </row>
    <row r="33" spans="1:6" outlineLevel="1" x14ac:dyDescent="0.35">
      <c r="A33" s="16" t="s">
        <v>200</v>
      </c>
      <c r="B33" s="101">
        <v>1.04</v>
      </c>
      <c r="D33" s="96" t="s">
        <v>211</v>
      </c>
      <c r="F33" s="1" t="s">
        <v>202</v>
      </c>
    </row>
    <row r="34" spans="1:6" outlineLevel="1" x14ac:dyDescent="0.35">
      <c r="A34" s="16" t="s">
        <v>201</v>
      </c>
      <c r="B34" s="101">
        <v>0.72</v>
      </c>
      <c r="D34" s="96" t="s">
        <v>211</v>
      </c>
      <c r="F34" s="1" t="s">
        <v>202</v>
      </c>
    </row>
    <row r="35" spans="1:6" outlineLevel="1" x14ac:dyDescent="0.35">
      <c r="A35" s="16" t="s">
        <v>214</v>
      </c>
      <c r="B35" s="15">
        <f>766.95*(1+B50)</f>
        <v>928.0095</v>
      </c>
      <c r="C35" s="1" t="s">
        <v>46</v>
      </c>
      <c r="D35" s="1" t="s">
        <v>211</v>
      </c>
      <c r="F35" s="1" t="s">
        <v>202</v>
      </c>
    </row>
    <row r="36" spans="1:6" outlineLevel="1" x14ac:dyDescent="0.35">
      <c r="A36" s="16" t="s">
        <v>212</v>
      </c>
      <c r="B36" s="15">
        <f>147.02*(1+B50)</f>
        <v>177.89420000000001</v>
      </c>
      <c r="C36" s="1" t="s">
        <v>46</v>
      </c>
      <c r="D36" s="1" t="s">
        <v>211</v>
      </c>
      <c r="F36" s="1" t="s">
        <v>202</v>
      </c>
    </row>
    <row r="37" spans="1:6" outlineLevel="1" x14ac:dyDescent="0.35">
      <c r="A37" s="16" t="s">
        <v>213</v>
      </c>
      <c r="B37" s="15">
        <f>20.48*(1+B50)</f>
        <v>24.780799999999999</v>
      </c>
      <c r="C37" s="1" t="s">
        <v>46</v>
      </c>
      <c r="D37" s="1" t="s">
        <v>211</v>
      </c>
      <c r="F37" s="1" t="s">
        <v>202</v>
      </c>
    </row>
    <row r="38" spans="1:6" outlineLevel="1" x14ac:dyDescent="0.35">
      <c r="A38" s="100" t="s">
        <v>341</v>
      </c>
      <c r="B38" s="95">
        <f>36.55*(1+B50)</f>
        <v>44.225499999999997</v>
      </c>
      <c r="C38" s="1" t="s">
        <v>46</v>
      </c>
      <c r="D38" s="96" t="s">
        <v>211</v>
      </c>
      <c r="F38" s="96" t="s">
        <v>202</v>
      </c>
    </row>
    <row r="39" spans="1:6" outlineLevel="1" x14ac:dyDescent="0.35">
      <c r="A39" s="16"/>
      <c r="B39" s="18"/>
    </row>
    <row r="40" spans="1:6" s="7" customFormat="1" outlineLevel="1" x14ac:dyDescent="0.35">
      <c r="A40" s="21" t="s">
        <v>225</v>
      </c>
      <c r="B40" s="22"/>
    </row>
    <row r="41" spans="1:6" outlineLevel="1" x14ac:dyDescent="0.35">
      <c r="A41" s="16" t="s">
        <v>90</v>
      </c>
      <c r="B41" s="18">
        <f>SUM(Energieprijzen!C19:H19)/31.65*1000*(1+B50)</f>
        <v>20.568088467614537</v>
      </c>
      <c r="C41" s="1" t="s">
        <v>65</v>
      </c>
      <c r="D41" s="1" t="s">
        <v>150</v>
      </c>
      <c r="E41" s="1" t="s">
        <v>169</v>
      </c>
      <c r="F41" s="1" t="s">
        <v>204</v>
      </c>
    </row>
    <row r="42" spans="1:6" outlineLevel="1" x14ac:dyDescent="0.35">
      <c r="A42" s="16" t="s">
        <v>226</v>
      </c>
      <c r="B42" s="18">
        <f>SUM(Energieprijzen!C9:H9)/3.6*1000*(1+B50)</f>
        <v>70.583333333333329</v>
      </c>
      <c r="C42" s="1" t="s">
        <v>65</v>
      </c>
    </row>
    <row r="43" spans="1:6" outlineLevel="1" x14ac:dyDescent="0.35">
      <c r="A43" s="16"/>
      <c r="B43" s="18"/>
    </row>
    <row r="44" spans="1:6" s="7" customFormat="1" outlineLevel="1" x14ac:dyDescent="0.35">
      <c r="A44" s="21" t="s">
        <v>127</v>
      </c>
      <c r="B44" s="31"/>
      <c r="C44" s="21"/>
      <c r="D44" s="21"/>
    </row>
    <row r="45" spans="1:6" outlineLevel="1" x14ac:dyDescent="0.35">
      <c r="A45" s="1" t="s">
        <v>187</v>
      </c>
      <c r="B45" s="32">
        <v>30</v>
      </c>
      <c r="C45" s="44" t="s">
        <v>203</v>
      </c>
      <c r="D45" s="1" t="s">
        <v>150</v>
      </c>
      <c r="E45" s="1" t="s">
        <v>189</v>
      </c>
    </row>
    <row r="46" spans="1:6" outlineLevel="1" x14ac:dyDescent="0.35">
      <c r="A46" s="1" t="s">
        <v>188</v>
      </c>
      <c r="B46" s="32">
        <v>15</v>
      </c>
      <c r="C46" s="44" t="s">
        <v>203</v>
      </c>
      <c r="D46" s="1" t="s">
        <v>150</v>
      </c>
      <c r="E46" s="1" t="s">
        <v>189</v>
      </c>
    </row>
    <row r="47" spans="1:6" outlineLevel="1" x14ac:dyDescent="0.35">
      <c r="A47" s="1" t="s">
        <v>205</v>
      </c>
      <c r="B47" s="32">
        <v>50</v>
      </c>
      <c r="C47" s="44" t="s">
        <v>203</v>
      </c>
      <c r="D47" s="1" t="s">
        <v>76</v>
      </c>
      <c r="F47" s="1" t="s">
        <v>222</v>
      </c>
    </row>
    <row r="48" spans="1:6" outlineLevel="1" x14ac:dyDescent="0.35">
      <c r="A48" s="1" t="s">
        <v>206</v>
      </c>
      <c r="B48" s="33">
        <v>5.5E-2</v>
      </c>
      <c r="C48" s="4"/>
      <c r="D48" s="1" t="s">
        <v>150</v>
      </c>
      <c r="E48" s="1" t="s">
        <v>186</v>
      </c>
    </row>
    <row r="49" spans="1:7" outlineLevel="1" x14ac:dyDescent="0.35">
      <c r="A49" s="1" t="s">
        <v>207</v>
      </c>
      <c r="B49" s="33">
        <v>0.06</v>
      </c>
      <c r="C49" s="4"/>
      <c r="D49" s="1" t="s">
        <v>150</v>
      </c>
      <c r="E49" s="1" t="s">
        <v>186</v>
      </c>
      <c r="F49" s="1" t="s">
        <v>208</v>
      </c>
    </row>
    <row r="50" spans="1:7" outlineLevel="1" x14ac:dyDescent="0.35">
      <c r="A50" s="1" t="s">
        <v>210</v>
      </c>
      <c r="B50" s="47">
        <v>0.21</v>
      </c>
      <c r="C50" s="4"/>
      <c r="D50" s="1" t="s">
        <v>76</v>
      </c>
    </row>
    <row r="51" spans="1:7" x14ac:dyDescent="0.35">
      <c r="B51" s="34"/>
    </row>
    <row r="52" spans="1:7" s="10" customFormat="1" x14ac:dyDescent="0.35">
      <c r="A52" s="12" t="s">
        <v>114</v>
      </c>
      <c r="B52" s="11"/>
      <c r="G52" s="11"/>
    </row>
    <row r="53" spans="1:7" x14ac:dyDescent="0.35">
      <c r="B53" s="23" t="s">
        <v>27</v>
      </c>
      <c r="C53" s="4" t="s">
        <v>28</v>
      </c>
      <c r="D53" s="4" t="s">
        <v>73</v>
      </c>
      <c r="E53" s="4" t="s">
        <v>142</v>
      </c>
      <c r="F53" s="4" t="s">
        <v>143</v>
      </c>
    </row>
    <row r="54" spans="1:7" s="8" customFormat="1" x14ac:dyDescent="0.35">
      <c r="A54" s="8" t="s">
        <v>25</v>
      </c>
    </row>
    <row r="55" spans="1:7" x14ac:dyDescent="0.35">
      <c r="A55" s="1" t="s">
        <v>26</v>
      </c>
      <c r="B55" s="15">
        <f>B31</f>
        <v>2284</v>
      </c>
      <c r="C55" s="1" t="s">
        <v>46</v>
      </c>
    </row>
    <row r="56" spans="1:7" x14ac:dyDescent="0.35">
      <c r="B56" s="15"/>
    </row>
    <row r="57" spans="1:7" s="8" customFormat="1" x14ac:dyDescent="0.35">
      <c r="A57" s="8" t="s">
        <v>215</v>
      </c>
    </row>
    <row r="58" spans="1:7" x14ac:dyDescent="0.35">
      <c r="A58" s="1" t="s">
        <v>214</v>
      </c>
      <c r="B58" s="15">
        <f>B35</f>
        <v>928.0095</v>
      </c>
      <c r="C58" s="1" t="s">
        <v>46</v>
      </c>
    </row>
    <row r="59" spans="1:7" x14ac:dyDescent="0.35">
      <c r="A59" s="1" t="s">
        <v>216</v>
      </c>
      <c r="B59" s="15">
        <f>-PV(B49,B47,B74)</f>
        <v>2803.9435884218215</v>
      </c>
      <c r="C59" s="1" t="s">
        <v>46</v>
      </c>
      <c r="F59" s="1" t="s">
        <v>217</v>
      </c>
    </row>
    <row r="60" spans="1:7" x14ac:dyDescent="0.35">
      <c r="B60" s="45"/>
    </row>
    <row r="61" spans="1:7" s="8" customFormat="1" x14ac:dyDescent="0.35">
      <c r="A61" s="8" t="s">
        <v>125</v>
      </c>
    </row>
    <row r="62" spans="1:7" x14ac:dyDescent="0.35">
      <c r="A62" s="1" t="s">
        <v>109</v>
      </c>
      <c r="B62" s="15">
        <f>B55+B58</f>
        <v>3212.0095000000001</v>
      </c>
      <c r="C62" s="1" t="s">
        <v>46</v>
      </c>
    </row>
    <row r="63" spans="1:7" x14ac:dyDescent="0.35">
      <c r="A63" s="1" t="s">
        <v>132</v>
      </c>
      <c r="B63" s="15">
        <f>-PMT(B48,B46,B55,0,1)-PMT(B48,B45,B58,0,1)</f>
        <v>276.20561156688547</v>
      </c>
      <c r="C63" s="1" t="s">
        <v>47</v>
      </c>
    </row>
    <row r="64" spans="1:7" x14ac:dyDescent="0.35">
      <c r="B64" s="15"/>
    </row>
    <row r="65" spans="1:6" s="30" customFormat="1" x14ac:dyDescent="0.35">
      <c r="A65" s="28" t="s">
        <v>113</v>
      </c>
      <c r="B65" s="29"/>
    </row>
    <row r="66" spans="1:6" x14ac:dyDescent="0.35">
      <c r="B66" s="23" t="s">
        <v>27</v>
      </c>
      <c r="C66" s="4" t="s">
        <v>28</v>
      </c>
      <c r="D66" s="4" t="s">
        <v>73</v>
      </c>
      <c r="E66" s="4" t="s">
        <v>142</v>
      </c>
      <c r="F66" s="4" t="s">
        <v>143</v>
      </c>
    </row>
    <row r="67" spans="1:6" s="27" customFormat="1" x14ac:dyDescent="0.35">
      <c r="A67" s="27" t="s">
        <v>25</v>
      </c>
      <c r="B67" s="26"/>
    </row>
    <row r="68" spans="1:6" x14ac:dyDescent="0.35">
      <c r="A68" s="1" t="s">
        <v>139</v>
      </c>
      <c r="B68" s="15">
        <f>B23/B33*B41</f>
        <v>1226.1745048000973</v>
      </c>
      <c r="C68" s="1" t="s">
        <v>47</v>
      </c>
    </row>
    <row r="69" spans="1:6" x14ac:dyDescent="0.35">
      <c r="A69" s="1" t="s">
        <v>141</v>
      </c>
      <c r="B69" s="15">
        <f>B24/B34*B41</f>
        <v>179.97077409162719</v>
      </c>
      <c r="C69" s="1" t="s">
        <v>47</v>
      </c>
    </row>
    <row r="70" spans="1:6" x14ac:dyDescent="0.35">
      <c r="A70" s="1" t="s">
        <v>140</v>
      </c>
      <c r="B70" s="15">
        <f>B32*B55</f>
        <v>137.04</v>
      </c>
      <c r="C70" s="1" t="s">
        <v>47</v>
      </c>
    </row>
    <row r="71" spans="1:6" x14ac:dyDescent="0.35">
      <c r="A71" s="96" t="s">
        <v>348</v>
      </c>
      <c r="B71" s="95">
        <f>B28*B42</f>
        <v>72.418499999999995</v>
      </c>
      <c r="C71" s="96" t="s">
        <v>47</v>
      </c>
    </row>
    <row r="72" spans="1:6" x14ac:dyDescent="0.35">
      <c r="B72" s="15"/>
    </row>
    <row r="73" spans="1:6" s="27" customFormat="1" x14ac:dyDescent="0.35">
      <c r="A73" s="27" t="s">
        <v>215</v>
      </c>
      <c r="B73" s="26"/>
    </row>
    <row r="74" spans="1:6" x14ac:dyDescent="0.35">
      <c r="A74" s="16" t="s">
        <v>212</v>
      </c>
      <c r="B74" s="15">
        <f>B36</f>
        <v>177.89420000000001</v>
      </c>
      <c r="C74" s="1" t="s">
        <v>47</v>
      </c>
      <c r="D74" s="46"/>
    </row>
    <row r="75" spans="1:6" x14ac:dyDescent="0.35">
      <c r="A75" s="16" t="s">
        <v>213</v>
      </c>
      <c r="B75" s="46">
        <f>B37</f>
        <v>24.780799999999999</v>
      </c>
      <c r="C75" s="1" t="s">
        <v>47</v>
      </c>
    </row>
    <row r="76" spans="1:6" x14ac:dyDescent="0.35">
      <c r="A76" s="100" t="s">
        <v>341</v>
      </c>
      <c r="B76" s="102">
        <f>B38</f>
        <v>44.225499999999997</v>
      </c>
      <c r="C76" s="1" t="s">
        <v>47</v>
      </c>
    </row>
    <row r="78" spans="1:6" s="27" customFormat="1" x14ac:dyDescent="0.35">
      <c r="A78" s="27" t="s">
        <v>124</v>
      </c>
      <c r="B78" s="26"/>
    </row>
    <row r="79" spans="1:6" x14ac:dyDescent="0.35">
      <c r="A79" s="1" t="s">
        <v>125</v>
      </c>
      <c r="B79" s="15">
        <f>SUM(B68:B72)+SUM(B74:B77)</f>
        <v>1862.5042788917244</v>
      </c>
      <c r="C79" s="1" t="s">
        <v>47</v>
      </c>
    </row>
    <row r="80" spans="1:6" x14ac:dyDescent="0.35">
      <c r="A80" s="1" t="s">
        <v>218</v>
      </c>
      <c r="B80" s="15">
        <f>B79/SUM(B23:B24)</f>
        <v>27.269462355662146</v>
      </c>
      <c r="C80" s="1" t="s">
        <v>65</v>
      </c>
    </row>
    <row r="81" spans="1:3" x14ac:dyDescent="0.35">
      <c r="A81" s="1" t="s">
        <v>219</v>
      </c>
      <c r="B81" s="15">
        <f>B79/SUM(B25:B26)</f>
        <v>27.243381857206661</v>
      </c>
      <c r="C81" s="1" t="s">
        <v>65</v>
      </c>
    </row>
  </sheetData>
  <pageMargins left="0.7" right="0.7" top="0.75" bottom="0.75" header="0.3" footer="0.3"/>
  <pageSetup paperSize="9" orientation="portrait" r:id="rId1"/>
  <ignoredErrors>
    <ignoredError sqref="B41"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77"/>
  <sheetViews>
    <sheetView zoomScale="80" zoomScaleNormal="80" workbookViewId="0">
      <selection activeCell="C86" sqref="C86"/>
    </sheetView>
  </sheetViews>
  <sheetFormatPr defaultColWidth="9.1796875" defaultRowHeight="14.5" outlineLevelRow="1" x14ac:dyDescent="0.35"/>
  <cols>
    <col min="1" max="1" width="72.81640625" style="1" bestFit="1" customWidth="1"/>
    <col min="2" max="2" width="11.81640625" style="1" bestFit="1" customWidth="1"/>
    <col min="3" max="3" width="31.81640625" style="1" bestFit="1" customWidth="1"/>
    <col min="4" max="4" width="42.7265625" style="1" bestFit="1" customWidth="1"/>
    <col min="5" max="16384" width="9.1796875" style="1"/>
  </cols>
  <sheetData>
    <row r="1" spans="1:6" ht="21" x14ac:dyDescent="0.5">
      <c r="A1" s="2" t="s">
        <v>30</v>
      </c>
    </row>
    <row r="3" spans="1:6" x14ac:dyDescent="0.35">
      <c r="A3" s="4"/>
    </row>
    <row r="12" spans="1:6" s="9" customFormat="1" x14ac:dyDescent="0.35">
      <c r="A12" s="14" t="s">
        <v>29</v>
      </c>
    </row>
    <row r="13" spans="1:6" outlineLevel="1" x14ac:dyDescent="0.35">
      <c r="B13" s="23" t="s">
        <v>27</v>
      </c>
      <c r="C13" s="4" t="s">
        <v>28</v>
      </c>
      <c r="D13" s="4" t="s">
        <v>73</v>
      </c>
      <c r="E13" s="4" t="s">
        <v>142</v>
      </c>
      <c r="F13" s="4" t="s">
        <v>143</v>
      </c>
    </row>
    <row r="14" spans="1:6" s="7" customFormat="1" outlineLevel="1" x14ac:dyDescent="0.35">
      <c r="A14" s="21" t="s">
        <v>74</v>
      </c>
      <c r="B14" s="22"/>
    </row>
    <row r="15" spans="1:6" outlineLevel="1" x14ac:dyDescent="0.35">
      <c r="A15" s="1" t="s">
        <v>75</v>
      </c>
      <c r="B15" s="15">
        <v>5000</v>
      </c>
      <c r="C15" s="1" t="s">
        <v>31</v>
      </c>
      <c r="D15" s="1" t="s">
        <v>76</v>
      </c>
    </row>
    <row r="16" spans="1:6" outlineLevel="1" x14ac:dyDescent="0.35">
      <c r="A16" s="1" t="s">
        <v>144</v>
      </c>
      <c r="B16" s="15">
        <v>5000</v>
      </c>
      <c r="C16" s="1" t="s">
        <v>31</v>
      </c>
      <c r="D16" s="1" t="s">
        <v>76</v>
      </c>
    </row>
    <row r="17" spans="1:6" outlineLevel="1" x14ac:dyDescent="0.35">
      <c r="A17" s="1" t="s">
        <v>145</v>
      </c>
      <c r="B17" s="15">
        <v>40</v>
      </c>
      <c r="C17" s="1" t="s">
        <v>32</v>
      </c>
      <c r="D17" s="1" t="s">
        <v>76</v>
      </c>
    </row>
    <row r="18" spans="1:6" outlineLevel="1" x14ac:dyDescent="0.35">
      <c r="A18" s="1" t="s">
        <v>146</v>
      </c>
      <c r="B18" s="15">
        <v>10</v>
      </c>
      <c r="C18" s="1" t="s">
        <v>32</v>
      </c>
      <c r="D18" s="1" t="s">
        <v>76</v>
      </c>
    </row>
    <row r="19" spans="1:6" outlineLevel="1" x14ac:dyDescent="0.35">
      <c r="A19" s="1" t="s">
        <v>33</v>
      </c>
      <c r="B19" s="15">
        <f>B15/B17+B16/B18</f>
        <v>625</v>
      </c>
      <c r="C19" s="1" t="s">
        <v>34</v>
      </c>
    </row>
    <row r="20" spans="1:6" outlineLevel="1" x14ac:dyDescent="0.35">
      <c r="A20" s="1" t="s">
        <v>33</v>
      </c>
      <c r="B20" s="15">
        <f>10000*B19</f>
        <v>6250000</v>
      </c>
      <c r="C20" s="1" t="s">
        <v>35</v>
      </c>
    </row>
    <row r="21" spans="1:6" outlineLevel="1" x14ac:dyDescent="0.35">
      <c r="A21" s="1" t="s">
        <v>147</v>
      </c>
      <c r="B21" s="95">
        <v>9</v>
      </c>
      <c r="C21" s="1" t="s">
        <v>36</v>
      </c>
      <c r="D21" s="1" t="s">
        <v>152</v>
      </c>
      <c r="F21" s="96" t="s">
        <v>342</v>
      </c>
    </row>
    <row r="22" spans="1:6" outlineLevel="1" x14ac:dyDescent="0.35">
      <c r="A22" s="1" t="s">
        <v>148</v>
      </c>
      <c r="B22" s="95">
        <v>14</v>
      </c>
      <c r="C22" s="1" t="s">
        <v>36</v>
      </c>
      <c r="D22" s="1" t="s">
        <v>152</v>
      </c>
      <c r="F22" s="96" t="s">
        <v>342</v>
      </c>
    </row>
    <row r="23" spans="1:6" outlineLevel="1" x14ac:dyDescent="0.35">
      <c r="A23" s="1" t="s">
        <v>37</v>
      </c>
      <c r="B23" s="17">
        <v>0.5</v>
      </c>
      <c r="D23" s="1" t="s">
        <v>150</v>
      </c>
      <c r="E23" s="1" t="s">
        <v>149</v>
      </c>
    </row>
    <row r="24" spans="1:6" outlineLevel="1" x14ac:dyDescent="0.35">
      <c r="A24" s="1" t="s">
        <v>38</v>
      </c>
      <c r="B24" s="17">
        <v>0.05</v>
      </c>
      <c r="C24" s="1" t="s">
        <v>39</v>
      </c>
      <c r="D24" s="1" t="s">
        <v>150</v>
      </c>
      <c r="E24" s="1" t="s">
        <v>151</v>
      </c>
      <c r="F24" s="96" t="s">
        <v>337</v>
      </c>
    </row>
    <row r="25" spans="1:6" outlineLevel="1" x14ac:dyDescent="0.35">
      <c r="A25" s="1" t="s">
        <v>153</v>
      </c>
      <c r="B25" s="15">
        <v>27</v>
      </c>
      <c r="C25" s="1" t="s">
        <v>40</v>
      </c>
      <c r="D25" s="1" t="s">
        <v>152</v>
      </c>
      <c r="F25" s="1" t="s">
        <v>155</v>
      </c>
    </row>
    <row r="26" spans="1:6" outlineLevel="1" x14ac:dyDescent="0.35">
      <c r="A26" s="1" t="s">
        <v>154</v>
      </c>
      <c r="B26" s="15">
        <v>40</v>
      </c>
      <c r="C26" s="1" t="s">
        <v>40</v>
      </c>
      <c r="D26" s="1" t="s">
        <v>152</v>
      </c>
      <c r="F26" s="1" t="s">
        <v>155</v>
      </c>
    </row>
    <row r="27" spans="1:6" outlineLevel="1" x14ac:dyDescent="0.35">
      <c r="A27" s="1" t="s">
        <v>41</v>
      </c>
      <c r="B27" s="15">
        <f>B15*B25+B16*B26</f>
        <v>335000</v>
      </c>
      <c r="C27" s="1" t="s">
        <v>40</v>
      </c>
    </row>
    <row r="28" spans="1:6" outlineLevel="1" x14ac:dyDescent="0.35">
      <c r="A28" s="1" t="s">
        <v>42</v>
      </c>
      <c r="B28" s="15">
        <f>(B15*B21+B16*B22)*B23</f>
        <v>57500</v>
      </c>
      <c r="C28" s="1" t="s">
        <v>43</v>
      </c>
      <c r="F28" s="3" t="s">
        <v>44</v>
      </c>
    </row>
    <row r="29" spans="1:6" outlineLevel="1" x14ac:dyDescent="0.35">
      <c r="A29" s="1" t="s">
        <v>156</v>
      </c>
      <c r="B29" s="95">
        <v>2700</v>
      </c>
      <c r="C29" s="1" t="s">
        <v>45</v>
      </c>
      <c r="D29" s="1" t="s">
        <v>150</v>
      </c>
      <c r="E29" s="1" t="s">
        <v>149</v>
      </c>
      <c r="F29" s="1" t="s">
        <v>158</v>
      </c>
    </row>
    <row r="30" spans="1:6" outlineLevel="1" x14ac:dyDescent="0.35">
      <c r="A30" s="1" t="s">
        <v>157</v>
      </c>
      <c r="B30" s="95">
        <v>5000</v>
      </c>
      <c r="C30" s="1" t="s">
        <v>45</v>
      </c>
      <c r="D30" s="1" t="s">
        <v>150</v>
      </c>
      <c r="E30" s="1" t="s">
        <v>149</v>
      </c>
      <c r="F30" s="1" t="s">
        <v>158</v>
      </c>
    </row>
    <row r="31" spans="1:6" outlineLevel="1" x14ac:dyDescent="0.35">
      <c r="A31" s="1" t="s">
        <v>159</v>
      </c>
      <c r="B31" s="35">
        <v>2.5000000000000001E-2</v>
      </c>
      <c r="D31" s="1" t="s">
        <v>150</v>
      </c>
      <c r="E31" s="1" t="s">
        <v>149</v>
      </c>
      <c r="F31" s="1" t="s">
        <v>158</v>
      </c>
    </row>
    <row r="32" spans="1:6" outlineLevel="1" x14ac:dyDescent="0.35">
      <c r="B32" s="15"/>
    </row>
    <row r="33" spans="1:5" s="7" customFormat="1" outlineLevel="1" x14ac:dyDescent="0.35">
      <c r="A33" s="21" t="s">
        <v>49</v>
      </c>
      <c r="B33" s="22"/>
    </row>
    <row r="34" spans="1:5" outlineLevel="1" x14ac:dyDescent="0.35">
      <c r="A34" s="1" t="s">
        <v>50</v>
      </c>
      <c r="B34" s="15">
        <v>825</v>
      </c>
      <c r="C34" s="1" t="s">
        <v>43</v>
      </c>
      <c r="D34" s="1" t="s">
        <v>150</v>
      </c>
      <c r="E34" s="1" t="s">
        <v>149</v>
      </c>
    </row>
    <row r="35" spans="1:5" outlineLevel="1" x14ac:dyDescent="0.35">
      <c r="A35" s="1" t="s">
        <v>77</v>
      </c>
      <c r="B35" s="15">
        <v>100</v>
      </c>
      <c r="C35" s="1" t="s">
        <v>51</v>
      </c>
      <c r="D35" s="1" t="s">
        <v>150</v>
      </c>
      <c r="E35" s="1" t="s">
        <v>151</v>
      </c>
    </row>
    <row r="36" spans="1:5" outlineLevel="1" x14ac:dyDescent="0.35">
      <c r="A36" s="1" t="s">
        <v>78</v>
      </c>
      <c r="B36" s="18">
        <f>(1/(1-B24)*B23*(B15*B21+B16*B22))/B34</f>
        <v>73.365231259968098</v>
      </c>
      <c r="C36" s="1" t="s">
        <v>31</v>
      </c>
      <c r="D36" s="1" t="s">
        <v>150</v>
      </c>
      <c r="E36" s="1" t="s">
        <v>151</v>
      </c>
    </row>
    <row r="37" spans="1:5" outlineLevel="1" x14ac:dyDescent="0.35">
      <c r="A37" s="1" t="s">
        <v>79</v>
      </c>
      <c r="B37" s="15">
        <f>ROUNDUP(B36,0)</f>
        <v>74</v>
      </c>
      <c r="C37" s="1" t="s">
        <v>31</v>
      </c>
      <c r="D37" s="1" t="s">
        <v>178</v>
      </c>
    </row>
    <row r="38" spans="1:5" outlineLevel="1" x14ac:dyDescent="0.35">
      <c r="A38" s="1" t="s">
        <v>80</v>
      </c>
      <c r="B38" s="15">
        <f>B37*B34</f>
        <v>61050</v>
      </c>
      <c r="C38" s="1" t="s">
        <v>43</v>
      </c>
    </row>
    <row r="39" spans="1:5" outlineLevel="1" x14ac:dyDescent="0.35">
      <c r="A39" s="1" t="s">
        <v>48</v>
      </c>
      <c r="B39" s="17">
        <v>0.03</v>
      </c>
      <c r="D39" s="1" t="s">
        <v>150</v>
      </c>
      <c r="E39" s="1" t="s">
        <v>149</v>
      </c>
    </row>
    <row r="40" spans="1:5" outlineLevel="1" x14ac:dyDescent="0.35">
      <c r="B40" s="15"/>
    </row>
    <row r="41" spans="1:5" s="7" customFormat="1" outlineLevel="1" x14ac:dyDescent="0.35">
      <c r="A41" s="21" t="s">
        <v>52</v>
      </c>
      <c r="B41" s="22"/>
    </row>
    <row r="42" spans="1:5" outlineLevel="1" x14ac:dyDescent="0.35">
      <c r="A42" s="1" t="s">
        <v>81</v>
      </c>
      <c r="B42" s="18">
        <v>1.25</v>
      </c>
      <c r="D42" s="1" t="s">
        <v>150</v>
      </c>
      <c r="E42" s="1" t="s">
        <v>160</v>
      </c>
    </row>
    <row r="43" spans="1:5" outlineLevel="1" x14ac:dyDescent="0.35">
      <c r="A43" s="3" t="s">
        <v>82</v>
      </c>
      <c r="B43" s="15"/>
    </row>
    <row r="44" spans="1:5" outlineLevel="1" x14ac:dyDescent="0.35">
      <c r="A44" s="16" t="s">
        <v>85</v>
      </c>
      <c r="B44" s="15">
        <f>B42*SQRT(2)*SQRT(B20)</f>
        <v>4419.4173824159225</v>
      </c>
      <c r="C44" s="1" t="s">
        <v>66</v>
      </c>
      <c r="D44" s="1" t="s">
        <v>150</v>
      </c>
      <c r="E44" s="1" t="s">
        <v>160</v>
      </c>
    </row>
    <row r="45" spans="1:5" outlineLevel="1" x14ac:dyDescent="0.35">
      <c r="A45" s="1" t="s">
        <v>53</v>
      </c>
      <c r="B45" s="15">
        <f>215.5*POWER((B37*B34/1000),0.4828)</f>
        <v>1568.8315518510162</v>
      </c>
      <c r="C45" s="1" t="s">
        <v>83</v>
      </c>
      <c r="D45" s="1" t="s">
        <v>150</v>
      </c>
      <c r="E45" s="1" t="s">
        <v>160</v>
      </c>
    </row>
    <row r="46" spans="1:5" outlineLevel="1" x14ac:dyDescent="0.35">
      <c r="A46" s="1" t="s">
        <v>54</v>
      </c>
      <c r="B46" s="15">
        <f>379.29*POWER((B37*B34/1000),0.4739)</f>
        <v>2661.9986497825271</v>
      </c>
      <c r="C46" s="1" t="s">
        <v>83</v>
      </c>
      <c r="D46" s="1" t="s">
        <v>150</v>
      </c>
      <c r="E46" s="1" t="s">
        <v>160</v>
      </c>
    </row>
    <row r="47" spans="1:5" outlineLevel="1" x14ac:dyDescent="0.35">
      <c r="A47" s="3" t="s">
        <v>84</v>
      </c>
      <c r="B47" s="15"/>
    </row>
    <row r="48" spans="1:5" outlineLevel="1" x14ac:dyDescent="0.35">
      <c r="A48" s="16" t="s">
        <v>86</v>
      </c>
      <c r="B48" s="15">
        <f>B42*B37*0.25*0.5*SQRT(2)*SQRT(B20)</f>
        <v>40879.610787347279</v>
      </c>
      <c r="C48" s="1" t="s">
        <v>66</v>
      </c>
      <c r="D48" s="1" t="s">
        <v>150</v>
      </c>
      <c r="E48" s="1" t="s">
        <v>160</v>
      </c>
    </row>
    <row r="49" spans="1:6" outlineLevel="1" x14ac:dyDescent="0.35">
      <c r="A49" s="1" t="s">
        <v>53</v>
      </c>
      <c r="B49" s="15">
        <f>215.5*POWER((B34/1000),0.4828)</f>
        <v>196.38632393695704</v>
      </c>
      <c r="C49" s="1" t="s">
        <v>83</v>
      </c>
      <c r="D49" s="1" t="s">
        <v>150</v>
      </c>
      <c r="E49" s="1" t="s">
        <v>160</v>
      </c>
    </row>
    <row r="50" spans="1:6" outlineLevel="1" x14ac:dyDescent="0.35">
      <c r="A50" s="1" t="s">
        <v>54</v>
      </c>
      <c r="B50" s="15">
        <f>379.29*POWER((B34/1000),0.4739)</f>
        <v>346.24133920635921</v>
      </c>
      <c r="C50" s="1" t="s">
        <v>83</v>
      </c>
      <c r="D50" s="1" t="s">
        <v>150</v>
      </c>
      <c r="E50" s="1" t="s">
        <v>160</v>
      </c>
    </row>
    <row r="51" spans="1:6" outlineLevel="1" x14ac:dyDescent="0.35">
      <c r="A51" s="1" t="s">
        <v>48</v>
      </c>
      <c r="B51" s="17">
        <v>0.01</v>
      </c>
      <c r="D51" s="1" t="s">
        <v>150</v>
      </c>
      <c r="E51" s="1" t="s">
        <v>149</v>
      </c>
    </row>
    <row r="52" spans="1:6" outlineLevel="1" x14ac:dyDescent="0.35">
      <c r="B52" s="17"/>
    </row>
    <row r="53" spans="1:6" s="7" customFormat="1" outlineLevel="1" x14ac:dyDescent="0.35">
      <c r="A53" s="21" t="s">
        <v>87</v>
      </c>
      <c r="B53" s="24"/>
      <c r="C53" s="21"/>
      <c r="D53" s="21"/>
      <c r="E53" s="21"/>
    </row>
    <row r="54" spans="1:6" outlineLevel="1" x14ac:dyDescent="0.35">
      <c r="A54" s="1" t="s">
        <v>88</v>
      </c>
      <c r="B54" s="15">
        <v>5000</v>
      </c>
      <c r="C54" s="1" t="s">
        <v>66</v>
      </c>
      <c r="D54" s="1" t="s">
        <v>76</v>
      </c>
      <c r="F54" s="1" t="s">
        <v>164</v>
      </c>
    </row>
    <row r="55" spans="1:6" outlineLevel="1" x14ac:dyDescent="0.35">
      <c r="A55" s="1" t="s">
        <v>67</v>
      </c>
      <c r="B55" s="15">
        <f>0.5*215.5*POWER((B37*B34)/1000,0.4828)</f>
        <v>784.41577592550811</v>
      </c>
      <c r="C55" s="1" t="s">
        <v>83</v>
      </c>
      <c r="D55" s="1" t="s">
        <v>150</v>
      </c>
      <c r="E55" s="1" t="s">
        <v>162</v>
      </c>
      <c r="F55" s="1" t="s">
        <v>161</v>
      </c>
    </row>
    <row r="56" spans="1:6" outlineLevel="1" x14ac:dyDescent="0.35">
      <c r="A56" s="1" t="s">
        <v>68</v>
      </c>
      <c r="B56" s="15">
        <f>0.5*379.29*POWER((B37*B34)/1000,0.4739)</f>
        <v>1330.9993248912635</v>
      </c>
      <c r="C56" s="1" t="s">
        <v>83</v>
      </c>
      <c r="D56" s="1" t="s">
        <v>150</v>
      </c>
      <c r="E56" s="1" t="s">
        <v>162</v>
      </c>
      <c r="F56" s="1" t="s">
        <v>161</v>
      </c>
    </row>
    <row r="57" spans="1:6" outlineLevel="1" x14ac:dyDescent="0.35">
      <c r="A57" s="1" t="s">
        <v>48</v>
      </c>
      <c r="B57" s="17">
        <v>0.01</v>
      </c>
      <c r="D57" s="1" t="s">
        <v>150</v>
      </c>
      <c r="E57" s="1" t="s">
        <v>149</v>
      </c>
    </row>
    <row r="58" spans="1:6" outlineLevel="1" x14ac:dyDescent="0.35">
      <c r="B58" s="15"/>
    </row>
    <row r="59" spans="1:6" s="7" customFormat="1" outlineLevel="1" x14ac:dyDescent="0.35">
      <c r="A59" s="21" t="s">
        <v>103</v>
      </c>
      <c r="B59" s="22"/>
    </row>
    <row r="60" spans="1:6" outlineLevel="1" x14ac:dyDescent="0.35">
      <c r="A60" s="1" t="s">
        <v>55</v>
      </c>
      <c r="B60" s="15">
        <f>125000</f>
        <v>125000</v>
      </c>
      <c r="C60" s="1" t="s">
        <v>89</v>
      </c>
      <c r="D60" s="1" t="s">
        <v>150</v>
      </c>
      <c r="E60" s="1" t="s">
        <v>160</v>
      </c>
      <c r="F60" s="1" t="s">
        <v>163</v>
      </c>
    </row>
    <row r="61" spans="1:6" outlineLevel="1" x14ac:dyDescent="0.35">
      <c r="A61" s="1" t="s">
        <v>48</v>
      </c>
      <c r="B61" s="17">
        <v>0.03</v>
      </c>
      <c r="D61" s="1" t="s">
        <v>150</v>
      </c>
      <c r="E61" s="1" t="s">
        <v>149</v>
      </c>
    </row>
    <row r="62" spans="1:6" outlineLevel="1" x14ac:dyDescent="0.35">
      <c r="B62" s="15"/>
    </row>
    <row r="63" spans="1:6" s="7" customFormat="1" outlineLevel="1" x14ac:dyDescent="0.35">
      <c r="A63" s="21" t="s">
        <v>56</v>
      </c>
      <c r="B63" s="22"/>
    </row>
    <row r="64" spans="1:6" outlineLevel="1" x14ac:dyDescent="0.35">
      <c r="A64" s="16" t="s">
        <v>90</v>
      </c>
      <c r="B64" s="18">
        <f>SUM(Energieprijzen!O19:T19)/31.65*1000</f>
        <v>6.1927330173775683</v>
      </c>
      <c r="C64" s="1" t="s">
        <v>57</v>
      </c>
      <c r="D64" s="1" t="s">
        <v>150</v>
      </c>
      <c r="E64" s="1" t="s">
        <v>169</v>
      </c>
      <c r="F64" s="1" t="s">
        <v>170</v>
      </c>
    </row>
    <row r="65" spans="1:6" outlineLevel="1" x14ac:dyDescent="0.35">
      <c r="A65" s="16" t="s">
        <v>91</v>
      </c>
      <c r="B65" s="98">
        <v>0.8</v>
      </c>
      <c r="C65" s="1" t="s">
        <v>58</v>
      </c>
      <c r="D65" s="96" t="s">
        <v>344</v>
      </c>
      <c r="E65" s="1" t="s">
        <v>166</v>
      </c>
      <c r="F65" s="96" t="s">
        <v>346</v>
      </c>
    </row>
    <row r="66" spans="1:6" outlineLevel="1" x14ac:dyDescent="0.35">
      <c r="A66" s="16" t="s">
        <v>172</v>
      </c>
      <c r="B66" s="98">
        <v>0.3</v>
      </c>
      <c r="C66" s="1" t="s">
        <v>173</v>
      </c>
      <c r="D66" s="96" t="s">
        <v>344</v>
      </c>
      <c r="E66" s="1" t="s">
        <v>165</v>
      </c>
      <c r="F66" s="96" t="s">
        <v>346</v>
      </c>
    </row>
    <row r="67" spans="1:6" outlineLevel="1" x14ac:dyDescent="0.35">
      <c r="A67" s="100" t="s">
        <v>343</v>
      </c>
      <c r="B67" s="98">
        <v>0.85</v>
      </c>
      <c r="C67" s="96" t="s">
        <v>173</v>
      </c>
      <c r="D67" s="96" t="s">
        <v>344</v>
      </c>
      <c r="F67" s="96" t="s">
        <v>345</v>
      </c>
    </row>
    <row r="68" spans="1:6" outlineLevel="1" x14ac:dyDescent="0.35">
      <c r="A68" s="16" t="s">
        <v>92</v>
      </c>
      <c r="B68" s="99">
        <v>0.2</v>
      </c>
      <c r="C68" s="1" t="s">
        <v>58</v>
      </c>
      <c r="D68" s="96" t="s">
        <v>344</v>
      </c>
      <c r="E68" s="1" t="s">
        <v>165</v>
      </c>
    </row>
    <row r="69" spans="1:6" outlineLevel="1" x14ac:dyDescent="0.35">
      <c r="A69" s="16" t="s">
        <v>59</v>
      </c>
      <c r="B69" s="97">
        <v>0.92500000000000004</v>
      </c>
      <c r="C69" s="1" t="s">
        <v>60</v>
      </c>
      <c r="D69" s="96" t="s">
        <v>344</v>
      </c>
      <c r="E69" s="1" t="s">
        <v>165</v>
      </c>
    </row>
    <row r="70" spans="1:6" outlineLevel="1" x14ac:dyDescent="0.35">
      <c r="A70" s="16"/>
      <c r="B70" s="18"/>
    </row>
    <row r="71" spans="1:6" s="7" customFormat="1" outlineLevel="1" x14ac:dyDescent="0.35">
      <c r="A71" s="21" t="s">
        <v>61</v>
      </c>
      <c r="B71" s="22"/>
    </row>
    <row r="72" spans="1:6" outlineLevel="1" x14ac:dyDescent="0.35">
      <c r="A72" s="1" t="s">
        <v>62</v>
      </c>
      <c r="B72" s="15">
        <v>167</v>
      </c>
      <c r="C72" s="1" t="s">
        <v>63</v>
      </c>
      <c r="D72" s="1" t="s">
        <v>150</v>
      </c>
      <c r="E72" s="1" t="s">
        <v>179</v>
      </c>
      <c r="F72" s="96" t="s">
        <v>338</v>
      </c>
    </row>
    <row r="73" spans="1:6" outlineLevel="1" x14ac:dyDescent="0.35">
      <c r="A73" s="1" t="s">
        <v>48</v>
      </c>
      <c r="B73" s="17">
        <v>0.05</v>
      </c>
      <c r="D73" s="1" t="s">
        <v>150</v>
      </c>
      <c r="E73" s="1" t="s">
        <v>179</v>
      </c>
    </row>
    <row r="74" spans="1:6" outlineLevel="1" x14ac:dyDescent="0.35">
      <c r="A74" s="16" t="s">
        <v>93</v>
      </c>
      <c r="B74" s="18">
        <f>B64*0.2/0.3</f>
        <v>4.1284886782517125</v>
      </c>
      <c r="C74" s="1" t="s">
        <v>65</v>
      </c>
      <c r="D74" s="1" t="s">
        <v>150</v>
      </c>
      <c r="E74" s="1" t="s">
        <v>168</v>
      </c>
      <c r="F74" s="1" t="s">
        <v>167</v>
      </c>
    </row>
    <row r="75" spans="1:6" outlineLevel="1" x14ac:dyDescent="0.35"/>
    <row r="76" spans="1:6" s="7" customFormat="1" outlineLevel="1" x14ac:dyDescent="0.35">
      <c r="A76" s="21" t="s">
        <v>69</v>
      </c>
      <c r="B76" s="22"/>
    </row>
    <row r="77" spans="1:6" outlineLevel="1" x14ac:dyDescent="0.35">
      <c r="A77" s="1" t="s">
        <v>94</v>
      </c>
      <c r="B77" s="19">
        <v>2.5</v>
      </c>
      <c r="C77" s="1" t="s">
        <v>70</v>
      </c>
      <c r="D77" s="1" t="s">
        <v>150</v>
      </c>
      <c r="E77" s="1" t="s">
        <v>168</v>
      </c>
    </row>
    <row r="78" spans="1:6" outlineLevel="1" x14ac:dyDescent="0.35">
      <c r="A78" s="1" t="s">
        <v>182</v>
      </c>
      <c r="B78" s="20">
        <f>B77*3.6/1000</f>
        <v>8.9999999999999993E-3</v>
      </c>
      <c r="C78" s="1" t="s">
        <v>71</v>
      </c>
    </row>
    <row r="79" spans="1:6" outlineLevel="1" x14ac:dyDescent="0.35">
      <c r="A79" s="1" t="s">
        <v>183</v>
      </c>
      <c r="B79" s="18">
        <f>SUM(Energieprijzen!I9:N9)/3.6*1000</f>
        <v>29.722222222222225</v>
      </c>
      <c r="C79" s="1" t="s">
        <v>72</v>
      </c>
      <c r="D79" s="1" t="s">
        <v>150</v>
      </c>
      <c r="E79" s="1" t="s">
        <v>171</v>
      </c>
      <c r="F79" s="1" t="s">
        <v>180</v>
      </c>
    </row>
    <row r="80" spans="1:6" outlineLevel="1" x14ac:dyDescent="0.35"/>
    <row r="81" spans="1:7" s="7" customFormat="1" outlineLevel="1" x14ac:dyDescent="0.35">
      <c r="A81" s="21" t="s">
        <v>127</v>
      </c>
      <c r="B81" s="31"/>
      <c r="C81" s="21"/>
      <c r="D81" s="21"/>
    </row>
    <row r="82" spans="1:7" outlineLevel="1" x14ac:dyDescent="0.35">
      <c r="A82" s="1" t="s">
        <v>128</v>
      </c>
      <c r="B82" s="32">
        <v>30</v>
      </c>
      <c r="C82" s="16" t="s">
        <v>203</v>
      </c>
      <c r="D82" s="1" t="s">
        <v>150</v>
      </c>
      <c r="E82" s="1" t="s">
        <v>189</v>
      </c>
    </row>
    <row r="83" spans="1:7" outlineLevel="1" x14ac:dyDescent="0.35">
      <c r="A83" s="1" t="s">
        <v>233</v>
      </c>
      <c r="B83" s="33">
        <v>0.06</v>
      </c>
      <c r="C83" s="4"/>
      <c r="D83" s="1" t="s">
        <v>150</v>
      </c>
      <c r="E83" s="1" t="s">
        <v>186</v>
      </c>
    </row>
    <row r="84" spans="1:7" outlineLevel="1" x14ac:dyDescent="0.35">
      <c r="B84" s="23"/>
      <c r="C84" s="4"/>
      <c r="D84" s="4"/>
    </row>
    <row r="85" spans="1:7" s="10" customFormat="1" x14ac:dyDescent="0.35">
      <c r="A85" s="12" t="s">
        <v>114</v>
      </c>
      <c r="B85" s="11"/>
      <c r="G85" s="11"/>
    </row>
    <row r="86" spans="1:7" x14ac:dyDescent="0.35">
      <c r="B86" s="23" t="s">
        <v>27</v>
      </c>
      <c r="C86" s="4" t="s">
        <v>28</v>
      </c>
      <c r="D86" s="4" t="s">
        <v>73</v>
      </c>
      <c r="E86" s="4" t="s">
        <v>142</v>
      </c>
      <c r="F86" s="4" t="s">
        <v>143</v>
      </c>
    </row>
    <row r="87" spans="1:7" s="8" customFormat="1" x14ac:dyDescent="0.35">
      <c r="A87" s="8" t="s">
        <v>25</v>
      </c>
    </row>
    <row r="88" spans="1:7" x14ac:dyDescent="0.35">
      <c r="A88" s="1" t="s">
        <v>64</v>
      </c>
      <c r="B88" s="15">
        <f>B72*B38/(1-B24)*B66</f>
        <v>3219584.210526316</v>
      </c>
      <c r="C88" s="1" t="s">
        <v>46</v>
      </c>
      <c r="D88" s="36"/>
    </row>
    <row r="89" spans="1:7" x14ac:dyDescent="0.35">
      <c r="A89" s="1" t="s">
        <v>102</v>
      </c>
      <c r="B89" s="95">
        <f>(B67)*B60*B34*B37/1000</f>
        <v>6486562.5</v>
      </c>
      <c r="C89" s="1" t="s">
        <v>46</v>
      </c>
      <c r="F89" s="1" t="s">
        <v>108</v>
      </c>
    </row>
    <row r="91" spans="1:7" s="8" customFormat="1" x14ac:dyDescent="0.35">
      <c r="A91" s="8" t="s">
        <v>95</v>
      </c>
    </row>
    <row r="92" spans="1:7" x14ac:dyDescent="0.35">
      <c r="A92" s="3" t="s">
        <v>87</v>
      </c>
      <c r="B92" s="15"/>
    </row>
    <row r="93" spans="1:7" x14ac:dyDescent="0.35">
      <c r="A93" s="1" t="s">
        <v>67</v>
      </c>
      <c r="B93" s="15">
        <f>B54*B55</f>
        <v>3922078.8796275407</v>
      </c>
      <c r="C93" s="1" t="s">
        <v>46</v>
      </c>
    </row>
    <row r="94" spans="1:7" x14ac:dyDescent="0.35">
      <c r="A94" s="1" t="s">
        <v>68</v>
      </c>
      <c r="B94" s="15">
        <f>B54*B56</f>
        <v>6654996.6244563181</v>
      </c>
      <c r="C94" s="1" t="s">
        <v>46</v>
      </c>
    </row>
    <row r="95" spans="1:7" x14ac:dyDescent="0.35">
      <c r="A95" s="1" t="s">
        <v>107</v>
      </c>
      <c r="B95" s="15">
        <f>AVERAGE(B93:B94)</f>
        <v>5288537.7520419294</v>
      </c>
      <c r="C95" s="1" t="s">
        <v>46</v>
      </c>
    </row>
    <row r="96" spans="1:7" x14ac:dyDescent="0.35">
      <c r="A96" s="3" t="s">
        <v>52</v>
      </c>
      <c r="B96" s="15"/>
    </row>
    <row r="97" spans="1:3" x14ac:dyDescent="0.35">
      <c r="A97" s="1" t="s">
        <v>96</v>
      </c>
      <c r="B97" s="15">
        <f>B44*B45</f>
        <v>6933321.430332928</v>
      </c>
      <c r="C97" s="1" t="s">
        <v>46</v>
      </c>
    </row>
    <row r="98" spans="1:3" x14ac:dyDescent="0.35">
      <c r="A98" s="1" t="s">
        <v>97</v>
      </c>
      <c r="B98" s="15">
        <f>B44*B46</f>
        <v>11764483.104816616</v>
      </c>
      <c r="C98" s="1" t="s">
        <v>46</v>
      </c>
    </row>
    <row r="99" spans="1:3" x14ac:dyDescent="0.35">
      <c r="A99" s="1" t="s">
        <v>100</v>
      </c>
      <c r="B99" s="15">
        <f>AVERAGE(B97:B98)</f>
        <v>9348902.2675747722</v>
      </c>
      <c r="C99" s="1" t="s">
        <v>46</v>
      </c>
    </row>
    <row r="100" spans="1:3" x14ac:dyDescent="0.35">
      <c r="A100" s="1" t="s">
        <v>98</v>
      </c>
      <c r="B100" s="15">
        <f>B48*B49</f>
        <v>8028196.4865007065</v>
      </c>
      <c r="C100" s="1" t="s">
        <v>46</v>
      </c>
    </row>
    <row r="101" spans="1:3" x14ac:dyDescent="0.35">
      <c r="A101" s="1" t="s">
        <v>99</v>
      </c>
      <c r="B101" s="15">
        <f>B48*B50</f>
        <v>14154211.185245851</v>
      </c>
      <c r="C101" s="1" t="s">
        <v>46</v>
      </c>
    </row>
    <row r="102" spans="1:3" x14ac:dyDescent="0.35">
      <c r="A102" s="1" t="s">
        <v>101</v>
      </c>
      <c r="B102" s="15">
        <f>AVERAGE(B100:B101)</f>
        <v>11091203.83587328</v>
      </c>
      <c r="C102" s="1" t="s">
        <v>46</v>
      </c>
    </row>
    <row r="103" spans="1:3" x14ac:dyDescent="0.35">
      <c r="A103" s="3" t="s">
        <v>49</v>
      </c>
      <c r="B103" s="15"/>
    </row>
    <row r="104" spans="1:3" x14ac:dyDescent="0.35">
      <c r="A104" s="1" t="s">
        <v>104</v>
      </c>
      <c r="B104" s="15">
        <f>B38*B35</f>
        <v>6105000</v>
      </c>
      <c r="C104" s="1" t="s">
        <v>46</v>
      </c>
    </row>
    <row r="105" spans="1:3" x14ac:dyDescent="0.35">
      <c r="A105" s="3" t="s">
        <v>105</v>
      </c>
      <c r="B105" s="15"/>
    </row>
    <row r="106" spans="1:3" x14ac:dyDescent="0.35">
      <c r="A106" s="1" t="s">
        <v>106</v>
      </c>
      <c r="B106" s="15">
        <f>B15*B29+B16*B30</f>
        <v>38500000</v>
      </c>
      <c r="C106" s="1" t="s">
        <v>46</v>
      </c>
    </row>
    <row r="107" spans="1:3" x14ac:dyDescent="0.35">
      <c r="B107" s="15"/>
    </row>
    <row r="108" spans="1:3" s="8" customFormat="1" x14ac:dyDescent="0.35">
      <c r="A108" s="8" t="s">
        <v>109</v>
      </c>
      <c r="B108" s="25"/>
    </row>
    <row r="109" spans="1:3" x14ac:dyDescent="0.35">
      <c r="A109" s="1" t="s">
        <v>110</v>
      </c>
      <c r="B109" s="15">
        <f>B88+B93+B97+B100+B89+B104+B106</f>
        <v>73194743.506987482</v>
      </c>
      <c r="C109" s="1" t="s">
        <v>46</v>
      </c>
    </row>
    <row r="110" spans="1:3" x14ac:dyDescent="0.35">
      <c r="A110" s="1" t="s">
        <v>111</v>
      </c>
      <c r="B110" s="15">
        <f>B88+B94+B98+B101+B89+B104+B106</f>
        <v>86884837.625045091</v>
      </c>
      <c r="C110" s="1" t="s">
        <v>46</v>
      </c>
    </row>
    <row r="111" spans="1:3" x14ac:dyDescent="0.35">
      <c r="A111" s="1" t="s">
        <v>112</v>
      </c>
      <c r="B111" s="15">
        <f>B88+B95+B99+B102+B89+B104+B106</f>
        <v>80039790.566016302</v>
      </c>
      <c r="C111" s="1" t="s">
        <v>46</v>
      </c>
    </row>
    <row r="112" spans="1:3" x14ac:dyDescent="0.35">
      <c r="A112" s="1" t="s">
        <v>130</v>
      </c>
      <c r="B112" s="15">
        <f>-PMT(B83,B82,B111,0,1)</f>
        <v>5485663.8306721076</v>
      </c>
      <c r="C112" s="1" t="s">
        <v>47</v>
      </c>
    </row>
    <row r="113" spans="1:6" x14ac:dyDescent="0.35">
      <c r="A113" s="1" t="s">
        <v>129</v>
      </c>
      <c r="B113" s="18">
        <f>B112/B27</f>
        <v>16.375115912454053</v>
      </c>
      <c r="C113" s="1" t="s">
        <v>65</v>
      </c>
    </row>
    <row r="114" spans="1:6" x14ac:dyDescent="0.35">
      <c r="B114" s="15"/>
    </row>
    <row r="115" spans="1:6" s="30" customFormat="1" x14ac:dyDescent="0.35">
      <c r="A115" s="28" t="s">
        <v>113</v>
      </c>
      <c r="B115" s="29"/>
    </row>
    <row r="116" spans="1:6" x14ac:dyDescent="0.35">
      <c r="B116" s="23" t="s">
        <v>27</v>
      </c>
      <c r="C116" s="4" t="s">
        <v>28</v>
      </c>
      <c r="D116" s="4" t="s">
        <v>73</v>
      </c>
      <c r="E116" s="4" t="s">
        <v>142</v>
      </c>
      <c r="F116" s="4" t="s">
        <v>143</v>
      </c>
    </row>
    <row r="117" spans="1:6" s="27" customFormat="1" x14ac:dyDescent="0.35">
      <c r="A117" s="27" t="s">
        <v>25</v>
      </c>
      <c r="B117" s="26"/>
    </row>
    <row r="118" spans="1:6" x14ac:dyDescent="0.35">
      <c r="A118" s="1" t="s">
        <v>116</v>
      </c>
      <c r="B118" s="15">
        <f>B73*B88</f>
        <v>160979.21052631582</v>
      </c>
      <c r="C118" s="1" t="s">
        <v>47</v>
      </c>
    </row>
    <row r="119" spans="1:6" x14ac:dyDescent="0.35">
      <c r="A119" s="1" t="s">
        <v>115</v>
      </c>
      <c r="B119" s="15">
        <f>B27/(1-B68)*B65*B74</f>
        <v>1383043.7072143238</v>
      </c>
      <c r="C119" s="1" t="s">
        <v>47</v>
      </c>
      <c r="D119" s="1" t="s">
        <v>150</v>
      </c>
      <c r="E119" s="1" t="s">
        <v>165</v>
      </c>
    </row>
    <row r="120" spans="1:6" x14ac:dyDescent="0.35">
      <c r="A120" s="1" t="s">
        <v>123</v>
      </c>
      <c r="B120" s="15">
        <f>B27/(1-B68)*(1-B65)*(B64/B69)</f>
        <v>560693.3948166176</v>
      </c>
      <c r="C120" s="1" t="s">
        <v>47</v>
      </c>
      <c r="D120" s="1" t="s">
        <v>150</v>
      </c>
      <c r="E120" s="1" t="s">
        <v>165</v>
      </c>
    </row>
    <row r="121" spans="1:6" x14ac:dyDescent="0.35">
      <c r="B121" s="15"/>
    </row>
    <row r="122" spans="1:6" s="27" customFormat="1" x14ac:dyDescent="0.35">
      <c r="A122" s="27" t="s">
        <v>95</v>
      </c>
      <c r="B122" s="26"/>
    </row>
    <row r="123" spans="1:6" x14ac:dyDescent="0.35">
      <c r="A123" s="1" t="s">
        <v>117</v>
      </c>
      <c r="B123" s="15">
        <f>B95*B57</f>
        <v>52885.377520419293</v>
      </c>
      <c r="C123" s="1" t="s">
        <v>47</v>
      </c>
    </row>
    <row r="124" spans="1:6" x14ac:dyDescent="0.35">
      <c r="A124" s="1" t="s">
        <v>118</v>
      </c>
      <c r="B124" s="15">
        <f>B99*B51</f>
        <v>93489.022675747721</v>
      </c>
      <c r="C124" s="1" t="s">
        <v>47</v>
      </c>
    </row>
    <row r="125" spans="1:6" x14ac:dyDescent="0.35">
      <c r="A125" s="1" t="s">
        <v>119</v>
      </c>
      <c r="B125" s="15">
        <f>B102*B51</f>
        <v>110912.0383587328</v>
      </c>
      <c r="C125" s="1" t="s">
        <v>47</v>
      </c>
    </row>
    <row r="126" spans="1:6" x14ac:dyDescent="0.35">
      <c r="A126" s="1" t="s">
        <v>120</v>
      </c>
      <c r="B126" s="15">
        <f>B89*B61</f>
        <v>194596.875</v>
      </c>
      <c r="C126" s="1" t="s">
        <v>47</v>
      </c>
    </row>
    <row r="127" spans="1:6" x14ac:dyDescent="0.35">
      <c r="A127" s="1" t="s">
        <v>121</v>
      </c>
      <c r="B127" s="15">
        <f>B104*B39</f>
        <v>183150</v>
      </c>
      <c r="C127" s="1" t="s">
        <v>47</v>
      </c>
    </row>
    <row r="128" spans="1:6" x14ac:dyDescent="0.35">
      <c r="A128" s="1" t="s">
        <v>122</v>
      </c>
      <c r="B128" s="15">
        <f>B106*B31</f>
        <v>962500</v>
      </c>
      <c r="C128" s="1" t="s">
        <v>47</v>
      </c>
    </row>
    <row r="129" spans="1:3" x14ac:dyDescent="0.35">
      <c r="A129" s="1" t="s">
        <v>131</v>
      </c>
      <c r="B129" s="15">
        <f>B79*B78*B27</f>
        <v>89612.5</v>
      </c>
      <c r="C129" s="1" t="s">
        <v>47</v>
      </c>
    </row>
    <row r="130" spans="1:3" x14ac:dyDescent="0.35">
      <c r="B130" s="15"/>
    </row>
    <row r="131" spans="1:3" s="27" customFormat="1" x14ac:dyDescent="0.35">
      <c r="A131" s="27" t="s">
        <v>124</v>
      </c>
      <c r="B131" s="26"/>
    </row>
    <row r="132" spans="1:3" x14ac:dyDescent="0.35">
      <c r="A132" s="1" t="s">
        <v>125</v>
      </c>
      <c r="B132" s="15">
        <f>SUM(B118:B120)+SUM(B123:B129)</f>
        <v>3791862.126112157</v>
      </c>
      <c r="C132" s="1" t="s">
        <v>47</v>
      </c>
    </row>
    <row r="133" spans="1:3" x14ac:dyDescent="0.35">
      <c r="A133" s="1" t="s">
        <v>126</v>
      </c>
      <c r="B133" s="18">
        <f>B132/B27</f>
        <v>11.318991421230319</v>
      </c>
      <c r="C133" s="1" t="s">
        <v>65</v>
      </c>
    </row>
    <row r="134" spans="1:3" x14ac:dyDescent="0.35">
      <c r="B134" s="15"/>
    </row>
    <row r="135" spans="1:3" s="39" customFormat="1" x14ac:dyDescent="0.35">
      <c r="A135" s="37" t="s">
        <v>174</v>
      </c>
      <c r="B135" s="40"/>
      <c r="C135" s="41"/>
    </row>
    <row r="136" spans="1:3" x14ac:dyDescent="0.35">
      <c r="B136" s="23" t="s">
        <v>27</v>
      </c>
      <c r="C136" s="4" t="s">
        <v>28</v>
      </c>
    </row>
    <row r="137" spans="1:3" x14ac:dyDescent="0.35">
      <c r="A137" s="1" t="s">
        <v>175</v>
      </c>
      <c r="B137" s="15">
        <f>B111/(B15+B16)</f>
        <v>8003.97905660163</v>
      </c>
      <c r="C137" s="1" t="s">
        <v>46</v>
      </c>
    </row>
    <row r="138" spans="1:3" x14ac:dyDescent="0.35">
      <c r="A138" s="16" t="s">
        <v>176</v>
      </c>
      <c r="B138" s="15">
        <f>B132/(B15+B16)</f>
        <v>379.18621261121569</v>
      </c>
      <c r="C138" s="1" t="s">
        <v>177</v>
      </c>
    </row>
    <row r="139" spans="1:3" x14ac:dyDescent="0.35">
      <c r="A139" s="16"/>
      <c r="B139" s="15"/>
    </row>
    <row r="140" spans="1:3" x14ac:dyDescent="0.35">
      <c r="B140" s="15"/>
    </row>
    <row r="141" spans="1:3" x14ac:dyDescent="0.35">
      <c r="B141" s="15"/>
    </row>
    <row r="142" spans="1:3" x14ac:dyDescent="0.35">
      <c r="B142" s="15"/>
    </row>
    <row r="143" spans="1:3" x14ac:dyDescent="0.35">
      <c r="B143" s="15"/>
    </row>
    <row r="144" spans="1:3" x14ac:dyDescent="0.35">
      <c r="B144" s="15"/>
    </row>
    <row r="145" spans="2:2" x14ac:dyDescent="0.35">
      <c r="B145" s="15"/>
    </row>
    <row r="146" spans="2:2" x14ac:dyDescent="0.35">
      <c r="B146" s="15"/>
    </row>
    <row r="147" spans="2:2" x14ac:dyDescent="0.35">
      <c r="B147" s="15"/>
    </row>
    <row r="148" spans="2:2" x14ac:dyDescent="0.35">
      <c r="B148" s="15"/>
    </row>
    <row r="149" spans="2:2" x14ac:dyDescent="0.35">
      <c r="B149" s="15"/>
    </row>
    <row r="150" spans="2:2" x14ac:dyDescent="0.35">
      <c r="B150" s="15"/>
    </row>
    <row r="151" spans="2:2" x14ac:dyDescent="0.35">
      <c r="B151" s="15"/>
    </row>
    <row r="152" spans="2:2" x14ac:dyDescent="0.35">
      <c r="B152" s="15"/>
    </row>
    <row r="153" spans="2:2" x14ac:dyDescent="0.35">
      <c r="B153" s="15"/>
    </row>
    <row r="154" spans="2:2" x14ac:dyDescent="0.35">
      <c r="B154" s="15"/>
    </row>
    <row r="155" spans="2:2" x14ac:dyDescent="0.35">
      <c r="B155" s="15"/>
    </row>
    <row r="156" spans="2:2" x14ac:dyDescent="0.35">
      <c r="B156" s="15"/>
    </row>
    <row r="157" spans="2:2" x14ac:dyDescent="0.35">
      <c r="B157" s="15"/>
    </row>
    <row r="158" spans="2:2" x14ac:dyDescent="0.35">
      <c r="B158" s="15"/>
    </row>
    <row r="159" spans="2:2" x14ac:dyDescent="0.35">
      <c r="B159" s="15"/>
    </row>
    <row r="160" spans="2:2" x14ac:dyDescent="0.35">
      <c r="B160" s="15"/>
    </row>
    <row r="161" spans="2:2" x14ac:dyDescent="0.35">
      <c r="B161" s="15"/>
    </row>
    <row r="162" spans="2:2" x14ac:dyDescent="0.35">
      <c r="B162" s="15"/>
    </row>
    <row r="163" spans="2:2" x14ac:dyDescent="0.35">
      <c r="B163" s="15"/>
    </row>
    <row r="164" spans="2:2" x14ac:dyDescent="0.35">
      <c r="B164" s="15"/>
    </row>
    <row r="165" spans="2:2" x14ac:dyDescent="0.35">
      <c r="B165" s="15"/>
    </row>
    <row r="166" spans="2:2" x14ac:dyDescent="0.35">
      <c r="B166" s="15"/>
    </row>
    <row r="167" spans="2:2" x14ac:dyDescent="0.35">
      <c r="B167" s="15"/>
    </row>
    <row r="168" spans="2:2" x14ac:dyDescent="0.35">
      <c r="B168" s="15"/>
    </row>
    <row r="169" spans="2:2" x14ac:dyDescent="0.35">
      <c r="B169" s="15"/>
    </row>
    <row r="170" spans="2:2" x14ac:dyDescent="0.35">
      <c r="B170" s="15"/>
    </row>
    <row r="171" spans="2:2" x14ac:dyDescent="0.35">
      <c r="B171" s="15"/>
    </row>
    <row r="172" spans="2:2" x14ac:dyDescent="0.35">
      <c r="B172" s="15"/>
    </row>
    <row r="173" spans="2:2" x14ac:dyDescent="0.35">
      <c r="B173" s="15"/>
    </row>
    <row r="174" spans="2:2" x14ac:dyDescent="0.35">
      <c r="B174" s="15"/>
    </row>
    <row r="175" spans="2:2" x14ac:dyDescent="0.35">
      <c r="B175" s="15"/>
    </row>
    <row r="176" spans="2:2" x14ac:dyDescent="0.35">
      <c r="B176" s="15"/>
    </row>
    <row r="177" spans="2:2" x14ac:dyDescent="0.35">
      <c r="B177" s="15"/>
    </row>
  </sheetData>
  <pageMargins left="0.7" right="0.7" top="0.75" bottom="0.75" header="0.3" footer="0.3"/>
  <pageSetup paperSize="9" orientation="portrait" r:id="rId1"/>
  <ignoredErrors>
    <ignoredError sqref="B64 B79" formulaRange="1"/>
  </ignoredError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Z67"/>
  <sheetViews>
    <sheetView workbookViewId="0">
      <selection activeCell="H27" sqref="H27"/>
    </sheetView>
  </sheetViews>
  <sheetFormatPr defaultRowHeight="14.5" x14ac:dyDescent="0.35"/>
  <cols>
    <col min="1" max="1" width="25.54296875" customWidth="1"/>
    <col min="2" max="2" width="12.54296875" bestFit="1" customWidth="1"/>
    <col min="3" max="3" width="15.453125" bestFit="1" customWidth="1"/>
    <col min="4" max="4" width="10.453125" customWidth="1"/>
    <col min="5" max="5" width="8.81640625" bestFit="1" customWidth="1"/>
    <col min="6" max="6" width="11" bestFit="1" customWidth="1"/>
    <col min="7" max="7" width="9.7265625" bestFit="1" customWidth="1"/>
    <col min="8" max="8" width="8.7265625" bestFit="1" customWidth="1"/>
    <col min="9" max="9" width="12" bestFit="1" customWidth="1"/>
    <col min="10" max="10" width="7.54296875" bestFit="1" customWidth="1"/>
    <col min="11" max="11" width="8.81640625" bestFit="1" customWidth="1"/>
    <col min="12" max="12" width="11" bestFit="1" customWidth="1"/>
    <col min="13" max="13" width="9.7265625" bestFit="1" customWidth="1"/>
    <col min="14" max="14" width="9.81640625" bestFit="1" customWidth="1"/>
    <col min="15" max="15" width="12" bestFit="1" customWidth="1"/>
    <col min="16" max="16" width="6.453125" bestFit="1" customWidth="1"/>
    <col min="17" max="17" width="8.81640625" bestFit="1" customWidth="1"/>
    <col min="18" max="18" width="11" bestFit="1" customWidth="1"/>
    <col min="19" max="19" width="9.7265625" bestFit="1" customWidth="1"/>
    <col min="20" max="20" width="8.7265625" bestFit="1" customWidth="1"/>
    <col min="21" max="21" width="12" bestFit="1" customWidth="1"/>
    <col min="22" max="22" width="9.26953125" bestFit="1" customWidth="1"/>
    <col min="23" max="23" width="8.81640625" bestFit="1" customWidth="1"/>
    <col min="24" max="24" width="11.26953125" bestFit="1" customWidth="1"/>
    <col min="25" max="25" width="9.7265625" bestFit="1" customWidth="1"/>
    <col min="26" max="26" width="11.54296875" bestFit="1" customWidth="1"/>
  </cols>
  <sheetData>
    <row r="1" spans="1:26" ht="21" x14ac:dyDescent="0.5">
      <c r="A1" s="53" t="s">
        <v>232</v>
      </c>
    </row>
    <row r="3" spans="1:26" x14ac:dyDescent="0.35">
      <c r="A3" t="s">
        <v>317</v>
      </c>
    </row>
    <row r="4" spans="1:26" ht="15" thickBot="1" x14ac:dyDescent="0.4"/>
    <row r="5" spans="1:26" ht="15" thickBot="1" x14ac:dyDescent="0.4">
      <c r="A5" s="167"/>
      <c r="B5" s="55" t="s">
        <v>234</v>
      </c>
      <c r="C5" s="164" t="s">
        <v>235</v>
      </c>
      <c r="D5" s="165"/>
      <c r="E5" s="165"/>
      <c r="F5" s="165"/>
      <c r="G5" s="165"/>
      <c r="H5" s="165"/>
      <c r="I5" s="165"/>
      <c r="J5" s="165"/>
      <c r="K5" s="165"/>
      <c r="L5" s="165"/>
      <c r="M5" s="165"/>
      <c r="N5" s="165"/>
      <c r="O5" s="165"/>
      <c r="P5" s="165"/>
      <c r="Q5" s="165"/>
      <c r="R5" s="165"/>
      <c r="S5" s="165"/>
      <c r="T5" s="165"/>
      <c r="U5" s="165"/>
      <c r="V5" s="165"/>
      <c r="W5" s="165"/>
      <c r="X5" s="165"/>
      <c r="Y5" s="165"/>
      <c r="Z5" s="166"/>
    </row>
    <row r="6" spans="1:26" ht="15" thickBot="1" x14ac:dyDescent="0.4">
      <c r="A6" s="168"/>
      <c r="B6" s="56" t="s">
        <v>236</v>
      </c>
      <c r="C6" s="164" t="s">
        <v>237</v>
      </c>
      <c r="D6" s="165"/>
      <c r="E6" s="165"/>
      <c r="F6" s="165"/>
      <c r="G6" s="165"/>
      <c r="H6" s="166"/>
      <c r="I6" s="164" t="s">
        <v>238</v>
      </c>
      <c r="J6" s="165"/>
      <c r="K6" s="165"/>
      <c r="L6" s="165"/>
      <c r="M6" s="165"/>
      <c r="N6" s="166"/>
      <c r="O6" s="164" t="s">
        <v>257</v>
      </c>
      <c r="P6" s="165"/>
      <c r="Q6" s="165"/>
      <c r="R6" s="165"/>
      <c r="S6" s="165"/>
      <c r="T6" s="166"/>
      <c r="U6" s="164" t="s">
        <v>258</v>
      </c>
      <c r="V6" s="165"/>
      <c r="W6" s="165"/>
      <c r="X6" s="165"/>
      <c r="Y6" s="165"/>
      <c r="Z6" s="166"/>
    </row>
    <row r="7" spans="1:26" ht="25.5" thickBot="1" x14ac:dyDescent="0.4">
      <c r="A7" s="57"/>
      <c r="B7" s="58"/>
      <c r="C7" s="59" t="s">
        <v>240</v>
      </c>
      <c r="D7" s="65" t="s">
        <v>274</v>
      </c>
      <c r="E7" s="59" t="s">
        <v>241</v>
      </c>
      <c r="F7" s="59" t="s">
        <v>242</v>
      </c>
      <c r="G7" s="59" t="s">
        <v>273</v>
      </c>
      <c r="H7" s="59" t="s">
        <v>243</v>
      </c>
      <c r="I7" s="59" t="s">
        <v>240</v>
      </c>
      <c r="J7" s="65" t="s">
        <v>274</v>
      </c>
      <c r="K7" s="59" t="s">
        <v>241</v>
      </c>
      <c r="L7" s="59" t="s">
        <v>242</v>
      </c>
      <c r="M7" s="59" t="s">
        <v>273</v>
      </c>
      <c r="N7" s="59" t="s">
        <v>243</v>
      </c>
      <c r="O7" s="64" t="s">
        <v>240</v>
      </c>
      <c r="P7" s="65" t="s">
        <v>274</v>
      </c>
      <c r="Q7" s="64" t="s">
        <v>241</v>
      </c>
      <c r="R7" s="64" t="s">
        <v>242</v>
      </c>
      <c r="S7" s="59" t="s">
        <v>273</v>
      </c>
      <c r="T7" s="64" t="s">
        <v>243</v>
      </c>
      <c r="U7" s="64" t="s">
        <v>240</v>
      </c>
      <c r="V7" s="65" t="s">
        <v>274</v>
      </c>
      <c r="W7" s="64" t="s">
        <v>241</v>
      </c>
      <c r="X7" s="64" t="s">
        <v>242</v>
      </c>
      <c r="Y7" s="59" t="s">
        <v>273</v>
      </c>
      <c r="Z7" s="64" t="s">
        <v>272</v>
      </c>
    </row>
    <row r="8" spans="1:26" ht="24.5" thickBot="1" x14ac:dyDescent="0.4">
      <c r="A8" s="57" t="s">
        <v>239</v>
      </c>
      <c r="B8" s="59" t="s">
        <v>244</v>
      </c>
      <c r="C8" s="59" t="s">
        <v>245</v>
      </c>
      <c r="D8" s="59" t="s">
        <v>246</v>
      </c>
      <c r="E8" s="59" t="s">
        <v>247</v>
      </c>
      <c r="F8" s="59" t="s">
        <v>248</v>
      </c>
      <c r="G8" s="59" t="s">
        <v>249</v>
      </c>
      <c r="H8" s="59" t="s">
        <v>250</v>
      </c>
      <c r="I8" s="59" t="s">
        <v>251</v>
      </c>
      <c r="J8" s="59" t="s">
        <v>252</v>
      </c>
      <c r="K8" s="59" t="s">
        <v>253</v>
      </c>
      <c r="L8" s="59" t="s">
        <v>254</v>
      </c>
      <c r="M8" s="59" t="s">
        <v>255</v>
      </c>
      <c r="N8" s="59" t="s">
        <v>256</v>
      </c>
      <c r="O8" s="59" t="s">
        <v>260</v>
      </c>
      <c r="P8" s="59" t="s">
        <v>261</v>
      </c>
      <c r="Q8" s="59" t="s">
        <v>262</v>
      </c>
      <c r="R8" s="59" t="s">
        <v>263</v>
      </c>
      <c r="S8" s="59" t="s">
        <v>264</v>
      </c>
      <c r="T8" s="59" t="s">
        <v>265</v>
      </c>
      <c r="U8" s="59" t="s">
        <v>266</v>
      </c>
      <c r="V8" s="59" t="s">
        <v>267</v>
      </c>
      <c r="W8" s="59" t="s">
        <v>268</v>
      </c>
      <c r="X8" s="59" t="s">
        <v>269</v>
      </c>
      <c r="Y8" s="59" t="s">
        <v>270</v>
      </c>
      <c r="Z8" s="59" t="s">
        <v>271</v>
      </c>
    </row>
    <row r="9" spans="1:26" ht="15" thickBot="1" x14ac:dyDescent="0.4">
      <c r="A9" s="60">
        <v>2010</v>
      </c>
      <c r="B9" s="61">
        <v>0.56100000000000005</v>
      </c>
      <c r="C9" s="67">
        <v>9.0999999999999998E-2</v>
      </c>
      <c r="D9" s="67">
        <v>8.0000000000000002E-3</v>
      </c>
      <c r="E9" s="67">
        <v>0</v>
      </c>
      <c r="F9" s="67">
        <v>0</v>
      </c>
      <c r="G9" s="67">
        <v>0</v>
      </c>
      <c r="H9" s="67">
        <v>0.111</v>
      </c>
      <c r="I9" s="67">
        <v>5.8000000000000003E-2</v>
      </c>
      <c r="J9" s="67">
        <v>8.0000000000000002E-3</v>
      </c>
      <c r="K9" s="67">
        <v>0</v>
      </c>
      <c r="L9" s="67">
        <v>0</v>
      </c>
      <c r="M9" s="67">
        <v>0</v>
      </c>
      <c r="N9" s="67">
        <v>4.1000000000000002E-2</v>
      </c>
      <c r="O9" s="67">
        <v>5.8000000000000003E-2</v>
      </c>
      <c r="P9" s="67">
        <v>8.0000000000000002E-3</v>
      </c>
      <c r="Q9" s="67">
        <v>0</v>
      </c>
      <c r="R9" s="67">
        <v>0</v>
      </c>
      <c r="S9" s="67">
        <v>0</v>
      </c>
      <c r="T9" s="67">
        <v>1.0999999999999999E-2</v>
      </c>
      <c r="U9" s="67">
        <v>5.8000000000000003E-2</v>
      </c>
      <c r="V9" s="67">
        <v>8.0000000000000002E-3</v>
      </c>
      <c r="W9" s="67">
        <v>0</v>
      </c>
      <c r="X9" s="67">
        <v>0</v>
      </c>
      <c r="Y9" s="67">
        <v>0</v>
      </c>
      <c r="Z9" s="67">
        <v>4.1000000000000002E-2</v>
      </c>
    </row>
    <row r="10" spans="1:26" ht="15" thickBot="1" x14ac:dyDescent="0.4">
      <c r="A10" s="60">
        <v>2020</v>
      </c>
      <c r="B10" s="61">
        <v>0.56100000000000005</v>
      </c>
      <c r="C10" s="67">
        <v>9.6000000000000002E-2</v>
      </c>
      <c r="D10" s="67">
        <v>1.6E-2</v>
      </c>
      <c r="E10" s="67">
        <v>0</v>
      </c>
      <c r="F10" s="67">
        <v>0</v>
      </c>
      <c r="G10" s="67">
        <v>2.8000000000000001E-2</v>
      </c>
      <c r="H10" s="67">
        <v>0.111</v>
      </c>
      <c r="I10" s="67">
        <v>7.4999999999999997E-2</v>
      </c>
      <c r="J10" s="67">
        <v>1.6E-2</v>
      </c>
      <c r="K10" s="67">
        <v>0</v>
      </c>
      <c r="L10" s="67">
        <v>0</v>
      </c>
      <c r="M10" s="67">
        <v>0.01</v>
      </c>
      <c r="N10" s="67">
        <v>4.1000000000000002E-2</v>
      </c>
      <c r="O10" s="67">
        <v>7.4999999999999997E-2</v>
      </c>
      <c r="P10" s="67">
        <v>1.6E-2</v>
      </c>
      <c r="Q10" s="67">
        <v>0</v>
      </c>
      <c r="R10" s="67">
        <v>0</v>
      </c>
      <c r="S10" s="67">
        <v>0.01</v>
      </c>
      <c r="T10" s="67">
        <v>1.0999999999999999E-2</v>
      </c>
      <c r="U10" s="67">
        <v>7.4999999999999997E-2</v>
      </c>
      <c r="V10" s="67">
        <v>1.6E-2</v>
      </c>
      <c r="W10" s="67">
        <v>0</v>
      </c>
      <c r="X10" s="67">
        <v>0</v>
      </c>
      <c r="Y10" s="67">
        <v>0.01</v>
      </c>
      <c r="Z10" s="67">
        <v>4.1000000000000002E-2</v>
      </c>
    </row>
    <row r="11" spans="1:26" ht="15" thickBot="1" x14ac:dyDescent="0.4">
      <c r="A11" s="60">
        <v>2030</v>
      </c>
      <c r="B11" s="61">
        <v>0.56100000000000005</v>
      </c>
      <c r="C11" s="67">
        <v>0.10100000000000001</v>
      </c>
      <c r="D11" s="67">
        <v>2.3E-2</v>
      </c>
      <c r="E11" s="67">
        <v>0</v>
      </c>
      <c r="F11" s="67">
        <v>0</v>
      </c>
      <c r="G11" s="67">
        <v>2.8000000000000001E-2</v>
      </c>
      <c r="H11" s="67">
        <v>0.111</v>
      </c>
      <c r="I11" s="67">
        <v>9.2999999999999999E-2</v>
      </c>
      <c r="J11" s="67">
        <v>2.3E-2</v>
      </c>
      <c r="K11" s="67">
        <v>0</v>
      </c>
      <c r="L11" s="67">
        <v>0</v>
      </c>
      <c r="M11" s="67">
        <v>0.01</v>
      </c>
      <c r="N11" s="67">
        <v>4.1000000000000002E-2</v>
      </c>
      <c r="O11" s="67">
        <v>9.2999999999999999E-2</v>
      </c>
      <c r="P11" s="67">
        <v>2.3E-2</v>
      </c>
      <c r="Q11" s="67">
        <v>0</v>
      </c>
      <c r="R11" s="67">
        <v>0</v>
      </c>
      <c r="S11" s="67">
        <v>0.01</v>
      </c>
      <c r="T11" s="67">
        <v>1.0999999999999999E-2</v>
      </c>
      <c r="U11" s="67">
        <v>9.2999999999999999E-2</v>
      </c>
      <c r="V11" s="67">
        <v>2.3E-2</v>
      </c>
      <c r="W11" s="67">
        <v>0</v>
      </c>
      <c r="X11" s="67">
        <v>0</v>
      </c>
      <c r="Y11" s="67">
        <v>0.01</v>
      </c>
      <c r="Z11" s="67">
        <v>4.1000000000000002E-2</v>
      </c>
    </row>
    <row r="12" spans="1:26" ht="15" thickBot="1" x14ac:dyDescent="0.4">
      <c r="A12" s="60">
        <v>2040</v>
      </c>
      <c r="B12" s="61">
        <v>0.56100000000000005</v>
      </c>
      <c r="C12" s="67">
        <v>0.10100000000000001</v>
      </c>
      <c r="D12" s="67">
        <v>2.3E-2</v>
      </c>
      <c r="E12" s="67">
        <v>0</v>
      </c>
      <c r="F12" s="67">
        <v>0</v>
      </c>
      <c r="G12" s="67">
        <v>2.8000000000000001E-2</v>
      </c>
      <c r="H12" s="67">
        <v>0.111</v>
      </c>
      <c r="I12" s="67">
        <v>9.2999999999999999E-2</v>
      </c>
      <c r="J12" s="67">
        <v>2.3E-2</v>
      </c>
      <c r="K12" s="67">
        <v>0</v>
      </c>
      <c r="L12" s="67">
        <v>0</v>
      </c>
      <c r="M12" s="67">
        <v>0.01</v>
      </c>
      <c r="N12" s="67">
        <v>4.1000000000000002E-2</v>
      </c>
      <c r="O12" s="67">
        <v>9.2999999999999999E-2</v>
      </c>
      <c r="P12" s="67">
        <v>2.3E-2</v>
      </c>
      <c r="Q12" s="67">
        <v>0</v>
      </c>
      <c r="R12" s="67">
        <v>0</v>
      </c>
      <c r="S12" s="67">
        <v>0.01</v>
      </c>
      <c r="T12" s="67">
        <v>1.0999999999999999E-2</v>
      </c>
      <c r="U12" s="67">
        <v>9.2999999999999999E-2</v>
      </c>
      <c r="V12" s="67">
        <v>2.3E-2</v>
      </c>
      <c r="W12" s="67">
        <v>0</v>
      </c>
      <c r="X12" s="67">
        <v>0</v>
      </c>
      <c r="Y12" s="67">
        <v>0.01</v>
      </c>
      <c r="Z12" s="67">
        <v>4.1000000000000002E-2</v>
      </c>
    </row>
    <row r="13" spans="1:26" ht="15" thickBot="1" x14ac:dyDescent="0.4">
      <c r="A13" s="60">
        <v>2050</v>
      </c>
      <c r="B13" s="61">
        <v>0.56100000000000005</v>
      </c>
      <c r="C13" s="67">
        <v>0.10100000000000001</v>
      </c>
      <c r="D13" s="67">
        <v>2.3E-2</v>
      </c>
      <c r="E13" s="67">
        <v>0</v>
      </c>
      <c r="F13" s="67">
        <v>0</v>
      </c>
      <c r="G13" s="67">
        <v>2.8000000000000001E-2</v>
      </c>
      <c r="H13" s="67">
        <v>0.111</v>
      </c>
      <c r="I13" s="67">
        <v>9.2999999999999999E-2</v>
      </c>
      <c r="J13" s="67">
        <v>2.3E-2</v>
      </c>
      <c r="K13" s="67">
        <v>0</v>
      </c>
      <c r="L13" s="67">
        <v>0</v>
      </c>
      <c r="M13" s="67">
        <v>0.01</v>
      </c>
      <c r="N13" s="67">
        <v>4.1000000000000002E-2</v>
      </c>
      <c r="O13" s="67">
        <v>9.2999999999999999E-2</v>
      </c>
      <c r="P13" s="67">
        <v>2.3E-2</v>
      </c>
      <c r="Q13" s="67">
        <v>0</v>
      </c>
      <c r="R13" s="67">
        <v>0</v>
      </c>
      <c r="S13" s="67">
        <v>0.01</v>
      </c>
      <c r="T13" s="67">
        <v>1.0999999999999999E-2</v>
      </c>
      <c r="U13" s="67">
        <v>9.2999999999999999E-2</v>
      </c>
      <c r="V13" s="67">
        <v>2.3E-2</v>
      </c>
      <c r="W13" s="67">
        <v>0</v>
      </c>
      <c r="X13" s="67">
        <v>0</v>
      </c>
      <c r="Y13" s="67">
        <v>0.01</v>
      </c>
      <c r="Z13" s="67">
        <v>4.1000000000000002E-2</v>
      </c>
    </row>
    <row r="14" spans="1:26" ht="15" thickBot="1" x14ac:dyDescent="0.4"/>
    <row r="15" spans="1:26" ht="15" thickBot="1" x14ac:dyDescent="0.4">
      <c r="A15" s="66"/>
      <c r="B15" s="55" t="s">
        <v>275</v>
      </c>
      <c r="C15" s="164" t="s">
        <v>276</v>
      </c>
      <c r="D15" s="165"/>
      <c r="E15" s="165"/>
      <c r="F15" s="165"/>
      <c r="G15" s="165"/>
      <c r="H15" s="165"/>
      <c r="I15" s="165"/>
      <c r="J15" s="165"/>
      <c r="K15" s="165"/>
      <c r="L15" s="165"/>
      <c r="M15" s="165"/>
      <c r="N15" s="165"/>
      <c r="O15" s="165"/>
      <c r="P15" s="165"/>
      <c r="Q15" s="165"/>
      <c r="R15" s="165"/>
      <c r="S15" s="165"/>
      <c r="T15" s="165"/>
      <c r="U15" s="165"/>
      <c r="V15" s="165"/>
      <c r="W15" s="165"/>
      <c r="X15" s="165"/>
      <c r="Y15" s="165"/>
      <c r="Z15" s="166"/>
    </row>
    <row r="16" spans="1:26" ht="15" thickBot="1" x14ac:dyDescent="0.4">
      <c r="A16" s="62"/>
      <c r="B16" s="56" t="s">
        <v>277</v>
      </c>
      <c r="C16" s="164" t="s">
        <v>278</v>
      </c>
      <c r="D16" s="165"/>
      <c r="E16" s="165"/>
      <c r="F16" s="165"/>
      <c r="G16" s="165"/>
      <c r="H16" s="166"/>
      <c r="I16" s="164" t="s">
        <v>238</v>
      </c>
      <c r="J16" s="165"/>
      <c r="K16" s="165"/>
      <c r="L16" s="165"/>
      <c r="M16" s="165"/>
      <c r="N16" s="166"/>
      <c r="O16" s="164" t="s">
        <v>257</v>
      </c>
      <c r="P16" s="165"/>
      <c r="Q16" s="165"/>
      <c r="R16" s="165"/>
      <c r="S16" s="165"/>
      <c r="T16" s="166"/>
      <c r="U16" s="164" t="s">
        <v>258</v>
      </c>
      <c r="V16" s="165"/>
      <c r="W16" s="165"/>
      <c r="X16" s="165"/>
      <c r="Y16" s="165"/>
      <c r="Z16" s="166"/>
    </row>
    <row r="17" spans="1:26" ht="25.5" thickBot="1" x14ac:dyDescent="0.4">
      <c r="A17" s="57"/>
      <c r="B17" s="58"/>
      <c r="C17" s="59" t="s">
        <v>240</v>
      </c>
      <c r="D17" s="65" t="s">
        <v>274</v>
      </c>
      <c r="E17" s="59" t="s">
        <v>241</v>
      </c>
      <c r="F17" s="59" t="s">
        <v>242</v>
      </c>
      <c r="G17" s="59" t="s">
        <v>273</v>
      </c>
      <c r="H17" s="59" t="s">
        <v>243</v>
      </c>
      <c r="I17" s="59" t="s">
        <v>240</v>
      </c>
      <c r="J17" s="65" t="s">
        <v>274</v>
      </c>
      <c r="K17" s="59" t="s">
        <v>241</v>
      </c>
      <c r="L17" s="59" t="s">
        <v>242</v>
      </c>
      <c r="M17" s="59" t="s">
        <v>273</v>
      </c>
      <c r="N17" s="59" t="s">
        <v>243</v>
      </c>
      <c r="O17" s="59" t="s">
        <v>240</v>
      </c>
      <c r="P17" s="65" t="s">
        <v>274</v>
      </c>
      <c r="Q17" s="59" t="s">
        <v>241</v>
      </c>
      <c r="R17" s="59" t="s">
        <v>242</v>
      </c>
      <c r="S17" s="59" t="s">
        <v>273</v>
      </c>
      <c r="T17" s="59" t="s">
        <v>243</v>
      </c>
      <c r="U17" s="59" t="s">
        <v>240</v>
      </c>
      <c r="V17" s="65" t="s">
        <v>274</v>
      </c>
      <c r="W17" s="59" t="s">
        <v>241</v>
      </c>
      <c r="X17" s="59" t="s">
        <v>242</v>
      </c>
      <c r="Y17" s="59" t="s">
        <v>273</v>
      </c>
      <c r="Z17" s="59" t="s">
        <v>243</v>
      </c>
    </row>
    <row r="18" spans="1:26" ht="24.5" thickBot="1" x14ac:dyDescent="0.4">
      <c r="A18" s="57" t="s">
        <v>239</v>
      </c>
      <c r="B18" s="59" t="s">
        <v>259</v>
      </c>
      <c r="C18" s="59" t="s">
        <v>245</v>
      </c>
      <c r="D18" s="59" t="s">
        <v>246</v>
      </c>
      <c r="E18" s="59" t="s">
        <v>247</v>
      </c>
      <c r="F18" s="59" t="s">
        <v>248</v>
      </c>
      <c r="G18" s="59" t="s">
        <v>249</v>
      </c>
      <c r="H18" s="59" t="s">
        <v>250</v>
      </c>
      <c r="I18" s="59" t="s">
        <v>251</v>
      </c>
      <c r="J18" s="59" t="s">
        <v>252</v>
      </c>
      <c r="K18" s="59" t="s">
        <v>253</v>
      </c>
      <c r="L18" s="59" t="s">
        <v>254</v>
      </c>
      <c r="M18" s="59" t="s">
        <v>255</v>
      </c>
      <c r="N18" s="59" t="s">
        <v>256</v>
      </c>
      <c r="O18" s="59" t="s">
        <v>260</v>
      </c>
      <c r="P18" s="59" t="s">
        <v>261</v>
      </c>
      <c r="Q18" s="59" t="s">
        <v>262</v>
      </c>
      <c r="R18" s="59" t="s">
        <v>263</v>
      </c>
      <c r="S18" s="59" t="s">
        <v>264</v>
      </c>
      <c r="T18" s="59" t="s">
        <v>265</v>
      </c>
      <c r="U18" s="59" t="s">
        <v>266</v>
      </c>
      <c r="V18" s="59" t="s">
        <v>267</v>
      </c>
      <c r="W18" s="59" t="s">
        <v>268</v>
      </c>
      <c r="X18" s="59" t="s">
        <v>269</v>
      </c>
      <c r="Y18" s="59" t="s">
        <v>270</v>
      </c>
      <c r="Z18" s="59" t="s">
        <v>271</v>
      </c>
    </row>
    <row r="19" spans="1:26" ht="15" thickBot="1" x14ac:dyDescent="0.4">
      <c r="A19" s="60">
        <v>2010</v>
      </c>
      <c r="B19" s="61">
        <v>1.78</v>
      </c>
      <c r="C19" s="67">
        <v>0.375</v>
      </c>
      <c r="D19" s="67">
        <v>0</v>
      </c>
      <c r="E19" s="67">
        <v>0</v>
      </c>
      <c r="F19" s="67">
        <v>0</v>
      </c>
      <c r="G19" s="67">
        <v>0</v>
      </c>
      <c r="H19" s="67">
        <v>0.16300000000000001</v>
      </c>
      <c r="I19" s="67">
        <v>0.184</v>
      </c>
      <c r="J19" s="67">
        <v>0</v>
      </c>
      <c r="K19" s="67">
        <v>0</v>
      </c>
      <c r="L19" s="67">
        <v>0</v>
      </c>
      <c r="M19" s="67">
        <v>0</v>
      </c>
      <c r="N19" s="67">
        <v>0.14099999999999999</v>
      </c>
      <c r="O19" s="67">
        <v>0.184</v>
      </c>
      <c r="P19" s="67">
        <v>0</v>
      </c>
      <c r="Q19" s="67">
        <v>0</v>
      </c>
      <c r="R19" s="67">
        <v>0</v>
      </c>
      <c r="S19" s="67">
        <v>0</v>
      </c>
      <c r="T19" s="67">
        <v>1.2E-2</v>
      </c>
      <c r="U19" s="67">
        <v>0.184</v>
      </c>
      <c r="V19" s="67">
        <v>0</v>
      </c>
      <c r="W19" s="67">
        <v>0</v>
      </c>
      <c r="X19" s="67">
        <v>0</v>
      </c>
      <c r="Y19" s="67">
        <v>0</v>
      </c>
      <c r="Z19" s="67">
        <v>2.4E-2</v>
      </c>
    </row>
    <row r="20" spans="1:26" ht="15" thickBot="1" x14ac:dyDescent="0.4">
      <c r="A20" s="60">
        <v>2020</v>
      </c>
      <c r="B20" s="61">
        <v>1.78</v>
      </c>
      <c r="C20" s="67">
        <v>0.42499999999999999</v>
      </c>
      <c r="D20" s="67">
        <v>0</v>
      </c>
      <c r="E20" s="67">
        <v>0</v>
      </c>
      <c r="F20" s="67">
        <v>0</v>
      </c>
      <c r="G20" s="67">
        <v>5.2999999999999999E-2</v>
      </c>
      <c r="H20" s="67">
        <v>0.16300000000000001</v>
      </c>
      <c r="I20" s="67">
        <v>0.28000000000000003</v>
      </c>
      <c r="J20" s="67">
        <v>0</v>
      </c>
      <c r="K20" s="67">
        <v>0</v>
      </c>
      <c r="L20" s="67">
        <v>0</v>
      </c>
      <c r="M20" s="67">
        <v>4.2999999999999997E-2</v>
      </c>
      <c r="N20" s="67">
        <v>0.14099999999999999</v>
      </c>
      <c r="O20" s="67">
        <v>0.28000000000000003</v>
      </c>
      <c r="P20" s="67">
        <v>0</v>
      </c>
      <c r="Q20" s="67">
        <v>0</v>
      </c>
      <c r="R20" s="67">
        <v>0</v>
      </c>
      <c r="S20" s="67">
        <v>4.2999999999999997E-2</v>
      </c>
      <c r="T20" s="67">
        <v>1.2E-2</v>
      </c>
      <c r="U20" s="67">
        <v>0.28000000000000003</v>
      </c>
      <c r="V20" s="67">
        <v>0</v>
      </c>
      <c r="W20" s="67">
        <v>0</v>
      </c>
      <c r="X20" s="67">
        <v>0</v>
      </c>
      <c r="Y20" s="67">
        <v>4.2999999999999997E-2</v>
      </c>
      <c r="Z20" s="67">
        <v>2.4E-2</v>
      </c>
    </row>
    <row r="21" spans="1:26" ht="15" thickBot="1" x14ac:dyDescent="0.4">
      <c r="A21" s="60">
        <v>2030</v>
      </c>
      <c r="B21" s="61">
        <v>1.78</v>
      </c>
      <c r="C21" s="67">
        <v>0.45600000000000002</v>
      </c>
      <c r="D21" s="67">
        <v>0</v>
      </c>
      <c r="E21" s="67">
        <v>0</v>
      </c>
      <c r="F21" s="67">
        <v>0</v>
      </c>
      <c r="G21" s="67">
        <v>5.2999999999999999E-2</v>
      </c>
      <c r="H21" s="67">
        <v>0.16300000000000001</v>
      </c>
      <c r="I21" s="67">
        <v>0.35099999999999998</v>
      </c>
      <c r="J21" s="67">
        <v>0</v>
      </c>
      <c r="K21" s="67">
        <v>0</v>
      </c>
      <c r="L21" s="67">
        <v>0</v>
      </c>
      <c r="M21" s="67">
        <v>4.2999999999999997E-2</v>
      </c>
      <c r="N21" s="67">
        <v>0.14099999999999999</v>
      </c>
      <c r="O21" s="67">
        <v>0.35099999999999998</v>
      </c>
      <c r="P21" s="67">
        <v>0</v>
      </c>
      <c r="Q21" s="67">
        <v>0</v>
      </c>
      <c r="R21" s="67">
        <v>0</v>
      </c>
      <c r="S21" s="67">
        <v>4.2999999999999997E-2</v>
      </c>
      <c r="T21" s="67">
        <v>1.2E-2</v>
      </c>
      <c r="U21" s="67">
        <v>0.35099999999999998</v>
      </c>
      <c r="V21" s="67">
        <v>0</v>
      </c>
      <c r="W21" s="67">
        <v>0</v>
      </c>
      <c r="X21" s="67">
        <v>0</v>
      </c>
      <c r="Y21" s="67">
        <v>4.2999999999999997E-2</v>
      </c>
      <c r="Z21" s="67">
        <v>2.4E-2</v>
      </c>
    </row>
    <row r="22" spans="1:26" ht="15" thickBot="1" x14ac:dyDescent="0.4">
      <c r="A22" s="60">
        <v>2040</v>
      </c>
      <c r="B22" s="61">
        <v>1.78</v>
      </c>
      <c r="C22" s="67">
        <v>0.45600000000000002</v>
      </c>
      <c r="D22" s="67">
        <v>0</v>
      </c>
      <c r="E22" s="67">
        <v>0</v>
      </c>
      <c r="F22" s="67">
        <v>0</v>
      </c>
      <c r="G22" s="67">
        <v>5.2999999999999999E-2</v>
      </c>
      <c r="H22" s="67">
        <v>0.16300000000000001</v>
      </c>
      <c r="I22" s="67">
        <v>0.35099999999999998</v>
      </c>
      <c r="J22" s="67">
        <v>0</v>
      </c>
      <c r="K22" s="67">
        <v>0</v>
      </c>
      <c r="L22" s="67">
        <v>0</v>
      </c>
      <c r="M22" s="67">
        <v>4.2999999999999997E-2</v>
      </c>
      <c r="N22" s="67">
        <v>0.14099999999999999</v>
      </c>
      <c r="O22" s="67">
        <v>0.35099999999999998</v>
      </c>
      <c r="P22" s="67">
        <v>0</v>
      </c>
      <c r="Q22" s="67">
        <v>0</v>
      </c>
      <c r="R22" s="67">
        <v>0</v>
      </c>
      <c r="S22" s="67">
        <v>4.2999999999999997E-2</v>
      </c>
      <c r="T22" s="67">
        <v>1.2E-2</v>
      </c>
      <c r="U22" s="67">
        <v>0.35099999999999998</v>
      </c>
      <c r="V22" s="67">
        <v>0</v>
      </c>
      <c r="W22" s="67">
        <v>0</v>
      </c>
      <c r="X22" s="67">
        <v>0</v>
      </c>
      <c r="Y22" s="67">
        <v>4.2999999999999997E-2</v>
      </c>
      <c r="Z22" s="67">
        <v>2.4E-2</v>
      </c>
    </row>
    <row r="23" spans="1:26" ht="15" thickBot="1" x14ac:dyDescent="0.4">
      <c r="A23" s="60">
        <v>2050</v>
      </c>
      <c r="B23" s="61">
        <v>1.78</v>
      </c>
      <c r="C23" s="67">
        <v>0.45600000000000002</v>
      </c>
      <c r="D23" s="67">
        <v>0</v>
      </c>
      <c r="E23" s="67">
        <v>0</v>
      </c>
      <c r="F23" s="67">
        <v>0</v>
      </c>
      <c r="G23" s="67">
        <v>5.2999999999999999E-2</v>
      </c>
      <c r="H23" s="67">
        <v>0.16300000000000001</v>
      </c>
      <c r="I23" s="67">
        <v>0.35099999999999998</v>
      </c>
      <c r="J23" s="67">
        <v>0</v>
      </c>
      <c r="K23" s="67">
        <v>0</v>
      </c>
      <c r="L23" s="67">
        <v>0</v>
      </c>
      <c r="M23" s="67">
        <v>4.2999999999999997E-2</v>
      </c>
      <c r="N23" s="67">
        <v>0.14099999999999999</v>
      </c>
      <c r="O23" s="67">
        <v>0.35099999999999998</v>
      </c>
      <c r="P23" s="67">
        <v>0</v>
      </c>
      <c r="Q23" s="67">
        <v>0</v>
      </c>
      <c r="R23" s="67">
        <v>0</v>
      </c>
      <c r="S23" s="67">
        <v>4.2999999999999997E-2</v>
      </c>
      <c r="T23" s="67">
        <v>1.2E-2</v>
      </c>
      <c r="U23" s="67">
        <v>0.35099999999999998</v>
      </c>
      <c r="V23" s="67">
        <v>0</v>
      </c>
      <c r="W23" s="67">
        <v>0</v>
      </c>
      <c r="X23" s="67">
        <v>0</v>
      </c>
      <c r="Y23" s="67">
        <v>4.2999999999999997E-2</v>
      </c>
      <c r="Z23" s="67">
        <v>2.4E-2</v>
      </c>
    </row>
    <row r="24" spans="1:26" ht="15" thickBot="1" x14ac:dyDescent="0.4"/>
    <row r="25" spans="1:26" ht="25.5" thickBot="1" x14ac:dyDescent="0.4">
      <c r="A25" s="68"/>
      <c r="B25" s="69" t="s">
        <v>279</v>
      </c>
      <c r="C25" s="69" t="s">
        <v>280</v>
      </c>
      <c r="D25" s="69" t="s">
        <v>281</v>
      </c>
    </row>
    <row r="26" spans="1:26" ht="15" thickBot="1" x14ac:dyDescent="0.4">
      <c r="A26" s="54"/>
      <c r="B26" s="70" t="s">
        <v>282</v>
      </c>
      <c r="C26" s="70" t="s">
        <v>282</v>
      </c>
      <c r="D26" s="70" t="s">
        <v>282</v>
      </c>
    </row>
    <row r="27" spans="1:26" ht="24.5" thickBot="1" x14ac:dyDescent="0.4">
      <c r="A27" s="57" t="s">
        <v>239</v>
      </c>
      <c r="B27" s="59" t="s">
        <v>283</v>
      </c>
      <c r="C27" s="59" t="s">
        <v>284</v>
      </c>
      <c r="D27" s="59" t="s">
        <v>285</v>
      </c>
    </row>
    <row r="28" spans="1:26" ht="15" thickBot="1" x14ac:dyDescent="0.4">
      <c r="A28" s="60">
        <v>2010</v>
      </c>
      <c r="B28" s="61">
        <v>7.65</v>
      </c>
      <c r="C28" s="61">
        <v>2.2000000000000002</v>
      </c>
      <c r="D28" s="61">
        <v>1.46</v>
      </c>
    </row>
    <row r="29" spans="1:26" ht="15" thickBot="1" x14ac:dyDescent="0.4">
      <c r="A29" s="60">
        <v>2020</v>
      </c>
      <c r="B29" s="61">
        <v>7.65</v>
      </c>
      <c r="C29" s="61">
        <v>2.2000000000000002</v>
      </c>
      <c r="D29" s="61">
        <v>2.92</v>
      </c>
    </row>
    <row r="30" spans="1:26" ht="15" thickBot="1" x14ac:dyDescent="0.4">
      <c r="A30" s="60">
        <v>2030</v>
      </c>
      <c r="B30" s="61">
        <v>7.65</v>
      </c>
      <c r="C30" s="61">
        <v>2.2000000000000002</v>
      </c>
      <c r="D30" s="61">
        <v>4.37</v>
      </c>
    </row>
    <row r="31" spans="1:26" ht="15" thickBot="1" x14ac:dyDescent="0.4">
      <c r="A31" s="60">
        <v>2040</v>
      </c>
      <c r="B31" s="61">
        <v>7.65</v>
      </c>
      <c r="C31" s="61">
        <v>2.2000000000000002</v>
      </c>
      <c r="D31" s="61">
        <v>4.37</v>
      </c>
    </row>
    <row r="32" spans="1:26" ht="15" thickBot="1" x14ac:dyDescent="0.4">
      <c r="A32" s="60">
        <v>2050</v>
      </c>
      <c r="B32" s="61">
        <v>7.65</v>
      </c>
      <c r="C32" s="61">
        <v>2.2000000000000002</v>
      </c>
      <c r="D32" s="61">
        <v>4.37</v>
      </c>
    </row>
    <row r="34" spans="1:6" x14ac:dyDescent="0.35">
      <c r="A34" s="52" t="s">
        <v>286</v>
      </c>
    </row>
    <row r="35" spans="1:6" ht="15" thickBot="1" x14ac:dyDescent="0.4"/>
    <row r="36" spans="1:6" ht="15" thickBot="1" x14ac:dyDescent="0.4">
      <c r="A36" s="71" t="s">
        <v>287</v>
      </c>
      <c r="B36" s="63" t="s">
        <v>288</v>
      </c>
      <c r="C36" s="63"/>
      <c r="D36" s="63"/>
      <c r="E36" s="63"/>
      <c r="F36" s="55"/>
    </row>
    <row r="37" spans="1:6" x14ac:dyDescent="0.35">
      <c r="A37" s="158" t="s">
        <v>289</v>
      </c>
      <c r="B37" s="79" t="s">
        <v>312</v>
      </c>
      <c r="C37" s="79"/>
      <c r="D37" s="79"/>
      <c r="E37" s="79"/>
      <c r="F37" s="80"/>
    </row>
    <row r="38" spans="1:6" ht="15" thickBot="1" x14ac:dyDescent="0.4">
      <c r="A38" s="159"/>
      <c r="B38" s="81" t="s">
        <v>290</v>
      </c>
      <c r="C38" s="81"/>
      <c r="D38" s="81"/>
      <c r="E38" s="81"/>
      <c r="F38" s="82"/>
    </row>
    <row r="39" spans="1:6" x14ac:dyDescent="0.35">
      <c r="A39" s="160" t="s">
        <v>280</v>
      </c>
      <c r="B39" s="76" t="s">
        <v>313</v>
      </c>
      <c r="C39" s="76"/>
      <c r="D39" s="76"/>
      <c r="E39" s="76"/>
      <c r="F39" s="75"/>
    </row>
    <row r="40" spans="1:6" ht="15" thickBot="1" x14ac:dyDescent="0.4">
      <c r="A40" s="162"/>
      <c r="B40" s="77" t="s">
        <v>290</v>
      </c>
      <c r="C40" s="77"/>
      <c r="D40" s="77"/>
      <c r="E40" s="77"/>
      <c r="F40" s="73"/>
    </row>
    <row r="41" spans="1:6" x14ac:dyDescent="0.35">
      <c r="A41" s="158" t="s">
        <v>291</v>
      </c>
      <c r="B41" s="79" t="s">
        <v>292</v>
      </c>
      <c r="C41" s="79"/>
      <c r="D41" s="79"/>
      <c r="E41" s="79"/>
      <c r="F41" s="80"/>
    </row>
    <row r="42" spans="1:6" ht="15" thickBot="1" x14ac:dyDescent="0.4">
      <c r="A42" s="159"/>
      <c r="B42" s="81" t="s">
        <v>293</v>
      </c>
      <c r="C42" s="81"/>
      <c r="D42" s="81"/>
      <c r="E42" s="81"/>
      <c r="F42" s="82"/>
    </row>
    <row r="43" spans="1:6" x14ac:dyDescent="0.35">
      <c r="A43" s="160" t="s">
        <v>294</v>
      </c>
      <c r="B43" s="76" t="s">
        <v>312</v>
      </c>
      <c r="C43" s="76"/>
      <c r="D43" s="76"/>
      <c r="E43" s="76"/>
      <c r="F43" s="75"/>
    </row>
    <row r="44" spans="1:6" ht="15" thickBot="1" x14ac:dyDescent="0.4">
      <c r="A44" s="162"/>
      <c r="B44" s="77" t="s">
        <v>290</v>
      </c>
      <c r="C44" s="77"/>
      <c r="D44" s="77"/>
      <c r="E44" s="77"/>
      <c r="F44" s="73"/>
    </row>
    <row r="45" spans="1:6" x14ac:dyDescent="0.35">
      <c r="A45" s="158" t="s">
        <v>295</v>
      </c>
      <c r="B45" s="79" t="s">
        <v>312</v>
      </c>
      <c r="C45" s="79"/>
      <c r="D45" s="79"/>
      <c r="E45" s="79"/>
      <c r="F45" s="80"/>
    </row>
    <row r="46" spans="1:6" ht="15" thickBot="1" x14ac:dyDescent="0.4">
      <c r="A46" s="159"/>
      <c r="B46" s="81" t="s">
        <v>290</v>
      </c>
      <c r="C46" s="81"/>
      <c r="D46" s="81"/>
      <c r="E46" s="81"/>
      <c r="F46" s="82"/>
    </row>
    <row r="47" spans="1:6" x14ac:dyDescent="0.35">
      <c r="A47" s="160" t="s">
        <v>296</v>
      </c>
      <c r="B47" s="78" t="s">
        <v>297</v>
      </c>
      <c r="C47" s="78"/>
      <c r="D47" s="78"/>
      <c r="E47" s="78"/>
      <c r="F47" s="72"/>
    </row>
    <row r="48" spans="1:6" x14ac:dyDescent="0.35">
      <c r="A48" s="161"/>
      <c r="B48" s="76" t="s">
        <v>314</v>
      </c>
      <c r="C48" s="76"/>
      <c r="D48" s="76"/>
      <c r="E48" s="76"/>
      <c r="F48" s="75"/>
    </row>
    <row r="49" spans="1:6" ht="15" thickBot="1" x14ac:dyDescent="0.4">
      <c r="A49" s="162"/>
      <c r="B49" s="77" t="s">
        <v>298</v>
      </c>
      <c r="C49" s="77"/>
      <c r="D49" s="77"/>
      <c r="E49" s="77"/>
      <c r="F49" s="73"/>
    </row>
    <row r="50" spans="1:6" x14ac:dyDescent="0.35">
      <c r="A50" s="158" t="s">
        <v>299</v>
      </c>
      <c r="B50" s="83" t="s">
        <v>297</v>
      </c>
      <c r="C50" s="83"/>
      <c r="D50" s="83"/>
      <c r="E50" s="83"/>
      <c r="F50" s="84"/>
    </row>
    <row r="51" spans="1:6" x14ac:dyDescent="0.35">
      <c r="A51" s="163"/>
      <c r="B51" s="79" t="s">
        <v>314</v>
      </c>
      <c r="C51" s="79"/>
      <c r="D51" s="79"/>
      <c r="E51" s="79"/>
      <c r="F51" s="80"/>
    </row>
    <row r="52" spans="1:6" ht="15" thickBot="1" x14ac:dyDescent="0.4">
      <c r="A52" s="159"/>
      <c r="B52" s="81" t="s">
        <v>298</v>
      </c>
      <c r="C52" s="81"/>
      <c r="D52" s="81"/>
      <c r="E52" s="81"/>
      <c r="F52" s="82"/>
    </row>
    <row r="53" spans="1:6" x14ac:dyDescent="0.35">
      <c r="A53" s="160" t="s">
        <v>300</v>
      </c>
      <c r="B53" s="76" t="s">
        <v>313</v>
      </c>
      <c r="C53" s="76"/>
      <c r="D53" s="76"/>
      <c r="E53" s="76"/>
      <c r="F53" s="75"/>
    </row>
    <row r="54" spans="1:6" x14ac:dyDescent="0.35">
      <c r="A54" s="161"/>
      <c r="B54" s="78" t="s">
        <v>290</v>
      </c>
      <c r="C54" s="78"/>
      <c r="D54" s="78"/>
      <c r="E54" s="78"/>
      <c r="F54" s="72"/>
    </row>
    <row r="55" spans="1:6" ht="15" thickBot="1" x14ac:dyDescent="0.4">
      <c r="A55" s="162"/>
      <c r="B55" s="77" t="s">
        <v>301</v>
      </c>
      <c r="C55" s="77"/>
      <c r="D55" s="77"/>
      <c r="E55" s="77"/>
      <c r="F55" s="73"/>
    </row>
    <row r="56" spans="1:6" x14ac:dyDescent="0.35">
      <c r="A56" s="158" t="s">
        <v>302</v>
      </c>
      <c r="B56" s="83" t="s">
        <v>315</v>
      </c>
      <c r="C56" s="83"/>
      <c r="D56" s="83"/>
      <c r="E56" s="83"/>
      <c r="F56" s="84"/>
    </row>
    <row r="57" spans="1:6" ht="15" thickBot="1" x14ac:dyDescent="0.4">
      <c r="A57" s="159"/>
      <c r="B57" s="81" t="s">
        <v>303</v>
      </c>
      <c r="C57" s="81"/>
      <c r="D57" s="81"/>
      <c r="E57" s="81"/>
      <c r="F57" s="82"/>
    </row>
    <row r="58" spans="1:6" x14ac:dyDescent="0.35">
      <c r="A58" s="160" t="s">
        <v>304</v>
      </c>
      <c r="B58" s="76" t="s">
        <v>316</v>
      </c>
      <c r="C58" s="76"/>
      <c r="D58" s="76"/>
      <c r="E58" s="76"/>
      <c r="F58" s="75"/>
    </row>
    <row r="59" spans="1:6" ht="15" thickBot="1" x14ac:dyDescent="0.4">
      <c r="A59" s="162"/>
      <c r="B59" s="77" t="s">
        <v>290</v>
      </c>
      <c r="C59" s="77"/>
      <c r="D59" s="77"/>
      <c r="E59" s="77"/>
      <c r="F59" s="73"/>
    </row>
    <row r="60" spans="1:6" x14ac:dyDescent="0.35">
      <c r="A60" s="158" t="s">
        <v>305</v>
      </c>
      <c r="B60" s="83" t="s">
        <v>306</v>
      </c>
      <c r="C60" s="83"/>
      <c r="D60" s="83"/>
      <c r="E60" s="83"/>
      <c r="F60" s="84"/>
    </row>
    <row r="61" spans="1:6" ht="15" thickBot="1" x14ac:dyDescent="0.4">
      <c r="A61" s="159"/>
      <c r="B61" s="81" t="s">
        <v>293</v>
      </c>
      <c r="C61" s="81"/>
      <c r="D61" s="81"/>
      <c r="E61" s="81"/>
      <c r="F61" s="82"/>
    </row>
    <row r="62" spans="1:6" ht="15" thickBot="1" x14ac:dyDescent="0.4">
      <c r="A62" s="74" t="s">
        <v>307</v>
      </c>
      <c r="B62" s="77" t="s">
        <v>308</v>
      </c>
      <c r="C62" s="77"/>
      <c r="D62" s="77"/>
      <c r="E62" s="77"/>
      <c r="F62" s="73"/>
    </row>
    <row r="63" spans="1:6" x14ac:dyDescent="0.35">
      <c r="A63" s="158" t="s">
        <v>309</v>
      </c>
      <c r="B63" s="83" t="s">
        <v>292</v>
      </c>
      <c r="C63" s="83"/>
      <c r="D63" s="83"/>
      <c r="E63" s="83"/>
      <c r="F63" s="84"/>
    </row>
    <row r="64" spans="1:6" ht="15" thickBot="1" x14ac:dyDescent="0.4">
      <c r="A64" s="159"/>
      <c r="B64" s="81" t="s">
        <v>293</v>
      </c>
      <c r="C64" s="81"/>
      <c r="D64" s="81"/>
      <c r="E64" s="81"/>
      <c r="F64" s="82"/>
    </row>
    <row r="65" spans="1:6" x14ac:dyDescent="0.35">
      <c r="A65" s="160" t="s">
        <v>310</v>
      </c>
      <c r="B65" s="76" t="s">
        <v>314</v>
      </c>
      <c r="C65" s="76"/>
      <c r="D65" s="76"/>
      <c r="E65" s="76"/>
      <c r="F65" s="75"/>
    </row>
    <row r="66" spans="1:6" x14ac:dyDescent="0.35">
      <c r="A66" s="161"/>
      <c r="B66" s="78" t="s">
        <v>311</v>
      </c>
      <c r="C66" s="78"/>
      <c r="D66" s="78"/>
      <c r="E66" s="78"/>
      <c r="F66" s="72"/>
    </row>
    <row r="67" spans="1:6" ht="15" thickBot="1" x14ac:dyDescent="0.4">
      <c r="A67" s="162"/>
      <c r="B67" s="77" t="s">
        <v>298</v>
      </c>
      <c r="C67" s="77"/>
      <c r="D67" s="77"/>
      <c r="E67" s="77"/>
      <c r="F67" s="73"/>
    </row>
  </sheetData>
  <mergeCells count="24">
    <mergeCell ref="A43:A44"/>
    <mergeCell ref="C5:Z5"/>
    <mergeCell ref="C16:H16"/>
    <mergeCell ref="I16:N16"/>
    <mergeCell ref="O6:T6"/>
    <mergeCell ref="U6:Z6"/>
    <mergeCell ref="C15:Z15"/>
    <mergeCell ref="A5:A6"/>
    <mergeCell ref="C6:H6"/>
    <mergeCell ref="I6:N6"/>
    <mergeCell ref="O16:T16"/>
    <mergeCell ref="U16:Z16"/>
    <mergeCell ref="A37:A38"/>
    <mergeCell ref="A39:A40"/>
    <mergeCell ref="A41:A42"/>
    <mergeCell ref="A60:A61"/>
    <mergeCell ref="A63:A64"/>
    <mergeCell ref="A65:A67"/>
    <mergeCell ref="A45:A46"/>
    <mergeCell ref="A47:A49"/>
    <mergeCell ref="A50:A52"/>
    <mergeCell ref="A53:A55"/>
    <mergeCell ref="A56:A57"/>
    <mergeCell ref="A58:A5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sheetPr>
  <dimension ref="A1:B97"/>
  <sheetViews>
    <sheetView workbookViewId="0"/>
  </sheetViews>
  <sheetFormatPr defaultRowHeight="14.5" x14ac:dyDescent="0.35"/>
  <cols>
    <col min="1" max="1" width="32.1796875" customWidth="1"/>
    <col min="2" max="2" width="39.7265625" bestFit="1" customWidth="1"/>
  </cols>
  <sheetData>
    <row r="1" spans="1:2" ht="21" x14ac:dyDescent="0.5">
      <c r="A1" s="53" t="s">
        <v>318</v>
      </c>
    </row>
    <row r="3" spans="1:2" x14ac:dyDescent="0.35">
      <c r="A3" t="s">
        <v>319</v>
      </c>
    </row>
    <row r="5" spans="1:2" x14ac:dyDescent="0.35">
      <c r="A5" s="52" t="s">
        <v>326</v>
      </c>
    </row>
    <row r="6" spans="1:2" ht="15" thickBot="1" x14ac:dyDescent="0.4"/>
    <row r="7" spans="1:2" ht="15" thickBot="1" x14ac:dyDescent="0.4">
      <c r="A7" s="71" t="s">
        <v>320</v>
      </c>
      <c r="B7" s="85" t="s">
        <v>321</v>
      </c>
    </row>
    <row r="8" spans="1:2" ht="15" thickBot="1" x14ac:dyDescent="0.4">
      <c r="A8" s="86" t="s">
        <v>322</v>
      </c>
      <c r="B8" s="87" t="s">
        <v>323</v>
      </c>
    </row>
    <row r="9" spans="1:2" ht="15" thickBot="1" x14ac:dyDescent="0.4">
      <c r="A9" s="88" t="s">
        <v>324</v>
      </c>
      <c r="B9" s="89" t="s">
        <v>325</v>
      </c>
    </row>
    <row r="27" spans="1:1" x14ac:dyDescent="0.35">
      <c r="A27" s="52" t="s">
        <v>327</v>
      </c>
    </row>
    <row r="43" spans="1:1" x14ac:dyDescent="0.35">
      <c r="A43" s="52" t="s">
        <v>328</v>
      </c>
    </row>
    <row r="62" spans="1:2" x14ac:dyDescent="0.35">
      <c r="A62" s="52" t="s">
        <v>329</v>
      </c>
    </row>
    <row r="63" spans="1:2" ht="15" thickBot="1" x14ac:dyDescent="0.4"/>
    <row r="64" spans="1:2" ht="15" thickBot="1" x14ac:dyDescent="0.4">
      <c r="A64" s="71" t="s">
        <v>335</v>
      </c>
      <c r="B64" s="85" t="s">
        <v>336</v>
      </c>
    </row>
    <row r="65" spans="1:2" ht="15" thickBot="1" x14ac:dyDescent="0.4">
      <c r="A65" s="86" t="s">
        <v>330</v>
      </c>
      <c r="B65" s="87" t="s">
        <v>331</v>
      </c>
    </row>
    <row r="66" spans="1:2" ht="15" thickBot="1" x14ac:dyDescent="0.4">
      <c r="A66" s="88" t="s">
        <v>332</v>
      </c>
      <c r="B66" s="89" t="s">
        <v>333</v>
      </c>
    </row>
    <row r="97" spans="1:1" x14ac:dyDescent="0.35">
      <c r="A97" s="52" t="s">
        <v>334</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ProjectDocument" ma:contentTypeID="0x01010032D923E531974EABBC32AD71A762C58D00D2425473D9DE461DB1C714AC4872504A00F188F1309147B242BFDEC98E62BA2DC2" ma:contentTypeVersion="3" ma:contentTypeDescription="Een nieuw document maken." ma:contentTypeScope="" ma:versionID="6190a0b4c5a0acbc6d34c5d20c5fbd25">
  <xsd:schema xmlns:xsd="http://www.w3.org/2001/XMLSchema" xmlns:xs="http://www.w3.org/2001/XMLSchema" xmlns:p="http://schemas.microsoft.com/office/2006/metadata/properties" xmlns:ns2="850f1e76-e290-4779-b859-23d729297c51" targetNamespace="http://schemas.microsoft.com/office/2006/metadata/properties" ma:root="true" ma:fieldsID="285dd8658892838357fd3b52aeb00aeb" ns2:_="">
    <xsd:import namespace="850f1e76-e290-4779-b859-23d729297c51"/>
    <xsd:element name="properties">
      <xsd:complexType>
        <xsd:sequence>
          <xsd:element name="documentManagement">
            <xsd:complexType>
              <xsd:all>
                <xsd:element ref="ns2:SureECM_ProjectName" minOccurs="0"/>
                <xsd:element ref="ns2:SureECM_ProjectNumber" minOccurs="0"/>
                <xsd:element ref="ns2:SureECM_ClientName" minOccurs="0"/>
                <xsd:element ref="ns2:SureECM_ProjectLeader" minOccurs="0"/>
                <xsd:element ref="ns2:SureECM_ProjectFaseTaxHTField0" minOccurs="0"/>
                <xsd:element ref="ns2:acf0689dc3b949abb655ab78c2e0f99c" minOccurs="0"/>
                <xsd:element ref="ns2:TaxCatchAll" minOccurs="0"/>
                <xsd:element ref="ns2:TaxCatchAllLabel" minOccurs="0"/>
                <xsd:element ref="ns2:lca88ee71ce7428c86da6846b19763e3" minOccurs="0"/>
                <xsd:element ref="ns2:TaxKeyword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0f1e76-e290-4779-b859-23d729297c51" elementFormDefault="qualified">
    <xsd:import namespace="http://schemas.microsoft.com/office/2006/documentManagement/types"/>
    <xsd:import namespace="http://schemas.microsoft.com/office/infopath/2007/PartnerControls"/>
    <xsd:element name="SureECM_ProjectName" ma:index="8" nillable="true" ma:displayName="Projectnaam" ma:internalName="SureECM_ProjectName">
      <xsd:simpleType>
        <xsd:restriction base="dms:Text"/>
      </xsd:simpleType>
    </xsd:element>
    <xsd:element name="SureECM_ProjectNumber" ma:index="9" nillable="true" ma:displayName="Projectnummer" ma:internalName="SureECM_ProjectNumber">
      <xsd:simpleType>
        <xsd:restriction base="dms:Text">
          <xsd:maxLength value="255"/>
        </xsd:restriction>
      </xsd:simpleType>
    </xsd:element>
    <xsd:element name="SureECM_ClientName" ma:index="10" nillable="true" ma:displayName="Opdrachtgever" ma:SharePointGroup="0" ma:internalName="SureECM_ClientNam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ureECM_ProjectLeader" ma:index="11" nillable="true" ma:displayName="Projectleider" ma:internalName="SureECM_ProjectLead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ureECM_ProjectFaseTaxHTField0" ma:index="12" nillable="true" ma:taxonomy="true" ma:internalName="SureECM_ProjectFaseTaxHTField0" ma:taxonomyFieldName="SureECM_ProjectFase" ma:displayName="Projectfase" ma:readOnly="false" ma:default="1;#1|344ddbc6-b8ca-4407-8593-4a569d0d2a68" ma:fieldId="{aaf7d00f-ef44-4e4f-9bfe-6e1c6b2262e1}" ma:sspId="b15848ff-ca16-4813-bad8-a92d09325781" ma:termSetId="daef2c36-05f6-4ec3-a3df-8d68228409ed" ma:anchorId="00000000-0000-0000-0000-000000000000" ma:open="false" ma:isKeyword="false">
      <xsd:complexType>
        <xsd:sequence>
          <xsd:element ref="pc:Terms" minOccurs="0" maxOccurs="1"/>
        </xsd:sequence>
      </xsd:complexType>
    </xsd:element>
    <xsd:element name="acf0689dc3b949abb655ab78c2e0f99c" ma:index="14" nillable="true" ma:taxonomy="true" ma:internalName="acf0689dc3b949abb655ab78c2e0f99c" ma:taxonomyFieldName="Sector" ma:displayName="Sector" ma:default="" ma:fieldId="{acf0689d-c3b9-49ab-b655-ab78c2e0f99c}" ma:sspId="b15848ff-ca16-4813-bad8-a92d09325781" ma:termSetId="5e03380a-e66b-435b-ab66-f20a0a2d71a9" ma:anchorId="00000000-0000-0000-0000-000000000000" ma:open="false" ma:isKeyword="false">
      <xsd:complexType>
        <xsd:sequence>
          <xsd:element ref="pc:Terms" minOccurs="0" maxOccurs="1"/>
        </xsd:sequence>
      </xsd:complexType>
    </xsd:element>
    <xsd:element name="TaxCatchAll" ma:index="15" nillable="true" ma:displayName="Taxonomy Catch All Column" ma:description="" ma:hidden="true" ma:list="{4cdce98b-5795-4668-9543-1ee76025d68d}" ma:internalName="TaxCatchAll" ma:showField="CatchAllData" ma:web="acf7ce2e-0363-40d7-b141-0508b3848a76">
      <xsd:complexType>
        <xsd:complexContent>
          <xsd:extension base="dms:MultiChoiceLookup">
            <xsd:sequence>
              <xsd:element name="Value" type="dms:Lookup" maxOccurs="unbounded" minOccurs="0" nillable="true"/>
            </xsd:sequence>
          </xsd:extension>
        </xsd:complexContent>
      </xsd:complexType>
    </xsd:element>
    <xsd:element name="TaxCatchAllLabel" ma:index="16" nillable="true" ma:displayName="Taxonomy Catch All Column1" ma:description="" ma:hidden="true" ma:list="{4cdce98b-5795-4668-9543-1ee76025d68d}" ma:internalName="TaxCatchAllLabel" ma:readOnly="true" ma:showField="CatchAllDataLabel" ma:web="acf7ce2e-0363-40d7-b141-0508b3848a76">
      <xsd:complexType>
        <xsd:complexContent>
          <xsd:extension base="dms:MultiChoiceLookup">
            <xsd:sequence>
              <xsd:element name="Value" type="dms:Lookup" maxOccurs="unbounded" minOccurs="0" nillable="true"/>
            </xsd:sequence>
          </xsd:extension>
        </xsd:complexContent>
      </xsd:complexType>
    </xsd:element>
    <xsd:element name="lca88ee71ce7428c86da6846b19763e3" ma:index="18" nillable="true" ma:taxonomy="true" ma:internalName="lca88ee71ce7428c86da6846b19763e3" ma:taxonomyFieldName="Thema" ma:displayName="Thema" ma:default="" ma:fieldId="{5ca88ee7-1ce7-428c-86da-6846b19763e3}" ma:taxonomyMulti="true" ma:sspId="b15848ff-ca16-4813-bad8-a92d09325781" ma:termSetId="5ebe3af2-8dfb-4688-8412-0cb710041cd4" ma:anchorId="00000000-0000-0000-0000-000000000000" ma:open="false" ma:isKeyword="false">
      <xsd:complexType>
        <xsd:sequence>
          <xsd:element ref="pc:Terms" minOccurs="0" maxOccurs="1"/>
        </xsd:sequence>
      </xsd:complexType>
    </xsd:element>
    <xsd:element name="TaxKeywordTaxHTField" ma:index="20" nillable="true" ma:taxonomy="true" ma:internalName="TaxKeywordTaxHTField" ma:taxonomyFieldName="TaxKeyword" ma:displayName="Ondernemingstrefwoorden" ma:fieldId="{23f27201-bee3-471e-b2e7-b64fd8b7ca38}" ma:taxonomyMulti="true" ma:sspId="39e35c83-584b-4c74-802e-2bf240529e84"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b15848ff-ca16-4813-bad8-a92d09325781" ContentTypeId="0x01010032D923E531974EABBC32AD71A762C58D00D2425473D9DE461DB1C714AC4872504A" PreviousValue="false"/>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850f1e76-e290-4779-b859-23d729297c51">
      <Value>7</Value>
      <Value>6</Value>
    </TaxCatchAll>
    <SureECM_ProjectNumber xmlns="850f1e76-e290-4779-b859-23d729297c51">5.N82a</SureECM_ProjectNumber>
    <SureECM_ClientName xmlns="850f1e76-e290-4779-b859-23d729297c51">
      <UserInfo>
        <DisplayName/>
        <AccountId xsi:nil="true"/>
        <AccountType/>
      </UserInfo>
    </SureECM_ClientName>
    <lca88ee71ce7428c86da6846b19763e3 xmlns="850f1e76-e290-4779-b859-23d729297c51">
      <Terms xmlns="http://schemas.microsoft.com/office/infopath/2007/PartnerControls">
        <TermInfo xmlns="http://schemas.microsoft.com/office/infopath/2007/PartnerControls">
          <TermName xmlns="http://schemas.microsoft.com/office/infopath/2007/PartnerControls">Energie in de stedelijke omgeving</TermName>
          <TermId xmlns="http://schemas.microsoft.com/office/infopath/2007/PartnerControls">875d1623-2a72-4548-b2cc-c608caf05732</TermId>
        </TermInfo>
      </Terms>
    </lca88ee71ce7428c86da6846b19763e3>
    <SureECM_ProjectName xmlns="850f1e76-e290-4779-b859-23d729297c51">LTwarmtenetten voor VESTA</SureECM_ProjectName>
    <TaxKeywordTaxHTField xmlns="850f1e76-e290-4779-b859-23d729297c51">
      <Terms xmlns="http://schemas.microsoft.com/office/infopath/2007/PartnerControls"/>
    </TaxKeywordTaxHTField>
    <acf0689dc3b949abb655ab78c2e0f99c xmlns="850f1e76-e290-4779-b859-23d729297c51">
      <Terms xmlns="http://schemas.microsoft.com/office/infopath/2007/PartnerControls">
        <TermInfo xmlns="http://schemas.microsoft.com/office/infopath/2007/PartnerControls">
          <TermName xmlns="http://schemas.microsoft.com/office/infopath/2007/PartnerControls">Energie</TermName>
          <TermId xmlns="http://schemas.microsoft.com/office/infopath/2007/PartnerControls">efcf7378-11f7-46b5-9f6b-a9b724849c23</TermId>
        </TermInfo>
      </Terms>
    </acf0689dc3b949abb655ab78c2e0f99c>
    <SureECM_ProjectFaseTaxHTField0 xmlns="850f1e76-e290-4779-b859-23d729297c51">
      <Terms xmlns="http://schemas.microsoft.com/office/infopath/2007/PartnerControls"/>
    </SureECM_ProjectFaseTaxHTField0>
    <SureECM_ProjectLeader xmlns="850f1e76-e290-4779-b859-23d729297c51">
      <UserInfo>
        <DisplayName>Katja Kruit</DisplayName>
        <AccountId>17</AccountId>
        <AccountType/>
      </UserInfo>
    </SureECM_ProjectLeader>
  </documentManagement>
</p:properties>
</file>

<file path=customXml/itemProps1.xml><?xml version="1.0" encoding="utf-8"?>
<ds:datastoreItem xmlns:ds="http://schemas.openxmlformats.org/officeDocument/2006/customXml" ds:itemID="{A5FEAD6F-43D3-4838-90A0-5D71E11462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0f1e76-e290-4779-b859-23d729297c5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65AAE0D-20CB-42C7-BF66-95C3A4E172C9}">
  <ds:schemaRefs>
    <ds:schemaRef ds:uri="Microsoft.SharePoint.Taxonomy.ContentTypeSync"/>
  </ds:schemaRefs>
</ds:datastoreItem>
</file>

<file path=customXml/itemProps3.xml><?xml version="1.0" encoding="utf-8"?>
<ds:datastoreItem xmlns:ds="http://schemas.openxmlformats.org/officeDocument/2006/customXml" ds:itemID="{19D3D47F-6AD5-4976-B9A8-4194521822E0}">
  <ds:schemaRefs>
    <ds:schemaRef ds:uri="http://schemas.microsoft.com/sharepoint/v3/contenttype/forms"/>
  </ds:schemaRefs>
</ds:datastoreItem>
</file>

<file path=customXml/itemProps4.xml><?xml version="1.0" encoding="utf-8"?>
<ds:datastoreItem xmlns:ds="http://schemas.openxmlformats.org/officeDocument/2006/customXml" ds:itemID="{BF1C2DD1-EFFA-4949-8526-DFC3192BD5FA}">
  <ds:schemaRefs>
    <ds:schemaRef ds:uri="http://schemas.microsoft.com/office/2006/metadata/properties"/>
    <ds:schemaRef ds:uri="http://purl.org/dc/dcmitype/"/>
    <ds:schemaRef ds:uri="http://schemas.openxmlformats.org/package/2006/metadata/core-properties"/>
    <ds:schemaRef ds:uri="850f1e76-e290-4779-b859-23d729297c51"/>
    <ds:schemaRef ds:uri="http://schemas.microsoft.com/office/2006/documentManagement/types"/>
    <ds:schemaRef ds:uri="http://purl.org/dc/elements/1.1/"/>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10</vt:i4>
      </vt:variant>
    </vt:vector>
  </HeadingPairs>
  <TitlesOfParts>
    <vt:vector size="10" baseType="lpstr">
      <vt:lpstr>Intro</vt:lpstr>
      <vt:lpstr>Invoer woningen en utiliteit</vt:lpstr>
      <vt:lpstr>WNet_LT_1</vt:lpstr>
      <vt:lpstr>WNet_LT_2</vt:lpstr>
      <vt:lpstr>WNet_LT_3</vt:lpstr>
      <vt:lpstr>Referentie</vt:lpstr>
      <vt:lpstr>GrWNet_STEG</vt:lpstr>
      <vt:lpstr>Energieprijzen</vt:lpstr>
      <vt:lpstr>Leercurves</vt:lpstr>
      <vt:lpstr>Hulpblad_B-factor</vt:lpstr>
    </vt:vector>
  </TitlesOfParts>
  <Company>CE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Validatievoorbeelden MAIS</dc:title>
  <dc:creator>Benno Schepers (CE Delft)</dc:creator>
  <cp:lastModifiedBy>Katja Kruit</cp:lastModifiedBy>
  <dcterms:created xsi:type="dcterms:W3CDTF">2015-11-03T10:47:44Z</dcterms:created>
  <dcterms:modified xsi:type="dcterms:W3CDTF">2018-08-22T10:13:48Z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0x01010032D923E531974EABBC32AD71A762C58D00D2425473D9DE461DB1C714AC4872504A00F188F1309147B242BFDEC98E62BA2DC2</vt:lpwstr>
  </property>
  <property fmtid="{D5CDD505-2E9C-101B-9397-08002B2CF9AE}" pid="3" name="lcac597a5b49440ea6babd04cf3d5f6f">
    <vt:lpwstr/>
  </property>
  <property fmtid="{D5CDD505-2E9C-101B-9397-08002B2CF9AE}" pid="4" name="Sector">
    <vt:lpwstr>6;#Energie|efcf7378-11f7-46b5-9f6b-a9b724849c23</vt:lpwstr>
  </property>
  <property fmtid="{D5CDD505-2E9C-101B-9397-08002B2CF9AE}" pid="5" name="TaxKeyword">
    <vt:lpwstr/>
  </property>
  <property fmtid="{D5CDD505-2E9C-101B-9397-08002B2CF9AE}" pid="6" name="Thema">
    <vt:lpwstr>7;#Energie in de stedelijke omgeving|875d1623-2a72-4548-b2cc-c608caf05732</vt:lpwstr>
  </property>
  <property fmtid="{D5CDD505-2E9C-101B-9397-08002B2CF9AE}" pid="7" name="SureECM_ProjectFase">
    <vt:lpwstr/>
  </property>
  <property fmtid="{D5CDD505-2E9C-101B-9397-08002B2CF9AE}" pid="8" name="Klant">
    <vt:lpwstr>Onbekend</vt:lpwstr>
  </property>
  <property fmtid="{D5CDD505-2E9C-101B-9397-08002B2CF9AE}" pid="9" name="CE bieb trefwoord">
    <vt:lpwstr/>
  </property>
  <property fmtid="{D5CDD505-2E9C-101B-9397-08002B2CF9AE}" pid="10" name="CE bieb brontype">
    <vt:lpwstr/>
  </property>
  <property fmtid="{D5CDD505-2E9C-101B-9397-08002B2CF9AE}" pid="11" name="Afdeling_x0020_CE">
    <vt:lpwstr/>
  </property>
  <property fmtid="{D5CDD505-2E9C-101B-9397-08002B2CF9AE}" pid="12" name="l12fe84a36864949a59878b19da0c598">
    <vt:lpwstr/>
  </property>
  <property fmtid="{D5CDD505-2E9C-101B-9397-08002B2CF9AE}" pid="13" name="k9f5989c231d40f9901a89ca9b8aa92c">
    <vt:lpwstr/>
  </property>
  <property fmtid="{D5CDD505-2E9C-101B-9397-08002B2CF9AE}" pid="14" name="Afdeling CE">
    <vt:lpwstr/>
  </property>
  <property fmtid="{D5CDD505-2E9C-101B-9397-08002B2CF9AE}" pid="15" name="Projectsite status">
    <vt:lpwstr>Actief</vt:lpwstr>
  </property>
</Properties>
</file>