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ds\OneDrive\Skrivebord\"/>
    </mc:Choice>
  </mc:AlternateContent>
  <xr:revisionPtr revIDLastSave="0" documentId="8_{F17098A9-52A6-4AAC-8746-5B10605E096A}" xr6:coauthVersionLast="47" xr6:coauthVersionMax="47" xr10:uidLastSave="{00000000-0000-0000-0000-000000000000}"/>
  <bookViews>
    <workbookView xWindow="-28920" yWindow="-120" windowWidth="29040" windowHeight="15840" xr2:uid="{22503CA1-E74F-46AA-B670-93D66666138E}"/>
  </bookViews>
  <sheets>
    <sheet name="Tilbud" sheetId="1" r:id="rId1"/>
    <sheet name="Ekstra" sheetId="2" r:id="rId2"/>
    <sheet name="Mateiale val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H22" i="3" s="1"/>
  <c r="F20" i="3"/>
  <c r="H20" i="3" s="1"/>
  <c r="F19" i="3"/>
  <c r="H19" i="3" s="1"/>
  <c r="F17" i="3"/>
  <c r="H17" i="3" s="1"/>
  <c r="F13" i="3"/>
  <c r="H13" i="3" s="1"/>
  <c r="F12" i="3"/>
  <c r="H12" i="3" s="1"/>
  <c r="F10" i="3"/>
  <c r="H10" i="3" s="1"/>
  <c r="K49" i="1"/>
  <c r="H49" i="1"/>
  <c r="K98" i="1"/>
  <c r="E99" i="1"/>
  <c r="E101" i="1" s="1"/>
  <c r="H96" i="1"/>
  <c r="H98" i="1" s="1"/>
  <c r="N85" i="1"/>
  <c r="O85" i="1" s="1"/>
  <c r="N84" i="1"/>
  <c r="O84" i="1" s="1"/>
  <c r="N83" i="1"/>
  <c r="O83" i="1" s="1"/>
  <c r="N72" i="1"/>
  <c r="O72" i="1" s="1"/>
  <c r="Q71" i="1" s="1"/>
  <c r="N65" i="1"/>
  <c r="O65" i="1" s="1"/>
  <c r="N66" i="1"/>
  <c r="O66" i="1" s="1"/>
  <c r="N67" i="1"/>
  <c r="O67" i="1" s="1"/>
  <c r="N68" i="1"/>
  <c r="O68" i="1" s="1"/>
  <c r="N69" i="1"/>
  <c r="O69" i="1" s="1"/>
  <c r="N64" i="1"/>
  <c r="O64" i="1" s="1"/>
  <c r="N56" i="1"/>
  <c r="O56" i="1" s="1"/>
  <c r="Q55" i="1" s="1"/>
  <c r="N51" i="1"/>
  <c r="H47" i="1"/>
  <c r="K47" i="1"/>
  <c r="H48" i="1"/>
  <c r="K48" i="1"/>
  <c r="H50" i="1"/>
  <c r="K50" i="1"/>
  <c r="H52" i="1"/>
  <c r="K52" i="1"/>
  <c r="H53" i="1"/>
  <c r="K53" i="1"/>
  <c r="K46" i="1"/>
  <c r="H46" i="1"/>
  <c r="K45" i="1"/>
  <c r="H45" i="1"/>
  <c r="K44" i="1"/>
  <c r="H44" i="1"/>
  <c r="K43" i="1"/>
  <c r="H43" i="1"/>
  <c r="K42" i="1"/>
  <c r="H42" i="1"/>
  <c r="N38" i="1"/>
  <c r="N37" i="1"/>
  <c r="N36" i="1"/>
  <c r="H35" i="1"/>
  <c r="O35" i="1" s="1"/>
  <c r="L34" i="1"/>
  <c r="N34" i="1" s="1"/>
  <c r="K39" i="1"/>
  <c r="H39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K22" i="1"/>
  <c r="H22" i="1"/>
  <c r="H19" i="1"/>
  <c r="O19" i="1" s="1"/>
  <c r="H17" i="1"/>
  <c r="H16" i="1"/>
  <c r="O16" i="1" s="1"/>
  <c r="H18" i="1"/>
  <c r="O18" i="1" s="1"/>
  <c r="O45" i="1" l="1"/>
  <c r="Q82" i="1"/>
  <c r="H24" i="3"/>
  <c r="O49" i="1"/>
  <c r="N98" i="1"/>
  <c r="Q63" i="1"/>
  <c r="O53" i="1"/>
  <c r="O51" i="1"/>
  <c r="O48" i="1"/>
  <c r="O46" i="1"/>
  <c r="O52" i="1"/>
  <c r="O47" i="1"/>
  <c r="O50" i="1"/>
  <c r="O23" i="1"/>
  <c r="O31" i="1"/>
  <c r="O43" i="1"/>
  <c r="O44" i="1"/>
  <c r="O42" i="1"/>
  <c r="O39" i="1"/>
  <c r="O38" i="1"/>
  <c r="O25" i="1"/>
  <c r="O26" i="1"/>
  <c r="O36" i="1"/>
  <c r="O37" i="1"/>
  <c r="O34" i="1"/>
  <c r="O30" i="1"/>
  <c r="O29" i="1"/>
  <c r="O28" i="1"/>
  <c r="O27" i="1"/>
  <c r="O24" i="1"/>
  <c r="O22" i="1"/>
  <c r="O17" i="1"/>
  <c r="Q15" i="1" s="1"/>
  <c r="Q41" i="1" l="1"/>
  <c r="Q33" i="1"/>
  <c r="Q21" i="1"/>
  <c r="K12" i="1" l="1"/>
  <c r="K99" i="1" s="1"/>
  <c r="K101" i="1" s="1"/>
  <c r="H12" i="1"/>
  <c r="H99" i="1" s="1"/>
  <c r="N11" i="1"/>
  <c r="O10" i="1"/>
  <c r="O11" i="1" l="1"/>
  <c r="N99" i="1"/>
  <c r="N101" i="1" s="1"/>
  <c r="H101" i="1"/>
  <c r="O12" i="1"/>
  <c r="Q9" i="1" l="1"/>
  <c r="Q87" i="1" s="1"/>
  <c r="Q88" i="1" s="1"/>
  <c r="Q89" i="1" s="1"/>
  <c r="N104" i="1"/>
  <c r="N106" i="1"/>
  <c r="H102" i="1" l="1"/>
  <c r="K102" i="1"/>
  <c r="N102" i="1"/>
  <c r="N107" i="1"/>
</calcChain>
</file>

<file path=xl/sharedStrings.xml><?xml version="1.0" encoding="utf-8"?>
<sst xmlns="http://schemas.openxmlformats.org/spreadsheetml/2006/main" count="212" uniqueCount="131">
  <si>
    <t>Fag</t>
  </si>
  <si>
    <t>Admin</t>
  </si>
  <si>
    <t xml:space="preserve">  Egen produktion</t>
  </si>
  <si>
    <t xml:space="preserve">  Materialer</t>
  </si>
  <si>
    <t xml:space="preserve">  Underentreprenør</t>
  </si>
  <si>
    <t>Tilbud</t>
  </si>
  <si>
    <t>Timer</t>
  </si>
  <si>
    <t>Takst</t>
  </si>
  <si>
    <t>Kostpris</t>
  </si>
  <si>
    <t>Materialer</t>
  </si>
  <si>
    <t>Påslag</t>
  </si>
  <si>
    <t>Salgs pris</t>
  </si>
  <si>
    <t>UE</t>
  </si>
  <si>
    <t>Projekt</t>
  </si>
  <si>
    <t>Bnord</t>
  </si>
  <si>
    <t>Affald, Big bag afhentning</t>
  </si>
  <si>
    <t>Tilbud- Viborggade 2, 3th.</t>
  </si>
  <si>
    <t>Projektledelse, Administration og Parkering</t>
  </si>
  <si>
    <t>Rengøring og afdækning gang og repose i byggeperioden</t>
  </si>
  <si>
    <t>Nedrivning</t>
  </si>
  <si>
    <t>Nedrivning af dørkarm</t>
  </si>
  <si>
    <t>Nedrivning af væg og dør til toilet</t>
  </si>
  <si>
    <t>Nedrivning af gulvbrædder i værelse (Badeværelses udviddelsen)</t>
  </si>
  <si>
    <t>Optagning af gulv i toilet</t>
  </si>
  <si>
    <t>VVS</t>
  </si>
  <si>
    <t>Demontering af gamle installationer</t>
  </si>
  <si>
    <t>Demontering af gamle installationer og brusekabine</t>
  </si>
  <si>
    <t>Levering og manteing af skjulte installationer</t>
  </si>
  <si>
    <t>Udførsel af vand- og afløbsinstallationer</t>
  </si>
  <si>
    <t>Ny cisterne til hænge toilet</t>
  </si>
  <si>
    <t>Unidrain custon (Til fliser)</t>
  </si>
  <si>
    <t>Montering af sanitet og vaske/tørremaskine</t>
  </si>
  <si>
    <t>Sanitet</t>
  </si>
  <si>
    <t xml:space="preserve">Håndvask armatur (Afsat beløb 1.200 eks moms) </t>
  </si>
  <si>
    <t>Brusearmatur/rainshower (Afsat beløb 4.500 eks moms)</t>
  </si>
  <si>
    <t xml:space="preserve">Trykknap (Afsat beløb 950 eks moms) </t>
  </si>
  <si>
    <t>WC/hænge toilet (Afsat beløb 2.500 eks moms)</t>
  </si>
  <si>
    <t>Tømrer</t>
  </si>
  <si>
    <t>Etablering af væg mellem nyt bad og værelse</t>
  </si>
  <si>
    <t>Ny væg mellem gang og nyt badeværelse</t>
  </si>
  <si>
    <t>Cisterne kasse til hængetoilet</t>
  </si>
  <si>
    <t>Optrin til toilet</t>
  </si>
  <si>
    <t>Genbrug af dør til toilet. Dør skal tilpasses. Nye indfatninger på dør</t>
  </si>
  <si>
    <t>2 stk. nye rørkasser til toilet</t>
  </si>
  <si>
    <t>Nyt nedhængt loft i badeværelse med teknik lem</t>
  </si>
  <si>
    <t>Brand og lydisolering i etagedæk</t>
  </si>
  <si>
    <t>Ny let gulvkonstruktion på badeværelsesgulv</t>
  </si>
  <si>
    <t>Snedker</t>
  </si>
  <si>
    <t>Spejl med lys (Afsat beløb 1.500 eks moms)</t>
  </si>
  <si>
    <t>Montage af badeværelsesmøbel</t>
  </si>
  <si>
    <t>Kroge og toiletrulle holder (Afsat beløb 500 eks moms)</t>
  </si>
  <si>
    <t>Murer</t>
  </si>
  <si>
    <t>Opretning af vægge i toilet</t>
  </si>
  <si>
    <t>Opretning af muret fald i gammel døråbning</t>
  </si>
  <si>
    <t>Udlægning af Wediplader på gulv</t>
  </si>
  <si>
    <t>Opsætning af fliser i bruseniche</t>
  </si>
  <si>
    <t>Opsætning af gulvklinker og sokkelklinker</t>
  </si>
  <si>
    <t xml:space="preserve">Indkøb af Fliser, Gulvklinker og Sokkelklinker (Afsat beløb 6.500 Kr.) </t>
  </si>
  <si>
    <t>Fugning af fliser med hård og blød fuge</t>
  </si>
  <si>
    <t>EL</t>
  </si>
  <si>
    <t>El til vasketørre maskine</t>
  </si>
  <si>
    <t>El til lys bag spejl</t>
  </si>
  <si>
    <t>2 stk. el-udtag ved badeværelsesmøbel</t>
  </si>
  <si>
    <t>1 stk. el-udtag ved hylde på cisternekasse</t>
  </si>
  <si>
    <t>5 stk spots i loft</t>
  </si>
  <si>
    <t xml:space="preserve">Afbryder til mekanisk ventilation </t>
  </si>
  <si>
    <t>Afbryder til lys og lys i spejl</t>
  </si>
  <si>
    <t>Gulvvarme som net med thermostat</t>
  </si>
  <si>
    <t>Maler</t>
  </si>
  <si>
    <t>Bygherre varsler beboere i ejendommen ved luk af vand mv.</t>
  </si>
  <si>
    <t>Bygherre</t>
  </si>
  <si>
    <t>Maling af vægge og lofter i badeværelse</t>
  </si>
  <si>
    <t>Reparation af underboens loft efter gennemføringer</t>
  </si>
  <si>
    <t>Maling af dør og indfatninger</t>
  </si>
  <si>
    <t>Maling af underboens loft</t>
  </si>
  <si>
    <t>Indkøb af vaske/tørremaskine (Siemens WK14D322DN iQ300)</t>
  </si>
  <si>
    <t>Fragt og opbæring af vaskemaskine og &amp; møbel</t>
  </si>
  <si>
    <t>Etablering af fald på gulv i bruseniche</t>
  </si>
  <si>
    <t>Spartling af gulvvarme</t>
  </si>
  <si>
    <t>Pris fra Ferrotex</t>
  </si>
  <si>
    <t>Pris fra EL-Entprisen</t>
  </si>
  <si>
    <t>Projekteret dækning</t>
  </si>
  <si>
    <t>Egenproduktion</t>
  </si>
  <si>
    <t>Underentreprenør</t>
  </si>
  <si>
    <t>Timer=</t>
  </si>
  <si>
    <t>Kost timetakst=</t>
  </si>
  <si>
    <t>Kostpris=</t>
  </si>
  <si>
    <t>Salgspris=</t>
  </si>
  <si>
    <t xml:space="preserve">Tilbudssum = </t>
  </si>
  <si>
    <t xml:space="preserve">Fortjenelste = </t>
  </si>
  <si>
    <t xml:space="preserve">Dækningsgrad = </t>
  </si>
  <si>
    <t>Pris ekskl. moms =</t>
  </si>
  <si>
    <t>Moms =</t>
  </si>
  <si>
    <t>Pris inkl. moms =</t>
  </si>
  <si>
    <t>Fronter, tilsætninger og sokkel fra &amp;Shufl (Afsat beløb 4.000 Kr.)</t>
  </si>
  <si>
    <t>Etablering af vådrum</t>
  </si>
  <si>
    <t>Krone pris 4.500 Kr. vi måler og afhenter selv</t>
  </si>
  <si>
    <t>Pris &amp;Shufl</t>
  </si>
  <si>
    <t>Andel af udgifter kostpris</t>
  </si>
  <si>
    <t xml:space="preserve"> Byggeselskabet Nord ApS.</t>
  </si>
  <si>
    <t>Salgspris</t>
  </si>
  <si>
    <t>Pris ex. moms</t>
  </si>
  <si>
    <t>Status / godkendelse / Noter</t>
  </si>
  <si>
    <t>Tillæg / Fradrag - Viborggade 2, 3th.</t>
  </si>
  <si>
    <t>Bordplade med vask (Mat hvid som Corian), (Afsat beløb 5.500 Kr.)</t>
  </si>
  <si>
    <t>Opsætning af fliser på bænk</t>
  </si>
  <si>
    <t>Etablering af bænk i bruseniche</t>
  </si>
  <si>
    <t>Kabinet til vaskemøbel</t>
  </si>
  <si>
    <t>Dato: 2025.07.31 - Byggeselskabet Nord ApS</t>
  </si>
  <si>
    <t>Loevschall Godhavn spejl med lys, 120x85 cm</t>
  </si>
  <si>
    <t>Pris ekskl. moms</t>
  </si>
  <si>
    <t>Pris afsat i tilbud</t>
  </si>
  <si>
    <t>Spejl</t>
  </si>
  <si>
    <t>Komponent</t>
  </si>
  <si>
    <t>Type / Mærke</t>
  </si>
  <si>
    <t>Difference</t>
  </si>
  <si>
    <t>Ivy Concord håndvaskarmatur, stål</t>
  </si>
  <si>
    <t>Håndvask armatur</t>
  </si>
  <si>
    <t>VVS Nr.</t>
  </si>
  <si>
    <t>Ivy Concord bundventil, push-open, rustfrit stål</t>
  </si>
  <si>
    <t>Geberit Sigma 01 betjeningsplade, hvid</t>
  </si>
  <si>
    <t>Tryk toiletskyld</t>
  </si>
  <si>
    <t>Der skal vælges et andet. De er i rest produktion</t>
  </si>
  <si>
    <t>Toilet + sæde</t>
  </si>
  <si>
    <t>Pressalit toiletrulleholder, rustfrit stå</t>
  </si>
  <si>
    <t>Pressalit Curve håndklædekrog, 2 stk, rustfrit stål, 2 stk</t>
  </si>
  <si>
    <t>Toilet rulle holder</t>
  </si>
  <si>
    <t>Kroge</t>
  </si>
  <si>
    <t>Hansgrohe Vernis Blend 200 brusesæt, vandbesparende, krom</t>
  </si>
  <si>
    <t>Bruser</t>
  </si>
  <si>
    <t> 722377624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</si>
</sst>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EE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1" fillId="0" borderId="0" xfId="0" applyFont="1"/>
    <xf numFmtId="4" fontId="5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4" fontId="6" fillId="3" borderId="7" xfId="0" applyNumberFormat="1" applyFont="1" applyFill="1" applyBorder="1" applyAlignment="1">
      <alignment horizontal="center"/>
    </xf>
    <xf numFmtId="4" fontId="6" fillId="3" borderId="8" xfId="0" applyNumberFormat="1" applyFont="1" applyFill="1" applyBorder="1" applyAlignment="1">
      <alignment horizontal="center"/>
    </xf>
    <xf numFmtId="4" fontId="6" fillId="4" borderId="6" xfId="0" applyNumberFormat="1" applyFont="1" applyFill="1" applyBorder="1" applyAlignment="1">
      <alignment horizontal="center"/>
    </xf>
    <xf numFmtId="164" fontId="6" fillId="4" borderId="7" xfId="0" applyNumberFormat="1" applyFont="1" applyFill="1" applyBorder="1" applyAlignment="1">
      <alignment horizontal="center" vertical="center"/>
    </xf>
    <xf numFmtId="4" fontId="6" fillId="4" borderId="8" xfId="0" applyNumberFormat="1" applyFont="1" applyFill="1" applyBorder="1" applyAlignment="1">
      <alignment horizontal="center"/>
    </xf>
    <xf numFmtId="4" fontId="6" fillId="5" borderId="7" xfId="0" applyNumberFormat="1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 vertical="center"/>
    </xf>
    <xf numFmtId="4" fontId="6" fillId="5" borderId="8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7" fillId="0" borderId="0" xfId="0" applyFon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5" borderId="0" xfId="0" applyFill="1"/>
    <xf numFmtId="3" fontId="2" fillId="0" borderId="0" xfId="0" applyNumberFormat="1" applyFont="1"/>
    <xf numFmtId="9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6" borderId="0" xfId="0" applyFill="1"/>
    <xf numFmtId="0" fontId="7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3" fontId="0" fillId="3" borderId="9" xfId="0" applyNumberForma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3" fontId="0" fillId="7" borderId="0" xfId="0" applyNumberFormat="1" applyFill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7" borderId="10" xfId="0" applyNumberForma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3" fontId="2" fillId="0" borderId="10" xfId="0" applyNumberFormat="1" applyFont="1" applyBorder="1"/>
    <xf numFmtId="0" fontId="2" fillId="0" borderId="12" xfId="0" applyFont="1" applyBorder="1" applyAlignment="1">
      <alignment horizontal="left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10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left"/>
    </xf>
    <xf numFmtId="3" fontId="0" fillId="4" borderId="4" xfId="0" applyNumberForma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3" fontId="6" fillId="3" borderId="8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3" fontId="6" fillId="4" borderId="8" xfId="0" applyNumberFormat="1" applyFont="1" applyFill="1" applyBorder="1" applyAlignment="1">
      <alignment horizontal="center"/>
    </xf>
    <xf numFmtId="3" fontId="6" fillId="8" borderId="7" xfId="0" applyNumberFormat="1" applyFont="1" applyFill="1" applyBorder="1" applyAlignment="1">
      <alignment horizontal="center"/>
    </xf>
    <xf numFmtId="164" fontId="6" fillId="8" borderId="7" xfId="0" applyNumberFormat="1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/>
    </xf>
    <xf numFmtId="3" fontId="0" fillId="9" borderId="0" xfId="0" applyNumberFormat="1" applyFill="1"/>
    <xf numFmtId="3" fontId="0" fillId="4" borderId="0" xfId="0" applyNumberFormat="1" applyFill="1"/>
    <xf numFmtId="0" fontId="0" fillId="4" borderId="0" xfId="0" applyFill="1"/>
    <xf numFmtId="3" fontId="0" fillId="8" borderId="0" xfId="0" applyNumberFormat="1" applyFill="1"/>
    <xf numFmtId="9" fontId="0" fillId="8" borderId="0" xfId="0" applyNumberFormat="1" applyFill="1"/>
    <xf numFmtId="0" fontId="0" fillId="8" borderId="0" xfId="0" applyFill="1"/>
    <xf numFmtId="0" fontId="0" fillId="0" borderId="0" xfId="0" applyAlignment="1">
      <alignment horizontal="left"/>
    </xf>
    <xf numFmtId="4" fontId="2" fillId="0" borderId="1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illigvvs.dk/ivy-concord-bundventil-push-open-rustfrit-staal-3039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F0F5-5B2E-4F9E-8528-0812221D20E5}">
  <sheetPr>
    <pageSetUpPr fitToPage="1"/>
  </sheetPr>
  <dimension ref="B3:S108"/>
  <sheetViews>
    <sheetView tabSelected="1" zoomScaleNormal="100" workbookViewId="0">
      <selection activeCell="I7" sqref="I7:J7"/>
    </sheetView>
  </sheetViews>
  <sheetFormatPr defaultRowHeight="15" x14ac:dyDescent="0.25"/>
  <cols>
    <col min="2" max="2" width="66" customWidth="1"/>
    <col min="3" max="3" width="2.85546875" customWidth="1"/>
    <col min="4" max="4" width="9.85546875" customWidth="1"/>
    <col min="5" max="14" width="8.7109375" customWidth="1"/>
    <col min="15" max="15" width="8.7109375" style="16"/>
    <col min="16" max="16" width="2.85546875" customWidth="1"/>
    <col min="18" max="18" width="3.140625" customWidth="1"/>
    <col min="19" max="19" width="38.28515625" customWidth="1"/>
  </cols>
  <sheetData>
    <row r="3" spans="2:17" ht="24" x14ac:dyDescent="0.4">
      <c r="B3" s="1" t="s">
        <v>16</v>
      </c>
      <c r="L3" s="2"/>
    </row>
    <row r="4" spans="2:17" x14ac:dyDescent="0.25">
      <c r="B4" s="3" t="s">
        <v>108</v>
      </c>
      <c r="L4" s="2"/>
    </row>
    <row r="5" spans="2:17" ht="15.75" thickBot="1" x14ac:dyDescent="0.3">
      <c r="L5" s="2"/>
    </row>
    <row r="6" spans="2:17" x14ac:dyDescent="0.25">
      <c r="B6" s="4"/>
      <c r="D6" s="5" t="s">
        <v>0</v>
      </c>
      <c r="E6" s="5" t="s">
        <v>1</v>
      </c>
      <c r="F6" s="6" t="s">
        <v>2</v>
      </c>
      <c r="G6" s="7"/>
      <c r="H6" s="8"/>
      <c r="I6" s="9" t="s">
        <v>3</v>
      </c>
      <c r="J6" s="10"/>
      <c r="K6" s="11"/>
      <c r="L6" s="12" t="s">
        <v>4</v>
      </c>
      <c r="M6" s="13"/>
      <c r="N6" s="14"/>
      <c r="O6" s="15" t="s">
        <v>5</v>
      </c>
      <c r="P6" s="16"/>
      <c r="Q6" s="15" t="s">
        <v>5</v>
      </c>
    </row>
    <row r="7" spans="2:17" ht="15.75" thickBot="1" x14ac:dyDescent="0.3">
      <c r="B7" s="4"/>
      <c r="D7" s="17"/>
      <c r="E7" s="18"/>
      <c r="F7" s="19" t="s">
        <v>6</v>
      </c>
      <c r="G7" s="20" t="s">
        <v>7</v>
      </c>
      <c r="H7" s="21" t="s">
        <v>8</v>
      </c>
      <c r="I7" s="22" t="s">
        <v>9</v>
      </c>
      <c r="J7" s="23" t="s">
        <v>10</v>
      </c>
      <c r="K7" s="24" t="s">
        <v>11</v>
      </c>
      <c r="L7" s="25" t="s">
        <v>12</v>
      </c>
      <c r="M7" s="26" t="s">
        <v>10</v>
      </c>
      <c r="N7" s="27" t="s">
        <v>11</v>
      </c>
      <c r="O7" s="28"/>
      <c r="P7" s="29"/>
      <c r="Q7" s="28"/>
    </row>
    <row r="8" spans="2:17" x14ac:dyDescent="0.25">
      <c r="B8" s="4"/>
      <c r="E8" s="16"/>
      <c r="F8" s="16"/>
      <c r="G8" s="30"/>
      <c r="H8" s="30"/>
      <c r="I8" s="31"/>
      <c r="J8" s="32"/>
      <c r="K8" s="31"/>
      <c r="L8" s="31"/>
      <c r="M8" s="31"/>
      <c r="N8" s="31"/>
      <c r="P8" s="33"/>
      <c r="Q8" s="34"/>
    </row>
    <row r="9" spans="2:17" ht="18.75" x14ac:dyDescent="0.3">
      <c r="B9" s="35" t="s">
        <v>13</v>
      </c>
      <c r="F9" s="36"/>
      <c r="G9" s="16"/>
      <c r="H9" s="36"/>
      <c r="I9" s="36"/>
      <c r="J9" s="37"/>
      <c r="K9" s="36"/>
      <c r="L9" s="36"/>
      <c r="M9" s="37"/>
      <c r="N9" s="36"/>
      <c r="O9" s="36"/>
      <c r="P9" s="16"/>
      <c r="Q9" s="38">
        <f>SUM(O9:O13)</f>
        <v>15910</v>
      </c>
    </row>
    <row r="10" spans="2:17" x14ac:dyDescent="0.25">
      <c r="B10" t="s">
        <v>17</v>
      </c>
      <c r="D10" s="16" t="s">
        <v>14</v>
      </c>
      <c r="E10" s="39">
        <v>7000</v>
      </c>
      <c r="F10" s="40"/>
      <c r="G10" s="41"/>
      <c r="H10" s="40"/>
      <c r="I10" s="42"/>
      <c r="J10" s="43"/>
      <c r="K10" s="42"/>
      <c r="L10" s="44"/>
      <c r="M10" s="45"/>
      <c r="N10" s="45"/>
      <c r="O10" s="36">
        <f t="shared" ref="O10:O12" si="0">E10+H10+K10+N10</f>
        <v>7000</v>
      </c>
      <c r="P10" s="16"/>
      <c r="Q10" s="46"/>
    </row>
    <row r="11" spans="2:17" x14ac:dyDescent="0.25">
      <c r="B11" t="s">
        <v>15</v>
      </c>
      <c r="D11" s="16" t="s">
        <v>14</v>
      </c>
      <c r="E11" s="39"/>
      <c r="F11" s="40"/>
      <c r="G11" s="41"/>
      <c r="H11" s="40"/>
      <c r="I11" s="42"/>
      <c r="J11" s="43"/>
      <c r="K11" s="42"/>
      <c r="L11" s="44">
        <v>6000</v>
      </c>
      <c r="M11" s="47">
        <v>0.17</v>
      </c>
      <c r="N11" s="44">
        <f>(+L11*M11)+L11</f>
        <v>7020</v>
      </c>
      <c r="O11" s="36">
        <f>E11+H11+K11+N11</f>
        <v>7020</v>
      </c>
      <c r="P11" s="16"/>
      <c r="Q11" s="46"/>
    </row>
    <row r="12" spans="2:17" x14ac:dyDescent="0.25">
      <c r="B12" t="s">
        <v>18</v>
      </c>
      <c r="D12" s="16" t="s">
        <v>14</v>
      </c>
      <c r="E12" s="39"/>
      <c r="F12" s="40">
        <v>2</v>
      </c>
      <c r="G12" s="41">
        <v>585</v>
      </c>
      <c r="H12" s="40">
        <f>(+F12*G12)</f>
        <v>1170</v>
      </c>
      <c r="I12" s="42">
        <v>600</v>
      </c>
      <c r="J12" s="43">
        <v>0.2</v>
      </c>
      <c r="K12" s="42">
        <f>(+I12*J12)+I12</f>
        <v>720</v>
      </c>
      <c r="L12" s="44"/>
      <c r="M12" s="47"/>
      <c r="N12" s="44"/>
      <c r="O12" s="36">
        <f t="shared" si="0"/>
        <v>1890</v>
      </c>
      <c r="P12" s="16"/>
      <c r="Q12" s="46"/>
    </row>
    <row r="13" spans="2:17" x14ac:dyDescent="0.25">
      <c r="B13" s="50" t="s">
        <v>69</v>
      </c>
      <c r="D13" s="51" t="s">
        <v>70</v>
      </c>
      <c r="E13" s="39"/>
      <c r="F13" s="40"/>
      <c r="G13" s="41"/>
      <c r="H13" s="40"/>
      <c r="I13" s="42"/>
      <c r="J13" s="43"/>
      <c r="K13" s="42"/>
      <c r="L13" s="44"/>
      <c r="M13" s="47"/>
      <c r="N13" s="44"/>
      <c r="O13" s="36"/>
      <c r="P13" s="16"/>
      <c r="Q13" s="46"/>
    </row>
    <row r="15" spans="2:17" ht="18.75" x14ac:dyDescent="0.3">
      <c r="B15" s="35" t="s">
        <v>19</v>
      </c>
      <c r="F15" s="36"/>
      <c r="G15" s="16"/>
      <c r="H15" s="36"/>
      <c r="I15" s="36"/>
      <c r="J15" s="37"/>
      <c r="K15" s="36"/>
      <c r="L15" s="36"/>
      <c r="M15" s="37"/>
      <c r="N15" s="36"/>
      <c r="O15" s="36"/>
      <c r="P15" s="16"/>
      <c r="Q15" s="38">
        <f>SUM(O15:O19)</f>
        <v>7000</v>
      </c>
    </row>
    <row r="16" spans="2:17" x14ac:dyDescent="0.25">
      <c r="B16" t="s">
        <v>20</v>
      </c>
      <c r="D16" s="16" t="s">
        <v>14</v>
      </c>
      <c r="E16" s="39"/>
      <c r="F16" s="40">
        <v>2</v>
      </c>
      <c r="G16" s="41">
        <v>500</v>
      </c>
      <c r="H16" s="40">
        <f>(+F16*G16)</f>
        <v>1000</v>
      </c>
      <c r="I16" s="42"/>
      <c r="J16" s="43"/>
      <c r="K16" s="42"/>
      <c r="L16" s="44"/>
      <c r="M16" s="45"/>
      <c r="N16" s="45"/>
      <c r="O16" s="36">
        <f t="shared" ref="O16" si="1">E16+H16+K16+N16</f>
        <v>1000</v>
      </c>
      <c r="P16" s="16"/>
      <c r="Q16" s="46"/>
    </row>
    <row r="17" spans="2:17" x14ac:dyDescent="0.25">
      <c r="B17" t="s">
        <v>21</v>
      </c>
      <c r="D17" s="16" t="s">
        <v>14</v>
      </c>
      <c r="E17" s="39"/>
      <c r="F17" s="40">
        <v>4</v>
      </c>
      <c r="G17" s="41">
        <v>500</v>
      </c>
      <c r="H17" s="40">
        <f>(+F17*G17)</f>
        <v>2000</v>
      </c>
      <c r="I17" s="42"/>
      <c r="J17" s="43"/>
      <c r="K17" s="42"/>
      <c r="L17" s="44"/>
      <c r="M17" s="47"/>
      <c r="N17" s="44"/>
      <c r="O17" s="36">
        <f>E17+H17+K17+N17</f>
        <v>2000</v>
      </c>
      <c r="P17" s="16"/>
      <c r="Q17" s="46"/>
    </row>
    <row r="18" spans="2:17" x14ac:dyDescent="0.25">
      <c r="B18" t="s">
        <v>22</v>
      </c>
      <c r="D18" s="16" t="s">
        <v>14</v>
      </c>
      <c r="E18" s="39"/>
      <c r="F18" s="40">
        <v>6</v>
      </c>
      <c r="G18" s="41">
        <v>500</v>
      </c>
      <c r="H18" s="40">
        <f>(+F18*G18)</f>
        <v>3000</v>
      </c>
      <c r="I18" s="42"/>
      <c r="J18" s="43"/>
      <c r="K18" s="42"/>
      <c r="L18" s="44"/>
      <c r="M18" s="47"/>
      <c r="N18" s="44"/>
      <c r="O18" s="36">
        <f t="shared" ref="O18:O19" si="2">E18+H18+K18+N18</f>
        <v>3000</v>
      </c>
      <c r="P18" s="16"/>
      <c r="Q18" s="46"/>
    </row>
    <row r="19" spans="2:17" x14ac:dyDescent="0.25">
      <c r="B19" t="s">
        <v>23</v>
      </c>
      <c r="D19" s="16" t="s">
        <v>14</v>
      </c>
      <c r="E19" s="39"/>
      <c r="F19" s="40">
        <v>2</v>
      </c>
      <c r="G19" s="41">
        <v>500</v>
      </c>
      <c r="H19" s="40">
        <f>(+F19*G19)</f>
        <v>1000</v>
      </c>
      <c r="I19" s="42"/>
      <c r="J19" s="43"/>
      <c r="K19" s="42"/>
      <c r="L19" s="44"/>
      <c r="M19" s="47"/>
      <c r="N19" s="44"/>
      <c r="O19" s="36">
        <f t="shared" si="2"/>
        <v>1000</v>
      </c>
      <c r="P19" s="16"/>
      <c r="Q19" s="46"/>
    </row>
    <row r="20" spans="2:17" x14ac:dyDescent="0.25">
      <c r="O20"/>
      <c r="P20" s="16"/>
      <c r="Q20" s="46"/>
    </row>
    <row r="21" spans="2:17" ht="18.75" x14ac:dyDescent="0.3">
      <c r="B21" s="35" t="s">
        <v>37</v>
      </c>
      <c r="Q21" s="38">
        <f>SUM(O21:O31)</f>
        <v>52665</v>
      </c>
    </row>
    <row r="22" spans="2:17" x14ac:dyDescent="0.25">
      <c r="B22" t="s">
        <v>38</v>
      </c>
      <c r="D22" s="16" t="s">
        <v>14</v>
      </c>
      <c r="E22" s="39"/>
      <c r="F22" s="40">
        <v>15</v>
      </c>
      <c r="G22" s="41">
        <v>585</v>
      </c>
      <c r="H22" s="40">
        <f>(+F22*G22)</f>
        <v>8775</v>
      </c>
      <c r="I22" s="42">
        <v>1800</v>
      </c>
      <c r="J22" s="43">
        <v>0.2</v>
      </c>
      <c r="K22" s="42">
        <f>(+I22*J22)+I22</f>
        <v>2160</v>
      </c>
      <c r="L22" s="44"/>
      <c r="M22" s="47"/>
      <c r="N22" s="44"/>
      <c r="O22" s="36">
        <f t="shared" ref="O22:O31" si="3">E22+H22+K22+N22</f>
        <v>10935</v>
      </c>
    </row>
    <row r="23" spans="2:17" x14ac:dyDescent="0.25">
      <c r="B23" t="s">
        <v>106</v>
      </c>
      <c r="D23" s="16" t="s">
        <v>14</v>
      </c>
      <c r="E23" s="39"/>
      <c r="F23" s="40">
        <v>3</v>
      </c>
      <c r="G23" s="41">
        <v>585</v>
      </c>
      <c r="H23" s="40">
        <f t="shared" ref="H23:H31" si="4">(+F23*G23)</f>
        <v>1755</v>
      </c>
      <c r="I23" s="42">
        <v>300</v>
      </c>
      <c r="J23" s="43">
        <v>0.2</v>
      </c>
      <c r="K23" s="42">
        <f t="shared" ref="K23:K31" si="5">(+I23*J23)+I23</f>
        <v>360</v>
      </c>
      <c r="L23" s="44"/>
      <c r="M23" s="47"/>
      <c r="N23" s="44"/>
      <c r="O23" s="36">
        <f t="shared" si="3"/>
        <v>2115</v>
      </c>
    </row>
    <row r="24" spans="2:17" x14ac:dyDescent="0.25">
      <c r="B24" t="s">
        <v>39</v>
      </c>
      <c r="D24" s="16" t="s">
        <v>14</v>
      </c>
      <c r="E24" s="39"/>
      <c r="F24" s="40">
        <v>7</v>
      </c>
      <c r="G24" s="41">
        <v>585</v>
      </c>
      <c r="H24" s="40">
        <f t="shared" si="4"/>
        <v>4095</v>
      </c>
      <c r="I24" s="42">
        <v>600</v>
      </c>
      <c r="J24" s="43">
        <v>0.2</v>
      </c>
      <c r="K24" s="42">
        <f t="shared" si="5"/>
        <v>720</v>
      </c>
      <c r="L24" s="44"/>
      <c r="M24" s="47"/>
      <c r="N24" s="44"/>
      <c r="O24" s="36">
        <f t="shared" si="3"/>
        <v>4815</v>
      </c>
    </row>
    <row r="25" spans="2:17" x14ac:dyDescent="0.25">
      <c r="B25" t="s">
        <v>40</v>
      </c>
      <c r="D25" s="16" t="s">
        <v>14</v>
      </c>
      <c r="E25" s="39"/>
      <c r="F25" s="40">
        <v>4</v>
      </c>
      <c r="G25" s="41">
        <v>585</v>
      </c>
      <c r="H25" s="40">
        <f t="shared" si="4"/>
        <v>2340</v>
      </c>
      <c r="I25" s="42">
        <v>400</v>
      </c>
      <c r="J25" s="43">
        <v>0.2</v>
      </c>
      <c r="K25" s="42">
        <f t="shared" si="5"/>
        <v>480</v>
      </c>
      <c r="L25" s="44"/>
      <c r="M25" s="47"/>
      <c r="N25" s="44"/>
      <c r="O25" s="36">
        <f t="shared" si="3"/>
        <v>2820</v>
      </c>
    </row>
    <row r="26" spans="2:17" x14ac:dyDescent="0.25">
      <c r="B26" t="s">
        <v>43</v>
      </c>
      <c r="D26" s="16" t="s">
        <v>14</v>
      </c>
      <c r="E26" s="39"/>
      <c r="F26" s="40">
        <v>6</v>
      </c>
      <c r="G26" s="41">
        <v>585</v>
      </c>
      <c r="H26" s="40">
        <f t="shared" si="4"/>
        <v>3510</v>
      </c>
      <c r="I26" s="42">
        <v>800</v>
      </c>
      <c r="J26" s="43">
        <v>0.2</v>
      </c>
      <c r="K26" s="42">
        <f t="shared" si="5"/>
        <v>960</v>
      </c>
      <c r="L26" s="44"/>
      <c r="M26" s="47"/>
      <c r="N26" s="44"/>
      <c r="O26" s="36">
        <f t="shared" si="3"/>
        <v>4470</v>
      </c>
    </row>
    <row r="27" spans="2:17" x14ac:dyDescent="0.25">
      <c r="B27" t="s">
        <v>44</v>
      </c>
      <c r="D27" s="16" t="s">
        <v>14</v>
      </c>
      <c r="E27" s="39"/>
      <c r="F27" s="40">
        <v>12</v>
      </c>
      <c r="G27" s="41">
        <v>585</v>
      </c>
      <c r="H27" s="40">
        <f t="shared" si="4"/>
        <v>7020</v>
      </c>
      <c r="I27" s="42">
        <v>1600</v>
      </c>
      <c r="J27" s="43">
        <v>0.2</v>
      </c>
      <c r="K27" s="42">
        <f t="shared" si="5"/>
        <v>1920</v>
      </c>
      <c r="L27" s="44"/>
      <c r="M27" s="47"/>
      <c r="N27" s="44"/>
      <c r="O27" s="36">
        <f t="shared" si="3"/>
        <v>8940</v>
      </c>
    </row>
    <row r="28" spans="2:17" x14ac:dyDescent="0.25">
      <c r="B28" t="s">
        <v>42</v>
      </c>
      <c r="D28" s="16" t="s">
        <v>14</v>
      </c>
      <c r="E28" s="39"/>
      <c r="F28" s="40">
        <v>5</v>
      </c>
      <c r="G28" s="41">
        <v>585</v>
      </c>
      <c r="H28" s="40">
        <f t="shared" si="4"/>
        <v>2925</v>
      </c>
      <c r="I28" s="42">
        <v>400</v>
      </c>
      <c r="J28" s="43">
        <v>0.2</v>
      </c>
      <c r="K28" s="42">
        <f t="shared" si="5"/>
        <v>480</v>
      </c>
      <c r="L28" s="44"/>
      <c r="M28" s="47"/>
      <c r="N28" s="44"/>
      <c r="O28" s="36">
        <f t="shared" si="3"/>
        <v>3405</v>
      </c>
    </row>
    <row r="29" spans="2:17" x14ac:dyDescent="0.25">
      <c r="B29" t="s">
        <v>41</v>
      </c>
      <c r="D29" s="16" t="s">
        <v>14</v>
      </c>
      <c r="E29" s="39"/>
      <c r="F29" s="40">
        <v>2</v>
      </c>
      <c r="G29" s="41">
        <v>585</v>
      </c>
      <c r="H29" s="40">
        <f t="shared" si="4"/>
        <v>1170</v>
      </c>
      <c r="I29" s="42">
        <v>200</v>
      </c>
      <c r="J29" s="43">
        <v>0.2</v>
      </c>
      <c r="K29" s="42">
        <f t="shared" si="5"/>
        <v>240</v>
      </c>
      <c r="L29" s="44"/>
      <c r="M29" s="47"/>
      <c r="N29" s="44"/>
      <c r="O29" s="36">
        <f t="shared" si="3"/>
        <v>1410</v>
      </c>
    </row>
    <row r="30" spans="2:17" x14ac:dyDescent="0.25">
      <c r="B30" t="s">
        <v>45</v>
      </c>
      <c r="D30" s="16" t="s">
        <v>14</v>
      </c>
      <c r="E30" s="39"/>
      <c r="F30" s="40">
        <v>4</v>
      </c>
      <c r="G30" s="41">
        <v>585</v>
      </c>
      <c r="H30" s="40">
        <f t="shared" si="4"/>
        <v>2340</v>
      </c>
      <c r="I30" s="42">
        <v>1200</v>
      </c>
      <c r="J30" s="43">
        <v>0.2</v>
      </c>
      <c r="K30" s="42">
        <f t="shared" si="5"/>
        <v>1440</v>
      </c>
      <c r="L30" s="44"/>
      <c r="M30" s="47"/>
      <c r="N30" s="44"/>
      <c r="O30" s="36">
        <f t="shared" si="3"/>
        <v>3780</v>
      </c>
    </row>
    <row r="31" spans="2:17" x14ac:dyDescent="0.25">
      <c r="B31" t="s">
        <v>46</v>
      </c>
      <c r="D31" s="16" t="s">
        <v>14</v>
      </c>
      <c r="E31" s="39"/>
      <c r="F31" s="40">
        <v>15</v>
      </c>
      <c r="G31" s="41">
        <v>585</v>
      </c>
      <c r="H31" s="40">
        <f t="shared" si="4"/>
        <v>8775</v>
      </c>
      <c r="I31" s="42">
        <v>1000</v>
      </c>
      <c r="J31" s="43">
        <v>0.2</v>
      </c>
      <c r="K31" s="42">
        <f t="shared" si="5"/>
        <v>1200</v>
      </c>
      <c r="L31" s="44"/>
      <c r="M31" s="47"/>
      <c r="N31" s="44"/>
      <c r="O31" s="36">
        <f t="shared" si="3"/>
        <v>9975</v>
      </c>
    </row>
    <row r="33" spans="2:19" ht="18.75" x14ac:dyDescent="0.3">
      <c r="B33" s="35" t="s">
        <v>47</v>
      </c>
      <c r="Q33" s="38">
        <f>SUM(O33:O39)</f>
        <v>26610.12</v>
      </c>
    </row>
    <row r="34" spans="2:19" x14ac:dyDescent="0.25">
      <c r="B34" t="s">
        <v>75</v>
      </c>
      <c r="D34" s="16" t="s">
        <v>14</v>
      </c>
      <c r="E34" s="39"/>
      <c r="F34" s="40"/>
      <c r="G34" s="41"/>
      <c r="H34" s="40"/>
      <c r="I34" s="42"/>
      <c r="J34" s="43"/>
      <c r="K34" s="42"/>
      <c r="L34" s="44">
        <f>9930*0.8</f>
        <v>7944</v>
      </c>
      <c r="M34" s="47">
        <v>0.17</v>
      </c>
      <c r="N34" s="44">
        <f>(+L34*M34)+L34</f>
        <v>9294.48</v>
      </c>
      <c r="O34" s="36">
        <f t="shared" ref="O34:O39" si="6">E34+H34+K34+N34</f>
        <v>9294.48</v>
      </c>
    </row>
    <row r="35" spans="2:19" x14ac:dyDescent="0.25">
      <c r="B35" t="s">
        <v>76</v>
      </c>
      <c r="D35" s="16" t="s">
        <v>14</v>
      </c>
      <c r="E35" s="39"/>
      <c r="F35" s="40">
        <v>2</v>
      </c>
      <c r="G35" s="41">
        <v>585</v>
      </c>
      <c r="H35" s="40">
        <f>(+F35*G35)</f>
        <v>1170</v>
      </c>
      <c r="I35" s="42"/>
      <c r="J35" s="43"/>
      <c r="K35" s="42"/>
      <c r="L35" s="44"/>
      <c r="M35" s="47"/>
      <c r="N35" s="44"/>
      <c r="O35" s="36">
        <f t="shared" si="6"/>
        <v>1170</v>
      </c>
    </row>
    <row r="36" spans="2:19" x14ac:dyDescent="0.25">
      <c r="B36" t="s">
        <v>107</v>
      </c>
      <c r="D36" s="16" t="s">
        <v>14</v>
      </c>
      <c r="E36" s="39"/>
      <c r="F36" s="40"/>
      <c r="G36" s="41"/>
      <c r="H36" s="40"/>
      <c r="I36" s="42"/>
      <c r="J36" s="43"/>
      <c r="K36" s="42"/>
      <c r="L36" s="44">
        <v>1500</v>
      </c>
      <c r="M36" s="47">
        <v>0.17</v>
      </c>
      <c r="N36" s="44">
        <f>(+L36*M36)+L36</f>
        <v>1755</v>
      </c>
      <c r="O36" s="36">
        <f t="shared" si="6"/>
        <v>1755</v>
      </c>
    </row>
    <row r="37" spans="2:19" x14ac:dyDescent="0.25">
      <c r="B37" t="s">
        <v>94</v>
      </c>
      <c r="D37" s="16" t="s">
        <v>14</v>
      </c>
      <c r="E37" s="39"/>
      <c r="F37" s="40"/>
      <c r="G37" s="41"/>
      <c r="H37" s="40"/>
      <c r="I37" s="42"/>
      <c r="J37" s="43"/>
      <c r="K37" s="42"/>
      <c r="L37" s="44">
        <v>4492</v>
      </c>
      <c r="M37" s="47">
        <v>0.17</v>
      </c>
      <c r="N37" s="44">
        <f>(+L37*M37)+L37</f>
        <v>5255.64</v>
      </c>
      <c r="O37" s="36">
        <f t="shared" si="6"/>
        <v>5255.64</v>
      </c>
      <c r="S37" s="52" t="s">
        <v>97</v>
      </c>
    </row>
    <row r="38" spans="2:19" x14ac:dyDescent="0.25">
      <c r="B38" t="s">
        <v>104</v>
      </c>
      <c r="D38" s="16" t="s">
        <v>14</v>
      </c>
      <c r="E38" s="39"/>
      <c r="F38" s="40"/>
      <c r="G38" s="41"/>
      <c r="H38" s="40"/>
      <c r="I38" s="42"/>
      <c r="J38" s="43"/>
      <c r="K38" s="42"/>
      <c r="L38" s="44">
        <v>5500</v>
      </c>
      <c r="M38" s="47">
        <v>0.17</v>
      </c>
      <c r="N38" s="44">
        <f>(+L38*M38)+L38</f>
        <v>6435</v>
      </c>
      <c r="O38" s="36">
        <f t="shared" si="6"/>
        <v>6435</v>
      </c>
      <c r="S38" s="52" t="s">
        <v>96</v>
      </c>
    </row>
    <row r="39" spans="2:19" x14ac:dyDescent="0.25">
      <c r="B39" t="s">
        <v>49</v>
      </c>
      <c r="D39" s="16" t="s">
        <v>14</v>
      </c>
      <c r="E39" s="39"/>
      <c r="F39" s="40">
        <v>4</v>
      </c>
      <c r="G39" s="41">
        <v>585</v>
      </c>
      <c r="H39" s="40">
        <f t="shared" ref="H39" si="7">(+F39*G39)</f>
        <v>2340</v>
      </c>
      <c r="I39" s="42">
        <v>300</v>
      </c>
      <c r="J39" s="43">
        <v>0.2</v>
      </c>
      <c r="K39" s="42">
        <f t="shared" ref="K39" si="8">(+I39*J39)+I39</f>
        <v>360</v>
      </c>
      <c r="L39" s="44"/>
      <c r="M39" s="47"/>
      <c r="N39" s="44"/>
      <c r="O39" s="36">
        <f t="shared" si="6"/>
        <v>2700</v>
      </c>
    </row>
    <row r="40" spans="2:19" x14ac:dyDescent="0.25">
      <c r="O40"/>
    </row>
    <row r="41" spans="2:19" ht="18.75" x14ac:dyDescent="0.3">
      <c r="B41" s="35" t="s">
        <v>51</v>
      </c>
      <c r="Q41" s="38">
        <f>SUM(O41:O53)</f>
        <v>53775</v>
      </c>
    </row>
    <row r="42" spans="2:19" x14ac:dyDescent="0.25">
      <c r="B42" t="s">
        <v>52</v>
      </c>
      <c r="D42" s="16" t="s">
        <v>14</v>
      </c>
      <c r="E42" s="39"/>
      <c r="F42" s="40">
        <v>7</v>
      </c>
      <c r="G42" s="41">
        <v>585</v>
      </c>
      <c r="H42" s="40">
        <f>(+F42*G42)</f>
        <v>4095</v>
      </c>
      <c r="I42" s="42">
        <v>400</v>
      </c>
      <c r="J42" s="43">
        <v>0.2</v>
      </c>
      <c r="K42" s="42">
        <f>(+I42*J42)+I42</f>
        <v>480</v>
      </c>
      <c r="L42" s="44"/>
      <c r="M42" s="47"/>
      <c r="N42" s="44"/>
      <c r="O42" s="36">
        <f t="shared" ref="O42:O46" si="9">E42+H42+K42+N42</f>
        <v>4575</v>
      </c>
    </row>
    <row r="43" spans="2:19" x14ac:dyDescent="0.25">
      <c r="B43" t="s">
        <v>53</v>
      </c>
      <c r="D43" s="16" t="s">
        <v>14</v>
      </c>
      <c r="E43" s="39"/>
      <c r="F43" s="40">
        <v>5</v>
      </c>
      <c r="G43" s="41">
        <v>585</v>
      </c>
      <c r="H43" s="40">
        <f t="shared" ref="H43:H46" si="10">(+F43*G43)</f>
        <v>2925</v>
      </c>
      <c r="I43" s="42">
        <v>400</v>
      </c>
      <c r="J43" s="43">
        <v>0.2</v>
      </c>
      <c r="K43" s="42">
        <f t="shared" ref="K43:K46" si="11">(+I43*J43)+I43</f>
        <v>480</v>
      </c>
      <c r="L43" s="44"/>
      <c r="M43" s="47"/>
      <c r="N43" s="44"/>
      <c r="O43" s="36">
        <f t="shared" si="9"/>
        <v>3405</v>
      </c>
    </row>
    <row r="44" spans="2:19" x14ac:dyDescent="0.25">
      <c r="B44" t="s">
        <v>54</v>
      </c>
      <c r="D44" s="16" t="s">
        <v>14</v>
      </c>
      <c r="E44" s="39"/>
      <c r="F44" s="40">
        <v>4</v>
      </c>
      <c r="G44" s="41">
        <v>585</v>
      </c>
      <c r="H44" s="40">
        <f t="shared" si="10"/>
        <v>2340</v>
      </c>
      <c r="I44" s="42">
        <v>1000</v>
      </c>
      <c r="J44" s="43">
        <v>0.2</v>
      </c>
      <c r="K44" s="42">
        <f t="shared" si="11"/>
        <v>1200</v>
      </c>
      <c r="L44" s="44"/>
      <c r="M44" s="47"/>
      <c r="N44" s="44"/>
      <c r="O44" s="36">
        <f t="shared" si="9"/>
        <v>3540</v>
      </c>
    </row>
    <row r="45" spans="2:19" x14ac:dyDescent="0.25">
      <c r="B45" t="s">
        <v>77</v>
      </c>
      <c r="D45" s="16" t="s">
        <v>14</v>
      </c>
      <c r="E45" s="39"/>
      <c r="F45" s="40">
        <v>2</v>
      </c>
      <c r="G45" s="41">
        <v>585</v>
      </c>
      <c r="H45" s="40">
        <f t="shared" si="10"/>
        <v>1170</v>
      </c>
      <c r="I45" s="42">
        <v>300</v>
      </c>
      <c r="J45" s="43">
        <v>0.2</v>
      </c>
      <c r="K45" s="42">
        <f t="shared" si="11"/>
        <v>360</v>
      </c>
      <c r="L45" s="44"/>
      <c r="M45" s="47"/>
      <c r="N45" s="44"/>
      <c r="O45" s="36">
        <f t="shared" si="9"/>
        <v>1530</v>
      </c>
    </row>
    <row r="46" spans="2:19" x14ac:dyDescent="0.25">
      <c r="B46" t="s">
        <v>78</v>
      </c>
      <c r="D46" s="16" t="s">
        <v>14</v>
      </c>
      <c r="E46" s="39"/>
      <c r="F46" s="40">
        <v>2</v>
      </c>
      <c r="G46" s="41">
        <v>585</v>
      </c>
      <c r="H46" s="40">
        <f t="shared" si="10"/>
        <v>1170</v>
      </c>
      <c r="I46" s="42">
        <v>600</v>
      </c>
      <c r="J46" s="43">
        <v>0.2</v>
      </c>
      <c r="K46" s="42">
        <f t="shared" si="11"/>
        <v>720</v>
      </c>
      <c r="L46" s="44"/>
      <c r="M46" s="47"/>
      <c r="N46" s="44"/>
      <c r="O46" s="36">
        <f t="shared" si="9"/>
        <v>1890</v>
      </c>
    </row>
    <row r="47" spans="2:19" x14ac:dyDescent="0.25">
      <c r="B47" t="s">
        <v>105</v>
      </c>
      <c r="D47" s="16" t="s">
        <v>14</v>
      </c>
      <c r="E47" s="39"/>
      <c r="F47" s="40">
        <v>4</v>
      </c>
      <c r="G47" s="41">
        <v>585</v>
      </c>
      <c r="H47" s="40">
        <f t="shared" ref="H47:H53" si="12">(+F47*G47)</f>
        <v>2340</v>
      </c>
      <c r="I47" s="42">
        <v>300</v>
      </c>
      <c r="J47" s="43">
        <v>0.2</v>
      </c>
      <c r="K47" s="42">
        <f t="shared" ref="K47:K53" si="13">(+I47*J47)+I47</f>
        <v>360</v>
      </c>
      <c r="L47" s="44"/>
      <c r="M47" s="47"/>
      <c r="N47" s="44"/>
      <c r="O47" s="36">
        <f t="shared" ref="O47:O53" si="14">E47+H47+K47+N47</f>
        <v>2700</v>
      </c>
    </row>
    <row r="48" spans="2:19" x14ac:dyDescent="0.25">
      <c r="B48" t="s">
        <v>55</v>
      </c>
      <c r="D48" s="16" t="s">
        <v>14</v>
      </c>
      <c r="E48" s="39"/>
      <c r="F48" s="40">
        <v>15</v>
      </c>
      <c r="G48" s="41">
        <v>585</v>
      </c>
      <c r="H48" s="40">
        <f t="shared" si="12"/>
        <v>8775</v>
      </c>
      <c r="I48" s="42">
        <v>600</v>
      </c>
      <c r="J48" s="43">
        <v>0.2</v>
      </c>
      <c r="K48" s="42">
        <f t="shared" si="13"/>
        <v>720</v>
      </c>
      <c r="L48" s="44"/>
      <c r="M48" s="47"/>
      <c r="N48" s="44"/>
      <c r="O48" s="36">
        <f t="shared" si="14"/>
        <v>9495</v>
      </c>
    </row>
    <row r="49" spans="2:19" x14ac:dyDescent="0.25">
      <c r="B49" t="s">
        <v>95</v>
      </c>
      <c r="D49" s="16" t="s">
        <v>14</v>
      </c>
      <c r="E49" s="39"/>
      <c r="F49" s="40">
        <v>6</v>
      </c>
      <c r="G49" s="41">
        <v>585</v>
      </c>
      <c r="H49" s="40">
        <f t="shared" ref="H49" si="15">(+F49*G49)</f>
        <v>3510</v>
      </c>
      <c r="I49" s="42">
        <v>1300</v>
      </c>
      <c r="J49" s="43">
        <v>0.2</v>
      </c>
      <c r="K49" s="42">
        <f t="shared" ref="K49" si="16">(+I49*J49)+I49</f>
        <v>1560</v>
      </c>
      <c r="L49" s="44"/>
      <c r="M49" s="47"/>
      <c r="N49" s="44"/>
      <c r="O49" s="36">
        <f t="shared" ref="O49" si="17">E49+H49+K49+N49</f>
        <v>5070</v>
      </c>
    </row>
    <row r="50" spans="2:19" x14ac:dyDescent="0.25">
      <c r="B50" t="s">
        <v>56</v>
      </c>
      <c r="D50" s="16" t="s">
        <v>14</v>
      </c>
      <c r="E50" s="39"/>
      <c r="F50" s="40">
        <v>12</v>
      </c>
      <c r="G50" s="41">
        <v>585</v>
      </c>
      <c r="H50" s="40">
        <f t="shared" si="12"/>
        <v>7020</v>
      </c>
      <c r="I50" s="42">
        <v>600</v>
      </c>
      <c r="J50" s="43">
        <v>0.2</v>
      </c>
      <c r="K50" s="42">
        <f t="shared" si="13"/>
        <v>720</v>
      </c>
      <c r="L50" s="44"/>
      <c r="M50" s="47"/>
      <c r="N50" s="44"/>
      <c r="O50" s="36">
        <f t="shared" si="14"/>
        <v>7740</v>
      </c>
    </row>
    <row r="51" spans="2:19" x14ac:dyDescent="0.25">
      <c r="B51" t="s">
        <v>57</v>
      </c>
      <c r="D51" s="16" t="s">
        <v>14</v>
      </c>
      <c r="E51" s="39"/>
      <c r="F51" s="40"/>
      <c r="G51" s="41"/>
      <c r="H51" s="40"/>
      <c r="I51" s="42"/>
      <c r="J51" s="43"/>
      <c r="K51" s="42"/>
      <c r="L51" s="44">
        <v>6500</v>
      </c>
      <c r="M51" s="47">
        <v>0.17</v>
      </c>
      <c r="N51" s="44">
        <f>(+L51*M51)+L51</f>
        <v>7605</v>
      </c>
      <c r="O51" s="36">
        <f t="shared" si="14"/>
        <v>7605</v>
      </c>
    </row>
    <row r="52" spans="2:19" x14ac:dyDescent="0.25">
      <c r="B52" t="s">
        <v>58</v>
      </c>
      <c r="D52" s="16" t="s">
        <v>14</v>
      </c>
      <c r="E52" s="39"/>
      <c r="F52" s="40">
        <v>6</v>
      </c>
      <c r="G52" s="41">
        <v>585</v>
      </c>
      <c r="H52" s="40">
        <f t="shared" si="12"/>
        <v>3510</v>
      </c>
      <c r="I52" s="42">
        <v>600</v>
      </c>
      <c r="J52" s="43">
        <v>0.2</v>
      </c>
      <c r="K52" s="42">
        <f t="shared" si="13"/>
        <v>720</v>
      </c>
      <c r="L52" s="44"/>
      <c r="M52" s="47"/>
      <c r="N52" s="44"/>
      <c r="O52" s="36">
        <f t="shared" si="14"/>
        <v>4230</v>
      </c>
    </row>
    <row r="53" spans="2:19" x14ac:dyDescent="0.25">
      <c r="B53" t="s">
        <v>72</v>
      </c>
      <c r="D53" s="16" t="s">
        <v>14</v>
      </c>
      <c r="E53" s="39"/>
      <c r="F53" s="40">
        <v>3</v>
      </c>
      <c r="G53" s="41">
        <v>585</v>
      </c>
      <c r="H53" s="40">
        <f t="shared" si="12"/>
        <v>1755</v>
      </c>
      <c r="I53" s="42">
        <v>200</v>
      </c>
      <c r="J53" s="43">
        <v>0.2</v>
      </c>
      <c r="K53" s="42">
        <f t="shared" si="13"/>
        <v>240</v>
      </c>
      <c r="L53" s="44"/>
      <c r="M53" s="47"/>
      <c r="N53" s="44"/>
      <c r="O53" s="36">
        <f t="shared" si="14"/>
        <v>1995</v>
      </c>
    </row>
    <row r="55" spans="2:19" ht="18.75" x14ac:dyDescent="0.3">
      <c r="B55" s="35" t="s">
        <v>24</v>
      </c>
      <c r="Q55" s="38">
        <f>SUM(O55:O59)</f>
        <v>50895</v>
      </c>
      <c r="S55" s="52" t="s">
        <v>79</v>
      </c>
    </row>
    <row r="56" spans="2:19" x14ac:dyDescent="0.25">
      <c r="B56" t="s">
        <v>26</v>
      </c>
      <c r="D56" t="s">
        <v>24</v>
      </c>
      <c r="E56" s="39"/>
      <c r="F56" s="40"/>
      <c r="G56" s="41"/>
      <c r="H56" s="40"/>
      <c r="I56" s="42"/>
      <c r="J56" s="43"/>
      <c r="K56" s="42"/>
      <c r="L56" s="44">
        <v>43500</v>
      </c>
      <c r="M56" s="47">
        <v>0.17</v>
      </c>
      <c r="N56" s="44">
        <f>(+L56*M56)+L56</f>
        <v>50895</v>
      </c>
      <c r="O56" s="36">
        <f t="shared" ref="O56" si="18">E56+H56+K56+N56</f>
        <v>50895</v>
      </c>
    </row>
    <row r="57" spans="2:19" x14ac:dyDescent="0.25">
      <c r="B57" t="s">
        <v>27</v>
      </c>
      <c r="D57" t="s">
        <v>24</v>
      </c>
      <c r="E57" s="39"/>
      <c r="F57" s="40"/>
      <c r="G57" s="41"/>
      <c r="H57" s="40"/>
      <c r="I57" s="42"/>
      <c r="J57" s="43"/>
      <c r="K57" s="42"/>
      <c r="L57" s="44"/>
      <c r="M57" s="44"/>
      <c r="N57" s="44"/>
    </row>
    <row r="58" spans="2:19" x14ac:dyDescent="0.25">
      <c r="B58" t="s">
        <v>28</v>
      </c>
      <c r="D58" t="s">
        <v>24</v>
      </c>
      <c r="E58" s="39"/>
      <c r="F58" s="40"/>
      <c r="G58" s="41"/>
      <c r="H58" s="40"/>
      <c r="I58" s="42"/>
      <c r="J58" s="43"/>
      <c r="K58" s="42"/>
      <c r="L58" s="44"/>
      <c r="M58" s="44"/>
      <c r="N58" s="44"/>
    </row>
    <row r="59" spans="2:19" x14ac:dyDescent="0.25">
      <c r="B59" t="s">
        <v>29</v>
      </c>
      <c r="D59" t="s">
        <v>24</v>
      </c>
      <c r="E59" s="39"/>
      <c r="F59" s="40"/>
      <c r="G59" s="41"/>
      <c r="H59" s="40"/>
      <c r="I59" s="42"/>
      <c r="J59" s="43"/>
      <c r="K59" s="42"/>
      <c r="L59" s="44"/>
      <c r="M59" s="44"/>
      <c r="N59" s="44"/>
    </row>
    <row r="60" spans="2:19" x14ac:dyDescent="0.25">
      <c r="B60" t="s">
        <v>30</v>
      </c>
      <c r="D60" t="s">
        <v>24</v>
      </c>
      <c r="E60" s="39"/>
      <c r="F60" s="40"/>
      <c r="G60" s="41"/>
      <c r="H60" s="40"/>
      <c r="I60" s="42"/>
      <c r="J60" s="43"/>
      <c r="K60" s="42"/>
      <c r="L60" s="44"/>
      <c r="M60" s="44"/>
      <c r="N60" s="44"/>
    </row>
    <row r="61" spans="2:19" x14ac:dyDescent="0.25">
      <c r="B61" t="s">
        <v>31</v>
      </c>
      <c r="D61" t="s">
        <v>24</v>
      </c>
      <c r="E61" s="39"/>
      <c r="F61" s="40"/>
      <c r="G61" s="41"/>
      <c r="H61" s="40"/>
      <c r="I61" s="42"/>
      <c r="J61" s="43"/>
      <c r="K61" s="42"/>
      <c r="L61" s="44"/>
      <c r="M61" s="44"/>
      <c r="N61" s="44"/>
    </row>
    <row r="63" spans="2:19" ht="18.75" x14ac:dyDescent="0.3">
      <c r="B63" s="35" t="s">
        <v>32</v>
      </c>
      <c r="Q63" s="38">
        <f>SUM(O63:O70)</f>
        <v>13045.5</v>
      </c>
      <c r="S63" s="52" t="s">
        <v>79</v>
      </c>
    </row>
    <row r="64" spans="2:19" x14ac:dyDescent="0.25">
      <c r="B64" s="49" t="s">
        <v>33</v>
      </c>
      <c r="D64" t="s">
        <v>24</v>
      </c>
      <c r="E64" s="39"/>
      <c r="F64" s="40"/>
      <c r="G64" s="41"/>
      <c r="H64" s="40"/>
      <c r="I64" s="42"/>
      <c r="J64" s="43"/>
      <c r="K64" s="42"/>
      <c r="L64" s="44">
        <v>1200</v>
      </c>
      <c r="M64" s="47">
        <v>0.17</v>
      </c>
      <c r="N64" s="44">
        <f>(+L64*M64)+L64</f>
        <v>1404</v>
      </c>
      <c r="O64" s="36">
        <f t="shared" ref="O64" si="19">E64+H64+K64+N64</f>
        <v>1404</v>
      </c>
    </row>
    <row r="65" spans="2:19" x14ac:dyDescent="0.25">
      <c r="B65" s="49" t="s">
        <v>34</v>
      </c>
      <c r="D65" t="s">
        <v>24</v>
      </c>
      <c r="E65" s="39"/>
      <c r="F65" s="40"/>
      <c r="G65" s="41"/>
      <c r="H65" s="40"/>
      <c r="I65" s="42"/>
      <c r="J65" s="43"/>
      <c r="K65" s="42"/>
      <c r="L65" s="44">
        <v>4500</v>
      </c>
      <c r="M65" s="47">
        <v>0.17</v>
      </c>
      <c r="N65" s="44">
        <f t="shared" ref="N65:N69" si="20">(+L65*M65)+L65</f>
        <v>5265</v>
      </c>
      <c r="O65" s="36">
        <f t="shared" ref="O65:O69" si="21">E65+H65+K65+N65</f>
        <v>5265</v>
      </c>
    </row>
    <row r="66" spans="2:19" x14ac:dyDescent="0.25">
      <c r="B66" s="49" t="s">
        <v>35</v>
      </c>
      <c r="D66" t="s">
        <v>24</v>
      </c>
      <c r="E66" s="39"/>
      <c r="F66" s="40"/>
      <c r="G66" s="41"/>
      <c r="H66" s="40"/>
      <c r="I66" s="42"/>
      <c r="J66" s="43"/>
      <c r="K66" s="42"/>
      <c r="L66" s="44">
        <v>950</v>
      </c>
      <c r="M66" s="47">
        <v>0.17</v>
      </c>
      <c r="N66" s="44">
        <f t="shared" si="20"/>
        <v>1111.5</v>
      </c>
      <c r="O66" s="36">
        <f t="shared" si="21"/>
        <v>1111.5</v>
      </c>
    </row>
    <row r="67" spans="2:19" x14ac:dyDescent="0.25">
      <c r="B67" s="49" t="s">
        <v>36</v>
      </c>
      <c r="D67" t="s">
        <v>24</v>
      </c>
      <c r="E67" s="39"/>
      <c r="F67" s="40"/>
      <c r="G67" s="41"/>
      <c r="H67" s="40"/>
      <c r="I67" s="42"/>
      <c r="J67" s="43"/>
      <c r="K67" s="42"/>
      <c r="L67" s="44">
        <v>2500</v>
      </c>
      <c r="M67" s="47">
        <v>0.17</v>
      </c>
      <c r="N67" s="44">
        <f t="shared" si="20"/>
        <v>2925</v>
      </c>
      <c r="O67" s="36">
        <f t="shared" si="21"/>
        <v>2925</v>
      </c>
    </row>
    <row r="68" spans="2:19" x14ac:dyDescent="0.25">
      <c r="B68" s="49" t="s">
        <v>48</v>
      </c>
      <c r="D68" t="s">
        <v>24</v>
      </c>
      <c r="E68" s="39"/>
      <c r="F68" s="40"/>
      <c r="G68" s="41"/>
      <c r="H68" s="40"/>
      <c r="I68" s="42"/>
      <c r="J68" s="43"/>
      <c r="K68" s="42"/>
      <c r="L68" s="44">
        <v>1500</v>
      </c>
      <c r="M68" s="47">
        <v>0.17</v>
      </c>
      <c r="N68" s="44">
        <f t="shared" si="20"/>
        <v>1755</v>
      </c>
      <c r="O68" s="36">
        <f t="shared" si="21"/>
        <v>1755</v>
      </c>
    </row>
    <row r="69" spans="2:19" x14ac:dyDescent="0.25">
      <c r="B69" s="49" t="s">
        <v>50</v>
      </c>
      <c r="D69" t="s">
        <v>24</v>
      </c>
      <c r="E69" s="39"/>
      <c r="F69" s="40"/>
      <c r="G69" s="41"/>
      <c r="H69" s="40"/>
      <c r="I69" s="42"/>
      <c r="J69" s="43"/>
      <c r="K69" s="42"/>
      <c r="L69" s="44">
        <v>500</v>
      </c>
      <c r="M69" s="47">
        <v>0.17</v>
      </c>
      <c r="N69" s="44">
        <f t="shared" si="20"/>
        <v>585</v>
      </c>
      <c r="O69" s="36">
        <f t="shared" si="21"/>
        <v>585</v>
      </c>
    </row>
    <row r="71" spans="2:19" ht="18.75" x14ac:dyDescent="0.3">
      <c r="B71" s="35" t="s">
        <v>59</v>
      </c>
      <c r="Q71" s="38">
        <f>SUM(O71:O80)</f>
        <v>26325</v>
      </c>
      <c r="S71" s="52" t="s">
        <v>80</v>
      </c>
    </row>
    <row r="72" spans="2:19" x14ac:dyDescent="0.25">
      <c r="B72" s="49" t="s">
        <v>25</v>
      </c>
      <c r="D72" t="s">
        <v>59</v>
      </c>
      <c r="E72" s="39"/>
      <c r="F72" s="40"/>
      <c r="G72" s="41"/>
      <c r="H72" s="40"/>
      <c r="I72" s="42"/>
      <c r="J72" s="43"/>
      <c r="K72" s="42"/>
      <c r="L72" s="44">
        <v>22500</v>
      </c>
      <c r="M72" s="47">
        <v>0.17</v>
      </c>
      <c r="N72" s="44">
        <f>(+L72*M72)+L72</f>
        <v>26325</v>
      </c>
      <c r="O72" s="36">
        <f t="shared" ref="O72" si="22">E72+H72+K72+N72</f>
        <v>26325</v>
      </c>
    </row>
    <row r="73" spans="2:19" x14ac:dyDescent="0.25">
      <c r="B73" s="49" t="s">
        <v>60</v>
      </c>
      <c r="D73" t="s">
        <v>59</v>
      </c>
      <c r="E73" s="39"/>
      <c r="F73" s="40"/>
      <c r="G73" s="41"/>
      <c r="H73" s="40"/>
      <c r="I73" s="42"/>
      <c r="J73" s="43"/>
      <c r="K73" s="42"/>
      <c r="L73" s="44"/>
      <c r="M73" s="44"/>
      <c r="N73" s="44"/>
    </row>
    <row r="74" spans="2:19" x14ac:dyDescent="0.25">
      <c r="B74" s="49" t="s">
        <v>61</v>
      </c>
      <c r="D74" t="s">
        <v>59</v>
      </c>
      <c r="E74" s="39"/>
      <c r="F74" s="40"/>
      <c r="G74" s="41"/>
      <c r="H74" s="40"/>
      <c r="I74" s="42"/>
      <c r="J74" s="43"/>
      <c r="K74" s="42"/>
      <c r="L74" s="44"/>
      <c r="M74" s="44"/>
      <c r="N74" s="44"/>
    </row>
    <row r="75" spans="2:19" x14ac:dyDescent="0.25">
      <c r="B75" s="49" t="s">
        <v>62</v>
      </c>
      <c r="D75" t="s">
        <v>59</v>
      </c>
      <c r="E75" s="39"/>
      <c r="F75" s="40"/>
      <c r="G75" s="41"/>
      <c r="H75" s="40"/>
      <c r="I75" s="42"/>
      <c r="J75" s="43"/>
      <c r="K75" s="42"/>
      <c r="L75" s="44"/>
      <c r="M75" s="44"/>
      <c r="N75" s="44"/>
    </row>
    <row r="76" spans="2:19" x14ac:dyDescent="0.25">
      <c r="B76" s="49" t="s">
        <v>63</v>
      </c>
      <c r="D76" t="s">
        <v>59</v>
      </c>
      <c r="E76" s="39"/>
      <c r="F76" s="40"/>
      <c r="G76" s="41"/>
      <c r="H76" s="40"/>
      <c r="I76" s="42"/>
      <c r="J76" s="43"/>
      <c r="K76" s="42"/>
      <c r="L76" s="44"/>
      <c r="M76" s="44"/>
      <c r="N76" s="44"/>
    </row>
    <row r="77" spans="2:19" x14ac:dyDescent="0.25">
      <c r="B77" s="49" t="s">
        <v>64</v>
      </c>
      <c r="D77" t="s">
        <v>59</v>
      </c>
      <c r="E77" s="39"/>
      <c r="F77" s="40"/>
      <c r="G77" s="41"/>
      <c r="H77" s="40"/>
      <c r="I77" s="42"/>
      <c r="J77" s="43"/>
      <c r="K77" s="42"/>
      <c r="L77" s="44"/>
      <c r="M77" s="44"/>
      <c r="N77" s="44"/>
    </row>
    <row r="78" spans="2:19" x14ac:dyDescent="0.25">
      <c r="B78" s="49" t="s">
        <v>66</v>
      </c>
      <c r="D78" t="s">
        <v>59</v>
      </c>
      <c r="E78" s="39"/>
      <c r="F78" s="40"/>
      <c r="G78" s="41"/>
      <c r="H78" s="40"/>
      <c r="I78" s="42"/>
      <c r="J78" s="43"/>
      <c r="K78" s="42"/>
      <c r="L78" s="44"/>
      <c r="M78" s="44"/>
      <c r="N78" s="44"/>
    </row>
    <row r="79" spans="2:19" x14ac:dyDescent="0.25">
      <c r="B79" s="49" t="s">
        <v>65</v>
      </c>
      <c r="D79" t="s">
        <v>59</v>
      </c>
      <c r="E79" s="39"/>
      <c r="F79" s="40"/>
      <c r="G79" s="41"/>
      <c r="H79" s="40"/>
      <c r="I79" s="42"/>
      <c r="J79" s="43"/>
      <c r="K79" s="42"/>
      <c r="L79" s="44"/>
      <c r="M79" s="44"/>
      <c r="N79" s="44"/>
    </row>
    <row r="80" spans="2:19" x14ac:dyDescent="0.25">
      <c r="B80" s="49" t="s">
        <v>67</v>
      </c>
      <c r="D80" t="s">
        <v>59</v>
      </c>
      <c r="E80" s="39"/>
      <c r="F80" s="40"/>
      <c r="G80" s="41"/>
      <c r="H80" s="40"/>
      <c r="I80" s="42"/>
      <c r="J80" s="43"/>
      <c r="K80" s="42"/>
      <c r="L80" s="44"/>
      <c r="M80" s="44"/>
      <c r="N80" s="44"/>
    </row>
    <row r="82" spans="2:17" ht="18.75" x14ac:dyDescent="0.3">
      <c r="B82" s="35" t="s">
        <v>68</v>
      </c>
      <c r="Q82" s="38">
        <f>SUM(O82:O86)</f>
        <v>22230</v>
      </c>
    </row>
    <row r="83" spans="2:17" x14ac:dyDescent="0.25">
      <c r="B83" s="49" t="s">
        <v>71</v>
      </c>
      <c r="D83" t="s">
        <v>68</v>
      </c>
      <c r="E83" s="39"/>
      <c r="F83" s="40"/>
      <c r="G83" s="41"/>
      <c r="H83" s="40"/>
      <c r="I83" s="42"/>
      <c r="J83" s="43"/>
      <c r="K83" s="42"/>
      <c r="L83" s="44">
        <v>12000</v>
      </c>
      <c r="M83" s="47">
        <v>0.17</v>
      </c>
      <c r="N83" s="44">
        <f>(+L83*M83)+L83</f>
        <v>14040</v>
      </c>
      <c r="O83" s="36">
        <f t="shared" ref="O83:O85" si="23">E83+H83+K83+N83</f>
        <v>14040</v>
      </c>
    </row>
    <row r="84" spans="2:17" x14ac:dyDescent="0.25">
      <c r="B84" s="49" t="s">
        <v>73</v>
      </c>
      <c r="D84" t="s">
        <v>68</v>
      </c>
      <c r="E84" s="39"/>
      <c r="F84" s="40"/>
      <c r="G84" s="41"/>
      <c r="H84" s="40"/>
      <c r="I84" s="42"/>
      <c r="J84" s="43"/>
      <c r="K84" s="42"/>
      <c r="L84" s="44">
        <v>4000</v>
      </c>
      <c r="M84" s="47">
        <v>0.17</v>
      </c>
      <c r="N84" s="44">
        <f t="shared" ref="N84:N85" si="24">(+L84*M84)+L84</f>
        <v>4680</v>
      </c>
      <c r="O84" s="36">
        <f t="shared" si="23"/>
        <v>4680</v>
      </c>
    </row>
    <row r="85" spans="2:17" x14ac:dyDescent="0.25">
      <c r="B85" s="49" t="s">
        <v>74</v>
      </c>
      <c r="D85" t="s">
        <v>68</v>
      </c>
      <c r="E85" s="39"/>
      <c r="F85" s="40"/>
      <c r="G85" s="41"/>
      <c r="H85" s="40"/>
      <c r="I85" s="42"/>
      <c r="J85" s="43"/>
      <c r="K85" s="42"/>
      <c r="L85" s="44">
        <v>3000</v>
      </c>
      <c r="M85" s="47">
        <v>0.17</v>
      </c>
      <c r="N85" s="44">
        <f t="shared" si="24"/>
        <v>3510</v>
      </c>
      <c r="O85" s="36">
        <f t="shared" si="23"/>
        <v>3510</v>
      </c>
    </row>
    <row r="87" spans="2:17" x14ac:dyDescent="0.25">
      <c r="P87" s="33" t="s">
        <v>91</v>
      </c>
      <c r="Q87" s="2">
        <f>SUM(Q9:Q82)</f>
        <v>268455.62</v>
      </c>
    </row>
    <row r="88" spans="2:17" x14ac:dyDescent="0.25">
      <c r="P88" s="33" t="s">
        <v>92</v>
      </c>
      <c r="Q88" s="2">
        <f>Q87/100*25</f>
        <v>67113.904999999999</v>
      </c>
    </row>
    <row r="89" spans="2:17" ht="15.75" thickBot="1" x14ac:dyDescent="0.3">
      <c r="P89" s="71" t="s">
        <v>93</v>
      </c>
      <c r="Q89" s="72">
        <f>SUM(Q87:Q88)</f>
        <v>335569.52500000002</v>
      </c>
    </row>
    <row r="90" spans="2:17" ht="15.75" thickTop="1" x14ac:dyDescent="0.25"/>
    <row r="94" spans="2:17" ht="18.75" x14ac:dyDescent="0.3">
      <c r="E94" s="53" t="s">
        <v>81</v>
      </c>
      <c r="F94" s="16"/>
      <c r="G94" s="16"/>
      <c r="H94" s="16"/>
      <c r="I94" s="16"/>
      <c r="J94" s="16"/>
      <c r="K94" s="16"/>
      <c r="L94" s="16"/>
      <c r="M94" s="16"/>
      <c r="N94" s="16"/>
    </row>
    <row r="95" spans="2:17" x14ac:dyDescent="0.25">
      <c r="E95" s="54" t="s">
        <v>1</v>
      </c>
      <c r="F95" s="55" t="s">
        <v>82</v>
      </c>
      <c r="G95" s="41"/>
      <c r="H95" s="41"/>
      <c r="I95" s="56" t="s">
        <v>9</v>
      </c>
      <c r="J95" s="48"/>
      <c r="K95" s="48"/>
      <c r="L95" s="57" t="s">
        <v>83</v>
      </c>
      <c r="M95" s="58"/>
      <c r="N95" s="58"/>
    </row>
    <row r="96" spans="2:17" x14ac:dyDescent="0.25">
      <c r="E96" s="59"/>
      <c r="F96" s="41"/>
      <c r="G96" s="60" t="s">
        <v>84</v>
      </c>
      <c r="H96" s="40">
        <f>SUM(F10:F85)</f>
        <v>161</v>
      </c>
      <c r="I96" s="48"/>
      <c r="J96" s="48"/>
      <c r="K96" s="48"/>
      <c r="L96" s="58"/>
      <c r="M96" s="58"/>
      <c r="N96" s="58"/>
    </row>
    <row r="97" spans="5:14" x14ac:dyDescent="0.25">
      <c r="E97" s="59"/>
      <c r="F97" s="41"/>
      <c r="G97" s="60" t="s">
        <v>85</v>
      </c>
      <c r="H97" s="61">
        <v>460</v>
      </c>
      <c r="I97" s="48"/>
      <c r="J97" s="48"/>
      <c r="K97" s="48"/>
      <c r="L97" s="58"/>
      <c r="M97" s="58"/>
      <c r="N97" s="58"/>
    </row>
    <row r="98" spans="5:14" x14ac:dyDescent="0.25">
      <c r="E98" s="59"/>
      <c r="F98" s="41"/>
      <c r="G98" s="60" t="s">
        <v>86</v>
      </c>
      <c r="H98" s="40">
        <f>H96*H97</f>
        <v>74060</v>
      </c>
      <c r="I98" s="48"/>
      <c r="J98" s="62" t="s">
        <v>86</v>
      </c>
      <c r="K98" s="42">
        <f>SUM(I10:I85)</f>
        <v>15500</v>
      </c>
      <c r="L98" s="58"/>
      <c r="M98" s="63" t="s">
        <v>86</v>
      </c>
      <c r="N98" s="64">
        <f>SUM(L10:L85)</f>
        <v>128086</v>
      </c>
    </row>
    <row r="99" spans="5:14" ht="15.75" thickBot="1" x14ac:dyDescent="0.3">
      <c r="E99" s="65">
        <f>SUM(E10:E85)</f>
        <v>7000</v>
      </c>
      <c r="F99" s="41"/>
      <c r="G99" s="60" t="s">
        <v>87</v>
      </c>
      <c r="H99" s="66">
        <f>SUM(H10:H85)</f>
        <v>92995</v>
      </c>
      <c r="I99" s="48"/>
      <c r="J99" s="62" t="s">
        <v>87</v>
      </c>
      <c r="K99" s="67">
        <f>SUM(K10:K85)</f>
        <v>18600</v>
      </c>
      <c r="L99" s="58"/>
      <c r="M99" s="63" t="s">
        <v>87</v>
      </c>
      <c r="N99" s="68">
        <f>SUM(N10:N85)</f>
        <v>149860.62</v>
      </c>
    </row>
    <row r="100" spans="5:14" ht="15.75" thickTop="1" x14ac:dyDescent="0.25"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5:14" x14ac:dyDescent="0.25">
      <c r="E101" s="36">
        <f>E99-E98</f>
        <v>7000</v>
      </c>
      <c r="F101" s="16"/>
      <c r="G101" s="16"/>
      <c r="H101" s="36">
        <f>H99-H98</f>
        <v>18935</v>
      </c>
      <c r="I101" s="16"/>
      <c r="J101" s="16"/>
      <c r="K101" s="36">
        <f>K99-K98</f>
        <v>3100</v>
      </c>
      <c r="L101" s="16"/>
      <c r="M101" s="16"/>
      <c r="N101" s="36">
        <f>N99-N98</f>
        <v>21774.619999999995</v>
      </c>
    </row>
    <row r="102" spans="5:14" x14ac:dyDescent="0.25">
      <c r="E102" s="73" t="s">
        <v>98</v>
      </c>
      <c r="F102" s="74"/>
      <c r="G102" s="74"/>
      <c r="H102" s="75">
        <f>H98/N104</f>
        <v>0.27587427672402615</v>
      </c>
      <c r="I102" s="74"/>
      <c r="J102" s="74"/>
      <c r="K102" s="75">
        <f>K98/N104</f>
        <v>5.7737662560388939E-2</v>
      </c>
      <c r="L102" s="74"/>
      <c r="M102" s="74"/>
      <c r="N102" s="76">
        <f>N98/N104</f>
        <v>0.47712169333612758</v>
      </c>
    </row>
    <row r="103" spans="5:14" ht="15.75" thickBot="1" x14ac:dyDescent="0.3"/>
    <row r="104" spans="5:14" ht="15.75" thickBot="1" x14ac:dyDescent="0.3">
      <c r="E104" s="16"/>
      <c r="F104" s="16"/>
      <c r="G104" s="16"/>
      <c r="H104" s="16"/>
      <c r="I104" s="16"/>
      <c r="J104" s="16"/>
      <c r="K104" s="16"/>
      <c r="L104" s="16"/>
      <c r="M104" s="33" t="s">
        <v>88</v>
      </c>
      <c r="N104" s="69">
        <f>SUM(E99:N99)</f>
        <v>268455.62</v>
      </c>
    </row>
    <row r="105" spans="5:14" ht="15.75" thickBot="1" x14ac:dyDescent="0.3"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5:14" ht="15.75" thickBot="1" x14ac:dyDescent="0.3">
      <c r="E106" s="16"/>
      <c r="F106" s="16"/>
      <c r="G106" s="16"/>
      <c r="H106" s="16"/>
      <c r="I106" s="16"/>
      <c r="J106" s="16"/>
      <c r="K106" s="16"/>
      <c r="L106" s="16"/>
      <c r="M106" s="33" t="s">
        <v>89</v>
      </c>
      <c r="N106" s="69">
        <f>SUM(E101:P101)</f>
        <v>50809.619999999995</v>
      </c>
    </row>
    <row r="107" spans="5:14" ht="15.75" thickBot="1" x14ac:dyDescent="0.3">
      <c r="E107" s="16"/>
      <c r="F107" s="16"/>
      <c r="G107" s="16"/>
      <c r="H107" s="16"/>
      <c r="I107" s="16"/>
      <c r="J107" s="16"/>
      <c r="K107" s="16"/>
      <c r="L107" s="16"/>
      <c r="M107" s="33" t="s">
        <v>90</v>
      </c>
      <c r="N107" s="70">
        <f>N106/N104</f>
        <v>0.18926636737945735</v>
      </c>
    </row>
    <row r="108" spans="5:14" x14ac:dyDescent="0.25">
      <c r="E108" s="16"/>
      <c r="F108" s="16"/>
      <c r="G108" s="16"/>
      <c r="H108" s="16"/>
      <c r="I108" s="16"/>
      <c r="J108" s="16"/>
      <c r="K108" s="16"/>
    </row>
  </sheetData>
  <pageMargins left="0.7" right="0.7" top="0.75" bottom="0.75" header="0.3" footer="0.3"/>
  <pageSetup paperSize="9" scale="3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35A8-9617-462D-A036-650E2160CEB3}">
  <dimension ref="B3:S24"/>
  <sheetViews>
    <sheetView workbookViewId="0">
      <selection activeCell="C5" sqref="C5"/>
    </sheetView>
  </sheetViews>
  <sheetFormatPr defaultRowHeight="15" x14ac:dyDescent="0.25"/>
  <cols>
    <col min="3" max="3" width="53.28515625" customWidth="1"/>
    <col min="5" max="5" width="3" customWidth="1"/>
    <col min="16" max="16" width="3.5703125" customWidth="1"/>
    <col min="17" max="17" width="13.7109375" customWidth="1"/>
    <col min="18" max="18" width="2.7109375" customWidth="1"/>
    <col min="19" max="19" width="32.42578125" customWidth="1"/>
  </cols>
  <sheetData>
    <row r="3" spans="2:19" ht="15.75" thickBot="1" x14ac:dyDescent="0.3">
      <c r="B3" s="16"/>
      <c r="D3" s="16"/>
    </row>
    <row r="4" spans="2:19" ht="21.75" thickBot="1" x14ac:dyDescent="0.4">
      <c r="B4" s="16"/>
      <c r="C4" s="77" t="s">
        <v>103</v>
      </c>
      <c r="D4" s="16"/>
      <c r="F4" s="78" t="s">
        <v>1</v>
      </c>
      <c r="G4" s="6" t="s">
        <v>2</v>
      </c>
      <c r="H4" s="7"/>
      <c r="I4" s="79"/>
      <c r="J4" s="80" t="s">
        <v>3</v>
      </c>
      <c r="K4" s="10"/>
      <c r="L4" s="81"/>
      <c r="M4" s="82" t="s">
        <v>4</v>
      </c>
      <c r="N4" s="83"/>
      <c r="O4" s="84"/>
      <c r="Q4" s="16"/>
      <c r="R4" s="16"/>
    </row>
    <row r="5" spans="2:19" ht="15.75" thickBot="1" x14ac:dyDescent="0.3">
      <c r="B5" s="16"/>
      <c r="C5" t="s">
        <v>99</v>
      </c>
      <c r="D5" s="85" t="s">
        <v>0</v>
      </c>
      <c r="F5" s="86"/>
      <c r="G5" s="19" t="s">
        <v>6</v>
      </c>
      <c r="H5" s="20" t="s">
        <v>7</v>
      </c>
      <c r="I5" s="87" t="s">
        <v>100</v>
      </c>
      <c r="J5" s="88" t="s">
        <v>9</v>
      </c>
      <c r="K5" s="23" t="s">
        <v>10</v>
      </c>
      <c r="L5" s="89" t="s">
        <v>100</v>
      </c>
      <c r="M5" s="90" t="s">
        <v>12</v>
      </c>
      <c r="N5" s="91" t="s">
        <v>10</v>
      </c>
      <c r="O5" s="92" t="s">
        <v>100</v>
      </c>
      <c r="Q5" s="85" t="s">
        <v>101</v>
      </c>
      <c r="R5" s="99"/>
      <c r="S5" s="100" t="s">
        <v>102</v>
      </c>
    </row>
    <row r="6" spans="2:19" x14ac:dyDescent="0.25">
      <c r="B6" s="16"/>
      <c r="D6" s="16"/>
    </row>
    <row r="7" spans="2:19" x14ac:dyDescent="0.25">
      <c r="B7" s="16"/>
      <c r="D7" s="16"/>
    </row>
    <row r="8" spans="2:19" x14ac:dyDescent="0.25">
      <c r="B8" s="16">
        <v>1</v>
      </c>
      <c r="D8" s="16"/>
      <c r="F8" s="93"/>
      <c r="G8" s="41"/>
      <c r="H8" s="41"/>
      <c r="I8" s="40"/>
      <c r="J8" s="94"/>
      <c r="K8" s="95"/>
      <c r="L8" s="94"/>
      <c r="M8" s="96"/>
      <c r="N8" s="97"/>
      <c r="O8" s="96"/>
    </row>
    <row r="9" spans="2:19" x14ac:dyDescent="0.25">
      <c r="B9" s="16"/>
      <c r="D9" s="16"/>
      <c r="F9" s="93"/>
      <c r="G9" s="41"/>
      <c r="H9" s="41"/>
      <c r="I9" s="40"/>
      <c r="J9" s="94"/>
      <c r="K9" s="95"/>
      <c r="L9" s="94"/>
      <c r="M9" s="96"/>
      <c r="N9" s="98"/>
      <c r="O9" s="96"/>
    </row>
    <row r="10" spans="2:19" x14ac:dyDescent="0.25">
      <c r="B10" s="16">
        <v>2</v>
      </c>
      <c r="D10" s="16"/>
      <c r="F10" s="93"/>
      <c r="G10" s="41"/>
      <c r="H10" s="41"/>
      <c r="I10" s="40"/>
      <c r="J10" s="94"/>
      <c r="K10" s="95"/>
      <c r="L10" s="94"/>
      <c r="M10" s="96"/>
      <c r="N10" s="98"/>
      <c r="O10" s="96"/>
    </row>
    <row r="11" spans="2:19" x14ac:dyDescent="0.25">
      <c r="B11" s="16"/>
      <c r="D11" s="16"/>
      <c r="F11" s="93"/>
      <c r="G11" s="41"/>
      <c r="H11" s="41"/>
      <c r="I11" s="40"/>
      <c r="J11" s="94"/>
      <c r="K11" s="95"/>
      <c r="L11" s="94"/>
      <c r="M11" s="96"/>
      <c r="N11" s="98"/>
      <c r="O11" s="96"/>
    </row>
    <row r="12" spans="2:19" x14ac:dyDescent="0.25">
      <c r="F12" s="93"/>
      <c r="G12" s="41"/>
      <c r="H12" s="41"/>
      <c r="I12" s="40"/>
      <c r="J12" s="94"/>
      <c r="K12" s="95"/>
      <c r="L12" s="94"/>
      <c r="M12" s="96"/>
      <c r="N12" s="98"/>
      <c r="O12" s="96"/>
    </row>
    <row r="13" spans="2:19" x14ac:dyDescent="0.25">
      <c r="F13" s="93"/>
      <c r="G13" s="41"/>
      <c r="H13" s="41"/>
      <c r="I13" s="40"/>
      <c r="J13" s="94"/>
      <c r="K13" s="95"/>
      <c r="L13" s="94"/>
      <c r="M13" s="96"/>
      <c r="N13" s="98"/>
      <c r="O13" s="96"/>
    </row>
    <row r="14" spans="2:19" x14ac:dyDescent="0.25">
      <c r="B14" s="16"/>
      <c r="D14" s="16"/>
      <c r="F14" s="93"/>
      <c r="G14" s="41"/>
      <c r="H14" s="41"/>
      <c r="I14" s="40"/>
      <c r="J14" s="94"/>
      <c r="K14" s="95"/>
      <c r="L14" s="94"/>
      <c r="M14" s="96"/>
      <c r="N14" s="98"/>
      <c r="O14" s="96"/>
    </row>
    <row r="15" spans="2:19" x14ac:dyDescent="0.25">
      <c r="B15" s="16"/>
      <c r="D15" s="16"/>
      <c r="F15" s="93"/>
      <c r="G15" s="41"/>
      <c r="H15" s="41"/>
      <c r="I15" s="40"/>
      <c r="J15" s="94"/>
      <c r="K15" s="95"/>
      <c r="L15" s="94"/>
      <c r="M15" s="96"/>
      <c r="N15" s="98"/>
      <c r="O15" s="96"/>
    </row>
    <row r="16" spans="2:19" x14ac:dyDescent="0.25">
      <c r="B16" s="16"/>
      <c r="D16" s="16"/>
      <c r="F16" s="93"/>
      <c r="G16" s="41"/>
      <c r="H16" s="41"/>
      <c r="I16" s="40"/>
      <c r="J16" s="94"/>
      <c r="K16" s="95"/>
      <c r="L16" s="94"/>
      <c r="M16" s="96"/>
      <c r="N16" s="98"/>
      <c r="O16" s="96"/>
    </row>
    <row r="17" spans="2:15" x14ac:dyDescent="0.25">
      <c r="B17" s="16"/>
      <c r="D17" s="16"/>
      <c r="F17" s="93"/>
      <c r="G17" s="41"/>
      <c r="H17" s="41"/>
      <c r="I17" s="40"/>
      <c r="J17" s="94"/>
      <c r="K17" s="95"/>
      <c r="L17" s="94"/>
      <c r="M17" s="96"/>
      <c r="N17" s="98"/>
      <c r="O17" s="96"/>
    </row>
    <row r="18" spans="2:15" x14ac:dyDescent="0.25">
      <c r="B18" s="16"/>
      <c r="D18" s="16"/>
      <c r="F18" s="93"/>
      <c r="G18" s="41"/>
      <c r="H18" s="41"/>
      <c r="I18" s="40"/>
      <c r="J18" s="94"/>
      <c r="K18" s="95"/>
      <c r="L18" s="94"/>
      <c r="M18" s="96"/>
      <c r="N18" s="98"/>
      <c r="O18" s="96"/>
    </row>
    <row r="19" spans="2:15" x14ac:dyDescent="0.25">
      <c r="B19" s="16"/>
      <c r="D19" s="16"/>
      <c r="F19" s="93"/>
      <c r="G19" s="41"/>
      <c r="H19" s="41"/>
      <c r="I19" s="40"/>
      <c r="J19" s="94"/>
      <c r="K19" s="95"/>
      <c r="L19" s="94"/>
      <c r="M19" s="96"/>
      <c r="N19" s="98"/>
      <c r="O19" s="96"/>
    </row>
    <row r="20" spans="2:15" x14ac:dyDescent="0.25">
      <c r="B20" s="16"/>
      <c r="D20" s="16"/>
      <c r="F20" s="93"/>
      <c r="G20" s="41"/>
      <c r="H20" s="41"/>
      <c r="I20" s="40"/>
      <c r="J20" s="94"/>
      <c r="K20" s="95"/>
      <c r="L20" s="94"/>
      <c r="M20" s="96"/>
      <c r="N20" s="98"/>
      <c r="O20" s="96"/>
    </row>
    <row r="21" spans="2:15" x14ac:dyDescent="0.25">
      <c r="B21" s="16"/>
      <c r="D21" s="16"/>
      <c r="F21" s="93"/>
      <c r="G21" s="41"/>
      <c r="H21" s="41"/>
      <c r="I21" s="40"/>
      <c r="J21" s="94"/>
      <c r="K21" s="95"/>
      <c r="L21" s="94"/>
      <c r="M21" s="96"/>
      <c r="N21" s="98"/>
      <c r="O21" s="96"/>
    </row>
    <row r="22" spans="2:15" x14ac:dyDescent="0.25">
      <c r="B22" s="16"/>
      <c r="D22" s="16"/>
      <c r="F22" s="93"/>
      <c r="G22" s="41"/>
      <c r="H22" s="41"/>
      <c r="I22" s="40"/>
      <c r="J22" s="94"/>
      <c r="K22" s="95"/>
      <c r="L22" s="94"/>
      <c r="M22" s="96"/>
      <c r="N22" s="98"/>
      <c r="O22" s="96"/>
    </row>
    <row r="23" spans="2:15" x14ac:dyDescent="0.25">
      <c r="B23" s="16"/>
      <c r="D23" s="16"/>
      <c r="F23" s="93"/>
      <c r="G23" s="41"/>
      <c r="H23" s="41"/>
      <c r="I23" s="40"/>
      <c r="J23" s="94"/>
      <c r="K23" s="95"/>
      <c r="L23" s="94"/>
      <c r="M23" s="96"/>
      <c r="N23" s="98"/>
      <c r="O23" s="96"/>
    </row>
    <row r="24" spans="2:15" x14ac:dyDescent="0.25">
      <c r="B24" s="16"/>
      <c r="D24" s="16"/>
      <c r="F24" s="93"/>
      <c r="G24" s="41"/>
      <c r="H24" s="41"/>
      <c r="I24" s="40"/>
      <c r="J24" s="94"/>
      <c r="K24" s="95"/>
      <c r="L24" s="94"/>
      <c r="M24" s="96"/>
      <c r="N24" s="98"/>
      <c r="O24" s="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45ED-A708-4B9D-A538-A58847A83E9D}">
  <dimension ref="C8:H27"/>
  <sheetViews>
    <sheetView workbookViewId="0">
      <selection activeCell="F32" sqref="F32"/>
    </sheetView>
  </sheetViews>
  <sheetFormatPr defaultRowHeight="15" x14ac:dyDescent="0.25"/>
  <cols>
    <col min="3" max="3" width="19" customWidth="1"/>
    <col min="4" max="4" width="56.85546875" customWidth="1"/>
    <col min="5" max="5" width="16.28515625" style="16" customWidth="1"/>
    <col min="6" max="6" width="18" style="16" customWidth="1"/>
    <col min="7" max="7" width="19.7109375" style="16" customWidth="1"/>
    <col min="8" max="8" width="15.42578125" style="16" customWidth="1"/>
  </cols>
  <sheetData>
    <row r="8" spans="3:8" x14ac:dyDescent="0.25">
      <c r="C8" s="34" t="s">
        <v>113</v>
      </c>
      <c r="D8" s="34" t="s">
        <v>114</v>
      </c>
      <c r="E8" s="101" t="s">
        <v>118</v>
      </c>
      <c r="F8" s="101" t="s">
        <v>110</v>
      </c>
      <c r="G8" s="101" t="s">
        <v>111</v>
      </c>
      <c r="H8" s="101" t="s">
        <v>115</v>
      </c>
    </row>
    <row r="10" spans="3:8" x14ac:dyDescent="0.25">
      <c r="C10" s="99" t="s">
        <v>112</v>
      </c>
      <c r="D10" t="s">
        <v>109</v>
      </c>
      <c r="E10" s="16">
        <v>3443457194</v>
      </c>
      <c r="F10" s="36">
        <f>2635*0.8</f>
        <v>2108</v>
      </c>
      <c r="G10" s="36">
        <v>1500</v>
      </c>
      <c r="H10" s="36">
        <f>F10-G10</f>
        <v>608</v>
      </c>
    </row>
    <row r="11" spans="3:8" x14ac:dyDescent="0.25">
      <c r="C11" s="99"/>
      <c r="F11" s="36"/>
      <c r="G11" s="36"/>
      <c r="H11" s="36"/>
    </row>
    <row r="12" spans="3:8" x14ac:dyDescent="0.25">
      <c r="C12" s="99" t="s">
        <v>117</v>
      </c>
      <c r="D12" t="s">
        <v>116</v>
      </c>
      <c r="E12" s="16">
        <v>701395516</v>
      </c>
      <c r="F12" s="36">
        <f>2376*0.8</f>
        <v>1900.8000000000002</v>
      </c>
      <c r="G12" s="36">
        <v>1200</v>
      </c>
      <c r="H12" s="36">
        <f>F12-G12</f>
        <v>700.80000000000018</v>
      </c>
    </row>
    <row r="13" spans="3:8" x14ac:dyDescent="0.25">
      <c r="D13" t="s">
        <v>119</v>
      </c>
      <c r="E13" s="16">
        <v>747085310</v>
      </c>
      <c r="F13" s="36">
        <f>818*0.8</f>
        <v>654.40000000000009</v>
      </c>
      <c r="G13" s="36"/>
      <c r="H13" s="36">
        <f>F13-G13</f>
        <v>654.40000000000009</v>
      </c>
    </row>
    <row r="15" spans="3:8" x14ac:dyDescent="0.25">
      <c r="C15" t="s">
        <v>123</v>
      </c>
      <c r="D15" s="103" t="s">
        <v>122</v>
      </c>
      <c r="F15" s="36"/>
      <c r="G15" s="36">
        <v>2500</v>
      </c>
      <c r="H15" s="36"/>
    </row>
    <row r="17" spans="3:8" x14ac:dyDescent="0.25">
      <c r="C17" t="s">
        <v>121</v>
      </c>
      <c r="D17" t="s">
        <v>120</v>
      </c>
      <c r="E17" s="16">
        <v>617080230</v>
      </c>
      <c r="F17" s="36">
        <f>829*0.8</f>
        <v>663.2</v>
      </c>
      <c r="G17" s="36">
        <v>950</v>
      </c>
      <c r="H17" s="102">
        <f>F17-G17</f>
        <v>-286.79999999999995</v>
      </c>
    </row>
    <row r="18" spans="3:8" x14ac:dyDescent="0.25">
      <c r="F18" s="36"/>
      <c r="G18" s="36"/>
      <c r="H18" s="36"/>
    </row>
    <row r="19" spans="3:8" x14ac:dyDescent="0.25">
      <c r="C19" t="s">
        <v>126</v>
      </c>
      <c r="D19" t="s">
        <v>124</v>
      </c>
      <c r="E19" s="16">
        <v>776482000</v>
      </c>
      <c r="F19" s="36">
        <f>179*0.8</f>
        <v>143.20000000000002</v>
      </c>
      <c r="G19" s="36">
        <v>250</v>
      </c>
      <c r="H19" s="102">
        <f>F19-G19</f>
        <v>-106.79999999999998</v>
      </c>
    </row>
    <row r="20" spans="3:8" x14ac:dyDescent="0.25">
      <c r="C20" t="s">
        <v>127</v>
      </c>
      <c r="D20" t="s">
        <v>125</v>
      </c>
      <c r="E20" s="16">
        <v>775295300</v>
      </c>
      <c r="F20" s="36">
        <f>86*2</f>
        <v>172</v>
      </c>
      <c r="G20" s="36">
        <v>250</v>
      </c>
      <c r="H20" s="102">
        <f>F20-G20</f>
        <v>-78</v>
      </c>
    </row>
    <row r="21" spans="3:8" x14ac:dyDescent="0.25">
      <c r="F21" s="36"/>
      <c r="G21" s="36"/>
      <c r="H21" s="36"/>
    </row>
    <row r="22" spans="3:8" x14ac:dyDescent="0.25">
      <c r="C22" t="s">
        <v>129</v>
      </c>
      <c r="D22" t="s">
        <v>128</v>
      </c>
      <c r="E22" s="16" t="s">
        <v>130</v>
      </c>
      <c r="F22" s="36">
        <f>2249*0.8</f>
        <v>1799.2</v>
      </c>
      <c r="G22" s="36">
        <v>4500</v>
      </c>
      <c r="H22" s="102">
        <f>F22-G22</f>
        <v>-2700.8</v>
      </c>
    </row>
    <row r="23" spans="3:8" x14ac:dyDescent="0.25">
      <c r="F23" s="36"/>
      <c r="G23" s="36"/>
      <c r="H23" s="36"/>
    </row>
    <row r="24" spans="3:8" x14ac:dyDescent="0.25">
      <c r="F24" s="36"/>
      <c r="G24" s="36"/>
      <c r="H24" s="102">
        <f>SUM(H10:H23)</f>
        <v>-1209.1999999999998</v>
      </c>
    </row>
    <row r="25" spans="3:8" x14ac:dyDescent="0.25">
      <c r="F25" s="36"/>
      <c r="G25" s="36"/>
      <c r="H25" s="36"/>
    </row>
    <row r="26" spans="3:8" x14ac:dyDescent="0.25">
      <c r="F26" s="36"/>
      <c r="G26" s="36"/>
      <c r="H26" s="36"/>
    </row>
    <row r="27" spans="3:8" x14ac:dyDescent="0.25">
      <c r="F27" s="36"/>
      <c r="G27" s="36"/>
      <c r="H27" s="36"/>
    </row>
  </sheetData>
  <hyperlinks>
    <hyperlink ref="D13" r:id="rId1" display="https://www.billigvvs.dk/ivy-concord-bundventil-push-open-rustfrit-staal-3039004" xr:uid="{893DF4B8-372C-400C-9CAA-0561699DD7AD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8a5ba8-a2de-49f6-b885-4b123066ec6f">
      <Terms xmlns="http://schemas.microsoft.com/office/infopath/2007/PartnerControls"/>
    </lcf76f155ced4ddcb4097134ff3c332f>
    <TaxCatchAll xmlns="19205e70-9770-44fc-a5b3-72b4caaab09a" xsi:nil="true"/>
    <Placering xmlns="938a5ba8-a2de-49f6-b885-4b123066ec6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974A70-F97C-43A5-9E29-1CD48C31C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916450-2496-4F60-BFD0-887FA87E80C1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3.xml><?xml version="1.0" encoding="utf-8"?>
<ds:datastoreItem xmlns:ds="http://schemas.openxmlformats.org/officeDocument/2006/customXml" ds:itemID="{29DBE12A-0DF3-4DDB-9395-1A9E956851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Tilbud</vt:lpstr>
      <vt:lpstr>Ekstra</vt:lpstr>
      <vt:lpstr>Mateiale valg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Villads Emil Blankholm</cp:lastModifiedBy>
  <cp:lastPrinted>2025-07-31T14:57:04Z</cp:lastPrinted>
  <dcterms:created xsi:type="dcterms:W3CDTF">2025-06-30T11:31:26Z</dcterms:created>
  <dcterms:modified xsi:type="dcterms:W3CDTF">2025-08-07T08:54:03Z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0x01010092DED09EA814A04AA67D21CE1BFB72BA</vt:lpwstr>
  </property>
</Properties>
</file>