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1 Igangværende sager/1713 Brannersvej 5, 1.th, 2920 Charlottenlund/Kalkulation/"/>
    </mc:Choice>
  </mc:AlternateContent>
  <xr:revisionPtr revIDLastSave="819" documentId="8_{A719F460-E626-44FB-A678-C7DEAFC2A669}" xr6:coauthVersionLast="47" xr6:coauthVersionMax="47" xr10:uidLastSave="{3F659EBA-77EF-4B3E-A2E8-14617E20F7F2}"/>
  <bookViews>
    <workbookView minimized="1" xWindow="1680" yWindow="2115" windowWidth="34965" windowHeight="18120" activeTab="4" xr2:uid="{E05A9E00-DF6C-4A11-8F70-FDB10184F749}"/>
  </bookViews>
  <sheets>
    <sheet name="Kalk accepteret" sheetId="4" r:id="rId1"/>
    <sheet name="Kalk" sheetId="1" r:id="rId2"/>
    <sheet name="Ekstra arb" sheetId="3" r:id="rId3"/>
    <sheet name="Udgår" sheetId="2" r:id="rId4"/>
    <sheet name="Fremskriv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D50" i="3"/>
  <c r="E20" i="5" l="1"/>
  <c r="E13" i="5"/>
  <c r="E24" i="5" s="1"/>
  <c r="R94" i="4"/>
  <c r="R95" i="4"/>
  <c r="R93" i="4"/>
  <c r="R92" i="4"/>
  <c r="R91" i="4"/>
  <c r="R88" i="4"/>
  <c r="R82" i="4"/>
  <c r="R78" i="4"/>
  <c r="R74" i="4"/>
  <c r="R62" i="4"/>
  <c r="R57" i="4"/>
  <c r="R53" i="4"/>
  <c r="R46" i="4"/>
  <c r="R29" i="4"/>
  <c r="R21" i="4"/>
  <c r="R12" i="4"/>
  <c r="R6" i="4"/>
  <c r="O91" i="1"/>
  <c r="P91" i="1" s="1"/>
  <c r="J44" i="4"/>
  <c r="J85" i="4"/>
  <c r="J84" i="4"/>
  <c r="J80" i="4"/>
  <c r="J89" i="4" l="1"/>
  <c r="L88" i="4" s="1"/>
  <c r="O88" i="4" s="1"/>
  <c r="J83" i="4"/>
  <c r="L82" i="4" s="1"/>
  <c r="O82" i="4" s="1"/>
  <c r="J79" i="4"/>
  <c r="L78" i="4" s="1"/>
  <c r="O78" i="4" s="1"/>
  <c r="J76" i="4"/>
  <c r="J75" i="4"/>
  <c r="H71" i="4"/>
  <c r="J71" i="4" s="1"/>
  <c r="J70" i="4"/>
  <c r="H68" i="4"/>
  <c r="J68" i="4" s="1"/>
  <c r="H67" i="4"/>
  <c r="J67" i="4" s="1"/>
  <c r="H66" i="4"/>
  <c r="J66" i="4" s="1"/>
  <c r="H65" i="4"/>
  <c r="J65" i="4" s="1"/>
  <c r="H64" i="4"/>
  <c r="J64" i="4" s="1"/>
  <c r="H63" i="4"/>
  <c r="J63" i="4" s="1"/>
  <c r="H60" i="4"/>
  <c r="J60" i="4" s="1"/>
  <c r="H59" i="4"/>
  <c r="J59" i="4" s="1"/>
  <c r="H58" i="4"/>
  <c r="J58" i="4" s="1"/>
  <c r="H55" i="4"/>
  <c r="J55" i="4" s="1"/>
  <c r="H54" i="4"/>
  <c r="J54" i="4" s="1"/>
  <c r="H51" i="4"/>
  <c r="J51" i="4" s="1"/>
  <c r="H50" i="4"/>
  <c r="J50" i="4" s="1"/>
  <c r="H49" i="4"/>
  <c r="J49" i="4" s="1"/>
  <c r="H48" i="4"/>
  <c r="J48" i="4" s="1"/>
  <c r="H47" i="4"/>
  <c r="J47" i="4" s="1"/>
  <c r="H43" i="4"/>
  <c r="J43" i="4" s="1"/>
  <c r="H42" i="4"/>
  <c r="J42" i="4" s="1"/>
  <c r="H41" i="4"/>
  <c r="J41" i="4" s="1"/>
  <c r="H40" i="4"/>
  <c r="J40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J10" i="4"/>
  <c r="J9" i="4"/>
  <c r="J8" i="4"/>
  <c r="J7" i="4"/>
  <c r="C14" i="3"/>
  <c r="C13" i="3"/>
  <c r="D15" i="3" l="1"/>
  <c r="L29" i="4"/>
  <c r="O29" i="4" s="1"/>
  <c r="L74" i="4"/>
  <c r="O74" i="4" s="1"/>
  <c r="L46" i="4"/>
  <c r="O46" i="4" s="1"/>
  <c r="L21" i="4"/>
  <c r="O21" i="4" s="1"/>
  <c r="L57" i="4"/>
  <c r="O57" i="4" s="1"/>
  <c r="L6" i="4"/>
  <c r="O6" i="4" s="1"/>
  <c r="L12" i="4"/>
  <c r="O12" i="4" s="1"/>
  <c r="L53" i="4"/>
  <c r="O53" i="4" s="1"/>
  <c r="L62" i="4"/>
  <c r="O62" i="4" s="1"/>
  <c r="W12" i="3"/>
  <c r="W11" i="3"/>
  <c r="L11" i="3"/>
  <c r="L8" i="3"/>
  <c r="F11" i="2"/>
  <c r="O91" i="4" l="1"/>
  <c r="L91" i="4"/>
  <c r="L92" i="4" s="1"/>
  <c r="L93" i="4" s="1"/>
  <c r="W15" i="3"/>
  <c r="W16" i="3" s="1"/>
  <c r="L13" i="3"/>
  <c r="L14" i="3" s="1"/>
  <c r="L15" i="3" s="1"/>
  <c r="R14" i="3"/>
  <c r="R15" i="3" s="1"/>
  <c r="H38" i="1"/>
  <c r="J38" i="1" s="1"/>
  <c r="J10" i="1"/>
  <c r="J75" i="1"/>
  <c r="J85" i="1"/>
  <c r="L84" i="1" s="1"/>
  <c r="J82" i="1"/>
  <c r="L81" i="1" s="1"/>
  <c r="J78" i="1"/>
  <c r="L77" i="1" s="1"/>
  <c r="J74" i="1"/>
  <c r="J9" i="1"/>
  <c r="J8" i="1"/>
  <c r="J69" i="1"/>
  <c r="H70" i="1"/>
  <c r="J70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59" i="1"/>
  <c r="J59" i="1" s="1"/>
  <c r="H58" i="1"/>
  <c r="J58" i="1" s="1"/>
  <c r="H57" i="1"/>
  <c r="J57" i="1" s="1"/>
  <c r="H54" i="1"/>
  <c r="J54" i="1" s="1"/>
  <c r="H53" i="1"/>
  <c r="J53" i="1" s="1"/>
  <c r="H50" i="1"/>
  <c r="J50" i="1" s="1"/>
  <c r="H49" i="1"/>
  <c r="J49" i="1" s="1"/>
  <c r="H48" i="1"/>
  <c r="J48" i="1" s="1"/>
  <c r="H47" i="1"/>
  <c r="J47" i="1" s="1"/>
  <c r="H46" i="1"/>
  <c r="J46" i="1" s="1"/>
  <c r="H43" i="1"/>
  <c r="J43" i="1" s="1"/>
  <c r="H42" i="1"/>
  <c r="J42" i="1" s="1"/>
  <c r="H41" i="1"/>
  <c r="J41" i="1" s="1"/>
  <c r="H40" i="1"/>
  <c r="J40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J7" i="1"/>
  <c r="O92" i="4" l="1"/>
  <c r="O93" i="4" s="1"/>
  <c r="L73" i="1"/>
  <c r="L6" i="1"/>
  <c r="L61" i="1"/>
  <c r="L45" i="1"/>
  <c r="L52" i="1"/>
  <c r="L29" i="1"/>
  <c r="L21" i="1"/>
  <c r="L56" i="1"/>
  <c r="L12" i="1"/>
  <c r="L87" i="1" l="1"/>
  <c r="L88" i="1" s="1"/>
  <c r="L89" i="1" s="1"/>
</calcChain>
</file>

<file path=xl/sharedStrings.xml><?xml version="1.0" encoding="utf-8"?>
<sst xmlns="http://schemas.openxmlformats.org/spreadsheetml/2006/main" count="355" uniqueCount="142">
  <si>
    <t>FAG</t>
  </si>
  <si>
    <t>Timer/Antal</t>
  </si>
  <si>
    <t>Takst</t>
  </si>
  <si>
    <t>Materialer</t>
  </si>
  <si>
    <t>Kostpris</t>
  </si>
  <si>
    <t>Påslag</t>
  </si>
  <si>
    <t>Tilbud</t>
  </si>
  <si>
    <t>Projektledelse, Dokumentation og Administration</t>
  </si>
  <si>
    <t>Bnord</t>
  </si>
  <si>
    <t>Skurvogn</t>
  </si>
  <si>
    <t>Tilbud Brandersvej 5 1.th</t>
  </si>
  <si>
    <t>Dato: 2023.04.19 - Byggeselskabet Nord ApS</t>
  </si>
  <si>
    <t>Affald</t>
  </si>
  <si>
    <t>Fjerne vægstykker mellem entré og gang</t>
  </si>
  <si>
    <t>Nedriv</t>
  </si>
  <si>
    <t>Murer</t>
  </si>
  <si>
    <t>Opretning af vægge, udførsel af dørfalse</t>
  </si>
  <si>
    <t>Tømrer</t>
  </si>
  <si>
    <t>De- og genmontering af gulvbrædder og fodpaneler</t>
  </si>
  <si>
    <t>Rum 1 - Entré og gang</t>
  </si>
  <si>
    <t>Optagning af indskud, brandgips og isolering</t>
  </si>
  <si>
    <t>Lukning af huller i gulv efter vægge, gamle gulvbrædder</t>
  </si>
  <si>
    <t>Nedhængt loft i gang</t>
  </si>
  <si>
    <t>Genmontering af fodpaneler</t>
  </si>
  <si>
    <t>Rum 2 - Værelse</t>
  </si>
  <si>
    <t>Nedrivning af fliser på vægge</t>
  </si>
  <si>
    <t>Opretning af vægge, lukning af el-riller</t>
  </si>
  <si>
    <t>Opsætning af nye fodpaneler</t>
  </si>
  <si>
    <t>Sandlister</t>
  </si>
  <si>
    <t>Rum 3 - Wc/Bad</t>
  </si>
  <si>
    <t>Nedrivning af badeværele</t>
  </si>
  <si>
    <t>Støbning af gulv</t>
  </si>
  <si>
    <t>Vådrum</t>
  </si>
  <si>
    <t>Gasbeton ved cisterne</t>
  </si>
  <si>
    <t>Opssætning af klinker og fliser</t>
  </si>
  <si>
    <t>Fuger, hårde og bløde</t>
  </si>
  <si>
    <t>Fortsatsvæg</t>
  </si>
  <si>
    <t>Opsætning af indfatninger og platlister</t>
  </si>
  <si>
    <t>Nedhængt loft</t>
  </si>
  <si>
    <t>Nedhængt loft, hos underboer</t>
  </si>
  <si>
    <t>Rum 4 - Værelse</t>
  </si>
  <si>
    <t>Ilægning af ståltegl</t>
  </si>
  <si>
    <t>Inspektionslem</t>
  </si>
  <si>
    <t>Rum 5 - Soveværelse</t>
  </si>
  <si>
    <t>Murerarbejder</t>
  </si>
  <si>
    <t>Rum 6 - Stuen</t>
  </si>
  <si>
    <t>Rum 7 - Køkken/Alrum</t>
  </si>
  <si>
    <t>Rørkasse og forsatsvæg</t>
  </si>
  <si>
    <t>Indkøb af køkken</t>
  </si>
  <si>
    <t>Montage af køkken</t>
  </si>
  <si>
    <t>Kvik</t>
  </si>
  <si>
    <t>Gulve</t>
  </si>
  <si>
    <t>VVS</t>
  </si>
  <si>
    <t>EL</t>
  </si>
  <si>
    <t>Maler</t>
  </si>
  <si>
    <t>Slibning af gulve og lakering</t>
  </si>
  <si>
    <t>El installationer</t>
  </si>
  <si>
    <t>Rengøring af bolig</t>
  </si>
  <si>
    <t>Afdækning</t>
  </si>
  <si>
    <t>Indkøb af klinker og fliser. Afsat beløb 300 kr. pr. m2</t>
  </si>
  <si>
    <t>Indkøb og opsætning af Badeværelses møbel</t>
  </si>
  <si>
    <t>Pris ekskl. moms =</t>
  </si>
  <si>
    <t>Moms =</t>
  </si>
  <si>
    <t>Pris inkl.  moms =</t>
  </si>
  <si>
    <t>VVS installationer, som beskrevet i udbud</t>
  </si>
  <si>
    <t>Malerarbejder, som beskrevet i udbud</t>
  </si>
  <si>
    <t>Hultagning i væg mod badeværelset</t>
  </si>
  <si>
    <t xml:space="preserve"> + Moms</t>
  </si>
  <si>
    <t>Skift af rør fra alupex til stål rør</t>
  </si>
  <si>
    <t>Tillægs- og fradragsarbejder Brannersvej 5 1th</t>
  </si>
  <si>
    <t>eks moms</t>
  </si>
  <si>
    <t>moms</t>
  </si>
  <si>
    <t>i alt</t>
  </si>
  <si>
    <t>Orbital roskilde</t>
  </si>
  <si>
    <t>Gulv</t>
  </si>
  <si>
    <t>Væg</t>
  </si>
  <si>
    <t>Vindue</t>
  </si>
  <si>
    <t>Kasse</t>
  </si>
  <si>
    <t>m2</t>
  </si>
  <si>
    <t>Opkant</t>
  </si>
  <si>
    <t>lbm</t>
  </si>
  <si>
    <t>12.06.2023 Accept BM via mail</t>
  </si>
  <si>
    <t>Koldt vandsstigestreng og cirkulation</t>
  </si>
  <si>
    <t>18.06.2023 Accept BM via mail</t>
  </si>
  <si>
    <t>Ventillation, fra thermex til spiorør med egen moter</t>
  </si>
  <si>
    <t>Fliser</t>
  </si>
  <si>
    <t>Tillæg for fliser</t>
  </si>
  <si>
    <t>Aftalt med rune</t>
  </si>
  <si>
    <t>Stade %</t>
  </si>
  <si>
    <t>Aconto 1</t>
  </si>
  <si>
    <t>Fradrag (gulvvarme) ekskl. moms</t>
  </si>
  <si>
    <t>Fradrag (Quooker) ekskl. moms</t>
  </si>
  <si>
    <t>Fradrag (Damixa køkkenarmatur) ekskl. moms</t>
  </si>
  <si>
    <t>Fradrag (Nedhængtloft hos underbo) ekskl. moms</t>
  </si>
  <si>
    <t>Stade d.d.</t>
  </si>
  <si>
    <t>Aconto 1 =</t>
  </si>
  <si>
    <t>Opbygning af væg ved gamelt skab, Skab var i vejen for optag. Gulv</t>
  </si>
  <si>
    <t>Afsat til tilbud = 300 kr.* 22 kvm.</t>
  </si>
  <si>
    <t>Indkøb fliser, fliseuniverset</t>
  </si>
  <si>
    <t>Tillæg i alt</t>
  </si>
  <si>
    <t>Tilbud Brannersvej 5 1.th</t>
  </si>
  <si>
    <t>Er faktureret</t>
  </si>
  <si>
    <t>Aconto 2 =</t>
  </si>
  <si>
    <t>Aconto 2</t>
  </si>
  <si>
    <t>Aftalt med Dan d. 01.08.2023</t>
  </si>
  <si>
    <t>Indkøb og udskiftning af låsekasse på dør til gammelt køkken</t>
  </si>
  <si>
    <t>Rørkasse/ Skørt hos underbo</t>
  </si>
  <si>
    <t>Glas vinge i badeværelse fra gulv til loft, merpris ift. tilbud</t>
  </si>
  <si>
    <t>Udgår</t>
  </si>
  <si>
    <t>Påsætning af fodpaneler bag vaskemaskine</t>
  </si>
  <si>
    <t>07.08 Accept via mail</t>
  </si>
  <si>
    <t>Påsætning af vinduesplade i værelse ved ståltrappe</t>
  </si>
  <si>
    <t>Economics</t>
  </si>
  <si>
    <t>Rest</t>
  </si>
  <si>
    <t>Ekstra</t>
  </si>
  <si>
    <t>Ændring af afløb fra køkken så det går ned hos underbo tidligere</t>
  </si>
  <si>
    <t>A.</t>
  </si>
  <si>
    <t>B.</t>
  </si>
  <si>
    <t>C.</t>
  </si>
  <si>
    <t>D</t>
  </si>
  <si>
    <t>Udgår med handel i pkt. 4</t>
  </si>
  <si>
    <t>Udgår, Entreprenør betaler skurpenge</t>
  </si>
  <si>
    <t xml:space="preserve">Bygherre : </t>
  </si>
  <si>
    <t>Maling af væg mod trappeopgang i glas 25</t>
  </si>
  <si>
    <t>E.</t>
  </si>
  <si>
    <t>Lysningsbrædt er ikke udført</t>
  </si>
  <si>
    <t>Rengøring</t>
  </si>
  <si>
    <t>F</t>
  </si>
  <si>
    <t>Stikkontakt på væg ved højskabe mangler, erstattet af tilvag af flere stik</t>
  </si>
  <si>
    <t>Maler rest</t>
  </si>
  <si>
    <t>Maler Ekstra</t>
  </si>
  <si>
    <t>Alle paneler malet 3 gange i stedet for 2 gange, Malerbeskrivelse fejlagtig</t>
  </si>
  <si>
    <t>kontrakt</t>
  </si>
  <si>
    <t>DB =</t>
  </si>
  <si>
    <t xml:space="preserve"> %</t>
  </si>
  <si>
    <t>Nyt bundstykke i dør til værelse med trappe</t>
  </si>
  <si>
    <t>Rest til fakturering =</t>
  </si>
  <si>
    <t xml:space="preserve">Skurvogn </t>
  </si>
  <si>
    <t>1. Forsatsvæg til ventilationsrør i køkken</t>
  </si>
  <si>
    <t>Bygherre har fravalgt maling af væg</t>
  </si>
  <si>
    <t>Udskifting af T-Stykke på stigestreng som var utæt</t>
  </si>
  <si>
    <r>
      <t>Midlertidig afdækning af hove</t>
    </r>
    <r>
      <rPr>
        <sz val="11"/>
        <rFont val="Calibri"/>
        <family val="2"/>
        <scheme val="minor"/>
      </rPr>
      <t>dtrappen (Forslag 4000,-)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</si>
</sst>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2" xfId="0" applyFont="1" applyFill="1" applyBorder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Border="1"/>
    <xf numFmtId="43" fontId="0" fillId="0" borderId="0" xfId="0" applyNumberFormat="1"/>
    <xf numFmtId="0" fontId="0" fillId="0" borderId="4" xfId="0" applyBorder="1"/>
    <xf numFmtId="43" fontId="0" fillId="0" borderId="4" xfId="1" applyFont="1" applyBorder="1"/>
    <xf numFmtId="9" fontId="0" fillId="0" borderId="0" xfId="0" applyNumberFormat="1"/>
    <xf numFmtId="0" fontId="0" fillId="3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3" fontId="1" fillId="4" borderId="3" xfId="0" applyNumberFormat="1" applyFont="1" applyFill="1" applyBorder="1" applyAlignment="1">
      <alignment horizontal="center"/>
    </xf>
    <xf numFmtId="0" fontId="0" fillId="5" borderId="0" xfId="0" applyFill="1"/>
    <xf numFmtId="3" fontId="0" fillId="5" borderId="0" xfId="0" applyNumberFormat="1" applyFill="1" applyAlignment="1">
      <alignment horizontal="center"/>
    </xf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/>
    <xf numFmtId="43" fontId="0" fillId="2" borderId="4" xfId="1" applyFont="1" applyFill="1" applyBorder="1"/>
    <xf numFmtId="0" fontId="0" fillId="6" borderId="0" xfId="0" applyFill="1"/>
    <xf numFmtId="9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3" fontId="0" fillId="7" borderId="4" xfId="0" applyNumberFormat="1" applyFill="1" applyBorder="1" applyAlignment="1">
      <alignment horizontal="center"/>
    </xf>
    <xf numFmtId="0" fontId="1" fillId="7" borderId="0" xfId="0" applyFont="1" applyFill="1" applyAlignment="1">
      <alignment horizontal="right"/>
    </xf>
    <xf numFmtId="3" fontId="1" fillId="7" borderId="3" xfId="0" applyNumberFormat="1" applyFont="1" applyFill="1" applyBorder="1" applyAlignment="1">
      <alignment horizontal="center"/>
    </xf>
    <xf numFmtId="3" fontId="0" fillId="0" borderId="0" xfId="0" applyNumberFormat="1"/>
    <xf numFmtId="0" fontId="1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1" fillId="0" borderId="0" xfId="0" applyNumberFormat="1" applyFont="1"/>
    <xf numFmtId="0" fontId="0" fillId="8" borderId="0" xfId="0" applyFill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3" xfId="0" applyNumberFormat="1" applyFont="1" applyBorder="1"/>
    <xf numFmtId="3" fontId="1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6C91-EE92-4A64-AD6B-889AF532B6C7}">
  <sheetPr>
    <pageSetUpPr fitToPage="1"/>
  </sheetPr>
  <dimension ref="B3:R96"/>
  <sheetViews>
    <sheetView topLeftCell="A64" zoomScale="110" zoomScaleNormal="110" workbookViewId="0">
      <selection activeCell="F77" sqref="F77"/>
    </sheetView>
  </sheetViews>
  <sheetFormatPr defaultRowHeight="15" x14ac:dyDescent="0.25"/>
  <cols>
    <col min="1" max="1" width="1.5703125" customWidth="1"/>
    <col min="2" max="2" width="63.7109375" customWidth="1"/>
    <col min="3" max="3" width="3.85546875" customWidth="1"/>
    <col min="4" max="4" width="8.85546875" style="8"/>
    <col min="5" max="5" width="13.42578125" style="8" customWidth="1"/>
    <col min="6" max="8" width="9.140625" customWidth="1"/>
    <col min="9" max="9" width="9.140625" style="8" customWidth="1"/>
    <col min="10" max="10" width="9.140625" customWidth="1"/>
    <col min="11" max="11" width="2.7109375" customWidth="1"/>
    <col min="12" max="12" width="10.5703125" style="8" customWidth="1"/>
    <col min="13" max="13" width="4.28515625" customWidth="1"/>
    <col min="14" max="14" width="15.5703125" style="8" customWidth="1"/>
    <col min="15" max="15" width="12.85546875" style="8" customWidth="1"/>
    <col min="16" max="16" width="4" customWidth="1"/>
    <col min="17" max="17" width="12.5703125" style="8" customWidth="1"/>
    <col min="18" max="18" width="12.85546875" style="8" customWidth="1"/>
  </cols>
  <sheetData>
    <row r="3" spans="2:18" ht="21.75" thickBot="1" x14ac:dyDescent="0.4">
      <c r="B3" s="1" t="s">
        <v>100</v>
      </c>
      <c r="D3" s="2"/>
      <c r="E3" s="2"/>
      <c r="F3" s="2"/>
      <c r="G3" s="3"/>
      <c r="H3" s="3"/>
      <c r="I3" s="4"/>
      <c r="J3" s="3"/>
      <c r="L3" s="3"/>
      <c r="N3" s="2"/>
      <c r="O3" s="2"/>
      <c r="Q3" s="2"/>
      <c r="R3" s="2"/>
    </row>
    <row r="4" spans="2:18" ht="15.75" thickBot="1" x14ac:dyDescent="0.3">
      <c r="B4" t="s">
        <v>11</v>
      </c>
      <c r="D4" s="5" t="s">
        <v>0</v>
      </c>
      <c r="E4" s="5" t="s">
        <v>1</v>
      </c>
      <c r="F4" s="5" t="s">
        <v>2</v>
      </c>
      <c r="G4" s="6" t="s">
        <v>3</v>
      </c>
      <c r="H4" s="6" t="s">
        <v>4</v>
      </c>
      <c r="I4" s="7" t="s">
        <v>5</v>
      </c>
      <c r="J4" s="6" t="s">
        <v>6</v>
      </c>
      <c r="L4" s="6" t="s">
        <v>6</v>
      </c>
      <c r="N4" s="2" t="s">
        <v>88</v>
      </c>
      <c r="O4" s="2" t="s">
        <v>89</v>
      </c>
      <c r="Q4" s="2" t="s">
        <v>88</v>
      </c>
      <c r="R4" s="2" t="s">
        <v>103</v>
      </c>
    </row>
    <row r="5" spans="2:18" ht="9.75" customHeight="1" x14ac:dyDescent="0.25">
      <c r="C5" s="8"/>
      <c r="F5" s="8"/>
      <c r="G5" s="9"/>
      <c r="H5" s="9"/>
      <c r="I5" s="10"/>
      <c r="J5" s="9"/>
      <c r="L5" s="9"/>
      <c r="O5" s="9"/>
      <c r="R5" s="9"/>
    </row>
    <row r="6" spans="2:18" ht="15.75" x14ac:dyDescent="0.25">
      <c r="B6" s="11" t="s">
        <v>7</v>
      </c>
      <c r="C6" s="8"/>
      <c r="L6" s="9">
        <f>SUM(J6:J10)</f>
        <v>43500</v>
      </c>
      <c r="N6" s="30">
        <v>0.4</v>
      </c>
      <c r="O6" s="31">
        <f>N6*L6</f>
        <v>17400</v>
      </c>
      <c r="Q6" s="44">
        <v>0.9</v>
      </c>
      <c r="R6" s="45">
        <f>Q6*L6</f>
        <v>39150</v>
      </c>
    </row>
    <row r="7" spans="2:18" x14ac:dyDescent="0.25">
      <c r="B7" t="s">
        <v>7</v>
      </c>
      <c r="C7" s="8"/>
      <c r="D7" s="8" t="s">
        <v>8</v>
      </c>
      <c r="F7" s="8"/>
      <c r="G7" s="9"/>
      <c r="H7" s="9">
        <v>6000</v>
      </c>
      <c r="I7" s="10"/>
      <c r="J7" s="9">
        <f t="shared" ref="J7:J10" si="0">(H7*I7)+H7</f>
        <v>6000</v>
      </c>
      <c r="L7" s="9"/>
      <c r="N7" s="32"/>
      <c r="O7" s="31"/>
      <c r="Q7" s="46"/>
      <c r="R7" s="45"/>
    </row>
    <row r="8" spans="2:18" x14ac:dyDescent="0.25">
      <c r="B8" t="s">
        <v>9</v>
      </c>
      <c r="C8" s="8"/>
      <c r="D8" s="8" t="s">
        <v>8</v>
      </c>
      <c r="H8" s="9">
        <v>25000</v>
      </c>
      <c r="J8" s="9">
        <f t="shared" si="0"/>
        <v>25000</v>
      </c>
      <c r="L8" s="9"/>
      <c r="N8" s="32"/>
      <c r="O8" s="31"/>
      <c r="Q8" s="46"/>
      <c r="R8" s="45"/>
    </row>
    <row r="9" spans="2:18" x14ac:dyDescent="0.25">
      <c r="B9" t="s">
        <v>12</v>
      </c>
      <c r="D9" s="8" t="s">
        <v>8</v>
      </c>
      <c r="H9" s="9">
        <v>8000</v>
      </c>
      <c r="J9" s="9">
        <f t="shared" si="0"/>
        <v>8000</v>
      </c>
      <c r="N9" s="32"/>
      <c r="O9" s="31"/>
      <c r="Q9" s="46"/>
      <c r="R9" s="45"/>
    </row>
    <row r="10" spans="2:18" x14ac:dyDescent="0.25">
      <c r="B10" t="s">
        <v>57</v>
      </c>
      <c r="H10" s="9">
        <v>4500</v>
      </c>
      <c r="J10" s="9">
        <f t="shared" si="0"/>
        <v>4500</v>
      </c>
      <c r="N10" s="32"/>
      <c r="O10" s="31"/>
      <c r="Q10" s="46"/>
      <c r="R10" s="45"/>
    </row>
    <row r="11" spans="2:18" x14ac:dyDescent="0.25">
      <c r="N11" s="32"/>
      <c r="O11" s="31"/>
      <c r="Q11" s="46"/>
      <c r="R11" s="45"/>
    </row>
    <row r="12" spans="2:18" ht="15.75" x14ac:dyDescent="0.25">
      <c r="B12" s="11" t="s">
        <v>19</v>
      </c>
      <c r="L12" s="9">
        <f>SUM(J12:J19)</f>
        <v>24740</v>
      </c>
      <c r="N12" s="30">
        <v>0.1</v>
      </c>
      <c r="O12" s="31">
        <f>N12*L12</f>
        <v>2474</v>
      </c>
      <c r="Q12" s="44">
        <v>0.9</v>
      </c>
      <c r="R12" s="45">
        <f>Q12*L12</f>
        <v>22266</v>
      </c>
    </row>
    <row r="13" spans="2:18" x14ac:dyDescent="0.25">
      <c r="B13" t="s">
        <v>13</v>
      </c>
      <c r="D13" s="8" t="s">
        <v>14</v>
      </c>
      <c r="E13" s="8">
        <v>4</v>
      </c>
      <c r="F13">
        <v>510</v>
      </c>
      <c r="H13" s="9">
        <f t="shared" ref="H13:H19" si="1">(E13*F13)+G13</f>
        <v>2040</v>
      </c>
      <c r="I13" s="10"/>
      <c r="J13" s="9">
        <f>(H13*I13)+H13</f>
        <v>2040</v>
      </c>
      <c r="N13" s="32"/>
      <c r="O13" s="31"/>
      <c r="Q13" s="46"/>
      <c r="R13" s="45"/>
    </row>
    <row r="14" spans="2:18" x14ac:dyDescent="0.25">
      <c r="B14" t="s">
        <v>16</v>
      </c>
      <c r="D14" s="8" t="s">
        <v>15</v>
      </c>
      <c r="E14" s="8">
        <v>6</v>
      </c>
      <c r="F14">
        <v>510</v>
      </c>
      <c r="G14">
        <v>300</v>
      </c>
      <c r="H14" s="9">
        <f t="shared" si="1"/>
        <v>3360</v>
      </c>
      <c r="I14" s="10"/>
      <c r="J14" s="9">
        <f>(H14*I14)+H14</f>
        <v>3360</v>
      </c>
      <c r="N14" s="32"/>
      <c r="O14" s="31"/>
      <c r="Q14" s="46"/>
      <c r="R14" s="45"/>
    </row>
    <row r="15" spans="2:18" x14ac:dyDescent="0.25">
      <c r="B15" t="s">
        <v>18</v>
      </c>
      <c r="D15" s="8" t="s">
        <v>17</v>
      </c>
      <c r="E15" s="8">
        <v>4</v>
      </c>
      <c r="F15">
        <v>510</v>
      </c>
      <c r="G15">
        <v>1200</v>
      </c>
      <c r="H15" s="9">
        <f t="shared" si="1"/>
        <v>3240</v>
      </c>
      <c r="I15" s="10"/>
      <c r="J15" s="9">
        <f>(H15*I15)+H15</f>
        <v>3240</v>
      </c>
      <c r="N15" s="32"/>
      <c r="O15" s="31"/>
      <c r="Q15" s="46"/>
      <c r="R15" s="45"/>
    </row>
    <row r="16" spans="2:18" x14ac:dyDescent="0.25">
      <c r="B16" t="s">
        <v>20</v>
      </c>
      <c r="D16" s="8" t="s">
        <v>17</v>
      </c>
      <c r="E16" s="8">
        <v>4</v>
      </c>
      <c r="F16">
        <v>510</v>
      </c>
      <c r="H16" s="9">
        <f t="shared" si="1"/>
        <v>2040</v>
      </c>
      <c r="J16" s="9">
        <f t="shared" ref="J16:J19" si="2">(H16*I16)+H16</f>
        <v>2040</v>
      </c>
      <c r="N16" s="32"/>
      <c r="O16" s="31"/>
      <c r="Q16" s="46"/>
      <c r="R16" s="45"/>
    </row>
    <row r="17" spans="2:18" x14ac:dyDescent="0.25">
      <c r="B17" t="s">
        <v>21</v>
      </c>
      <c r="D17" s="8" t="s">
        <v>17</v>
      </c>
      <c r="E17" s="8">
        <v>2</v>
      </c>
      <c r="F17">
        <v>510</v>
      </c>
      <c r="G17">
        <v>250</v>
      </c>
      <c r="H17" s="9">
        <f t="shared" si="1"/>
        <v>1270</v>
      </c>
      <c r="J17" s="9">
        <f t="shared" si="2"/>
        <v>1270</v>
      </c>
      <c r="N17" s="32"/>
      <c r="O17" s="31"/>
      <c r="Q17" s="46"/>
      <c r="R17" s="45"/>
    </row>
    <row r="18" spans="2:18" x14ac:dyDescent="0.25">
      <c r="B18" t="s">
        <v>22</v>
      </c>
      <c r="D18" s="8" t="s">
        <v>17</v>
      </c>
      <c r="E18" s="8">
        <v>10</v>
      </c>
      <c r="F18">
        <v>1050</v>
      </c>
      <c r="H18" s="9">
        <f t="shared" si="1"/>
        <v>10500</v>
      </c>
      <c r="J18" s="9">
        <f t="shared" si="2"/>
        <v>10500</v>
      </c>
      <c r="N18" s="32"/>
      <c r="O18" s="31"/>
      <c r="Q18" s="46"/>
      <c r="R18" s="45"/>
    </row>
    <row r="19" spans="2:18" x14ac:dyDescent="0.25">
      <c r="B19" t="s">
        <v>23</v>
      </c>
      <c r="D19" s="8" t="s">
        <v>17</v>
      </c>
      <c r="E19" s="8">
        <v>4</v>
      </c>
      <c r="F19">
        <v>510</v>
      </c>
      <c r="G19">
        <v>250</v>
      </c>
      <c r="H19" s="9">
        <f t="shared" si="1"/>
        <v>2290</v>
      </c>
      <c r="J19" s="9">
        <f t="shared" si="2"/>
        <v>2290</v>
      </c>
      <c r="N19" s="32"/>
      <c r="O19" s="31"/>
      <c r="Q19" s="46"/>
      <c r="R19" s="45"/>
    </row>
    <row r="20" spans="2:18" x14ac:dyDescent="0.25">
      <c r="N20" s="32"/>
      <c r="O20" s="31"/>
      <c r="Q20" s="46"/>
      <c r="R20" s="45"/>
    </row>
    <row r="21" spans="2:18" ht="15.75" x14ac:dyDescent="0.25">
      <c r="B21" s="11" t="s">
        <v>24</v>
      </c>
      <c r="L21" s="9">
        <f>SUM(J21:J28)</f>
        <v>15050</v>
      </c>
      <c r="N21" s="30">
        <v>0.4</v>
      </c>
      <c r="O21" s="31">
        <f>N21*L21</f>
        <v>6020</v>
      </c>
      <c r="Q21" s="44">
        <v>0.9</v>
      </c>
      <c r="R21" s="45">
        <f>Q21*L21</f>
        <v>13545</v>
      </c>
    </row>
    <row r="22" spans="2:18" x14ac:dyDescent="0.25">
      <c r="B22" t="s">
        <v>25</v>
      </c>
      <c r="D22" s="8" t="s">
        <v>14</v>
      </c>
      <c r="E22" s="8">
        <v>4</v>
      </c>
      <c r="F22">
        <v>510</v>
      </c>
      <c r="H22" s="9">
        <f t="shared" ref="H22:H27" si="3">(E22*F22)+G22</f>
        <v>2040</v>
      </c>
      <c r="I22" s="10"/>
      <c r="J22" s="9">
        <f>(H22*I22)+H22</f>
        <v>2040</v>
      </c>
      <c r="N22" s="32"/>
      <c r="O22" s="31"/>
      <c r="Q22" s="46"/>
      <c r="R22" s="45"/>
    </row>
    <row r="23" spans="2:18" x14ac:dyDescent="0.25">
      <c r="B23" t="s">
        <v>26</v>
      </c>
      <c r="D23" s="8" t="s">
        <v>15</v>
      </c>
      <c r="E23" s="8">
        <v>7</v>
      </c>
      <c r="F23">
        <v>510</v>
      </c>
      <c r="G23">
        <v>300</v>
      </c>
      <c r="H23" s="9">
        <f t="shared" si="3"/>
        <v>3870</v>
      </c>
      <c r="I23" s="10"/>
      <c r="J23" s="9">
        <f>(H23*I23)+H23</f>
        <v>3870</v>
      </c>
      <c r="N23" s="32"/>
      <c r="O23" s="31"/>
      <c r="Q23" s="46"/>
      <c r="R23" s="45"/>
    </row>
    <row r="24" spans="2:18" x14ac:dyDescent="0.25">
      <c r="B24" t="s">
        <v>18</v>
      </c>
      <c r="D24" s="8" t="s">
        <v>17</v>
      </c>
      <c r="E24" s="8">
        <v>4</v>
      </c>
      <c r="F24">
        <v>510</v>
      </c>
      <c r="G24">
        <v>1200</v>
      </c>
      <c r="H24" s="9">
        <f t="shared" si="3"/>
        <v>3240</v>
      </c>
      <c r="I24" s="10"/>
      <c r="J24" s="9">
        <f>(H24*I24)+H24</f>
        <v>3240</v>
      </c>
      <c r="N24" s="32"/>
      <c r="O24" s="31"/>
      <c r="Q24" s="46"/>
      <c r="R24" s="45"/>
    </row>
    <row r="25" spans="2:18" x14ac:dyDescent="0.25">
      <c r="B25" t="s">
        <v>20</v>
      </c>
      <c r="D25" s="8" t="s">
        <v>17</v>
      </c>
      <c r="E25" s="8">
        <v>4</v>
      </c>
      <c r="F25">
        <v>510</v>
      </c>
      <c r="H25" s="9">
        <f t="shared" si="3"/>
        <v>2040</v>
      </c>
      <c r="J25" s="9">
        <f t="shared" ref="J25:J27" si="4">(H25*I25)+H25</f>
        <v>2040</v>
      </c>
      <c r="N25" s="32"/>
      <c r="O25" s="31"/>
      <c r="Q25" s="46"/>
      <c r="R25" s="45"/>
    </row>
    <row r="26" spans="2:18" x14ac:dyDescent="0.25">
      <c r="B26" t="s">
        <v>27</v>
      </c>
      <c r="D26" s="8" t="s">
        <v>17</v>
      </c>
      <c r="E26" s="8">
        <v>4</v>
      </c>
      <c r="F26">
        <v>510</v>
      </c>
      <c r="G26">
        <v>600</v>
      </c>
      <c r="H26" s="9">
        <f t="shared" si="3"/>
        <v>2640</v>
      </c>
      <c r="J26" s="9">
        <f t="shared" si="4"/>
        <v>2640</v>
      </c>
      <c r="N26" s="32"/>
      <c r="O26" s="31"/>
      <c r="Q26" s="46"/>
      <c r="R26" s="45"/>
    </row>
    <row r="27" spans="2:18" x14ac:dyDescent="0.25">
      <c r="B27" t="s">
        <v>28</v>
      </c>
      <c r="D27" s="8" t="s">
        <v>17</v>
      </c>
      <c r="E27" s="8">
        <v>2</v>
      </c>
      <c r="F27">
        <v>510</v>
      </c>
      <c r="G27">
        <v>200</v>
      </c>
      <c r="H27" s="9">
        <f t="shared" si="3"/>
        <v>1220</v>
      </c>
      <c r="J27" s="9">
        <f t="shared" si="4"/>
        <v>1220</v>
      </c>
      <c r="N27" s="32"/>
      <c r="O27" s="31"/>
      <c r="Q27" s="46"/>
      <c r="R27" s="45"/>
    </row>
    <row r="28" spans="2:18" ht="10.5" customHeight="1" x14ac:dyDescent="0.25">
      <c r="N28" s="32"/>
      <c r="O28" s="31"/>
      <c r="Q28" s="46"/>
      <c r="R28" s="45"/>
    </row>
    <row r="29" spans="2:18" ht="15.75" x14ac:dyDescent="0.25">
      <c r="B29" s="11" t="s">
        <v>29</v>
      </c>
      <c r="L29" s="9">
        <f>SUM(J30:J44)</f>
        <v>85850</v>
      </c>
      <c r="N29" s="30">
        <v>0.4</v>
      </c>
      <c r="O29" s="31">
        <f>N29*L29</f>
        <v>34340</v>
      </c>
      <c r="Q29" s="44">
        <v>0.9</v>
      </c>
      <c r="R29" s="45">
        <f>Q29*L29</f>
        <v>77265</v>
      </c>
    </row>
    <row r="30" spans="2:18" x14ac:dyDescent="0.25">
      <c r="B30" t="s">
        <v>30</v>
      </c>
      <c r="D30" s="8" t="s">
        <v>14</v>
      </c>
      <c r="E30" s="8">
        <v>12</v>
      </c>
      <c r="F30">
        <v>510</v>
      </c>
      <c r="H30" s="9">
        <f t="shared" ref="H30:H37" si="5">(E30*F30)+G30</f>
        <v>6120</v>
      </c>
      <c r="I30" s="10"/>
      <c r="J30" s="9">
        <f>(H30*I30)+H30</f>
        <v>6120</v>
      </c>
      <c r="N30" s="32"/>
      <c r="O30" s="31"/>
      <c r="Q30" s="46"/>
      <c r="R30" s="45"/>
    </row>
    <row r="31" spans="2:18" x14ac:dyDescent="0.25">
      <c r="B31" t="s">
        <v>26</v>
      </c>
      <c r="D31" s="8" t="s">
        <v>15</v>
      </c>
      <c r="E31" s="8">
        <v>12</v>
      </c>
      <c r="F31">
        <v>510</v>
      </c>
      <c r="G31">
        <v>500</v>
      </c>
      <c r="H31" s="9">
        <f t="shared" si="5"/>
        <v>6620</v>
      </c>
      <c r="I31" s="10"/>
      <c r="J31" s="9">
        <f>(H31*I31)+H31</f>
        <v>6620</v>
      </c>
      <c r="N31" s="32"/>
      <c r="O31" s="31"/>
      <c r="Q31" s="46"/>
      <c r="R31" s="45"/>
    </row>
    <row r="32" spans="2:18" x14ac:dyDescent="0.25">
      <c r="B32" t="s">
        <v>31</v>
      </c>
      <c r="D32" s="8" t="s">
        <v>15</v>
      </c>
      <c r="E32" s="8">
        <v>10</v>
      </c>
      <c r="F32">
        <v>510</v>
      </c>
      <c r="G32">
        <v>1800</v>
      </c>
      <c r="H32" s="9">
        <f t="shared" si="5"/>
        <v>6900</v>
      </c>
      <c r="I32" s="10"/>
      <c r="J32" s="9">
        <f>(H32*I32)+H32</f>
        <v>6900</v>
      </c>
      <c r="N32" s="32"/>
      <c r="O32" s="31"/>
      <c r="Q32" s="46"/>
      <c r="R32" s="45"/>
    </row>
    <row r="33" spans="2:18" x14ac:dyDescent="0.25">
      <c r="B33" t="s">
        <v>32</v>
      </c>
      <c r="D33" s="8" t="s">
        <v>15</v>
      </c>
      <c r="E33" s="8">
        <v>4</v>
      </c>
      <c r="F33">
        <v>510</v>
      </c>
      <c r="G33">
        <v>1500</v>
      </c>
      <c r="H33" s="9">
        <f t="shared" si="5"/>
        <v>3540</v>
      </c>
      <c r="J33" s="9">
        <f t="shared" ref="J33:J38" si="6">(H33*I33)+H33</f>
        <v>3540</v>
      </c>
      <c r="N33" s="32"/>
      <c r="O33" s="31"/>
      <c r="Q33" s="46"/>
      <c r="R33" s="45"/>
    </row>
    <row r="34" spans="2:18" x14ac:dyDescent="0.25">
      <c r="B34" t="s">
        <v>33</v>
      </c>
      <c r="D34" s="8" t="s">
        <v>15</v>
      </c>
      <c r="E34" s="8">
        <v>5</v>
      </c>
      <c r="F34">
        <v>510</v>
      </c>
      <c r="G34">
        <v>500</v>
      </c>
      <c r="H34" s="9">
        <f t="shared" si="5"/>
        <v>3050</v>
      </c>
      <c r="J34" s="9">
        <f t="shared" si="6"/>
        <v>3050</v>
      </c>
      <c r="N34" s="32"/>
      <c r="O34" s="31"/>
      <c r="Q34" s="46"/>
      <c r="R34" s="45"/>
    </row>
    <row r="35" spans="2:18" x14ac:dyDescent="0.25">
      <c r="B35" t="s">
        <v>59</v>
      </c>
      <c r="D35" s="8" t="s">
        <v>15</v>
      </c>
      <c r="E35" s="8">
        <v>22</v>
      </c>
      <c r="F35">
        <v>300</v>
      </c>
      <c r="H35" s="9">
        <f t="shared" si="5"/>
        <v>6600</v>
      </c>
      <c r="I35" s="10">
        <v>0.15</v>
      </c>
      <c r="J35" s="9">
        <f t="shared" si="6"/>
        <v>7590</v>
      </c>
      <c r="N35" s="32"/>
      <c r="O35" s="31"/>
      <c r="Q35" s="46"/>
      <c r="R35" s="45"/>
    </row>
    <row r="36" spans="2:18" x14ac:dyDescent="0.25">
      <c r="B36" t="s">
        <v>34</v>
      </c>
      <c r="D36" s="8" t="s">
        <v>15</v>
      </c>
      <c r="E36" s="8">
        <v>30</v>
      </c>
      <c r="F36">
        <v>510</v>
      </c>
      <c r="G36">
        <v>1200</v>
      </c>
      <c r="H36" s="9">
        <f t="shared" si="5"/>
        <v>16500</v>
      </c>
      <c r="J36" s="9">
        <f t="shared" si="6"/>
        <v>16500</v>
      </c>
      <c r="N36" s="32"/>
      <c r="O36" s="31"/>
      <c r="Q36" s="46"/>
      <c r="R36" s="45"/>
    </row>
    <row r="37" spans="2:18" x14ac:dyDescent="0.25">
      <c r="B37" t="s">
        <v>35</v>
      </c>
      <c r="D37" s="8" t="s">
        <v>15</v>
      </c>
      <c r="E37" s="8">
        <v>5</v>
      </c>
      <c r="F37">
        <v>510</v>
      </c>
      <c r="G37">
        <v>1400</v>
      </c>
      <c r="H37" s="9">
        <f t="shared" si="5"/>
        <v>3950</v>
      </c>
      <c r="J37" s="9">
        <f t="shared" si="6"/>
        <v>3950</v>
      </c>
      <c r="N37" s="32"/>
      <c r="O37" s="31"/>
      <c r="Q37" s="46"/>
      <c r="R37" s="45"/>
    </row>
    <row r="38" spans="2:18" x14ac:dyDescent="0.25">
      <c r="B38" t="s">
        <v>60</v>
      </c>
      <c r="D38" s="8" t="s">
        <v>52</v>
      </c>
      <c r="H38" s="9">
        <f>11500+2500</f>
        <v>14000</v>
      </c>
      <c r="I38" s="10">
        <v>0.15</v>
      </c>
      <c r="J38" s="9">
        <f t="shared" si="6"/>
        <v>16100</v>
      </c>
      <c r="N38" s="32"/>
      <c r="O38" s="31"/>
      <c r="Q38" s="46"/>
      <c r="R38" s="45"/>
    </row>
    <row r="39" spans="2:18" x14ac:dyDescent="0.25">
      <c r="N39" s="32"/>
      <c r="O39" s="31"/>
      <c r="Q39" s="46"/>
      <c r="R39" s="45"/>
    </row>
    <row r="40" spans="2:18" x14ac:dyDescent="0.25">
      <c r="B40" t="s">
        <v>36</v>
      </c>
      <c r="D40" s="8" t="s">
        <v>17</v>
      </c>
      <c r="E40" s="8">
        <v>10</v>
      </c>
      <c r="F40">
        <v>510</v>
      </c>
      <c r="G40">
        <v>1800</v>
      </c>
      <c r="H40" s="9">
        <f>(E40*F40)+G40</f>
        <v>6900</v>
      </c>
      <c r="I40" s="10"/>
      <c r="J40" s="9">
        <f>(H40*I40)+H40</f>
        <v>6900</v>
      </c>
      <c r="N40" s="32"/>
      <c r="O40" s="31"/>
      <c r="Q40" s="46"/>
      <c r="R40" s="45"/>
    </row>
    <row r="41" spans="2:18" x14ac:dyDescent="0.25">
      <c r="B41" t="s">
        <v>37</v>
      </c>
      <c r="D41" s="8" t="s">
        <v>17</v>
      </c>
      <c r="E41" s="8">
        <v>4</v>
      </c>
      <c r="F41">
        <v>510</v>
      </c>
      <c r="H41" s="9">
        <f>(E41*F41)+G41</f>
        <v>2040</v>
      </c>
      <c r="I41" s="10"/>
      <c r="J41" s="9">
        <f>(H41*I41)+H41</f>
        <v>2040</v>
      </c>
      <c r="N41" s="32"/>
      <c r="O41" s="31"/>
      <c r="Q41" s="46"/>
      <c r="R41" s="45"/>
    </row>
    <row r="42" spans="2:18" x14ac:dyDescent="0.25">
      <c r="B42" t="s">
        <v>38</v>
      </c>
      <c r="D42" s="8" t="s">
        <v>17</v>
      </c>
      <c r="E42" s="8">
        <v>9</v>
      </c>
      <c r="F42">
        <v>510</v>
      </c>
      <c r="G42">
        <v>1800</v>
      </c>
      <c r="H42" s="9">
        <f>(E42*F42)+G42</f>
        <v>6390</v>
      </c>
      <c r="I42" s="10"/>
      <c r="J42" s="9">
        <f>(H42*I42)+H42</f>
        <v>6390</v>
      </c>
      <c r="N42" s="32"/>
      <c r="O42" s="31"/>
      <c r="Q42" s="46"/>
      <c r="R42" s="45"/>
    </row>
    <row r="43" spans="2:18" x14ac:dyDescent="0.25">
      <c r="B43" t="s">
        <v>39</v>
      </c>
      <c r="D43" s="8" t="s">
        <v>17</v>
      </c>
      <c r="E43" s="8">
        <v>9</v>
      </c>
      <c r="F43">
        <v>510</v>
      </c>
      <c r="G43">
        <v>1800</v>
      </c>
      <c r="H43" s="9">
        <f>(E43*F43)+G43</f>
        <v>6390</v>
      </c>
      <c r="I43" s="10"/>
      <c r="J43" s="9">
        <f>(H43*I43)+H43</f>
        <v>6390</v>
      </c>
      <c r="N43" s="32"/>
      <c r="O43" s="31"/>
      <c r="Q43" s="46"/>
      <c r="R43" s="45"/>
    </row>
    <row r="44" spans="2:18" x14ac:dyDescent="0.25">
      <c r="B44" s="22" t="s">
        <v>93</v>
      </c>
      <c r="H44" s="9"/>
      <c r="I44" s="10"/>
      <c r="J44" s="24">
        <f>-7800*0.8</f>
        <v>-6240</v>
      </c>
      <c r="N44" s="32"/>
      <c r="O44" s="31"/>
      <c r="Q44" s="46"/>
      <c r="R44" s="45"/>
    </row>
    <row r="45" spans="2:18" x14ac:dyDescent="0.25">
      <c r="N45" s="32"/>
      <c r="O45" s="31"/>
      <c r="Q45" s="46"/>
      <c r="R45" s="45"/>
    </row>
    <row r="46" spans="2:18" ht="15.75" x14ac:dyDescent="0.25">
      <c r="B46" s="11" t="s">
        <v>40</v>
      </c>
      <c r="L46" s="9">
        <f>SUM(J47:J51)</f>
        <v>9740</v>
      </c>
      <c r="N46" s="30">
        <v>0.3</v>
      </c>
      <c r="O46" s="31">
        <f>N46*L46</f>
        <v>2922</v>
      </c>
      <c r="Q46" s="44">
        <v>0.9</v>
      </c>
      <c r="R46" s="45">
        <f>Q46*L46</f>
        <v>8766</v>
      </c>
    </row>
    <row r="47" spans="2:18" x14ac:dyDescent="0.25">
      <c r="B47" t="s">
        <v>66</v>
      </c>
      <c r="D47" s="8" t="s">
        <v>14</v>
      </c>
      <c r="E47" s="8">
        <v>3</v>
      </c>
      <c r="F47">
        <v>510</v>
      </c>
      <c r="H47" s="9">
        <f>(E47*F47)+G47</f>
        <v>1530</v>
      </c>
      <c r="I47" s="10"/>
      <c r="J47" s="9">
        <f>(H47*I47)+H47</f>
        <v>1530</v>
      </c>
      <c r="N47" s="32"/>
      <c r="O47" s="31"/>
      <c r="Q47" s="46"/>
      <c r="R47" s="45"/>
    </row>
    <row r="48" spans="2:18" x14ac:dyDescent="0.25">
      <c r="B48" t="s">
        <v>41</v>
      </c>
      <c r="D48" s="8" t="s">
        <v>15</v>
      </c>
      <c r="E48" s="8">
        <v>3</v>
      </c>
      <c r="F48">
        <v>510</v>
      </c>
      <c r="G48">
        <v>800</v>
      </c>
      <c r="H48" s="9">
        <f>(E48*F48)+G48</f>
        <v>2330</v>
      </c>
      <c r="I48" s="10"/>
      <c r="J48" s="9">
        <f>(H48*I48)+H48</f>
        <v>2330</v>
      </c>
      <c r="N48" s="32"/>
      <c r="O48" s="31"/>
      <c r="Q48" s="46"/>
      <c r="R48" s="45"/>
    </row>
    <row r="49" spans="2:18" x14ac:dyDescent="0.25">
      <c r="B49" t="s">
        <v>42</v>
      </c>
      <c r="D49" s="8" t="s">
        <v>17</v>
      </c>
      <c r="E49" s="8">
        <v>2</v>
      </c>
      <c r="F49">
        <v>510</v>
      </c>
      <c r="G49">
        <v>1200</v>
      </c>
      <c r="H49" s="9">
        <f>(E49*F49)+G49</f>
        <v>2220</v>
      </c>
      <c r="I49" s="10"/>
      <c r="J49" s="9">
        <f>(H49*I49)+H49</f>
        <v>2220</v>
      </c>
      <c r="N49" s="32"/>
      <c r="O49" s="31"/>
      <c r="Q49" s="46"/>
      <c r="R49" s="45"/>
    </row>
    <row r="50" spans="2:18" x14ac:dyDescent="0.25">
      <c r="B50" t="s">
        <v>44</v>
      </c>
      <c r="D50" s="8" t="s">
        <v>17</v>
      </c>
      <c r="E50" s="8">
        <v>4</v>
      </c>
      <c r="F50">
        <v>510</v>
      </c>
      <c r="G50">
        <v>400</v>
      </c>
      <c r="H50" s="9">
        <f>(E50*F50)+G50</f>
        <v>2440</v>
      </c>
      <c r="I50" s="10"/>
      <c r="J50" s="9">
        <f>(H50*I50)+H50</f>
        <v>2440</v>
      </c>
      <c r="N50" s="32"/>
      <c r="O50" s="31"/>
      <c r="Q50" s="46"/>
      <c r="R50" s="45"/>
    </row>
    <row r="51" spans="2:18" x14ac:dyDescent="0.25">
      <c r="B51" t="s">
        <v>28</v>
      </c>
      <c r="D51" s="8" t="s">
        <v>17</v>
      </c>
      <c r="E51" s="8">
        <v>2</v>
      </c>
      <c r="F51">
        <v>510</v>
      </c>
      <c r="G51">
        <v>200</v>
      </c>
      <c r="H51" s="9">
        <f>(E51*F51)+G51</f>
        <v>1220</v>
      </c>
      <c r="J51" s="9">
        <f t="shared" ref="J51" si="7">(H51*I51)+H51</f>
        <v>1220</v>
      </c>
      <c r="N51" s="32"/>
      <c r="O51" s="31"/>
      <c r="Q51" s="46"/>
      <c r="R51" s="45"/>
    </row>
    <row r="52" spans="2:18" x14ac:dyDescent="0.25">
      <c r="N52" s="32"/>
      <c r="O52" s="31"/>
      <c r="Q52" s="46"/>
      <c r="R52" s="45"/>
    </row>
    <row r="53" spans="2:18" ht="15.75" x14ac:dyDescent="0.25">
      <c r="B53" s="11" t="s">
        <v>43</v>
      </c>
      <c r="L53" s="9">
        <f>SUM(J54:J58)</f>
        <v>4880</v>
      </c>
      <c r="N53" s="30">
        <v>0.3</v>
      </c>
      <c r="O53" s="31">
        <f>N53*L53</f>
        <v>1464</v>
      </c>
      <c r="Q53" s="44">
        <v>0.9</v>
      </c>
      <c r="R53" s="45">
        <f>Q53*L53</f>
        <v>4392</v>
      </c>
    </row>
    <row r="54" spans="2:18" x14ac:dyDescent="0.25">
      <c r="B54" t="s">
        <v>28</v>
      </c>
      <c r="D54" s="8" t="s">
        <v>17</v>
      </c>
      <c r="E54" s="8">
        <v>2</v>
      </c>
      <c r="F54">
        <v>510</v>
      </c>
      <c r="G54">
        <v>200</v>
      </c>
      <c r="H54" s="9">
        <f>(E54*F54)+G54</f>
        <v>1220</v>
      </c>
      <c r="J54" s="9">
        <f t="shared" ref="J54" si="8">(H54*I54)+H54</f>
        <v>1220</v>
      </c>
      <c r="N54" s="32"/>
      <c r="O54" s="31"/>
      <c r="Q54" s="46"/>
      <c r="R54" s="45"/>
    </row>
    <row r="55" spans="2:18" x14ac:dyDescent="0.25">
      <c r="B55" t="s">
        <v>44</v>
      </c>
      <c r="D55" s="8" t="s">
        <v>15</v>
      </c>
      <c r="E55" s="8">
        <v>4</v>
      </c>
      <c r="F55">
        <v>510</v>
      </c>
      <c r="G55">
        <v>400</v>
      </c>
      <c r="H55" s="9">
        <f>(E55*F55)+G55</f>
        <v>2440</v>
      </c>
      <c r="I55" s="10"/>
      <c r="J55" s="9">
        <f>(H55*I55)+H55</f>
        <v>2440</v>
      </c>
      <c r="N55" s="32"/>
      <c r="O55" s="31"/>
      <c r="Q55" s="46"/>
      <c r="R55" s="45"/>
    </row>
    <row r="56" spans="2:18" x14ac:dyDescent="0.25">
      <c r="N56" s="32"/>
      <c r="O56" s="31"/>
      <c r="Q56" s="46"/>
      <c r="R56" s="45"/>
    </row>
    <row r="57" spans="2:18" ht="15.75" x14ac:dyDescent="0.25">
      <c r="B57" s="11" t="s">
        <v>45</v>
      </c>
      <c r="L57" s="9">
        <f>SUM(J58:J62)</f>
        <v>6100</v>
      </c>
      <c r="N57" s="30">
        <v>0.3</v>
      </c>
      <c r="O57" s="31">
        <f>N57*L57</f>
        <v>1830</v>
      </c>
      <c r="Q57" s="44">
        <v>0.9</v>
      </c>
      <c r="R57" s="45">
        <f>Q57*L57</f>
        <v>5490</v>
      </c>
    </row>
    <row r="58" spans="2:18" x14ac:dyDescent="0.25">
      <c r="B58" t="s">
        <v>28</v>
      </c>
      <c r="D58" s="8" t="s">
        <v>17</v>
      </c>
      <c r="E58" s="8">
        <v>2</v>
      </c>
      <c r="F58">
        <v>510</v>
      </c>
      <c r="G58">
        <v>200</v>
      </c>
      <c r="H58" s="9">
        <f>(E58*F58)+G58</f>
        <v>1220</v>
      </c>
      <c r="J58" s="9">
        <f t="shared" ref="J58" si="9">(H58*I58)+H58</f>
        <v>1220</v>
      </c>
      <c r="N58" s="32"/>
      <c r="O58" s="31"/>
      <c r="Q58" s="46"/>
      <c r="R58" s="45"/>
    </row>
    <row r="59" spans="2:18" x14ac:dyDescent="0.25">
      <c r="B59" t="s">
        <v>44</v>
      </c>
      <c r="D59" s="8" t="s">
        <v>15</v>
      </c>
      <c r="E59" s="8">
        <v>4</v>
      </c>
      <c r="F59">
        <v>510</v>
      </c>
      <c r="G59">
        <v>400</v>
      </c>
      <c r="H59" s="9">
        <f>(E59*F59)+G59</f>
        <v>2440</v>
      </c>
      <c r="I59" s="10"/>
      <c r="J59" s="9">
        <f>(H59*I59)+H59</f>
        <v>2440</v>
      </c>
      <c r="N59" s="32"/>
      <c r="O59" s="31"/>
      <c r="Q59" s="46"/>
      <c r="R59" s="45"/>
    </row>
    <row r="60" spans="2:18" x14ac:dyDescent="0.25">
      <c r="B60" t="s">
        <v>27</v>
      </c>
      <c r="D60" s="8" t="s">
        <v>17</v>
      </c>
      <c r="E60" s="8">
        <v>4</v>
      </c>
      <c r="F60">
        <v>510</v>
      </c>
      <c r="G60">
        <v>400</v>
      </c>
      <c r="H60" s="9">
        <f>(E60*F60)+G60</f>
        <v>2440</v>
      </c>
      <c r="I60" s="10"/>
      <c r="J60" s="9">
        <f>(H60*I60)+H60</f>
        <v>2440</v>
      </c>
      <c r="N60" s="32"/>
      <c r="O60" s="31"/>
      <c r="Q60" s="46"/>
      <c r="R60" s="45"/>
    </row>
    <row r="61" spans="2:18" x14ac:dyDescent="0.25">
      <c r="N61" s="32"/>
      <c r="O61" s="31"/>
      <c r="Q61" s="46"/>
      <c r="R61" s="45"/>
    </row>
    <row r="62" spans="2:18" ht="15.75" x14ac:dyDescent="0.25">
      <c r="B62" s="11" t="s">
        <v>46</v>
      </c>
      <c r="L62" s="9">
        <f>SUM(J63:J71)</f>
        <v>91085</v>
      </c>
      <c r="N62" s="30">
        <v>0.25</v>
      </c>
      <c r="O62" s="31">
        <f>N62*L62</f>
        <v>22771.25</v>
      </c>
      <c r="Q62" s="44">
        <v>0.4</v>
      </c>
      <c r="R62" s="45">
        <f>Q62*L62</f>
        <v>36434</v>
      </c>
    </row>
    <row r="63" spans="2:18" x14ac:dyDescent="0.25">
      <c r="B63" t="s">
        <v>28</v>
      </c>
      <c r="D63" s="8" t="s">
        <v>17</v>
      </c>
      <c r="E63" s="8">
        <v>2</v>
      </c>
      <c r="F63">
        <v>510</v>
      </c>
      <c r="G63">
        <v>200</v>
      </c>
      <c r="H63" s="9">
        <f t="shared" ref="H63:H68" si="10">(E63*F63)+G63</f>
        <v>1220</v>
      </c>
      <c r="J63" s="9">
        <f t="shared" ref="J63" si="11">(H63*I63)+H63</f>
        <v>1220</v>
      </c>
      <c r="N63" s="32"/>
      <c r="O63" s="31"/>
      <c r="Q63" s="46"/>
      <c r="R63" s="45"/>
    </row>
    <row r="64" spans="2:18" x14ac:dyDescent="0.25">
      <c r="B64" t="s">
        <v>44</v>
      </c>
      <c r="D64" s="8" t="s">
        <v>15</v>
      </c>
      <c r="E64" s="8">
        <v>6</v>
      </c>
      <c r="F64">
        <v>510</v>
      </c>
      <c r="G64">
        <v>400</v>
      </c>
      <c r="H64" s="9">
        <f t="shared" si="10"/>
        <v>3460</v>
      </c>
      <c r="I64" s="10"/>
      <c r="J64" s="9">
        <f>(H64*I64)+H64</f>
        <v>3460</v>
      </c>
      <c r="N64" s="32"/>
      <c r="O64" s="31"/>
      <c r="Q64" s="46"/>
      <c r="R64" s="45"/>
    </row>
    <row r="65" spans="2:18" x14ac:dyDescent="0.25">
      <c r="B65" t="s">
        <v>27</v>
      </c>
      <c r="D65" s="8" t="s">
        <v>17</v>
      </c>
      <c r="E65" s="8">
        <v>3</v>
      </c>
      <c r="F65">
        <v>510</v>
      </c>
      <c r="G65">
        <v>400</v>
      </c>
      <c r="H65" s="9">
        <f t="shared" si="10"/>
        <v>1930</v>
      </c>
      <c r="I65" s="10"/>
      <c r="J65" s="9">
        <f>(H65*I65)+H65</f>
        <v>1930</v>
      </c>
      <c r="N65" s="32"/>
      <c r="O65" s="31"/>
      <c r="Q65" s="46"/>
      <c r="R65" s="45"/>
    </row>
    <row r="66" spans="2:18" x14ac:dyDescent="0.25">
      <c r="B66" t="s">
        <v>18</v>
      </c>
      <c r="D66" s="8" t="s">
        <v>17</v>
      </c>
      <c r="E66" s="8">
        <v>4</v>
      </c>
      <c r="F66">
        <v>510</v>
      </c>
      <c r="H66" s="9">
        <f t="shared" si="10"/>
        <v>2040</v>
      </c>
      <c r="I66" s="10"/>
      <c r="J66" s="9">
        <f>(H66*I66)+H66</f>
        <v>2040</v>
      </c>
      <c r="N66" s="32"/>
      <c r="O66" s="31"/>
      <c r="Q66" s="46"/>
      <c r="R66" s="45"/>
    </row>
    <row r="67" spans="2:18" x14ac:dyDescent="0.25">
      <c r="B67" t="s">
        <v>20</v>
      </c>
      <c r="D67" s="8" t="s">
        <v>17</v>
      </c>
      <c r="E67" s="8">
        <v>4</v>
      </c>
      <c r="F67">
        <v>510</v>
      </c>
      <c r="G67">
        <v>1200</v>
      </c>
      <c r="H67" s="9">
        <f t="shared" si="10"/>
        <v>3240</v>
      </c>
      <c r="J67" s="9">
        <f t="shared" ref="J67:J68" si="12">(H67*I67)+H67</f>
        <v>3240</v>
      </c>
      <c r="N67" s="32"/>
      <c r="O67" s="31"/>
      <c r="Q67" s="46"/>
      <c r="R67" s="45"/>
    </row>
    <row r="68" spans="2:18" x14ac:dyDescent="0.25">
      <c r="B68" t="s">
        <v>47</v>
      </c>
      <c r="D68" s="8" t="s">
        <v>17</v>
      </c>
      <c r="E68" s="8">
        <v>12</v>
      </c>
      <c r="F68">
        <v>510</v>
      </c>
      <c r="G68">
        <v>1000</v>
      </c>
      <c r="H68" s="9">
        <f t="shared" si="10"/>
        <v>7120</v>
      </c>
      <c r="J68" s="9">
        <f t="shared" si="12"/>
        <v>7120</v>
      </c>
      <c r="N68" s="32"/>
      <c r="O68" s="31"/>
      <c r="Q68" s="46"/>
      <c r="R68" s="45"/>
    </row>
    <row r="69" spans="2:18" x14ac:dyDescent="0.25">
      <c r="N69" s="32"/>
      <c r="O69" s="31"/>
      <c r="Q69" s="46"/>
      <c r="R69" s="45"/>
    </row>
    <row r="70" spans="2:18" x14ac:dyDescent="0.25">
      <c r="B70" t="s">
        <v>48</v>
      </c>
      <c r="D70" s="8" t="s">
        <v>50</v>
      </c>
      <c r="H70" s="9">
        <v>48500</v>
      </c>
      <c r="I70" s="10">
        <v>0.15</v>
      </c>
      <c r="J70" s="9">
        <f t="shared" ref="J70:J71" si="13">(H70*I70)+H70</f>
        <v>55775</v>
      </c>
      <c r="N70" s="32"/>
      <c r="O70" s="31"/>
      <c r="Q70" s="46"/>
      <c r="R70" s="45"/>
    </row>
    <row r="71" spans="2:18" x14ac:dyDescent="0.25">
      <c r="B71" t="s">
        <v>49</v>
      </c>
      <c r="D71" s="8" t="s">
        <v>17</v>
      </c>
      <c r="E71" s="8">
        <v>30</v>
      </c>
      <c r="F71">
        <v>510</v>
      </c>
      <c r="G71">
        <v>1000</v>
      </c>
      <c r="H71" s="9">
        <f>(E71*F71)+G71</f>
        <v>16300</v>
      </c>
      <c r="J71" s="9">
        <f t="shared" si="13"/>
        <v>16300</v>
      </c>
      <c r="N71" s="32"/>
      <c r="O71" s="31"/>
      <c r="Q71" s="46"/>
      <c r="R71" s="45"/>
    </row>
    <row r="72" spans="2:18" x14ac:dyDescent="0.25">
      <c r="N72" s="32"/>
      <c r="O72" s="31"/>
      <c r="Q72" s="46"/>
      <c r="R72" s="45"/>
    </row>
    <row r="73" spans="2:18" x14ac:dyDescent="0.25">
      <c r="N73" s="32"/>
      <c r="O73" s="31"/>
      <c r="Q73" s="46"/>
      <c r="R73" s="45"/>
    </row>
    <row r="74" spans="2:18" ht="15.75" x14ac:dyDescent="0.25">
      <c r="B74" s="11" t="s">
        <v>51</v>
      </c>
      <c r="L74" s="9">
        <f>SUM(J75:K76)</f>
        <v>24725</v>
      </c>
      <c r="N74" s="30">
        <v>0</v>
      </c>
      <c r="O74" s="31">
        <f>N74*L74</f>
        <v>0</v>
      </c>
      <c r="Q74" s="44">
        <v>1</v>
      </c>
      <c r="R74" s="45">
        <f>Q74*L74</f>
        <v>24725</v>
      </c>
    </row>
    <row r="75" spans="2:18" x14ac:dyDescent="0.25">
      <c r="B75" t="s">
        <v>55</v>
      </c>
      <c r="H75" s="9">
        <v>19500</v>
      </c>
      <c r="I75" s="10">
        <v>0.15</v>
      </c>
      <c r="J75" s="9">
        <f t="shared" ref="J75:J76" si="14">(H75*I75)+H75</f>
        <v>22425</v>
      </c>
      <c r="N75" s="32"/>
      <c r="O75" s="31"/>
      <c r="Q75" s="46"/>
      <c r="R75" s="45"/>
    </row>
    <row r="76" spans="2:18" x14ac:dyDescent="0.25">
      <c r="B76" t="s">
        <v>58</v>
      </c>
      <c r="H76" s="9">
        <v>2000</v>
      </c>
      <c r="I76" s="10">
        <v>0.15</v>
      </c>
      <c r="J76" s="9">
        <f t="shared" si="14"/>
        <v>2300</v>
      </c>
      <c r="N76" s="32"/>
      <c r="O76" s="31"/>
      <c r="Q76" s="46"/>
      <c r="R76" s="45"/>
    </row>
    <row r="77" spans="2:18" x14ac:dyDescent="0.25">
      <c r="N77" s="32"/>
      <c r="O77" s="31"/>
      <c r="Q77" s="46"/>
      <c r="R77" s="45"/>
    </row>
    <row r="78" spans="2:18" ht="15.75" x14ac:dyDescent="0.25">
      <c r="B78" s="11" t="s">
        <v>53</v>
      </c>
      <c r="L78" s="9">
        <f>SUM(J79:K80)</f>
        <v>91397.5</v>
      </c>
      <c r="N78" s="30">
        <v>0.4</v>
      </c>
      <c r="O78" s="31">
        <f>N78*L78</f>
        <v>36559</v>
      </c>
      <c r="Q78" s="44">
        <v>0.5</v>
      </c>
      <c r="R78" s="45">
        <f>Q78*L78</f>
        <v>45698.75</v>
      </c>
    </row>
    <row r="79" spans="2:18" x14ac:dyDescent="0.25">
      <c r="B79" t="s">
        <v>56</v>
      </c>
      <c r="H79" s="9">
        <v>83650</v>
      </c>
      <c r="I79" s="10">
        <v>0.15</v>
      </c>
      <c r="J79" s="9">
        <f t="shared" ref="J79" si="15">(H79*I79)+H79</f>
        <v>96197.5</v>
      </c>
      <c r="N79" s="32"/>
      <c r="O79" s="31"/>
      <c r="Q79" s="46"/>
      <c r="R79" s="45"/>
    </row>
    <row r="80" spans="2:18" x14ac:dyDescent="0.25">
      <c r="B80" s="22" t="s">
        <v>90</v>
      </c>
      <c r="C80" s="22"/>
      <c r="D80" s="23"/>
      <c r="E80" s="23"/>
      <c r="F80" s="22"/>
      <c r="G80" s="22"/>
      <c r="H80" s="24"/>
      <c r="I80" s="25"/>
      <c r="J80" s="24">
        <f>-6000*0.8</f>
        <v>-4800</v>
      </c>
      <c r="N80" s="32"/>
      <c r="O80" s="31"/>
      <c r="Q80" s="46"/>
      <c r="R80" s="45"/>
    </row>
    <row r="81" spans="2:18" x14ac:dyDescent="0.25">
      <c r="N81" s="32"/>
      <c r="O81" s="31"/>
      <c r="Q81" s="46"/>
      <c r="R81" s="45"/>
    </row>
    <row r="82" spans="2:18" ht="15.75" x14ac:dyDescent="0.25">
      <c r="B82" s="11" t="s">
        <v>52</v>
      </c>
      <c r="L82" s="9">
        <f>SUM(J83:J86)</f>
        <v>142268.80000000002</v>
      </c>
      <c r="N82" s="30">
        <v>0.3</v>
      </c>
      <c r="O82" s="31">
        <f>N82*L82</f>
        <v>42680.640000000007</v>
      </c>
      <c r="Q82" s="44">
        <v>0.5</v>
      </c>
      <c r="R82" s="45">
        <f>Q82*L82</f>
        <v>71134.400000000009</v>
      </c>
    </row>
    <row r="83" spans="2:18" x14ac:dyDescent="0.25">
      <c r="B83" t="s">
        <v>64</v>
      </c>
      <c r="H83" s="9">
        <v>150259</v>
      </c>
      <c r="I83" s="10"/>
      <c r="J83" s="9">
        <f t="shared" ref="J83" si="16">(H83*I83)+H83</f>
        <v>150259</v>
      </c>
      <c r="N83" s="32"/>
      <c r="O83" s="31"/>
      <c r="Q83" s="46"/>
      <c r="R83" s="45"/>
    </row>
    <row r="84" spans="2:18" x14ac:dyDescent="0.25">
      <c r="B84" s="22" t="s">
        <v>91</v>
      </c>
      <c r="H84" s="9"/>
      <c r="I84" s="10"/>
      <c r="J84" s="24">
        <f>-11421*0.8</f>
        <v>-9136.8000000000011</v>
      </c>
      <c r="N84" s="32"/>
      <c r="O84" s="31"/>
      <c r="Q84" s="46"/>
      <c r="R84" s="45"/>
    </row>
    <row r="85" spans="2:18" x14ac:dyDescent="0.25">
      <c r="B85" s="22" t="s">
        <v>92</v>
      </c>
      <c r="H85" s="9"/>
      <c r="I85" s="10"/>
      <c r="J85" s="24">
        <f>-1433*0.8</f>
        <v>-1146.4000000000001</v>
      </c>
      <c r="N85" s="32"/>
      <c r="O85" s="31"/>
      <c r="Q85" s="46"/>
      <c r="R85" s="45"/>
    </row>
    <row r="86" spans="2:18" x14ac:dyDescent="0.25">
      <c r="B86" s="27"/>
      <c r="C86" s="27"/>
      <c r="D86" s="28"/>
      <c r="E86" s="28"/>
      <c r="F86" s="27"/>
      <c r="G86" s="27"/>
      <c r="H86" s="26"/>
      <c r="I86" s="29"/>
      <c r="J86" s="26">
        <v>2293</v>
      </c>
      <c r="N86" s="32"/>
      <c r="O86" s="31"/>
      <c r="Q86" s="46"/>
      <c r="R86" s="45"/>
    </row>
    <row r="87" spans="2:18" x14ac:dyDescent="0.25">
      <c r="N87" s="32"/>
      <c r="O87" s="31"/>
      <c r="Q87" s="46"/>
      <c r="R87" s="45"/>
    </row>
    <row r="88" spans="2:18" ht="15.75" x14ac:dyDescent="0.25">
      <c r="B88" s="11" t="s">
        <v>54</v>
      </c>
      <c r="L88" s="9">
        <f>SUM(J89:K89)</f>
        <v>109250</v>
      </c>
      <c r="N88" s="30">
        <v>0</v>
      </c>
      <c r="O88" s="31">
        <f>N88*L88</f>
        <v>0</v>
      </c>
      <c r="Q88" s="44">
        <v>0.9</v>
      </c>
      <c r="R88" s="45">
        <f>Q88*L88</f>
        <v>98325</v>
      </c>
    </row>
    <row r="89" spans="2:18" x14ac:dyDescent="0.25">
      <c r="B89" t="s">
        <v>65</v>
      </c>
      <c r="H89" s="9">
        <v>95000</v>
      </c>
      <c r="I89" s="10">
        <v>0.15</v>
      </c>
      <c r="J89" s="9">
        <f t="shared" ref="J89" si="17">(H89*I89)+H89</f>
        <v>109250</v>
      </c>
      <c r="N89" s="32"/>
      <c r="O89" s="31"/>
      <c r="Q89" s="46"/>
      <c r="R89" s="45"/>
    </row>
    <row r="90" spans="2:18" x14ac:dyDescent="0.25">
      <c r="N90" s="32"/>
      <c r="O90" s="31"/>
      <c r="Q90" s="46"/>
      <c r="R90" s="45"/>
    </row>
    <row r="91" spans="2:18" x14ac:dyDescent="0.25">
      <c r="K91" s="12" t="s">
        <v>61</v>
      </c>
      <c r="L91" s="9">
        <f>SUM(L6:L90)</f>
        <v>648586.30000000005</v>
      </c>
      <c r="N91" s="33" t="s">
        <v>94</v>
      </c>
      <c r="O91" s="31">
        <f>SUM(O6:O90)</f>
        <v>168460.89</v>
      </c>
      <c r="Q91" s="47" t="s">
        <v>94</v>
      </c>
      <c r="R91" s="45">
        <f>SUM(R6:R90)</f>
        <v>447191.15</v>
      </c>
    </row>
    <row r="92" spans="2:18" x14ac:dyDescent="0.25">
      <c r="K92" s="12" t="s">
        <v>62</v>
      </c>
      <c r="L92" s="9">
        <f>L91/100*25</f>
        <v>162146.57500000001</v>
      </c>
      <c r="N92" s="33" t="s">
        <v>62</v>
      </c>
      <c r="O92" s="31">
        <f>O91/100*25</f>
        <v>42115.222500000003</v>
      </c>
      <c r="Q92" s="47" t="s">
        <v>95</v>
      </c>
      <c r="R92" s="48">
        <f>-O91</f>
        <v>-168460.89</v>
      </c>
    </row>
    <row r="93" spans="2:18" ht="15.75" thickBot="1" x14ac:dyDescent="0.3">
      <c r="K93" s="13" t="s">
        <v>63</v>
      </c>
      <c r="L93" s="14">
        <f>SUM(L91:L92)</f>
        <v>810732.875</v>
      </c>
      <c r="N93" s="34" t="s">
        <v>95</v>
      </c>
      <c r="O93" s="35">
        <f>SUM(O91:O92)</f>
        <v>210576.11250000002</v>
      </c>
      <c r="Q93" s="46"/>
      <c r="R93" s="45">
        <f>SUM(R91:R92)</f>
        <v>278730.26</v>
      </c>
    </row>
    <row r="94" spans="2:18" ht="15.75" thickTop="1" x14ac:dyDescent="0.25">
      <c r="Q94" s="47" t="s">
        <v>62</v>
      </c>
      <c r="R94" s="45">
        <f>R93/100*25</f>
        <v>69682.565000000002</v>
      </c>
    </row>
    <row r="95" spans="2:18" ht="15.75" thickBot="1" x14ac:dyDescent="0.3">
      <c r="Q95" s="49" t="s">
        <v>102</v>
      </c>
      <c r="R95" s="50">
        <f>SUM(R93:R94)</f>
        <v>348412.82500000001</v>
      </c>
    </row>
    <row r="96" spans="2:18" ht="15.75" thickTop="1" x14ac:dyDescent="0.25"/>
  </sheetData>
  <pageMargins left="0.7" right="0.7" top="0.75" bottom="0.75" header="0.3" footer="0.3"/>
  <pageSetup paperSize="8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DE37-EEF8-435C-909B-2F10A633D470}">
  <sheetPr>
    <pageSetUpPr fitToPage="1"/>
  </sheetPr>
  <dimension ref="B3:P91"/>
  <sheetViews>
    <sheetView topLeftCell="A48" zoomScaleNormal="100" workbookViewId="0">
      <selection activeCell="P91" sqref="P91"/>
    </sheetView>
  </sheetViews>
  <sheetFormatPr defaultRowHeight="15" x14ac:dyDescent="0.25"/>
  <cols>
    <col min="1" max="1" width="1.5703125" customWidth="1"/>
    <col min="2" max="2" width="63.7109375" customWidth="1"/>
    <col min="3" max="3" width="3.85546875" customWidth="1"/>
    <col min="4" max="4" width="9.140625" style="8"/>
    <col min="5" max="5" width="13.42578125" style="8" customWidth="1"/>
    <col min="6" max="8" width="9.140625" customWidth="1"/>
    <col min="9" max="9" width="9.140625" style="8" customWidth="1"/>
    <col min="10" max="10" width="9.140625" customWidth="1"/>
    <col min="11" max="11" width="2.7109375" customWidth="1"/>
    <col min="12" max="12" width="10.5703125" style="8" customWidth="1"/>
    <col min="13" max="13" width="4.28515625" customWidth="1"/>
    <col min="14" max="14" width="15.5703125" style="8" customWidth="1"/>
    <col min="15" max="15" width="12.85546875" style="8" customWidth="1"/>
  </cols>
  <sheetData>
    <row r="3" spans="2:15" ht="21.75" thickBot="1" x14ac:dyDescent="0.4">
      <c r="B3" s="1" t="s">
        <v>10</v>
      </c>
      <c r="D3" s="2"/>
      <c r="E3" s="2"/>
      <c r="F3" s="2"/>
      <c r="G3" s="3"/>
      <c r="H3" s="3"/>
      <c r="I3" s="4"/>
      <c r="J3" s="3"/>
      <c r="L3" s="3"/>
      <c r="N3" s="2"/>
      <c r="O3" s="2"/>
    </row>
    <row r="4" spans="2:15" ht="15.75" thickBot="1" x14ac:dyDescent="0.3">
      <c r="B4" t="s">
        <v>11</v>
      </c>
      <c r="D4" s="5" t="s">
        <v>0</v>
      </c>
      <c r="E4" s="5" t="s">
        <v>1</v>
      </c>
      <c r="F4" s="5" t="s">
        <v>2</v>
      </c>
      <c r="G4" s="6" t="s">
        <v>3</v>
      </c>
      <c r="H4" s="6" t="s">
        <v>4</v>
      </c>
      <c r="I4" s="7" t="s">
        <v>5</v>
      </c>
      <c r="J4" s="6" t="s">
        <v>6</v>
      </c>
      <c r="L4" s="6" t="s">
        <v>6</v>
      </c>
      <c r="N4" s="2" t="s">
        <v>88</v>
      </c>
      <c r="O4" s="2" t="s">
        <v>89</v>
      </c>
    </row>
    <row r="5" spans="2:15" ht="9.75" customHeight="1" x14ac:dyDescent="0.25">
      <c r="C5" s="8"/>
      <c r="F5" s="8"/>
      <c r="G5" s="9"/>
      <c r="H5" s="9"/>
      <c r="I5" s="10"/>
      <c r="J5" s="9"/>
      <c r="L5" s="9"/>
    </row>
    <row r="6" spans="2:15" ht="15.75" x14ac:dyDescent="0.25">
      <c r="B6" s="11" t="s">
        <v>7</v>
      </c>
      <c r="C6" s="8"/>
      <c r="L6" s="9">
        <f>SUM(J6:J10)</f>
        <v>43500</v>
      </c>
    </row>
    <row r="7" spans="2:15" x14ac:dyDescent="0.25">
      <c r="B7" t="s">
        <v>7</v>
      </c>
      <c r="C7" s="8"/>
      <c r="D7" s="8" t="s">
        <v>8</v>
      </c>
      <c r="F7" s="8"/>
      <c r="G7" s="9"/>
      <c r="H7" s="9">
        <v>6000</v>
      </c>
      <c r="I7" s="10"/>
      <c r="J7" s="9">
        <f t="shared" ref="J7:J10" si="0">(H7*I7)+H7</f>
        <v>6000</v>
      </c>
      <c r="L7" s="9"/>
    </row>
    <row r="8" spans="2:15" x14ac:dyDescent="0.25">
      <c r="B8" t="s">
        <v>9</v>
      </c>
      <c r="C8" s="8"/>
      <c r="D8" s="8" t="s">
        <v>8</v>
      </c>
      <c r="H8" s="9">
        <v>25000</v>
      </c>
      <c r="J8" s="9">
        <f t="shared" si="0"/>
        <v>25000</v>
      </c>
      <c r="L8" s="9"/>
    </row>
    <row r="9" spans="2:15" x14ac:dyDescent="0.25">
      <c r="B9" t="s">
        <v>12</v>
      </c>
      <c r="D9" s="8" t="s">
        <v>8</v>
      </c>
      <c r="H9" s="9">
        <v>8000</v>
      </c>
      <c r="J9" s="9">
        <f t="shared" si="0"/>
        <v>8000</v>
      </c>
    </row>
    <row r="10" spans="2:15" x14ac:dyDescent="0.25">
      <c r="B10" t="s">
        <v>57</v>
      </c>
      <c r="H10" s="9">
        <v>4500</v>
      </c>
      <c r="J10" s="9">
        <f t="shared" si="0"/>
        <v>4500</v>
      </c>
    </row>
    <row r="12" spans="2:15" ht="15.75" x14ac:dyDescent="0.25">
      <c r="B12" s="11" t="s">
        <v>19</v>
      </c>
      <c r="L12" s="9">
        <f>SUM(J12:J19)</f>
        <v>24740</v>
      </c>
    </row>
    <row r="13" spans="2:15" x14ac:dyDescent="0.25">
      <c r="B13" t="s">
        <v>13</v>
      </c>
      <c r="D13" s="8" t="s">
        <v>14</v>
      </c>
      <c r="E13" s="8">
        <v>4</v>
      </c>
      <c r="F13">
        <v>510</v>
      </c>
      <c r="H13" s="9">
        <f t="shared" ref="H13:H19" si="1">(E13*F13)+G13</f>
        <v>2040</v>
      </c>
      <c r="I13" s="10"/>
      <c r="J13" s="9">
        <f>(H13*I13)+H13</f>
        <v>2040</v>
      </c>
    </row>
    <row r="14" spans="2:15" x14ac:dyDescent="0.25">
      <c r="B14" t="s">
        <v>16</v>
      </c>
      <c r="D14" s="8" t="s">
        <v>15</v>
      </c>
      <c r="E14" s="8">
        <v>6</v>
      </c>
      <c r="F14">
        <v>510</v>
      </c>
      <c r="G14">
        <v>300</v>
      </c>
      <c r="H14" s="9">
        <f t="shared" si="1"/>
        <v>3360</v>
      </c>
      <c r="I14" s="10"/>
      <c r="J14" s="9">
        <f>(H14*I14)+H14</f>
        <v>3360</v>
      </c>
    </row>
    <row r="15" spans="2:15" x14ac:dyDescent="0.25">
      <c r="B15" t="s">
        <v>18</v>
      </c>
      <c r="D15" s="8" t="s">
        <v>17</v>
      </c>
      <c r="E15" s="8">
        <v>4</v>
      </c>
      <c r="F15">
        <v>510</v>
      </c>
      <c r="G15">
        <v>1200</v>
      </c>
      <c r="H15" s="9">
        <f t="shared" si="1"/>
        <v>3240</v>
      </c>
      <c r="I15" s="10"/>
      <c r="J15" s="9">
        <f>(H15*I15)+H15</f>
        <v>3240</v>
      </c>
    </row>
    <row r="16" spans="2:15" x14ac:dyDescent="0.25">
      <c r="B16" t="s">
        <v>20</v>
      </c>
      <c r="D16" s="8" t="s">
        <v>17</v>
      </c>
      <c r="E16" s="8">
        <v>4</v>
      </c>
      <c r="F16">
        <v>510</v>
      </c>
      <c r="H16" s="9">
        <f t="shared" si="1"/>
        <v>2040</v>
      </c>
      <c r="J16" s="9">
        <f t="shared" ref="J16:J17" si="2">(H16*I16)+H16</f>
        <v>2040</v>
      </c>
    </row>
    <row r="17" spans="2:12" x14ac:dyDescent="0.25">
      <c r="B17" t="s">
        <v>21</v>
      </c>
      <c r="D17" s="8" t="s">
        <v>17</v>
      </c>
      <c r="E17" s="8">
        <v>2</v>
      </c>
      <c r="F17">
        <v>510</v>
      </c>
      <c r="G17">
        <v>250</v>
      </c>
      <c r="H17" s="9">
        <f t="shared" si="1"/>
        <v>1270</v>
      </c>
      <c r="J17" s="9">
        <f t="shared" si="2"/>
        <v>1270</v>
      </c>
    </row>
    <row r="18" spans="2:12" x14ac:dyDescent="0.25">
      <c r="B18" t="s">
        <v>22</v>
      </c>
      <c r="D18" s="8" t="s">
        <v>17</v>
      </c>
      <c r="E18" s="8">
        <v>10</v>
      </c>
      <c r="F18">
        <v>1050</v>
      </c>
      <c r="H18" s="9">
        <f t="shared" si="1"/>
        <v>10500</v>
      </c>
      <c r="J18" s="9">
        <f t="shared" ref="J18:J19" si="3">(H18*I18)+H18</f>
        <v>10500</v>
      </c>
    </row>
    <row r="19" spans="2:12" x14ac:dyDescent="0.25">
      <c r="B19" t="s">
        <v>23</v>
      </c>
      <c r="D19" s="8" t="s">
        <v>17</v>
      </c>
      <c r="E19" s="8">
        <v>4</v>
      </c>
      <c r="F19">
        <v>510</v>
      </c>
      <c r="G19">
        <v>250</v>
      </c>
      <c r="H19" s="9">
        <f t="shared" si="1"/>
        <v>2290</v>
      </c>
      <c r="J19" s="9">
        <f t="shared" si="3"/>
        <v>2290</v>
      </c>
    </row>
    <row r="21" spans="2:12" ht="15.75" x14ac:dyDescent="0.25">
      <c r="B21" s="11" t="s">
        <v>24</v>
      </c>
      <c r="L21" s="9">
        <f>SUM(J21:J28)</f>
        <v>15050</v>
      </c>
    </row>
    <row r="22" spans="2:12" x14ac:dyDescent="0.25">
      <c r="B22" t="s">
        <v>25</v>
      </c>
      <c r="D22" s="8" t="s">
        <v>14</v>
      </c>
      <c r="E22" s="8">
        <v>4</v>
      </c>
      <c r="F22">
        <v>510</v>
      </c>
      <c r="H22" s="9">
        <f t="shared" ref="H22:H27" si="4">(E22*F22)+G22</f>
        <v>2040</v>
      </c>
      <c r="I22" s="10"/>
      <c r="J22" s="9">
        <f>(H22*I22)+H22</f>
        <v>2040</v>
      </c>
    </row>
    <row r="23" spans="2:12" x14ac:dyDescent="0.25">
      <c r="B23" t="s">
        <v>26</v>
      </c>
      <c r="D23" s="8" t="s">
        <v>15</v>
      </c>
      <c r="E23" s="8">
        <v>7</v>
      </c>
      <c r="F23">
        <v>510</v>
      </c>
      <c r="G23">
        <v>300</v>
      </c>
      <c r="H23" s="9">
        <f t="shared" si="4"/>
        <v>3870</v>
      </c>
      <c r="I23" s="10"/>
      <c r="J23" s="9">
        <f>(H23*I23)+H23</f>
        <v>3870</v>
      </c>
    </row>
    <row r="24" spans="2:12" x14ac:dyDescent="0.25">
      <c r="B24" t="s">
        <v>18</v>
      </c>
      <c r="D24" s="8" t="s">
        <v>17</v>
      </c>
      <c r="E24" s="8">
        <v>4</v>
      </c>
      <c r="F24">
        <v>510</v>
      </c>
      <c r="G24">
        <v>1200</v>
      </c>
      <c r="H24" s="9">
        <f t="shared" si="4"/>
        <v>3240</v>
      </c>
      <c r="I24" s="10"/>
      <c r="J24" s="9">
        <f>(H24*I24)+H24</f>
        <v>3240</v>
      </c>
    </row>
    <row r="25" spans="2:12" x14ac:dyDescent="0.25">
      <c r="B25" t="s">
        <v>20</v>
      </c>
      <c r="D25" s="8" t="s">
        <v>17</v>
      </c>
      <c r="E25" s="8">
        <v>4</v>
      </c>
      <c r="F25">
        <v>510</v>
      </c>
      <c r="H25" s="9">
        <f t="shared" si="4"/>
        <v>2040</v>
      </c>
      <c r="J25" s="9">
        <f t="shared" ref="J25:J26" si="5">(H25*I25)+H25</f>
        <v>2040</v>
      </c>
    </row>
    <row r="26" spans="2:12" x14ac:dyDescent="0.25">
      <c r="B26" t="s">
        <v>27</v>
      </c>
      <c r="D26" s="8" t="s">
        <v>17</v>
      </c>
      <c r="E26" s="8">
        <v>4</v>
      </c>
      <c r="F26">
        <v>510</v>
      </c>
      <c r="G26">
        <v>600</v>
      </c>
      <c r="H26" s="9">
        <f t="shared" si="4"/>
        <v>2640</v>
      </c>
      <c r="J26" s="9">
        <f t="shared" si="5"/>
        <v>2640</v>
      </c>
    </row>
    <row r="27" spans="2:12" x14ac:dyDescent="0.25">
      <c r="B27" t="s">
        <v>28</v>
      </c>
      <c r="D27" s="8" t="s">
        <v>17</v>
      </c>
      <c r="E27" s="8">
        <v>2</v>
      </c>
      <c r="F27">
        <v>510</v>
      </c>
      <c r="G27">
        <v>200</v>
      </c>
      <c r="H27" s="9">
        <f t="shared" si="4"/>
        <v>1220</v>
      </c>
      <c r="J27" s="9">
        <f t="shared" ref="J27" si="6">(H27*I27)+H27</f>
        <v>1220</v>
      </c>
    </row>
    <row r="28" spans="2:12" ht="10.5" customHeight="1" x14ac:dyDescent="0.25"/>
    <row r="29" spans="2:12" ht="15.75" x14ac:dyDescent="0.25">
      <c r="B29" s="11" t="s">
        <v>29</v>
      </c>
      <c r="L29" s="9">
        <f>SUM(J30:J43)</f>
        <v>92090</v>
      </c>
    </row>
    <row r="30" spans="2:12" x14ac:dyDescent="0.25">
      <c r="B30" t="s">
        <v>30</v>
      </c>
      <c r="D30" s="8" t="s">
        <v>14</v>
      </c>
      <c r="E30" s="8">
        <v>12</v>
      </c>
      <c r="F30">
        <v>510</v>
      </c>
      <c r="H30" s="9">
        <f t="shared" ref="H30:H37" si="7">(E30*F30)+G30</f>
        <v>6120</v>
      </c>
      <c r="I30" s="10"/>
      <c r="J30" s="9">
        <f>(H30*I30)+H30</f>
        <v>6120</v>
      </c>
    </row>
    <row r="31" spans="2:12" x14ac:dyDescent="0.25">
      <c r="B31" t="s">
        <v>26</v>
      </c>
      <c r="D31" s="8" t="s">
        <v>15</v>
      </c>
      <c r="E31" s="8">
        <v>12</v>
      </c>
      <c r="F31">
        <v>510</v>
      </c>
      <c r="G31">
        <v>500</v>
      </c>
      <c r="H31" s="9">
        <f t="shared" si="7"/>
        <v>6620</v>
      </c>
      <c r="I31" s="10"/>
      <c r="J31" s="9">
        <f>(H31*I31)+H31</f>
        <v>6620</v>
      </c>
    </row>
    <row r="32" spans="2:12" x14ac:dyDescent="0.25">
      <c r="B32" t="s">
        <v>31</v>
      </c>
      <c r="D32" s="8" t="s">
        <v>15</v>
      </c>
      <c r="E32" s="8">
        <v>10</v>
      </c>
      <c r="F32">
        <v>510</v>
      </c>
      <c r="G32">
        <v>1800</v>
      </c>
      <c r="H32" s="9">
        <f t="shared" si="7"/>
        <v>6900</v>
      </c>
      <c r="I32" s="10"/>
      <c r="J32" s="9">
        <f>(H32*I32)+H32</f>
        <v>6900</v>
      </c>
    </row>
    <row r="33" spans="2:12" x14ac:dyDescent="0.25">
      <c r="B33" t="s">
        <v>32</v>
      </c>
      <c r="D33" s="8" t="s">
        <v>15</v>
      </c>
      <c r="E33" s="8">
        <v>4</v>
      </c>
      <c r="F33">
        <v>510</v>
      </c>
      <c r="G33">
        <v>1500</v>
      </c>
      <c r="H33" s="9">
        <f t="shared" si="7"/>
        <v>3540</v>
      </c>
      <c r="J33" s="9">
        <f t="shared" ref="J33:J34" si="8">(H33*I33)+H33</f>
        <v>3540</v>
      </c>
    </row>
    <row r="34" spans="2:12" x14ac:dyDescent="0.25">
      <c r="B34" t="s">
        <v>33</v>
      </c>
      <c r="D34" s="8" t="s">
        <v>15</v>
      </c>
      <c r="E34" s="8">
        <v>5</v>
      </c>
      <c r="F34">
        <v>510</v>
      </c>
      <c r="G34">
        <v>500</v>
      </c>
      <c r="H34" s="9">
        <f t="shared" si="7"/>
        <v>3050</v>
      </c>
      <c r="J34" s="9">
        <f t="shared" si="8"/>
        <v>3050</v>
      </c>
    </row>
    <row r="35" spans="2:12" x14ac:dyDescent="0.25">
      <c r="B35" t="s">
        <v>59</v>
      </c>
      <c r="D35" s="8" t="s">
        <v>15</v>
      </c>
      <c r="E35" s="8">
        <v>22</v>
      </c>
      <c r="F35">
        <v>300</v>
      </c>
      <c r="H35" s="9">
        <f t="shared" si="7"/>
        <v>6600</v>
      </c>
      <c r="I35" s="10">
        <v>0.15</v>
      </c>
      <c r="J35" s="9">
        <f t="shared" ref="J35:J36" si="9">(H35*I35)+H35</f>
        <v>7590</v>
      </c>
    </row>
    <row r="36" spans="2:12" x14ac:dyDescent="0.25">
      <c r="B36" t="s">
        <v>34</v>
      </c>
      <c r="D36" s="8" t="s">
        <v>15</v>
      </c>
      <c r="E36" s="8">
        <v>30</v>
      </c>
      <c r="F36">
        <v>510</v>
      </c>
      <c r="G36">
        <v>1200</v>
      </c>
      <c r="H36" s="9">
        <f t="shared" si="7"/>
        <v>16500</v>
      </c>
      <c r="J36" s="9">
        <f t="shared" si="9"/>
        <v>16500</v>
      </c>
    </row>
    <row r="37" spans="2:12" x14ac:dyDescent="0.25">
      <c r="B37" t="s">
        <v>35</v>
      </c>
      <c r="D37" s="8" t="s">
        <v>15</v>
      </c>
      <c r="E37" s="8">
        <v>5</v>
      </c>
      <c r="F37">
        <v>510</v>
      </c>
      <c r="G37">
        <v>1400</v>
      </c>
      <c r="H37" s="9">
        <f t="shared" si="7"/>
        <v>3950</v>
      </c>
      <c r="J37" s="9">
        <f t="shared" ref="J37:J38" si="10">(H37*I37)+H37</f>
        <v>3950</v>
      </c>
    </row>
    <row r="38" spans="2:12" x14ac:dyDescent="0.25">
      <c r="B38" t="s">
        <v>60</v>
      </c>
      <c r="D38" s="8" t="s">
        <v>52</v>
      </c>
      <c r="H38" s="9">
        <f>11500+2500</f>
        <v>14000</v>
      </c>
      <c r="I38" s="10">
        <v>0.15</v>
      </c>
      <c r="J38" s="9">
        <f t="shared" si="10"/>
        <v>16100</v>
      </c>
    </row>
    <row r="40" spans="2:12" x14ac:dyDescent="0.25">
      <c r="B40" t="s">
        <v>36</v>
      </c>
      <c r="D40" s="8" t="s">
        <v>17</v>
      </c>
      <c r="E40" s="8">
        <v>10</v>
      </c>
      <c r="F40">
        <v>510</v>
      </c>
      <c r="G40">
        <v>1800</v>
      </c>
      <c r="H40" s="9">
        <f>(E40*F40)+G40</f>
        <v>6900</v>
      </c>
      <c r="I40" s="10"/>
      <c r="J40" s="9">
        <f>(H40*I40)+H40</f>
        <v>6900</v>
      </c>
    </row>
    <row r="41" spans="2:12" x14ac:dyDescent="0.25">
      <c r="B41" t="s">
        <v>37</v>
      </c>
      <c r="D41" s="8" t="s">
        <v>17</v>
      </c>
      <c r="E41" s="8">
        <v>4</v>
      </c>
      <c r="F41">
        <v>510</v>
      </c>
      <c r="H41" s="9">
        <f>(E41*F41)+G41</f>
        <v>2040</v>
      </c>
      <c r="I41" s="10"/>
      <c r="J41" s="9">
        <f>(H41*I41)+H41</f>
        <v>2040</v>
      </c>
    </row>
    <row r="42" spans="2:12" x14ac:dyDescent="0.25">
      <c r="B42" t="s">
        <v>38</v>
      </c>
      <c r="D42" s="8" t="s">
        <v>17</v>
      </c>
      <c r="E42" s="8">
        <v>9</v>
      </c>
      <c r="F42">
        <v>510</v>
      </c>
      <c r="G42">
        <v>1800</v>
      </c>
      <c r="H42" s="9">
        <f>(E42*F42)+G42</f>
        <v>6390</v>
      </c>
      <c r="I42" s="10"/>
      <c r="J42" s="9">
        <f>(H42*I42)+H42</f>
        <v>6390</v>
      </c>
    </row>
    <row r="43" spans="2:12" x14ac:dyDescent="0.25">
      <c r="B43" t="s">
        <v>39</v>
      </c>
      <c r="D43" s="8" t="s">
        <v>17</v>
      </c>
      <c r="E43" s="8">
        <v>9</v>
      </c>
      <c r="F43">
        <v>510</v>
      </c>
      <c r="G43">
        <v>1800</v>
      </c>
      <c r="H43" s="9">
        <f>(E43*F43)+G43</f>
        <v>6390</v>
      </c>
      <c r="I43" s="10"/>
      <c r="J43" s="9">
        <f>(H43*I43)+H43</f>
        <v>6390</v>
      </c>
    </row>
    <row r="45" spans="2:12" ht="15.75" x14ac:dyDescent="0.25">
      <c r="B45" s="11" t="s">
        <v>40</v>
      </c>
      <c r="L45" s="9">
        <f>SUM(J46:J50)</f>
        <v>9740</v>
      </c>
    </row>
    <row r="46" spans="2:12" x14ac:dyDescent="0.25">
      <c r="B46" t="s">
        <v>66</v>
      </c>
      <c r="D46" s="8" t="s">
        <v>14</v>
      </c>
      <c r="E46" s="8">
        <v>3</v>
      </c>
      <c r="F46">
        <v>510</v>
      </c>
      <c r="H46" s="9">
        <f>(E46*F46)+G46</f>
        <v>1530</v>
      </c>
      <c r="I46" s="10"/>
      <c r="J46" s="9">
        <f>(H46*I46)+H46</f>
        <v>1530</v>
      </c>
    </row>
    <row r="47" spans="2:12" x14ac:dyDescent="0.25">
      <c r="B47" t="s">
        <v>41</v>
      </c>
      <c r="D47" s="8" t="s">
        <v>15</v>
      </c>
      <c r="E47" s="8">
        <v>3</v>
      </c>
      <c r="F47">
        <v>510</v>
      </c>
      <c r="G47">
        <v>800</v>
      </c>
      <c r="H47" s="9">
        <f>(E47*F47)+G47</f>
        <v>2330</v>
      </c>
      <c r="I47" s="10"/>
      <c r="J47" s="9">
        <f>(H47*I47)+H47</f>
        <v>2330</v>
      </c>
    </row>
    <row r="48" spans="2:12" x14ac:dyDescent="0.25">
      <c r="B48" t="s">
        <v>42</v>
      </c>
      <c r="D48" s="8" t="s">
        <v>17</v>
      </c>
      <c r="E48" s="8">
        <v>2</v>
      </c>
      <c r="F48">
        <v>510</v>
      </c>
      <c r="G48">
        <v>1200</v>
      </c>
      <c r="H48" s="9">
        <f>(E48*F48)+G48</f>
        <v>2220</v>
      </c>
      <c r="I48" s="10"/>
      <c r="J48" s="9">
        <f>(H48*I48)+H48</f>
        <v>2220</v>
      </c>
    </row>
    <row r="49" spans="2:12" x14ac:dyDescent="0.25">
      <c r="B49" t="s">
        <v>44</v>
      </c>
      <c r="D49" s="8" t="s">
        <v>17</v>
      </c>
      <c r="E49" s="8">
        <v>4</v>
      </c>
      <c r="F49">
        <v>510</v>
      </c>
      <c r="G49">
        <v>400</v>
      </c>
      <c r="H49" s="9">
        <f>(E49*F49)+G49</f>
        <v>2440</v>
      </c>
      <c r="I49" s="10"/>
      <c r="J49" s="9">
        <f>(H49*I49)+H49</f>
        <v>2440</v>
      </c>
    </row>
    <row r="50" spans="2:12" x14ac:dyDescent="0.25">
      <c r="B50" t="s">
        <v>28</v>
      </c>
      <c r="D50" s="8" t="s">
        <v>17</v>
      </c>
      <c r="E50" s="8">
        <v>2</v>
      </c>
      <c r="F50">
        <v>510</v>
      </c>
      <c r="G50">
        <v>200</v>
      </c>
      <c r="H50" s="9">
        <f>(E50*F50)+G50</f>
        <v>1220</v>
      </c>
      <c r="J50" s="9">
        <f t="shared" ref="J50" si="11">(H50*I50)+H50</f>
        <v>1220</v>
      </c>
    </row>
    <row r="52" spans="2:12" ht="15.75" x14ac:dyDescent="0.25">
      <c r="B52" s="11" t="s">
        <v>43</v>
      </c>
      <c r="L52" s="9">
        <f>SUM(J53:J57)</f>
        <v>4880</v>
      </c>
    </row>
    <row r="53" spans="2:12" x14ac:dyDescent="0.25">
      <c r="B53" t="s">
        <v>28</v>
      </c>
      <c r="D53" s="8" t="s">
        <v>17</v>
      </c>
      <c r="E53" s="8">
        <v>2</v>
      </c>
      <c r="F53">
        <v>510</v>
      </c>
      <c r="G53">
        <v>200</v>
      </c>
      <c r="H53" s="9">
        <f>(E53*F53)+G53</f>
        <v>1220</v>
      </c>
      <c r="J53" s="9">
        <f t="shared" ref="J53" si="12">(H53*I53)+H53</f>
        <v>1220</v>
      </c>
    </row>
    <row r="54" spans="2:12" x14ac:dyDescent="0.25">
      <c r="B54" t="s">
        <v>44</v>
      </c>
      <c r="D54" s="8" t="s">
        <v>15</v>
      </c>
      <c r="E54" s="8">
        <v>4</v>
      </c>
      <c r="F54">
        <v>510</v>
      </c>
      <c r="G54">
        <v>400</v>
      </c>
      <c r="H54" s="9">
        <f>(E54*F54)+G54</f>
        <v>2440</v>
      </c>
      <c r="I54" s="10"/>
      <c r="J54" s="9">
        <f>(H54*I54)+H54</f>
        <v>2440</v>
      </c>
    </row>
    <row r="56" spans="2:12" ht="15.75" x14ac:dyDescent="0.25">
      <c r="B56" s="11" t="s">
        <v>45</v>
      </c>
      <c r="L56" s="9">
        <f>SUM(J57:J61)</f>
        <v>6100</v>
      </c>
    </row>
    <row r="57" spans="2:12" x14ac:dyDescent="0.25">
      <c r="B57" t="s">
        <v>28</v>
      </c>
      <c r="D57" s="8" t="s">
        <v>17</v>
      </c>
      <c r="E57" s="8">
        <v>2</v>
      </c>
      <c r="F57">
        <v>510</v>
      </c>
      <c r="G57">
        <v>200</v>
      </c>
      <c r="H57" s="9">
        <f>(E57*F57)+G57</f>
        <v>1220</v>
      </c>
      <c r="J57" s="9">
        <f t="shared" ref="J57" si="13">(H57*I57)+H57</f>
        <v>1220</v>
      </c>
    </row>
    <row r="58" spans="2:12" x14ac:dyDescent="0.25">
      <c r="B58" t="s">
        <v>44</v>
      </c>
      <c r="D58" s="8" t="s">
        <v>15</v>
      </c>
      <c r="E58" s="8">
        <v>4</v>
      </c>
      <c r="F58">
        <v>510</v>
      </c>
      <c r="G58">
        <v>400</v>
      </c>
      <c r="H58" s="9">
        <f>(E58*F58)+G58</f>
        <v>2440</v>
      </c>
      <c r="I58" s="10"/>
      <c r="J58" s="9">
        <f>(H58*I58)+H58</f>
        <v>2440</v>
      </c>
    </row>
    <row r="59" spans="2:12" x14ac:dyDescent="0.25">
      <c r="B59" t="s">
        <v>27</v>
      </c>
      <c r="D59" s="8" t="s">
        <v>17</v>
      </c>
      <c r="E59" s="8">
        <v>4</v>
      </c>
      <c r="F59">
        <v>510</v>
      </c>
      <c r="G59">
        <v>400</v>
      </c>
      <c r="H59" s="9">
        <f>(E59*F59)+G59</f>
        <v>2440</v>
      </c>
      <c r="I59" s="10"/>
      <c r="J59" s="9">
        <f>(H59*I59)+H59</f>
        <v>2440</v>
      </c>
    </row>
    <row r="61" spans="2:12" ht="15.75" x14ac:dyDescent="0.25">
      <c r="B61" s="11" t="s">
        <v>46</v>
      </c>
      <c r="L61" s="9">
        <f>SUM(J62:J70)</f>
        <v>91085</v>
      </c>
    </row>
    <row r="62" spans="2:12" x14ac:dyDescent="0.25">
      <c r="B62" t="s">
        <v>28</v>
      </c>
      <c r="D62" s="8" t="s">
        <v>17</v>
      </c>
      <c r="E62" s="8">
        <v>2</v>
      </c>
      <c r="F62">
        <v>510</v>
      </c>
      <c r="G62">
        <v>200</v>
      </c>
      <c r="H62" s="9">
        <f t="shared" ref="H62:H67" si="14">(E62*F62)+G62</f>
        <v>1220</v>
      </c>
      <c r="J62" s="9">
        <f t="shared" ref="J62" si="15">(H62*I62)+H62</f>
        <v>1220</v>
      </c>
    </row>
    <row r="63" spans="2:12" x14ac:dyDescent="0.25">
      <c r="B63" t="s">
        <v>44</v>
      </c>
      <c r="D63" s="8" t="s">
        <v>15</v>
      </c>
      <c r="E63" s="8">
        <v>6</v>
      </c>
      <c r="F63">
        <v>510</v>
      </c>
      <c r="G63">
        <v>400</v>
      </c>
      <c r="H63" s="9">
        <f t="shared" si="14"/>
        <v>3460</v>
      </c>
      <c r="I63" s="10"/>
      <c r="J63" s="9">
        <f>(H63*I63)+H63</f>
        <v>3460</v>
      </c>
    </row>
    <row r="64" spans="2:12" x14ac:dyDescent="0.25">
      <c r="B64" t="s">
        <v>27</v>
      </c>
      <c r="D64" s="8" t="s">
        <v>17</v>
      </c>
      <c r="E64" s="8">
        <v>3</v>
      </c>
      <c r="F64">
        <v>510</v>
      </c>
      <c r="G64">
        <v>400</v>
      </c>
      <c r="H64" s="9">
        <f t="shared" si="14"/>
        <v>1930</v>
      </c>
      <c r="I64" s="10"/>
      <c r="J64" s="9">
        <f>(H64*I64)+H64</f>
        <v>1930</v>
      </c>
    </row>
    <row r="65" spans="2:12" x14ac:dyDescent="0.25">
      <c r="B65" t="s">
        <v>18</v>
      </c>
      <c r="D65" s="8" t="s">
        <v>17</v>
      </c>
      <c r="E65" s="8">
        <v>4</v>
      </c>
      <c r="F65">
        <v>510</v>
      </c>
      <c r="H65" s="9">
        <f t="shared" si="14"/>
        <v>2040</v>
      </c>
      <c r="I65" s="10"/>
      <c r="J65" s="9">
        <f>(H65*I65)+H65</f>
        <v>2040</v>
      </c>
    </row>
    <row r="66" spans="2:12" x14ac:dyDescent="0.25">
      <c r="B66" t="s">
        <v>20</v>
      </c>
      <c r="D66" s="8" t="s">
        <v>17</v>
      </c>
      <c r="E66" s="8">
        <v>4</v>
      </c>
      <c r="F66">
        <v>510</v>
      </c>
      <c r="G66">
        <v>1200</v>
      </c>
      <c r="H66" s="9">
        <f t="shared" si="14"/>
        <v>3240</v>
      </c>
      <c r="J66" s="9">
        <f t="shared" ref="J66" si="16">(H66*I66)+H66</f>
        <v>3240</v>
      </c>
    </row>
    <row r="67" spans="2:12" x14ac:dyDescent="0.25">
      <c r="B67" t="s">
        <v>47</v>
      </c>
      <c r="D67" s="8" t="s">
        <v>17</v>
      </c>
      <c r="E67" s="8">
        <v>12</v>
      </c>
      <c r="F67">
        <v>510</v>
      </c>
      <c r="G67">
        <v>1000</v>
      </c>
      <c r="H67" s="9">
        <f t="shared" si="14"/>
        <v>7120</v>
      </c>
      <c r="J67" s="9">
        <f t="shared" ref="J67" si="17">(H67*I67)+H67</f>
        <v>7120</v>
      </c>
    </row>
    <row r="69" spans="2:12" x14ac:dyDescent="0.25">
      <c r="B69" t="s">
        <v>48</v>
      </c>
      <c r="D69" s="8" t="s">
        <v>50</v>
      </c>
      <c r="H69" s="9">
        <v>48500</v>
      </c>
      <c r="I69" s="10">
        <v>0.15</v>
      </c>
      <c r="J69" s="9">
        <f t="shared" ref="J69" si="18">(H69*I69)+H69</f>
        <v>55775</v>
      </c>
    </row>
    <row r="70" spans="2:12" x14ac:dyDescent="0.25">
      <c r="B70" t="s">
        <v>49</v>
      </c>
      <c r="D70" s="8" t="s">
        <v>17</v>
      </c>
      <c r="E70" s="8">
        <v>30</v>
      </c>
      <c r="F70">
        <v>510</v>
      </c>
      <c r="G70">
        <v>1000</v>
      </c>
      <c r="H70" s="9">
        <f>(E70*F70)+G70</f>
        <v>16300</v>
      </c>
      <c r="J70" s="9">
        <f t="shared" ref="J70" si="19">(H70*I70)+H70</f>
        <v>16300</v>
      </c>
    </row>
    <row r="73" spans="2:12" ht="15.75" x14ac:dyDescent="0.25">
      <c r="B73" s="11" t="s">
        <v>51</v>
      </c>
      <c r="L73" s="9">
        <f>SUM(J74:K75)</f>
        <v>24725</v>
      </c>
    </row>
    <row r="74" spans="2:12" x14ac:dyDescent="0.25">
      <c r="B74" t="s">
        <v>55</v>
      </c>
      <c r="H74" s="9">
        <v>19500</v>
      </c>
      <c r="I74" s="10">
        <v>0.15</v>
      </c>
      <c r="J74" s="9">
        <f t="shared" ref="J74" si="20">(H74*I74)+H74</f>
        <v>22425</v>
      </c>
    </row>
    <row r="75" spans="2:12" x14ac:dyDescent="0.25">
      <c r="B75" t="s">
        <v>58</v>
      </c>
      <c r="H75" s="9">
        <v>2000</v>
      </c>
      <c r="I75" s="10">
        <v>0.15</v>
      </c>
      <c r="J75" s="9">
        <f t="shared" ref="J75" si="21">(H75*I75)+H75</f>
        <v>2300</v>
      </c>
    </row>
    <row r="77" spans="2:12" ht="15.75" x14ac:dyDescent="0.25">
      <c r="B77" s="11" t="s">
        <v>53</v>
      </c>
      <c r="L77" s="9">
        <f>SUM(J78:K78)</f>
        <v>96197.5</v>
      </c>
    </row>
    <row r="78" spans="2:12" x14ac:dyDescent="0.25">
      <c r="B78" t="s">
        <v>56</v>
      </c>
      <c r="H78" s="9">
        <v>83650</v>
      </c>
      <c r="I78" s="10">
        <v>0.15</v>
      </c>
      <c r="J78" s="9">
        <f t="shared" ref="J78" si="22">(H78*I78)+H78</f>
        <v>96197.5</v>
      </c>
    </row>
    <row r="79" spans="2:12" x14ac:dyDescent="0.25">
      <c r="H79" s="9"/>
      <c r="I79" s="10"/>
      <c r="J79" s="9"/>
    </row>
    <row r="81" spans="2:16" ht="15.75" x14ac:dyDescent="0.25">
      <c r="B81" s="11" t="s">
        <v>52</v>
      </c>
      <c r="L81" s="9">
        <f>SUM(J82:K82)</f>
        <v>150259</v>
      </c>
    </row>
    <row r="82" spans="2:16" x14ac:dyDescent="0.25">
      <c r="B82" t="s">
        <v>64</v>
      </c>
      <c r="H82" s="9">
        <v>150259</v>
      </c>
      <c r="I82" s="10"/>
      <c r="J82" s="9">
        <f t="shared" ref="J82" si="23">(H82*I82)+H82</f>
        <v>150259</v>
      </c>
    </row>
    <row r="84" spans="2:16" ht="15.75" x14ac:dyDescent="0.25">
      <c r="B84" s="11" t="s">
        <v>54</v>
      </c>
      <c r="L84" s="9">
        <f>SUM(J85:K85)</f>
        <v>109250</v>
      </c>
    </row>
    <row r="85" spans="2:16" x14ac:dyDescent="0.25">
      <c r="B85" t="s">
        <v>65</v>
      </c>
      <c r="H85" s="9">
        <v>95000</v>
      </c>
      <c r="I85" s="10">
        <v>0.15</v>
      </c>
      <c r="J85" s="9">
        <f t="shared" ref="J85" si="24">(H85*I85)+H85</f>
        <v>109250</v>
      </c>
    </row>
    <row r="87" spans="2:16" x14ac:dyDescent="0.25">
      <c r="K87" s="12" t="s">
        <v>61</v>
      </c>
      <c r="L87" s="9">
        <f>SUM(L6:L86)</f>
        <v>667616.5</v>
      </c>
      <c r="O87" s="8">
        <v>6000</v>
      </c>
    </row>
    <row r="88" spans="2:16" x14ac:dyDescent="0.25">
      <c r="K88" s="12" t="s">
        <v>62</v>
      </c>
      <c r="L88" s="9">
        <f>L87/100*25</f>
        <v>166904.125</v>
      </c>
      <c r="O88" s="8">
        <v>11421</v>
      </c>
    </row>
    <row r="89" spans="2:16" ht="15.75" thickBot="1" x14ac:dyDescent="0.3">
      <c r="K89" s="13" t="s">
        <v>63</v>
      </c>
      <c r="L89" s="14">
        <f>SUM(L87:L88)</f>
        <v>834520.625</v>
      </c>
      <c r="O89" s="8">
        <v>1433</v>
      </c>
    </row>
    <row r="90" spans="2:16" ht="15.75" thickTop="1" x14ac:dyDescent="0.25">
      <c r="O90" s="8">
        <v>7800</v>
      </c>
    </row>
    <row r="91" spans="2:16" x14ac:dyDescent="0.25">
      <c r="O91" s="8">
        <f>SUM(O87:O90)</f>
        <v>26654</v>
      </c>
      <c r="P91">
        <f>O91*0.8</f>
        <v>21323.200000000001</v>
      </c>
    </row>
  </sheetData>
  <pageMargins left="0.7" right="0.7" top="0.75" bottom="0.75" header="0.3" footer="0.3"/>
  <pageSetup paperSize="9"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C476-F00C-47F1-9DF7-FC548940D470}">
  <sheetPr>
    <pageSetUpPr fitToPage="1"/>
  </sheetPr>
  <dimension ref="A1:Y50"/>
  <sheetViews>
    <sheetView zoomScale="130" zoomScaleNormal="130" workbookViewId="0">
      <selection activeCell="H50" sqref="A1:H50"/>
    </sheetView>
  </sheetViews>
  <sheetFormatPr defaultRowHeight="15" x14ac:dyDescent="0.25"/>
  <cols>
    <col min="1" max="1" width="7.5703125" style="8" customWidth="1"/>
    <col min="2" max="2" width="68.7109375" customWidth="1"/>
    <col min="3" max="3" width="9.28515625" customWidth="1"/>
    <col min="4" max="4" width="13.85546875" customWidth="1"/>
    <col min="5" max="5" width="9.28515625" customWidth="1"/>
    <col min="6" max="6" width="27.7109375" customWidth="1"/>
    <col min="7" max="7" width="3.5703125" customWidth="1"/>
    <col min="8" max="8" width="23.85546875" customWidth="1"/>
    <col min="11" max="11" width="18.85546875" customWidth="1"/>
    <col min="12" max="12" width="15.7109375" customWidth="1"/>
    <col min="18" max="18" width="13" bestFit="1" customWidth="1"/>
    <col min="24" max="24" width="2.7109375" customWidth="1"/>
  </cols>
  <sheetData>
    <row r="1" spans="1:25" ht="21.75" thickBot="1" x14ac:dyDescent="0.4">
      <c r="A1" s="15" t="s">
        <v>69</v>
      </c>
      <c r="B1" s="16"/>
      <c r="C1" s="16"/>
      <c r="D1" s="2"/>
      <c r="E1" s="2"/>
      <c r="F1" s="16"/>
    </row>
    <row r="2" spans="1:25" x14ac:dyDescent="0.25">
      <c r="D2" s="8"/>
      <c r="E2" s="8"/>
    </row>
    <row r="3" spans="1:25" x14ac:dyDescent="0.25">
      <c r="D3" s="8"/>
      <c r="E3" s="8"/>
    </row>
    <row r="4" spans="1:25" x14ac:dyDescent="0.25">
      <c r="A4" s="8">
        <v>1</v>
      </c>
      <c r="B4" t="s">
        <v>96</v>
      </c>
      <c r="D4" s="9">
        <v>1900</v>
      </c>
      <c r="E4" s="8" t="s">
        <v>67</v>
      </c>
      <c r="F4" s="21" t="s">
        <v>110</v>
      </c>
    </row>
    <row r="5" spans="1:25" x14ac:dyDescent="0.25">
      <c r="D5" s="8"/>
      <c r="E5" s="8"/>
      <c r="K5" s="38"/>
      <c r="L5" s="38"/>
      <c r="M5" s="38"/>
    </row>
    <row r="6" spans="1:25" x14ac:dyDescent="0.25">
      <c r="A6" s="8">
        <v>2</v>
      </c>
      <c r="B6" t="s">
        <v>68</v>
      </c>
      <c r="D6" s="9">
        <v>2430</v>
      </c>
      <c r="E6" s="8" t="s">
        <v>67</v>
      </c>
      <c r="F6" s="21" t="s">
        <v>81</v>
      </c>
      <c r="H6" s="43" t="s">
        <v>101</v>
      </c>
      <c r="K6" s="38"/>
      <c r="L6" s="38"/>
      <c r="M6" s="38"/>
    </row>
    <row r="7" spans="1:25" x14ac:dyDescent="0.25">
      <c r="D7" s="9"/>
      <c r="E7" s="8"/>
      <c r="K7" s="38" t="s">
        <v>73</v>
      </c>
      <c r="L7" s="38"/>
      <c r="M7" s="38"/>
    </row>
    <row r="8" spans="1:25" x14ac:dyDescent="0.25">
      <c r="A8" s="8">
        <v>3</v>
      </c>
      <c r="B8" t="s">
        <v>82</v>
      </c>
      <c r="D8" s="9">
        <v>7500</v>
      </c>
      <c r="E8" s="8" t="s">
        <v>67</v>
      </c>
      <c r="F8" s="21" t="s">
        <v>83</v>
      </c>
      <c r="H8" s="43" t="s">
        <v>101</v>
      </c>
      <c r="K8" s="39">
        <v>12440.15</v>
      </c>
      <c r="L8" s="39">
        <f>+K8*1.15</f>
        <v>14306.172499999999</v>
      </c>
      <c r="M8" s="38"/>
    </row>
    <row r="9" spans="1:25" x14ac:dyDescent="0.25">
      <c r="D9" s="9"/>
      <c r="E9" s="8"/>
      <c r="K9" s="39"/>
      <c r="L9" s="39">
        <v>3000</v>
      </c>
      <c r="M9" s="38"/>
    </row>
    <row r="10" spans="1:25" x14ac:dyDescent="0.25">
      <c r="A10" s="8">
        <v>4</v>
      </c>
      <c r="B10" t="s">
        <v>84</v>
      </c>
      <c r="D10" s="9">
        <v>1062</v>
      </c>
      <c r="E10" s="8" t="s">
        <v>67</v>
      </c>
      <c r="F10" s="21" t="s">
        <v>87</v>
      </c>
      <c r="H10" s="43" t="s">
        <v>101</v>
      </c>
      <c r="K10" s="38"/>
      <c r="L10" s="38"/>
      <c r="M10" s="38"/>
    </row>
    <row r="11" spans="1:25" x14ac:dyDescent="0.25">
      <c r="D11" s="9"/>
      <c r="E11" s="8"/>
      <c r="K11" s="38">
        <v>15</v>
      </c>
      <c r="L11" s="38">
        <f>+K11*600</f>
        <v>9000</v>
      </c>
      <c r="M11" s="38"/>
      <c r="T11" t="s">
        <v>75</v>
      </c>
      <c r="U11">
        <v>2.7</v>
      </c>
      <c r="V11">
        <v>2.8</v>
      </c>
      <c r="W11">
        <f>U11*V11</f>
        <v>7.56</v>
      </c>
    </row>
    <row r="12" spans="1:25" x14ac:dyDescent="0.25">
      <c r="A12" s="8">
        <v>5</v>
      </c>
      <c r="B12" t="s">
        <v>86</v>
      </c>
      <c r="D12" s="9"/>
      <c r="K12" s="38"/>
      <c r="L12" s="38"/>
      <c r="M12" s="38"/>
      <c r="T12" t="s">
        <v>74</v>
      </c>
      <c r="U12">
        <v>1.8</v>
      </c>
      <c r="V12">
        <v>2.2999999999999998</v>
      </c>
      <c r="W12">
        <f>U12*V12</f>
        <v>4.1399999999999997</v>
      </c>
    </row>
    <row r="13" spans="1:25" x14ac:dyDescent="0.25">
      <c r="B13" t="s">
        <v>97</v>
      </c>
      <c r="C13" s="9">
        <f>300*22</f>
        <v>6600</v>
      </c>
      <c r="D13" s="9"/>
      <c r="E13" s="8"/>
      <c r="K13" s="38" t="s">
        <v>70</v>
      </c>
      <c r="L13" s="40">
        <f>SUM(L8:L11)</f>
        <v>26306.172500000001</v>
      </c>
      <c r="M13" s="38"/>
      <c r="Q13" t="s">
        <v>70</v>
      </c>
      <c r="R13" s="17">
        <v>6553.49</v>
      </c>
      <c r="T13" t="s">
        <v>76</v>
      </c>
      <c r="W13">
        <v>3</v>
      </c>
    </row>
    <row r="14" spans="1:25" x14ac:dyDescent="0.25">
      <c r="B14" t="s">
        <v>98</v>
      </c>
      <c r="C14" s="9">
        <f>(6166+1201)*1.2</f>
        <v>8840.4</v>
      </c>
      <c r="D14" s="9"/>
      <c r="E14" s="8"/>
      <c r="K14" s="41" t="s">
        <v>71</v>
      </c>
      <c r="L14" s="42">
        <f>+L13*0.25</f>
        <v>6576.5431250000001</v>
      </c>
      <c r="M14" s="38"/>
      <c r="Q14" s="18" t="s">
        <v>71</v>
      </c>
      <c r="R14" s="19">
        <f>+R13*0.25</f>
        <v>1638.3724999999999</v>
      </c>
      <c r="T14" t="s">
        <v>77</v>
      </c>
      <c r="W14">
        <v>1.5</v>
      </c>
    </row>
    <row r="15" spans="1:25" x14ac:dyDescent="0.25">
      <c r="B15" t="s">
        <v>99</v>
      </c>
      <c r="D15" s="9">
        <f>C14-C13</f>
        <v>2240.3999999999996</v>
      </c>
      <c r="E15" s="8" t="s">
        <v>67</v>
      </c>
      <c r="F15" s="21" t="s">
        <v>110</v>
      </c>
      <c r="H15" s="43" t="s">
        <v>101</v>
      </c>
      <c r="K15" s="38" t="s">
        <v>72</v>
      </c>
      <c r="L15" s="40">
        <f>SUM(L13:L14)</f>
        <v>32882.715624999997</v>
      </c>
      <c r="M15" s="38"/>
      <c r="Q15" t="s">
        <v>72</v>
      </c>
      <c r="R15" s="17">
        <f>SUM(R13:R14)</f>
        <v>8191.8624999999993</v>
      </c>
      <c r="W15">
        <f>SUM(W11:W14)</f>
        <v>16.2</v>
      </c>
    </row>
    <row r="16" spans="1:25" x14ac:dyDescent="0.25">
      <c r="D16" s="8"/>
      <c r="E16" s="8"/>
      <c r="K16" s="38"/>
      <c r="L16" s="38"/>
      <c r="M16" s="38"/>
      <c r="U16" s="20">
        <v>0.25</v>
      </c>
      <c r="W16">
        <f>W15*1.25</f>
        <v>20.25</v>
      </c>
      <c r="Y16" t="s">
        <v>78</v>
      </c>
    </row>
    <row r="17" spans="1:25" x14ac:dyDescent="0.25">
      <c r="A17" s="8">
        <v>6</v>
      </c>
      <c r="B17" t="s">
        <v>105</v>
      </c>
      <c r="D17" s="9">
        <v>1100</v>
      </c>
      <c r="E17" s="8" t="s">
        <v>67</v>
      </c>
      <c r="F17" s="21" t="s">
        <v>104</v>
      </c>
      <c r="K17" s="38"/>
      <c r="L17" s="38"/>
      <c r="M17" s="38"/>
    </row>
    <row r="18" spans="1:25" x14ac:dyDescent="0.25">
      <c r="K18" s="38"/>
      <c r="L18" s="38"/>
      <c r="M18" s="38"/>
      <c r="U18" t="s">
        <v>79</v>
      </c>
      <c r="W18">
        <v>6</v>
      </c>
      <c r="Y18" t="s">
        <v>80</v>
      </c>
    </row>
    <row r="19" spans="1:25" x14ac:dyDescent="0.25">
      <c r="A19" s="8">
        <v>7</v>
      </c>
      <c r="B19" t="s">
        <v>106</v>
      </c>
      <c r="D19" s="9">
        <v>3400</v>
      </c>
      <c r="E19" s="8" t="s">
        <v>67</v>
      </c>
      <c r="F19" s="21" t="s">
        <v>110</v>
      </c>
      <c r="K19" s="38"/>
      <c r="L19" s="38"/>
      <c r="M19" s="38"/>
    </row>
    <row r="20" spans="1:25" x14ac:dyDescent="0.25">
      <c r="K20" s="38"/>
      <c r="L20" s="38"/>
      <c r="M20" s="38"/>
    </row>
    <row r="21" spans="1:25" x14ac:dyDescent="0.25">
      <c r="A21" s="8">
        <v>8</v>
      </c>
      <c r="B21" t="s">
        <v>107</v>
      </c>
      <c r="D21" s="37">
        <v>0</v>
      </c>
      <c r="E21" s="8" t="s">
        <v>67</v>
      </c>
      <c r="F21" s="36" t="s">
        <v>108</v>
      </c>
      <c r="K21" s="38" t="s">
        <v>85</v>
      </c>
      <c r="L21" s="38"/>
      <c r="M21" s="38"/>
    </row>
    <row r="22" spans="1:25" x14ac:dyDescent="0.25">
      <c r="K22" s="38"/>
      <c r="L22" s="38"/>
      <c r="M22" s="38"/>
    </row>
    <row r="23" spans="1:25" x14ac:dyDescent="0.25">
      <c r="A23" s="56">
        <v>10</v>
      </c>
      <c r="B23" s="57" t="s">
        <v>109</v>
      </c>
      <c r="D23" s="9">
        <v>1500</v>
      </c>
      <c r="E23" s="8" t="s">
        <v>67</v>
      </c>
    </row>
    <row r="24" spans="1:25" x14ac:dyDescent="0.25">
      <c r="M24" s="9"/>
    </row>
    <row r="25" spans="1:25" x14ac:dyDescent="0.25">
      <c r="A25" s="56">
        <v>11</v>
      </c>
      <c r="B25" s="57" t="s">
        <v>111</v>
      </c>
      <c r="D25" s="9">
        <v>1800</v>
      </c>
      <c r="E25" s="8" t="s">
        <v>67</v>
      </c>
      <c r="M25" s="9"/>
    </row>
    <row r="26" spans="1:25" x14ac:dyDescent="0.25">
      <c r="M26" s="9"/>
    </row>
    <row r="27" spans="1:25" x14ac:dyDescent="0.25">
      <c r="A27" s="56">
        <v>13</v>
      </c>
      <c r="B27" s="57" t="s">
        <v>115</v>
      </c>
      <c r="D27" s="9">
        <v>3800</v>
      </c>
      <c r="E27" s="8" t="s">
        <v>67</v>
      </c>
    </row>
    <row r="29" spans="1:25" x14ac:dyDescent="0.25">
      <c r="A29" s="56">
        <v>14</v>
      </c>
      <c r="B29" s="57" t="s">
        <v>131</v>
      </c>
      <c r="D29" s="8">
        <v>0</v>
      </c>
    </row>
    <row r="30" spans="1:25" x14ac:dyDescent="0.25">
      <c r="A30"/>
    </row>
    <row r="31" spans="1:25" x14ac:dyDescent="0.25">
      <c r="A31" s="56">
        <v>15</v>
      </c>
      <c r="B31" s="57" t="s">
        <v>135</v>
      </c>
      <c r="D31" s="9">
        <v>1300</v>
      </c>
      <c r="E31" s="8" t="s">
        <v>67</v>
      </c>
    </row>
    <row r="33" spans="1:5" x14ac:dyDescent="0.25">
      <c r="A33" s="56">
        <v>16</v>
      </c>
      <c r="B33" s="57" t="s">
        <v>140</v>
      </c>
      <c r="D33" s="9">
        <v>1880</v>
      </c>
      <c r="E33" s="8" t="s">
        <v>67</v>
      </c>
    </row>
    <row r="35" spans="1:5" x14ac:dyDescent="0.25">
      <c r="B35" s="52" t="s">
        <v>122</v>
      </c>
    </row>
    <row r="37" spans="1:5" x14ac:dyDescent="0.25">
      <c r="A37" s="8" t="s">
        <v>116</v>
      </c>
      <c r="B37" t="s">
        <v>137</v>
      </c>
      <c r="D37" s="62" t="s">
        <v>121</v>
      </c>
    </row>
    <row r="39" spans="1:5" x14ac:dyDescent="0.25">
      <c r="A39" s="8" t="s">
        <v>117</v>
      </c>
      <c r="B39" t="s">
        <v>138</v>
      </c>
      <c r="D39" s="62" t="s">
        <v>120</v>
      </c>
    </row>
    <row r="41" spans="1:5" x14ac:dyDescent="0.25">
      <c r="A41" s="8" t="s">
        <v>118</v>
      </c>
      <c r="B41" t="s">
        <v>141</v>
      </c>
      <c r="D41" s="24">
        <v>-3000</v>
      </c>
    </row>
    <row r="43" spans="1:5" x14ac:dyDescent="0.25">
      <c r="A43" s="8" t="s">
        <v>119</v>
      </c>
      <c r="B43" t="s">
        <v>123</v>
      </c>
      <c r="D43" s="63" t="s">
        <v>139</v>
      </c>
    </row>
    <row r="44" spans="1:5" x14ac:dyDescent="0.25">
      <c r="D44" s="53"/>
    </row>
    <row r="45" spans="1:5" x14ac:dyDescent="0.25">
      <c r="A45" s="8" t="s">
        <v>124</v>
      </c>
      <c r="B45" t="s">
        <v>125</v>
      </c>
      <c r="D45" s="23">
        <v>-580</v>
      </c>
    </row>
    <row r="46" spans="1:5" x14ac:dyDescent="0.25">
      <c r="D46" s="54"/>
    </row>
    <row r="47" spans="1:5" x14ac:dyDescent="0.25">
      <c r="A47" s="8" t="s">
        <v>127</v>
      </c>
      <c r="B47" t="s">
        <v>128</v>
      </c>
      <c r="D47" s="8" t="s">
        <v>108</v>
      </c>
    </row>
    <row r="50" spans="3:5" x14ac:dyDescent="0.25">
      <c r="C50" s="58" t="s">
        <v>136</v>
      </c>
      <c r="D50" s="61">
        <f>D4+D17+D19+D21+D23+D25+D27+D29+D31+D33+D41+D45</f>
        <v>13100</v>
      </c>
      <c r="E50" s="8" t="s">
        <v>67</v>
      </c>
    </row>
  </sheetData>
  <pageMargins left="0.7" right="0.7" top="0.75" bottom="0.75" header="0.3" footer="0.3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B420-3E47-47F6-9470-EA5EF329F670}">
  <dimension ref="F5:F11"/>
  <sheetViews>
    <sheetView workbookViewId="0">
      <selection activeCell="K17" sqref="K17"/>
    </sheetView>
  </sheetViews>
  <sheetFormatPr defaultRowHeight="15" x14ac:dyDescent="0.25"/>
  <sheetData>
    <row r="5" spans="6:6" x14ac:dyDescent="0.25">
      <c r="F5">
        <v>6000</v>
      </c>
    </row>
    <row r="6" spans="6:6" x14ac:dyDescent="0.25">
      <c r="F6">
        <v>25000</v>
      </c>
    </row>
    <row r="7" spans="6:6" x14ac:dyDescent="0.25">
      <c r="F7">
        <v>1500</v>
      </c>
    </row>
    <row r="8" spans="6:6" x14ac:dyDescent="0.25">
      <c r="F8">
        <v>11421</v>
      </c>
    </row>
    <row r="9" spans="6:6" x14ac:dyDescent="0.25">
      <c r="F9">
        <v>1433</v>
      </c>
    </row>
    <row r="10" spans="6:6" x14ac:dyDescent="0.25">
      <c r="F10">
        <v>7800</v>
      </c>
    </row>
    <row r="11" spans="6:6" x14ac:dyDescent="0.25">
      <c r="F11">
        <f>SUM(F5:F10)</f>
        <v>53154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6A5B-CE65-4B9B-B0D2-BB24FECCB4F0}">
  <dimension ref="B6:F24"/>
  <sheetViews>
    <sheetView tabSelected="1" workbookViewId="0">
      <selection activeCell="H16" sqref="H16"/>
    </sheetView>
  </sheetViews>
  <sheetFormatPr defaultRowHeight="15" x14ac:dyDescent="0.25"/>
  <cols>
    <col min="4" max="4" width="21.28515625" customWidth="1"/>
    <col min="5" max="5" width="8.85546875" style="51"/>
  </cols>
  <sheetData>
    <row r="6" spans="4:5" x14ac:dyDescent="0.25">
      <c r="D6" t="s">
        <v>112</v>
      </c>
      <c r="E6" s="51">
        <v>-11085</v>
      </c>
    </row>
    <row r="8" spans="4:5" x14ac:dyDescent="0.25">
      <c r="D8" t="s">
        <v>113</v>
      </c>
      <c r="E8" s="51">
        <v>201395</v>
      </c>
    </row>
    <row r="10" spans="4:5" x14ac:dyDescent="0.25">
      <c r="D10" t="s">
        <v>114</v>
      </c>
      <c r="E10" s="51">
        <v>0</v>
      </c>
    </row>
    <row r="11" spans="4:5" x14ac:dyDescent="0.25">
      <c r="D11" t="s">
        <v>108</v>
      </c>
      <c r="E11" s="51">
        <v>-500</v>
      </c>
    </row>
    <row r="13" spans="4:5" x14ac:dyDescent="0.25">
      <c r="E13" s="55">
        <f>SUM(E6:E12)</f>
        <v>189810</v>
      </c>
    </row>
    <row r="15" spans="4:5" x14ac:dyDescent="0.25">
      <c r="D15" t="s">
        <v>53</v>
      </c>
      <c r="E15" s="51">
        <v>-83650</v>
      </c>
    </row>
    <row r="16" spans="4:5" x14ac:dyDescent="0.25">
      <c r="D16" t="s">
        <v>126</v>
      </c>
      <c r="E16" s="51">
        <v>-4500</v>
      </c>
    </row>
    <row r="17" spans="2:6" x14ac:dyDescent="0.25">
      <c r="D17" t="s">
        <v>130</v>
      </c>
      <c r="E17" s="51">
        <v>-35000</v>
      </c>
    </row>
    <row r="18" spans="2:6" x14ac:dyDescent="0.25">
      <c r="D18" t="s">
        <v>129</v>
      </c>
      <c r="E18" s="51">
        <v>-5000</v>
      </c>
    </row>
    <row r="20" spans="2:6" x14ac:dyDescent="0.25">
      <c r="E20" s="51">
        <f>SUM(E15:E19)</f>
        <v>-128150</v>
      </c>
    </row>
    <row r="22" spans="2:6" ht="15.75" thickBot="1" x14ac:dyDescent="0.3">
      <c r="B22" t="s">
        <v>132</v>
      </c>
      <c r="C22">
        <v>648000</v>
      </c>
      <c r="E22" s="60">
        <f>E13+E20</f>
        <v>61660</v>
      </c>
    </row>
    <row r="23" spans="2:6" ht="15.75" thickTop="1" x14ac:dyDescent="0.25"/>
    <row r="24" spans="2:6" x14ac:dyDescent="0.25">
      <c r="D24" s="58" t="s">
        <v>133</v>
      </c>
      <c r="E24" s="59">
        <f>E22/C22*100</f>
        <v>9.5154320987654319</v>
      </c>
      <c r="F24" s="52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8a5ba8-a2de-49f6-b885-4b123066ec6f">
      <Terms xmlns="http://schemas.microsoft.com/office/infopath/2007/PartnerControls"/>
    </lcf76f155ced4ddcb4097134ff3c332f>
    <TaxCatchAll xmlns="19205e70-9770-44fc-a5b3-72b4caaab09a" xsi:nil="true"/>
    <Placering xmlns="938a5ba8-a2de-49f6-b885-4b123066ec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7" ma:contentTypeDescription="Opret et nyt dokument." ma:contentTypeScope="" ma:versionID="ad17eadccaaec5338efa96c46b314a53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c12b52bc6d25cc929488258c28ff9922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216C29-8ED1-4F27-81B7-396E4941FFBF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2.xml><?xml version="1.0" encoding="utf-8"?>
<ds:datastoreItem xmlns:ds="http://schemas.openxmlformats.org/officeDocument/2006/customXml" ds:itemID="{2002CEB1-1E6A-4D83-B450-F246AF231E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BD1449-E869-49F3-949F-41B83ACD4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Kalk accepteret</vt:lpstr>
      <vt:lpstr>Kalk</vt:lpstr>
      <vt:lpstr>Ekstra arb</vt:lpstr>
      <vt:lpstr>Udgår</vt:lpstr>
      <vt:lpstr>Fremskrivning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Christian Blankholm</cp:lastModifiedBy>
  <cp:lastPrinted>2023-08-23T09:02:09Z</cp:lastPrinted>
  <dcterms:created xsi:type="dcterms:W3CDTF">2023-04-19T05:33:47Z</dcterms:created>
  <dcterms:modified xsi:type="dcterms:W3CDTF">2023-08-25T04:33:13Z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0x01010092DED09EA814A04AA67D21CE1BFB72BA</vt:lpwstr>
  </property>
</Properties>
</file>