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snord.sharepoint.com/sites/bnord/Delte dokumenter/0  SAGER/3 Afsluttede sager/1767 H.P. Ørums Gade 27, 2100 KBH Ø/Kalk/"/>
    </mc:Choice>
  </mc:AlternateContent>
  <xr:revisionPtr revIDLastSave="1475" documentId="8_{256B96C4-1873-4AF9-B3FA-362B9383D266}" xr6:coauthVersionLast="47" xr6:coauthVersionMax="47" xr10:uidLastSave="{286BC549-0959-476C-926B-98607E0C1AF4}"/>
  <bookViews>
    <workbookView minimized="1" xWindow="252" yWindow="684" windowWidth="19944" windowHeight="9984" tabRatio="725" xr2:uid="{3D5BC0CE-A3AE-46BF-9ADC-5261329ED5A6}"/>
  </bookViews>
  <sheets>
    <sheet name="Kalk" sheetId="2" r:id="rId1"/>
    <sheet name="Ekstra arbejde" sheetId="4" r:id="rId2"/>
    <sheet name="Asbest sanering" sheetId="3" r:id="rId3"/>
    <sheet name="Asbest sanering omgang 2" sheetId="6" r:id="rId4"/>
    <sheet name="Tidsforløb ASBEST" sheetId="5" r:id="rId5"/>
    <sheet name="Brugsvand og udendørsgane" sheetId="7" r:id="rId6"/>
    <sheet name="Fremskrivning" sheetId="9" r:id="rId7"/>
    <sheet name="Ark1" sheetId="8" r:id="rId8"/>
  </sheets>
  <definedNames>
    <definedName name="_xlnm.Print_Area" localSheetId="3">'Asbest sanering omgang 2'!$B$1:$M$68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32" i="4" l="1"/>
  <c r="D14" i="9"/>
  <c r="D8" i="9" l="1"/>
  <c r="D11" i="9"/>
  <c r="D16" i="9" s="1"/>
  <c r="D19" i="9" l="1"/>
  <c r="U72" i="2"/>
  <c r="D4" i="8"/>
  <c r="D3" i="8"/>
  <c r="D9" i="8"/>
  <c r="F5" i="7"/>
  <c r="F15" i="7"/>
  <c r="F16" i="7"/>
  <c r="F6" i="7"/>
  <c r="F7" i="7"/>
  <c r="I6" i="7"/>
  <c r="I7" i="7"/>
  <c r="J14" i="7"/>
  <c r="I15" i="7"/>
  <c r="I16" i="7"/>
  <c r="I5" i="7"/>
  <c r="L1" i="7"/>
  <c r="J16" i="7" l="1"/>
  <c r="J5" i="7"/>
  <c r="J15" i="7"/>
  <c r="J7" i="7"/>
  <c r="J6" i="7"/>
  <c r="D5" i="8"/>
  <c r="D11" i="8" s="1"/>
  <c r="D12" i="8" s="1"/>
  <c r="D13" i="8" s="1"/>
  <c r="L14" i="7" l="1"/>
  <c r="L18" i="7" s="1"/>
  <c r="L19" i="7" s="1"/>
  <c r="L20" i="7" s="1"/>
  <c r="L4" i="7"/>
  <c r="L9" i="7" s="1"/>
  <c r="L10" i="7" s="1"/>
  <c r="L11" i="7" s="1"/>
  <c r="L1" i="3" l="1"/>
  <c r="G66" i="3"/>
  <c r="J66" i="3" s="1"/>
  <c r="L66" i="3" s="1"/>
  <c r="L68" i="3" l="1"/>
  <c r="C8" i="4"/>
  <c r="E41" i="5" l="1"/>
  <c r="E29" i="5"/>
  <c r="C4" i="4"/>
  <c r="L69" i="3"/>
  <c r="L70" i="3" s="1"/>
  <c r="E43" i="5"/>
  <c r="E40" i="5"/>
  <c r="E34" i="5"/>
  <c r="E32" i="5"/>
  <c r="E30" i="5"/>
  <c r="E28" i="5"/>
  <c r="E31" i="5"/>
  <c r="D25" i="5"/>
  <c r="E44" i="5" l="1"/>
  <c r="E45" i="5" s="1"/>
  <c r="E46" i="5" s="1"/>
  <c r="E36" i="5"/>
  <c r="E72" i="6"/>
  <c r="G5" i="6"/>
  <c r="J5" i="6"/>
  <c r="J6" i="6"/>
  <c r="K6" i="6" s="1"/>
  <c r="G7" i="6"/>
  <c r="J7" i="6"/>
  <c r="G8" i="6"/>
  <c r="J8" i="6"/>
  <c r="G9" i="6"/>
  <c r="J9" i="6"/>
  <c r="G10" i="6"/>
  <c r="J10" i="6"/>
  <c r="K11" i="6"/>
  <c r="K12" i="6"/>
  <c r="G13" i="6"/>
  <c r="J13" i="6"/>
  <c r="K14" i="6"/>
  <c r="K16" i="6"/>
  <c r="K17" i="6"/>
  <c r="K18" i="6"/>
  <c r="K19" i="6"/>
  <c r="K20" i="6"/>
  <c r="K21" i="6"/>
  <c r="K22" i="6"/>
  <c r="K23" i="6"/>
  <c r="K24" i="6"/>
  <c r="K25" i="6"/>
  <c r="K26" i="6"/>
  <c r="K27" i="6"/>
  <c r="K28" i="6"/>
  <c r="G29" i="6"/>
  <c r="J29" i="6"/>
  <c r="G30" i="6"/>
  <c r="J30" i="6"/>
  <c r="G31" i="6"/>
  <c r="J31" i="6"/>
  <c r="G32" i="6"/>
  <c r="J32" i="6"/>
  <c r="G33" i="6"/>
  <c r="J33" i="6"/>
  <c r="G34" i="6"/>
  <c r="J34" i="6"/>
  <c r="K35" i="6"/>
  <c r="K36" i="6"/>
  <c r="G37" i="6"/>
  <c r="J37" i="6"/>
  <c r="G38" i="6"/>
  <c r="J38" i="6"/>
  <c r="G39" i="6"/>
  <c r="J39" i="6"/>
  <c r="G40" i="6"/>
  <c r="J40" i="6"/>
  <c r="G41" i="6"/>
  <c r="J41" i="6"/>
  <c r="G42" i="6"/>
  <c r="J42" i="6"/>
  <c r="K43" i="6"/>
  <c r="K44" i="6"/>
  <c r="G45" i="6"/>
  <c r="J45" i="6"/>
  <c r="G46" i="6"/>
  <c r="J46" i="6"/>
  <c r="G47" i="6"/>
  <c r="J47" i="6"/>
  <c r="G48" i="6"/>
  <c r="J48" i="6"/>
  <c r="G49" i="6"/>
  <c r="J49" i="6"/>
  <c r="G50" i="6"/>
  <c r="J50" i="6"/>
  <c r="K51" i="6"/>
  <c r="K52" i="6"/>
  <c r="G53" i="6"/>
  <c r="J53" i="6"/>
  <c r="G54" i="6"/>
  <c r="J54" i="6"/>
  <c r="G55" i="6"/>
  <c r="J55" i="6"/>
  <c r="G56" i="6"/>
  <c r="J56" i="6"/>
  <c r="G57" i="6"/>
  <c r="J57" i="6"/>
  <c r="G58" i="6"/>
  <c r="J58" i="6"/>
  <c r="K59" i="6"/>
  <c r="G60" i="6"/>
  <c r="J60" i="6"/>
  <c r="G61" i="6"/>
  <c r="J61" i="6"/>
  <c r="G62" i="6"/>
  <c r="J62" i="6"/>
  <c r="G63" i="6"/>
  <c r="J63" i="6"/>
  <c r="G64" i="6"/>
  <c r="J64" i="6"/>
  <c r="K65" i="6"/>
  <c r="H68" i="6"/>
  <c r="O73" i="6"/>
  <c r="O76" i="6" s="1"/>
  <c r="K5" i="6" l="1"/>
  <c r="K9" i="6"/>
  <c r="K58" i="6"/>
  <c r="K54" i="6"/>
  <c r="K31" i="6"/>
  <c r="K10" i="6"/>
  <c r="K56" i="6"/>
  <c r="K42" i="6"/>
  <c r="K33" i="6"/>
  <c r="K63" i="6"/>
  <c r="K30" i="6"/>
  <c r="K61" i="6"/>
  <c r="K53" i="6"/>
  <c r="K39" i="6"/>
  <c r="K29" i="6"/>
  <c r="K57" i="6"/>
  <c r="K34" i="6"/>
  <c r="K55" i="6"/>
  <c r="K41" i="6"/>
  <c r="K32" i="6"/>
  <c r="K13" i="6"/>
  <c r="M12" i="6" s="1"/>
  <c r="K38" i="6"/>
  <c r="K47" i="6"/>
  <c r="K60" i="6"/>
  <c r="K62" i="6"/>
  <c r="K48" i="6"/>
  <c r="K7" i="6"/>
  <c r="J68" i="6"/>
  <c r="K50" i="6"/>
  <c r="K8" i="6"/>
  <c r="K49" i="6"/>
  <c r="K46" i="6"/>
  <c r="E73" i="6"/>
  <c r="E74" i="6" s="1"/>
  <c r="K64" i="6"/>
  <c r="K45" i="6"/>
  <c r="K40" i="6"/>
  <c r="K37" i="6"/>
  <c r="J60" i="2"/>
  <c r="G42" i="2"/>
  <c r="J59" i="2"/>
  <c r="J58" i="2"/>
  <c r="J57" i="2"/>
  <c r="J56" i="2"/>
  <c r="J55" i="2"/>
  <c r="J54" i="2"/>
  <c r="J62" i="2"/>
  <c r="L62" i="2" s="1"/>
  <c r="H34" i="2"/>
  <c r="J34" i="2" s="1"/>
  <c r="H32" i="2"/>
  <c r="J32" i="2" s="1"/>
  <c r="H31" i="2"/>
  <c r="J31" i="2" s="1"/>
  <c r="H30" i="2"/>
  <c r="J30" i="2" s="1"/>
  <c r="H29" i="2"/>
  <c r="J29" i="2" s="1"/>
  <c r="E38" i="2"/>
  <c r="J23" i="2"/>
  <c r="H22" i="2"/>
  <c r="J22" i="2" s="1"/>
  <c r="H20" i="2"/>
  <c r="J20" i="2" s="1"/>
  <c r="H33" i="2"/>
  <c r="J33" i="2" s="1"/>
  <c r="H19" i="2"/>
  <c r="J19" i="2" s="1"/>
  <c r="O62" i="2" l="1"/>
  <c r="R62" i="2" s="1"/>
  <c r="U62" i="2"/>
  <c r="M28" i="6"/>
  <c r="M52" i="6"/>
  <c r="M36" i="6"/>
  <c r="M59" i="6"/>
  <c r="M4" i="6"/>
  <c r="M44" i="6"/>
  <c r="E75" i="6"/>
  <c r="E76" i="6"/>
  <c r="L53" i="2"/>
  <c r="U53" i="2" s="1"/>
  <c r="H49" i="2"/>
  <c r="J49" i="2" s="1"/>
  <c r="H50" i="2"/>
  <c r="J50" i="2" s="1"/>
  <c r="M66" i="6" l="1"/>
  <c r="M67" i="6" s="1"/>
  <c r="M68" i="6" s="1"/>
  <c r="R53" i="2"/>
  <c r="O53" i="2"/>
  <c r="H47" i="2"/>
  <c r="J47" i="2" s="1"/>
  <c r="H48" i="2"/>
  <c r="J48" i="2" s="1"/>
  <c r="H42" i="2"/>
  <c r="J42" i="2" s="1"/>
  <c r="H38" i="2"/>
  <c r="J38" i="2" s="1"/>
  <c r="H39" i="2"/>
  <c r="J39" i="2" s="1"/>
  <c r="J6" i="2"/>
  <c r="H44" i="2"/>
  <c r="J44" i="2" s="1"/>
  <c r="H43" i="2"/>
  <c r="J43" i="2" s="1"/>
  <c r="E40" i="2"/>
  <c r="H40" i="2" s="1"/>
  <c r="J40" i="2" s="1"/>
  <c r="H26" i="2"/>
  <c r="J26" i="2" s="1"/>
  <c r="H27" i="2"/>
  <c r="J27" i="2" s="1"/>
  <c r="H28" i="2"/>
  <c r="J28" i="2" s="1"/>
  <c r="H37" i="2"/>
  <c r="J37" i="2" s="1"/>
  <c r="H41" i="2"/>
  <c r="J41" i="2" s="1"/>
  <c r="H13" i="2"/>
  <c r="J13" i="2" s="1"/>
  <c r="H16" i="2"/>
  <c r="J16" i="2" s="1"/>
  <c r="H17" i="2"/>
  <c r="J17" i="2" s="1"/>
  <c r="H18" i="2"/>
  <c r="J18" i="2" s="1"/>
  <c r="H21" i="2"/>
  <c r="J21" i="2" s="1"/>
  <c r="L25" i="2" l="1"/>
  <c r="U25" i="2" s="1"/>
  <c r="L36" i="2"/>
  <c r="U36" i="2" s="1"/>
  <c r="L15" i="2"/>
  <c r="U15" i="2" s="1"/>
  <c r="L46" i="2"/>
  <c r="U46" i="2" s="1"/>
  <c r="R46" i="2" l="1"/>
  <c r="O46" i="2"/>
  <c r="O15" i="2"/>
  <c r="R15" i="2"/>
  <c r="R36" i="2"/>
  <c r="O36" i="2"/>
  <c r="O25" i="2"/>
  <c r="R25" i="2"/>
  <c r="H12" i="2"/>
  <c r="J12" i="2" s="1"/>
  <c r="L11" i="2" s="1"/>
  <c r="U11" i="2" s="1"/>
  <c r="J8" i="2"/>
  <c r="J7" i="2"/>
  <c r="O11" i="2" l="1"/>
  <c r="R11" i="2"/>
  <c r="L5" i="2"/>
  <c r="U5" i="2" s="1"/>
  <c r="L67" i="2" l="1"/>
  <c r="L68" i="2" s="1"/>
  <c r="L69" i="2" s="1"/>
  <c r="L71" i="2" s="1"/>
  <c r="O5" i="2"/>
  <c r="R5" i="2"/>
  <c r="R67" i="2" s="1"/>
  <c r="O67" i="2" l="1"/>
  <c r="U67" i="2"/>
  <c r="O68" i="2" l="1"/>
  <c r="O69" i="2" s="1"/>
  <c r="U68" i="2"/>
  <c r="R68" i="2"/>
  <c r="O73" i="2" l="1"/>
  <c r="R69" i="2"/>
  <c r="R70" i="2" l="1"/>
  <c r="R71" i="2" s="1"/>
  <c r="U69" i="2"/>
  <c r="U70" i="2" s="1"/>
  <c r="R74" i="2" l="1"/>
  <c r="U71" i="2" l="1"/>
  <c r="U73" i="2" s="1"/>
  <c r="W73" i="2" s="1"/>
  <c r="Y73" i="2" s="1"/>
  <c r="U75" i="2" l="1"/>
</calcChain>
</file>

<file path=xl/sharedStrings.xml><?xml version="1.0" encoding="utf-8"?>
<sst xmlns="http://schemas.openxmlformats.org/spreadsheetml/2006/main" count="473" uniqueCount="221">
  <si>
    <t>FAG</t>
  </si>
  <si>
    <t>Timer/Antal</t>
  </si>
  <si>
    <t>Takst</t>
  </si>
  <si>
    <t>Materialer</t>
  </si>
  <si>
    <t>Kostpris</t>
  </si>
  <si>
    <t>Påslag</t>
  </si>
  <si>
    <t>Tilbud</t>
  </si>
  <si>
    <t>Projektledelse, Dokumentation og Administration</t>
  </si>
  <si>
    <t>Bnord</t>
  </si>
  <si>
    <t>Affald</t>
  </si>
  <si>
    <t>Nedrivning</t>
  </si>
  <si>
    <t>Maler</t>
  </si>
  <si>
    <t>Pris ekskl. moms =</t>
  </si>
  <si>
    <t>Moms =</t>
  </si>
  <si>
    <t>Pris inkl. moms =</t>
  </si>
  <si>
    <t>Rengøring af kælder</t>
  </si>
  <si>
    <t>Nedtagning af loft og rensning og blotlægning af bærende træ bjælker</t>
  </si>
  <si>
    <t>Etablering af nyt loft imellem de bærende bjælker</t>
  </si>
  <si>
    <t>Opbygning af fortsatsvæg</t>
  </si>
  <si>
    <t>Ny rørkasse ved køkken faldstammen</t>
  </si>
  <si>
    <t>Murer:</t>
  </si>
  <si>
    <t>Vådrumssikring</t>
  </si>
  <si>
    <t>Lukning af diverse el- og VVSriller</t>
  </si>
  <si>
    <t>VVS:</t>
  </si>
  <si>
    <t>Sanitet:</t>
  </si>
  <si>
    <t>Kroge + diverse</t>
  </si>
  <si>
    <t>EL:</t>
  </si>
  <si>
    <t>Maler:</t>
  </si>
  <si>
    <t>Spartling, flitning og maling af vægge</t>
  </si>
  <si>
    <t>Glarmester</t>
  </si>
  <si>
    <t>Demontering af vand og varme installationer, samt mont. af midlertidig installation</t>
  </si>
  <si>
    <t>Føring af nye fælles vand og varme installationer i gulvet.</t>
  </si>
  <si>
    <t>Forberedelse af vand til håndvask, wc, orbital shower og vaskemaskine.</t>
  </si>
  <si>
    <t>Udskiftning af faldstamme til køkkenent igennem fundament.</t>
  </si>
  <si>
    <t>Montering af udendørshane</t>
  </si>
  <si>
    <t>Omliggning af afløbsinstallationer i gulv</t>
  </si>
  <si>
    <t>Levering og montering af Gulvvarme 1 kres.</t>
  </si>
  <si>
    <t>Spartling og maling af lofter</t>
  </si>
  <si>
    <t>Spot i badeværelse 6 stk</t>
  </si>
  <si>
    <t>Montering af ny dør til badeværelse</t>
  </si>
  <si>
    <t>Montering af nyt bademøbel, bordplade og vask</t>
  </si>
  <si>
    <t>Indkøb af badeværelsesmøbel og bordplade med vask (træbordplade) Afsat beløb 8.000 kr.</t>
  </si>
  <si>
    <t>Toilet cisternekasse med topplade</t>
  </si>
  <si>
    <t>Tømrer/Glarmester:</t>
  </si>
  <si>
    <t>Pudsreperationer og opretning af vægge</t>
  </si>
  <si>
    <t>indkøb af fliser og klinker (300 kr m²)</t>
  </si>
  <si>
    <t>Fliser på gulv og sokkelklinke</t>
  </si>
  <si>
    <t>Fliser på væg, kun i bruseniche</t>
  </si>
  <si>
    <t>Hårde og bløde fuger</t>
  </si>
  <si>
    <t>Støbning af gulv i badeværelse og mellemgang</t>
  </si>
  <si>
    <t>Nedrivning af gammelt badeværelse inkl. opbankning af gulv</t>
  </si>
  <si>
    <t xml:space="preserve">Opsætning af to gasbetonvægge, </t>
  </si>
  <si>
    <t>Indkøb af vaskemaskine og tørretumbler er ikke med til tilbuddet</t>
  </si>
  <si>
    <t>Montering af vask, wc stativ orbital shower, vaskemaskine, tørretumbler.</t>
  </si>
  <si>
    <t>Maling af træværk</t>
  </si>
  <si>
    <t>Ekstra el-gruppe i tavle til Orbital</t>
  </si>
  <si>
    <t>3 stikkontakter og lysafbryder</t>
  </si>
  <si>
    <t>Oprydning i gamle el-installationer og demontering</t>
  </si>
  <si>
    <t>Bruser Orbital Shower inkl: (Orbital Unidrain, Håndbruser, Hovedbruser og Mixer)</t>
  </si>
  <si>
    <t>Det forudsættes at håndværkere har adgang til toilet i byggeperioden</t>
  </si>
  <si>
    <t>Bygherre</t>
  </si>
  <si>
    <t>Udtag til vaskemaskine og tørretumbler</t>
  </si>
  <si>
    <t>Ny Duka ventilator i badeværelse med varmegenindvinding</t>
  </si>
  <si>
    <t>Tilbud H.P. Ørums gade 27</t>
  </si>
  <si>
    <t xml:space="preserve">Dekort = </t>
  </si>
  <si>
    <t>Aftalt pris inkl. moms =</t>
  </si>
  <si>
    <t xml:space="preserve">Udskiftning af glas samt plade i vindue til "sløret" glas </t>
  </si>
  <si>
    <t xml:space="preserve">Handvask batteri - VVS nr. 1000175207 </t>
  </si>
  <si>
    <t>Toilet, skylleknap og Gebritcisterne (IFO spira art væghængt rimfree / ifo toiletsæde m. soft close)</t>
  </si>
  <si>
    <t>EL-udtag til spejlskab over vask. Spejlskab er ikke inkluderet i tilbudet</t>
  </si>
  <si>
    <t>Dato: 2023.10.26 - Byggeselskabet Nord ApS</t>
  </si>
  <si>
    <t>Tilbud - H.P. Ørumsgade 27 - Asbest sanering</t>
  </si>
  <si>
    <t>Glostrup den:</t>
  </si>
  <si>
    <t>Fag</t>
  </si>
  <si>
    <t>dage</t>
  </si>
  <si>
    <t>Salgs pris</t>
  </si>
  <si>
    <t>Byggeplads udgifter:</t>
  </si>
  <si>
    <t>Råden over vej til miljøvogn (københavns kommune)</t>
  </si>
  <si>
    <t>Orbital</t>
  </si>
  <si>
    <t>Anmeldse til kommunen om asbest arbejde</t>
  </si>
  <si>
    <t>Miljøvogn leje, inkl. levering montering og demontering samt afhentning.</t>
  </si>
  <si>
    <t>Renhedsprøver efter endt sanerings arbejde.</t>
  </si>
  <si>
    <t>Asbestsanering badeværelse:</t>
  </si>
  <si>
    <t>Asbestsanering Fællesrum:</t>
  </si>
  <si>
    <t xml:space="preserve">Pris ekskl, moms </t>
  </si>
  <si>
    <t xml:space="preserve">Moms </t>
  </si>
  <si>
    <t xml:space="preserve">Pris inkl. moms </t>
  </si>
  <si>
    <t/>
  </si>
  <si>
    <t>Tømrer:</t>
  </si>
  <si>
    <t>Gulv:</t>
  </si>
  <si>
    <t>HP Ørumsgade 27</t>
  </si>
  <si>
    <t>November</t>
  </si>
  <si>
    <t>December</t>
  </si>
  <si>
    <t>O</t>
  </si>
  <si>
    <t>T</t>
  </si>
  <si>
    <t>F</t>
  </si>
  <si>
    <t>L</t>
  </si>
  <si>
    <t>S</t>
  </si>
  <si>
    <t>M</t>
  </si>
  <si>
    <t>Forløb</t>
  </si>
  <si>
    <t>Aktør</t>
  </si>
  <si>
    <t>Arbejdet påbegyndes</t>
  </si>
  <si>
    <t>Asbest konstateres loftplader og rør isolering.</t>
  </si>
  <si>
    <t>DM</t>
  </si>
  <si>
    <t>Fliser på badeværelset bankes ned.</t>
  </si>
  <si>
    <t>Pris for asbestsanering af rør og loft modtages.</t>
  </si>
  <si>
    <t>Pris for asbestsanering af rør og loft godkendes af BH</t>
  </si>
  <si>
    <t>Bygherrer</t>
  </si>
  <si>
    <t>Asbest sanering af rør og loft igangsættes med start 20/11</t>
  </si>
  <si>
    <t>Bygherrer møde om asbest håntering af loft og rørisolering.</t>
  </si>
  <si>
    <t>Asbest konstateres i fliseklæb</t>
  </si>
  <si>
    <t>STS</t>
  </si>
  <si>
    <t>Beboermøde med Bnord og STS om asbest spredning</t>
  </si>
  <si>
    <t>Bnord/STS</t>
  </si>
  <si>
    <t>Miljø vogn ankomst</t>
  </si>
  <si>
    <t>Opbygning af sluser</t>
  </si>
  <si>
    <t>Saneringsarbejdet begynder (renhedsprøver indeholdt i pris)</t>
  </si>
  <si>
    <t>Pris modtaget fra STS på asbest sanering fliser og klinker</t>
  </si>
  <si>
    <t>Antal prøver</t>
  </si>
  <si>
    <t>pos.</t>
  </si>
  <si>
    <t>Prøver taget i trappe opgang</t>
  </si>
  <si>
    <t>Renhedsprøver modtaget og godkendt</t>
  </si>
  <si>
    <t>VVS Nr</t>
  </si>
  <si>
    <t>Pris er fundet frem:</t>
  </si>
  <si>
    <t>Pris inkl moms</t>
  </si>
  <si>
    <t>Sanerings pris</t>
  </si>
  <si>
    <t>7,5% påslag</t>
  </si>
  <si>
    <t>i alt ex moms</t>
  </si>
  <si>
    <t>moms</t>
  </si>
  <si>
    <t xml:space="preserve"> + Moms</t>
  </si>
  <si>
    <t>Tillægs- og fradragsarbejder H.P. Ørumsgade 27</t>
  </si>
  <si>
    <t>Asbestsanering af loft og rørisolering</t>
  </si>
  <si>
    <t>Asbestsanering af fliser og fælles areal</t>
  </si>
  <si>
    <t>Asbest sanerings rørisolering og loftplader</t>
  </si>
  <si>
    <t>Asbest sanerings fliser og fællesarelaer</t>
  </si>
  <si>
    <t>Prøve taget af beton gulv og fundet negativ</t>
  </si>
  <si>
    <t>Prøver</t>
  </si>
  <si>
    <t>Asbest mistænkes loftplader og rør isolering.</t>
  </si>
  <si>
    <t>Asbest mistænkes i fliseklæb</t>
  </si>
  <si>
    <t>Prøver af loft og rør isolering (1 alm og 1 haste)</t>
  </si>
  <si>
    <t>Prøver af fliseklæb og gulv (2 haste)</t>
  </si>
  <si>
    <t>Prøver af kælderrum (3 haste)</t>
  </si>
  <si>
    <t>Prøver af trappeopgang (3 haste)</t>
  </si>
  <si>
    <t>Asbest prøver af beton gulv (1 haste)</t>
  </si>
  <si>
    <t>Pris eskl moms</t>
  </si>
  <si>
    <t>Byggeselskabet nord - 06 december 2023</t>
  </si>
  <si>
    <t xml:space="preserve">I alt </t>
  </si>
  <si>
    <t>Bygherrer godkendt</t>
  </si>
  <si>
    <t>3 til 6</t>
  </si>
  <si>
    <t>Asbest sanerings fliser og fællesarelaer inklusiv alle STS prøver</t>
  </si>
  <si>
    <r>
      <t xml:space="preserve">Økonomi </t>
    </r>
    <r>
      <rPr>
        <b/>
        <sz val="14"/>
        <color rgb="FFFF0000"/>
        <rFont val="Calibri"/>
        <family val="2"/>
        <scheme val="minor"/>
      </rPr>
      <t>Udgår</t>
    </r>
  </si>
  <si>
    <t>Udgår</t>
  </si>
  <si>
    <t>I alt</t>
  </si>
  <si>
    <t>i alt Inkls moms</t>
  </si>
  <si>
    <r>
      <t>Tilbud - H.P. Ørumsgade 27 - Asbest sanering</t>
    </r>
    <r>
      <rPr>
        <b/>
        <sz val="14"/>
        <color rgb="FFFF0000"/>
        <rFont val="Calibri"/>
        <family val="2"/>
        <scheme val="minor"/>
      </rPr>
      <t xml:space="preserve"> Rev.1</t>
    </r>
  </si>
  <si>
    <t>Rabat ved samlet sanering af badeværelse loft og fællesrum (5% afslag)</t>
  </si>
  <si>
    <r>
      <rPr>
        <b/>
        <sz val="14"/>
        <rFont val="Calibri"/>
        <family val="2"/>
        <scheme val="minor"/>
      </rPr>
      <t>Økonomi</t>
    </r>
    <r>
      <rPr>
        <b/>
        <sz val="14"/>
        <color rgb="FFFF0000"/>
        <rFont val="Calibri"/>
        <family val="2"/>
        <scheme val="minor"/>
      </rPr>
      <t xml:space="preserve"> Rev. 2</t>
    </r>
  </si>
  <si>
    <t>Asbest prøver 1 &amp; 7 jf. "20231211 - asbest tidslinje inkl økonomi rev.2"</t>
  </si>
  <si>
    <t>Udskiftning af vandstik</t>
  </si>
  <si>
    <t>Stade</t>
  </si>
  <si>
    <t>Aconto 1</t>
  </si>
  <si>
    <t>Lys i Shampoo hylde</t>
  </si>
  <si>
    <t>Shampoo hylde</t>
  </si>
  <si>
    <t>Faktureret 13.12.2023</t>
  </si>
  <si>
    <t>Bygherre godkendt via mail 13/12</t>
  </si>
  <si>
    <t>Bygherre godkendt via mail</t>
  </si>
  <si>
    <t>Stade d.d.</t>
  </si>
  <si>
    <t>Aconto 1 =</t>
  </si>
  <si>
    <t>Rest inkl. moms =</t>
  </si>
  <si>
    <t>Fradrag for nedrivning udført af STS</t>
  </si>
  <si>
    <t>Bygherre godkendt via mail 21/12</t>
  </si>
  <si>
    <t>Accepteret CB og Bygherre. 21.12.2023</t>
  </si>
  <si>
    <t>Indkøb af badeværelsesmøbel</t>
  </si>
  <si>
    <t>Duka ventil udskiftes med alm. Ventilator</t>
  </si>
  <si>
    <t>Aconto 2 =</t>
  </si>
  <si>
    <t>Aconto 2</t>
  </si>
  <si>
    <t>Stade d.d. =</t>
  </si>
  <si>
    <t>NABO</t>
  </si>
  <si>
    <t>Accepteret af Bygherre på dagen for udskift</t>
  </si>
  <si>
    <t>Udendørs hane:</t>
  </si>
  <si>
    <t>Cirkulations pumpe:</t>
  </si>
  <si>
    <t>Montering af cirkulations pumpe</t>
  </si>
  <si>
    <t>Montering af udedørs hane</t>
  </si>
  <si>
    <t>Udendørshane</t>
  </si>
  <si>
    <t>Pumpe: Grundfos Comfort UP 15-14B PM</t>
  </si>
  <si>
    <t>Monterimg af inspektionsmlem 15x15 og lukning af hul til fiske af rør</t>
  </si>
  <si>
    <t>Tilbud - H.P. Ørumsgade 27</t>
  </si>
  <si>
    <t>Montering af ny cirkulationspumpe I fyrrumet</t>
  </si>
  <si>
    <t>Accepteret af Bygherre på SMS til rr 5/2-2024</t>
  </si>
  <si>
    <t>Skift af svømmeventil I toilet i stue etagen</t>
  </si>
  <si>
    <t>Afløb fra vaskemaskine, samt demontering af radiator (Nabo)</t>
  </si>
  <si>
    <t>Accepteret af Bygherre på adressen.</t>
  </si>
  <si>
    <t>Håndvask armatur og trykplade til wc</t>
  </si>
  <si>
    <t>Køkken armatur</t>
  </si>
  <si>
    <t>Trykplade</t>
  </si>
  <si>
    <t>Mere omkostning</t>
  </si>
  <si>
    <t>i alt med moms</t>
  </si>
  <si>
    <t>Tilkøb:</t>
  </si>
  <si>
    <t>Håndvask batteri</t>
  </si>
  <si>
    <t>Med i tilbud:</t>
  </si>
  <si>
    <t>inkls 15% påslag</t>
  </si>
  <si>
    <t>Accepteret af Bygherre på telefon til rr 19/2-2024</t>
  </si>
  <si>
    <t>Aconto 3</t>
  </si>
  <si>
    <t>Aconto 3 =</t>
  </si>
  <si>
    <t>Dekort =</t>
  </si>
  <si>
    <t>Economic</t>
  </si>
  <si>
    <t>Rest</t>
  </si>
  <si>
    <t>Ekstra</t>
  </si>
  <si>
    <t>VVS, ekstra arp.</t>
  </si>
  <si>
    <t>el-arb</t>
  </si>
  <si>
    <t>Total</t>
  </si>
  <si>
    <t>Ind</t>
  </si>
  <si>
    <t>Ud</t>
  </si>
  <si>
    <t>Mont. Bademøbel</t>
  </si>
  <si>
    <t>Fradrag kroge og diverse</t>
  </si>
  <si>
    <t>Accepteret af Bnord</t>
  </si>
  <si>
    <t>Udskiftning af sikkerhedsventil på varmtvandsbehol.der</t>
  </si>
  <si>
    <t>Accepteret af Bygherre med Rune på pladsen</t>
  </si>
  <si>
    <t>Til fukturering  =</t>
  </si>
  <si>
    <t>jordstik</t>
  </si>
  <si>
    <t>Nabo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</si>
</sst>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3" formatCode="_-* #,##0.00_-;\-* #,##0.00_-;_-* &quot;-&quot;??_-;_-@_-"/>
    <numFmt numFmtId="164" formatCode="_-* #,##0_-;\-* #,##0_-;_-* &quot;-&quot;??_-;_-@_-"/>
    <numFmt numFmtId="165" formatCode="0.0%"/>
    <numFmt numFmtId="166" formatCode="[$-F800]dddd\,\ mmmm\ dd\,\ yyyy"/>
    <numFmt numFmtId="167" formatCode="_-* #,##0.00\ _k_r_._-;\-* #,##0.00\ _k_r_._-;_-* &quot;-&quot;??\ _k_r_._-;_-@_-"/>
  </numFmts>
  <fonts count="21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2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000000"/>
      <name val="Calibri"/>
      <family val="2"/>
    </font>
    <font>
      <b/>
      <sz val="18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4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9" fontId="4" fillId="0" borderId="0" applyFont="0" applyFill="0" applyBorder="0" applyAlignment="0" applyProtection="0"/>
    <xf numFmtId="43" fontId="4" fillId="0" borderId="0" applyFont="0" applyFill="0" applyBorder="0" applyAlignment="0" applyProtection="0"/>
  </cellStyleXfs>
  <cellXfs count="146">
    <xf numFmtId="0" fontId="0" fillId="0" borderId="0" xfId="0"/>
    <xf numFmtId="0" fontId="3" fillId="0" borderId="0" xfId="0" applyFont="1"/>
    <xf numFmtId="0" fontId="0" fillId="0" borderId="1" xfId="0" applyBorder="1" applyAlignment="1">
      <alignment horizontal="center"/>
    </xf>
    <xf numFmtId="3" fontId="0" fillId="0" borderId="1" xfId="0" applyNumberFormat="1" applyBorder="1" applyAlignment="1">
      <alignment horizontal="center"/>
    </xf>
    <xf numFmtId="9" fontId="0" fillId="0" borderId="1" xfId="0" applyNumberFormat="1" applyBorder="1" applyAlignment="1">
      <alignment horizontal="center"/>
    </xf>
    <xf numFmtId="0" fontId="2" fillId="0" borderId="1" xfId="0" applyFont="1" applyBorder="1" applyAlignment="1">
      <alignment horizontal="center" vertical="center"/>
    </xf>
    <xf numFmtId="3" fontId="2" fillId="0" borderId="1" xfId="0" applyNumberFormat="1" applyFont="1" applyBorder="1" applyAlignment="1">
      <alignment horizontal="center" vertical="center"/>
    </xf>
    <xf numFmtId="9" fontId="2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9" fontId="0" fillId="0" borderId="0" xfId="0" applyNumberFormat="1" applyAlignment="1">
      <alignment horizontal="center"/>
    </xf>
    <xf numFmtId="0" fontId="2" fillId="0" borderId="0" xfId="0" applyFont="1"/>
    <xf numFmtId="0" fontId="1" fillId="0" borderId="0" xfId="0" applyFont="1"/>
    <xf numFmtId="3" fontId="0" fillId="0" borderId="0" xfId="0" applyNumberFormat="1"/>
    <xf numFmtId="0" fontId="0" fillId="0" borderId="0" xfId="0" applyAlignment="1">
      <alignment horizontal="right"/>
    </xf>
    <xf numFmtId="0" fontId="0" fillId="0" borderId="2" xfId="0" applyBorder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9" fontId="0" fillId="0" borderId="0" xfId="1" applyFont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3" fontId="5" fillId="0" borderId="0" xfId="0" applyNumberFormat="1" applyFont="1" applyAlignment="1">
      <alignment horizontal="center"/>
    </xf>
    <xf numFmtId="164" fontId="0" fillId="0" borderId="0" xfId="2" applyNumberFormat="1" applyFont="1" applyAlignment="1">
      <alignment horizontal="center"/>
    </xf>
    <xf numFmtId="164" fontId="0" fillId="0" borderId="0" xfId="2" applyNumberFormat="1" applyFont="1"/>
    <xf numFmtId="164" fontId="5" fillId="0" borderId="0" xfId="2" applyNumberFormat="1" applyFont="1" applyAlignment="1">
      <alignment horizontal="center"/>
    </xf>
    <xf numFmtId="3" fontId="0" fillId="0" borderId="3" xfId="0" applyNumberFormat="1" applyBorder="1"/>
    <xf numFmtId="0" fontId="2" fillId="0" borderId="2" xfId="0" applyFont="1" applyBorder="1"/>
    <xf numFmtId="0" fontId="2" fillId="0" borderId="2" xfId="0" applyFont="1" applyBorder="1" applyAlignment="1">
      <alignment horizontal="right"/>
    </xf>
    <xf numFmtId="3" fontId="2" fillId="0" borderId="2" xfId="0" applyNumberFormat="1" applyFont="1" applyBorder="1"/>
    <xf numFmtId="0" fontId="9" fillId="0" borderId="0" xfId="0" applyFont="1"/>
    <xf numFmtId="0" fontId="0" fillId="0" borderId="1" xfId="0" applyBorder="1"/>
    <xf numFmtId="4" fontId="0" fillId="0" borderId="0" xfId="0" applyNumberFormat="1" applyAlignment="1">
      <alignment horizontal="center"/>
    </xf>
    <xf numFmtId="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center" vertical="center"/>
    </xf>
    <xf numFmtId="4" fontId="0" fillId="0" borderId="0" xfId="0" applyNumberFormat="1"/>
    <xf numFmtId="4" fontId="2" fillId="0" borderId="2" xfId="0" applyNumberFormat="1" applyFont="1" applyBorder="1"/>
    <xf numFmtId="4" fontId="2" fillId="0" borderId="0" xfId="0" applyNumberFormat="1" applyFont="1"/>
    <xf numFmtId="0" fontId="2" fillId="0" borderId="0" xfId="0" applyFont="1" applyAlignment="1">
      <alignment horizontal="right"/>
    </xf>
    <xf numFmtId="0" fontId="2" fillId="0" borderId="1" xfId="0" applyFont="1" applyBorder="1"/>
    <xf numFmtId="4" fontId="0" fillId="0" borderId="1" xfId="0" applyNumberFormat="1" applyBorder="1" applyAlignment="1">
      <alignment horizontal="right"/>
    </xf>
    <xf numFmtId="4" fontId="2" fillId="0" borderId="0" xfId="0" applyNumberFormat="1" applyFont="1" applyAlignment="1">
      <alignment horizontal="center"/>
    </xf>
    <xf numFmtId="0" fontId="11" fillId="0" borderId="0" xfId="0" applyFont="1"/>
    <xf numFmtId="0" fontId="12" fillId="0" borderId="0" xfId="0" applyFont="1" applyAlignment="1">
      <alignment vertical="center"/>
    </xf>
    <xf numFmtId="166" fontId="0" fillId="0" borderId="0" xfId="0" applyNumberFormat="1"/>
    <xf numFmtId="0" fontId="10" fillId="0" borderId="0" xfId="0" applyFont="1"/>
    <xf numFmtId="0" fontId="7" fillId="0" borderId="0" xfId="0" applyFont="1"/>
    <xf numFmtId="0" fontId="8" fillId="0" borderId="0" xfId="0" applyFont="1"/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 vertical="center"/>
    </xf>
    <xf numFmtId="4" fontId="0" fillId="0" borderId="0" xfId="0" applyNumberFormat="1" applyAlignment="1">
      <alignment horizontal="right"/>
    </xf>
    <xf numFmtId="4" fontId="2" fillId="0" borderId="0" xfId="0" applyNumberFormat="1" applyFont="1" applyAlignment="1">
      <alignment horizontal="right"/>
    </xf>
    <xf numFmtId="4" fontId="5" fillId="0" borderId="0" xfId="0" applyNumberFormat="1" applyFont="1" applyAlignment="1">
      <alignment horizontal="right"/>
    </xf>
    <xf numFmtId="165" fontId="5" fillId="0" borderId="0" xfId="0" applyNumberFormat="1" applyFont="1" applyAlignment="1">
      <alignment horizontal="center" vertical="center"/>
    </xf>
    <xf numFmtId="4" fontId="5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 vertical="center"/>
    </xf>
    <xf numFmtId="4" fontId="5" fillId="0" borderId="0" xfId="0" applyNumberFormat="1" applyFont="1" applyAlignment="1">
      <alignment wrapText="1"/>
    </xf>
    <xf numFmtId="0" fontId="2" fillId="0" borderId="4" xfId="0" applyFont="1" applyBorder="1" applyAlignment="1">
      <alignment horizontal="center"/>
    </xf>
    <xf numFmtId="4" fontId="2" fillId="0" borderId="4" xfId="0" applyNumberFormat="1" applyFont="1" applyBorder="1" applyAlignment="1">
      <alignment horizontal="center"/>
    </xf>
    <xf numFmtId="4" fontId="2" fillId="0" borderId="5" xfId="0" applyNumberFormat="1" applyFont="1" applyBorder="1" applyAlignment="1">
      <alignment horizontal="center"/>
    </xf>
    <xf numFmtId="165" fontId="2" fillId="0" borderId="4" xfId="0" applyNumberFormat="1" applyFont="1" applyBorder="1" applyAlignment="1">
      <alignment horizontal="center" vertical="center"/>
    </xf>
    <xf numFmtId="0" fontId="5" fillId="0" borderId="1" xfId="0" applyFont="1" applyBorder="1" applyAlignment="1">
      <alignment horizontal="center"/>
    </xf>
    <xf numFmtId="0" fontId="6" fillId="0" borderId="0" xfId="0" applyFont="1"/>
    <xf numFmtId="0" fontId="13" fillId="0" borderId="0" xfId="0" applyFont="1"/>
    <xf numFmtId="0" fontId="3" fillId="2" borderId="0" xfId="0" applyFont="1" applyFill="1"/>
    <xf numFmtId="0" fontId="14" fillId="2" borderId="0" xfId="0" applyFont="1" applyFill="1"/>
    <xf numFmtId="0" fontId="0" fillId="2" borderId="0" xfId="0" applyFill="1"/>
    <xf numFmtId="0" fontId="3" fillId="2" borderId="0" xfId="0" applyFont="1" applyFill="1" applyAlignment="1">
      <alignment horizontal="left"/>
    </xf>
    <xf numFmtId="0" fontId="15" fillId="2" borderId="1" xfId="0" applyFont="1" applyFill="1" applyBorder="1" applyProtection="1">
      <protection locked="0"/>
    </xf>
    <xf numFmtId="0" fontId="16" fillId="2" borderId="1" xfId="0" applyFont="1" applyFill="1" applyBorder="1" applyProtection="1">
      <protection locked="0"/>
    </xf>
    <xf numFmtId="0" fontId="9" fillId="0" borderId="6" xfId="0" applyFont="1" applyBorder="1" applyAlignment="1" applyProtection="1">
      <alignment horizontal="center"/>
      <protection locked="0"/>
    </xf>
    <xf numFmtId="0" fontId="9" fillId="3" borderId="1" xfId="0" applyFont="1" applyFill="1" applyBorder="1" applyAlignment="1" applyProtection="1">
      <alignment horizontal="center"/>
      <protection locked="0"/>
    </xf>
    <xf numFmtId="0" fontId="9" fillId="0" borderId="0" xfId="0" applyFont="1" applyAlignment="1">
      <alignment horizontal="center"/>
    </xf>
    <xf numFmtId="0" fontId="15" fillId="0" borderId="7" xfId="0" applyFont="1" applyBorder="1" applyAlignment="1" applyProtection="1">
      <alignment horizontal="center"/>
      <protection locked="0"/>
    </xf>
    <xf numFmtId="0" fontId="0" fillId="4" borderId="8" xfId="0" applyFill="1" applyBorder="1"/>
    <xf numFmtId="0" fontId="0" fillId="0" borderId="8" xfId="0" applyBorder="1"/>
    <xf numFmtId="0" fontId="0" fillId="5" borderId="8" xfId="0" applyFill="1" applyBorder="1"/>
    <xf numFmtId="0" fontId="0" fillId="6" borderId="8" xfId="0" applyFill="1" applyBorder="1"/>
    <xf numFmtId="0" fontId="0" fillId="7" borderId="8" xfId="0" applyFill="1" applyBorder="1"/>
    <xf numFmtId="0" fontId="0" fillId="8" borderId="8" xfId="0" applyFill="1" applyBorder="1"/>
    <xf numFmtId="0" fontId="0" fillId="9" borderId="8" xfId="0" applyFill="1" applyBorder="1"/>
    <xf numFmtId="165" fontId="0" fillId="0" borderId="0" xfId="0" applyNumberFormat="1"/>
    <xf numFmtId="0" fontId="0" fillId="0" borderId="3" xfId="0" applyBorder="1" applyAlignment="1">
      <alignment horizontal="center"/>
    </xf>
    <xf numFmtId="0" fontId="14" fillId="0" borderId="1" xfId="0" applyFont="1" applyBorder="1" applyAlignment="1">
      <alignment horizontal="left"/>
    </xf>
    <xf numFmtId="0" fontId="9" fillId="0" borderId="0" xfId="0" applyFont="1" applyAlignment="1">
      <alignment vertical="top" wrapText="1"/>
    </xf>
    <xf numFmtId="43" fontId="0" fillId="0" borderId="0" xfId="2" applyFont="1"/>
    <xf numFmtId="43" fontId="0" fillId="0" borderId="0" xfId="0" applyNumberFormat="1"/>
    <xf numFmtId="15" fontId="13" fillId="0" borderId="0" xfId="0" applyNumberFormat="1" applyFont="1"/>
    <xf numFmtId="15" fontId="17" fillId="0" borderId="0" xfId="0" applyNumberFormat="1" applyFont="1"/>
    <xf numFmtId="43" fontId="2" fillId="0" borderId="0" xfId="2" applyFont="1"/>
    <xf numFmtId="167" fontId="0" fillId="0" borderId="0" xfId="0" applyNumberFormat="1"/>
    <xf numFmtId="0" fontId="18" fillId="0" borderId="0" xfId="0" applyFont="1" applyAlignment="1">
      <alignment horizontal="right" vertical="center"/>
    </xf>
    <xf numFmtId="16" fontId="0" fillId="0" borderId="0" xfId="0" applyNumberFormat="1" applyAlignment="1">
      <alignment horizontal="center"/>
    </xf>
    <xf numFmtId="0" fontId="19" fillId="0" borderId="0" xfId="0" applyFont="1"/>
    <xf numFmtId="0" fontId="0" fillId="0" borderId="3" xfId="0" applyBorder="1"/>
    <xf numFmtId="43" fontId="0" fillId="0" borderId="3" xfId="2" applyFont="1" applyBorder="1"/>
    <xf numFmtId="0" fontId="0" fillId="0" borderId="3" xfId="0" applyBorder="1" applyAlignment="1">
      <alignment horizontal="right"/>
    </xf>
    <xf numFmtId="0" fontId="0" fillId="0" borderId="2" xfId="0" applyBorder="1" applyAlignment="1">
      <alignment horizontal="right"/>
    </xf>
    <xf numFmtId="43" fontId="0" fillId="0" borderId="2" xfId="0" applyNumberFormat="1" applyBorder="1"/>
    <xf numFmtId="0" fontId="20" fillId="0" borderId="0" xfId="0" applyFont="1"/>
    <xf numFmtId="0" fontId="0" fillId="4" borderId="0" xfId="0" applyFill="1"/>
    <xf numFmtId="9" fontId="2" fillId="10" borderId="1" xfId="0" applyNumberFormat="1" applyFont="1" applyFill="1" applyBorder="1" applyAlignment="1">
      <alignment horizontal="center"/>
    </xf>
    <xf numFmtId="0" fontId="2" fillId="10" borderId="1" xfId="0" applyFont="1" applyFill="1" applyBorder="1" applyAlignment="1">
      <alignment horizontal="center"/>
    </xf>
    <xf numFmtId="0" fontId="0" fillId="10" borderId="0" xfId="0" applyFill="1" applyAlignment="1">
      <alignment horizontal="center"/>
    </xf>
    <xf numFmtId="9" fontId="0" fillId="10" borderId="0" xfId="0" applyNumberFormat="1" applyFill="1" applyAlignment="1">
      <alignment horizontal="center"/>
    </xf>
    <xf numFmtId="3" fontId="0" fillId="10" borderId="0" xfId="0" applyNumberFormat="1" applyFill="1" applyAlignment="1">
      <alignment horizontal="center"/>
    </xf>
    <xf numFmtId="3" fontId="0" fillId="10" borderId="0" xfId="0" applyNumberFormat="1" applyFill="1" applyAlignment="1">
      <alignment horizontal="right"/>
    </xf>
    <xf numFmtId="3" fontId="0" fillId="10" borderId="3" xfId="0" applyNumberFormat="1" applyFill="1" applyBorder="1" applyAlignment="1">
      <alignment horizontal="right"/>
    </xf>
    <xf numFmtId="0" fontId="0" fillId="10" borderId="0" xfId="0" applyFill="1" applyAlignment="1">
      <alignment horizontal="right"/>
    </xf>
    <xf numFmtId="3" fontId="2" fillId="10" borderId="2" xfId="0" applyNumberFormat="1" applyFont="1" applyFill="1" applyBorder="1" applyAlignment="1">
      <alignment horizontal="right"/>
    </xf>
    <xf numFmtId="0" fontId="2" fillId="10" borderId="2" xfId="0" applyFont="1" applyFill="1" applyBorder="1" applyAlignment="1">
      <alignment horizontal="right"/>
    </xf>
    <xf numFmtId="0" fontId="17" fillId="0" borderId="0" xfId="0" applyFont="1" applyAlignment="1">
      <alignment horizontal="right"/>
    </xf>
    <xf numFmtId="3" fontId="17" fillId="0" borderId="0" xfId="0" applyNumberFormat="1" applyFont="1" applyAlignment="1">
      <alignment horizontal="center"/>
    </xf>
    <xf numFmtId="3" fontId="2" fillId="0" borderId="0" xfId="0" applyNumberFormat="1" applyFont="1"/>
    <xf numFmtId="9" fontId="2" fillId="11" borderId="1" xfId="0" applyNumberFormat="1" applyFont="1" applyFill="1" applyBorder="1" applyAlignment="1">
      <alignment horizontal="center"/>
    </xf>
    <xf numFmtId="0" fontId="2" fillId="11" borderId="1" xfId="0" applyFont="1" applyFill="1" applyBorder="1" applyAlignment="1">
      <alignment horizontal="center"/>
    </xf>
    <xf numFmtId="0" fontId="0" fillId="11" borderId="0" xfId="0" applyFill="1" applyAlignment="1">
      <alignment horizontal="center"/>
    </xf>
    <xf numFmtId="9" fontId="0" fillId="11" borderId="0" xfId="0" applyNumberFormat="1" applyFill="1" applyAlignment="1">
      <alignment horizontal="center"/>
    </xf>
    <xf numFmtId="3" fontId="0" fillId="11" borderId="0" xfId="0" applyNumberFormat="1" applyFill="1" applyAlignment="1">
      <alignment horizontal="center"/>
    </xf>
    <xf numFmtId="0" fontId="0" fillId="11" borderId="0" xfId="0" applyFill="1" applyAlignment="1">
      <alignment horizontal="right"/>
    </xf>
    <xf numFmtId="3" fontId="0" fillId="11" borderId="0" xfId="0" applyNumberFormat="1" applyFill="1"/>
    <xf numFmtId="3" fontId="0" fillId="11" borderId="3" xfId="0" applyNumberFormat="1" applyFill="1" applyBorder="1"/>
    <xf numFmtId="0" fontId="2" fillId="11" borderId="2" xfId="0" applyFont="1" applyFill="1" applyBorder="1" applyAlignment="1">
      <alignment horizontal="right"/>
    </xf>
    <xf numFmtId="3" fontId="2" fillId="11" borderId="2" xfId="0" applyNumberFormat="1" applyFont="1" applyFill="1" applyBorder="1"/>
    <xf numFmtId="0" fontId="0" fillId="11" borderId="3" xfId="0" applyFill="1" applyBorder="1" applyAlignment="1">
      <alignment horizontal="right"/>
    </xf>
    <xf numFmtId="0" fontId="0" fillId="0" borderId="0" xfId="0" quotePrefix="1"/>
    <xf numFmtId="0" fontId="0" fillId="0" borderId="1" xfId="0" quotePrefix="1" applyBorder="1"/>
    <xf numFmtId="0" fontId="12" fillId="0" borderId="1" xfId="0" applyFont="1" applyBorder="1" applyAlignment="1">
      <alignment vertical="center"/>
    </xf>
    <xf numFmtId="4" fontId="5" fillId="0" borderId="1" xfId="0" applyNumberFormat="1" applyFont="1" applyBorder="1" applyAlignment="1">
      <alignment horizontal="right"/>
    </xf>
    <xf numFmtId="165" fontId="5" fillId="0" borderId="1" xfId="0" applyNumberFormat="1" applyFont="1" applyBorder="1" applyAlignment="1">
      <alignment horizontal="center" vertical="center"/>
    </xf>
    <xf numFmtId="164" fontId="0" fillId="0" borderId="3" xfId="2" applyNumberFormat="1" applyFont="1" applyBorder="1"/>
    <xf numFmtId="164" fontId="0" fillId="0" borderId="0" xfId="2" applyNumberFormat="1" applyFont="1" applyBorder="1"/>
    <xf numFmtId="9" fontId="2" fillId="12" borderId="1" xfId="0" applyNumberFormat="1" applyFont="1" applyFill="1" applyBorder="1" applyAlignment="1">
      <alignment horizontal="center"/>
    </xf>
    <xf numFmtId="0" fontId="2" fillId="12" borderId="1" xfId="0" applyFont="1" applyFill="1" applyBorder="1" applyAlignment="1">
      <alignment horizontal="center"/>
    </xf>
    <xf numFmtId="0" fontId="0" fillId="12" borderId="0" xfId="0" applyFill="1" applyAlignment="1">
      <alignment horizontal="center"/>
    </xf>
    <xf numFmtId="9" fontId="0" fillId="12" borderId="0" xfId="0" applyNumberFormat="1" applyFill="1" applyAlignment="1">
      <alignment horizontal="center"/>
    </xf>
    <xf numFmtId="3" fontId="0" fillId="12" borderId="0" xfId="0" applyNumberFormat="1" applyFill="1" applyAlignment="1">
      <alignment horizontal="center"/>
    </xf>
    <xf numFmtId="0" fontId="0" fillId="12" borderId="0" xfId="0" applyFill="1" applyAlignment="1">
      <alignment horizontal="right"/>
    </xf>
    <xf numFmtId="3" fontId="0" fillId="12" borderId="0" xfId="0" applyNumberFormat="1" applyFill="1"/>
    <xf numFmtId="0" fontId="0" fillId="12" borderId="3" xfId="0" applyFill="1" applyBorder="1" applyAlignment="1">
      <alignment horizontal="right"/>
    </xf>
    <xf numFmtId="3" fontId="0" fillId="12" borderId="3" xfId="0" applyNumberFormat="1" applyFill="1" applyBorder="1"/>
    <xf numFmtId="0" fontId="2" fillId="12" borderId="2" xfId="0" applyFont="1" applyFill="1" applyBorder="1" applyAlignment="1">
      <alignment horizontal="right"/>
    </xf>
    <xf numFmtId="3" fontId="2" fillId="12" borderId="2" xfId="0" applyNumberFormat="1" applyFont="1" applyFill="1" applyBorder="1"/>
    <xf numFmtId="3" fontId="0" fillId="12" borderId="0" xfId="0" applyNumberFormat="1" applyFill="1" applyAlignment="1">
      <alignment horizontal="right"/>
    </xf>
    <xf numFmtId="0" fontId="0" fillId="0" borderId="2" xfId="0" applyBorder="1"/>
    <xf numFmtId="3" fontId="0" fillId="0" borderId="2" xfId="0" applyNumberFormat="1" applyBorder="1"/>
    <xf numFmtId="3" fontId="1" fillId="0" borderId="0" xfId="0" applyNumberFormat="1" applyFont="1" applyAlignment="1">
      <alignment horizontal="center"/>
    </xf>
  </cellXfs>
  <cellStyles count="3">
    <cellStyle name="Komma" xfId="2" builtinId="3"/>
    <cellStyle name="Normal" xfId="0" builtinId="0"/>
    <cellStyle name="Pro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customXml" Target="../customXml/item3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Relationship Id="rId14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2013 – 2022 Tema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D03E9B-0346-43EF-9487-23F72F3EAAD7}">
  <sheetPr>
    <pageSetUpPr fitToPage="1"/>
  </sheetPr>
  <dimension ref="B2:Y75"/>
  <sheetViews>
    <sheetView tabSelected="1" topLeftCell="C39" zoomScale="90" zoomScaleNormal="90" workbookViewId="0">
      <selection activeCell="U36" sqref="U36:U40"/>
    </sheetView>
  </sheetViews>
  <sheetFormatPr defaultRowHeight="14.4" x14ac:dyDescent="0.3"/>
  <cols>
    <col min="1" max="1" width="2.5546875" customWidth="1"/>
    <col min="2" max="2" width="82.5546875" customWidth="1"/>
    <col min="3" max="3" width="2.6640625" customWidth="1"/>
    <col min="4" max="4" width="12.33203125" customWidth="1"/>
    <col min="5" max="5" width="11.5546875" style="8" customWidth="1"/>
    <col min="6" max="6" width="9.109375" style="8" customWidth="1"/>
    <col min="7" max="7" width="10.33203125" style="8" customWidth="1"/>
    <col min="8" max="8" width="9.109375" customWidth="1"/>
    <col min="9" max="9" width="9.109375" style="8" customWidth="1"/>
    <col min="10" max="10" width="9.88671875" customWidth="1"/>
    <col min="11" max="11" width="3.33203125" customWidth="1"/>
    <col min="13" max="13" width="5.33203125" customWidth="1"/>
    <col min="14" max="15" width="11.109375" style="8" customWidth="1"/>
    <col min="16" max="16" width="3.44140625" customWidth="1"/>
    <col min="17" max="18" width="11.109375" style="8" customWidth="1"/>
    <col min="19" max="19" width="4" customWidth="1"/>
    <col min="20" max="21" width="11.109375" style="8" customWidth="1"/>
  </cols>
  <sheetData>
    <row r="2" spans="2:21" ht="21.6" thickBot="1" x14ac:dyDescent="0.45">
      <c r="B2" s="1" t="s">
        <v>63</v>
      </c>
      <c r="D2" s="2"/>
      <c r="E2" s="2"/>
      <c r="F2" s="2"/>
      <c r="G2" s="3"/>
      <c r="H2" s="3"/>
      <c r="I2" s="4"/>
      <c r="J2" s="3"/>
      <c r="L2" s="3"/>
      <c r="N2" s="2"/>
      <c r="O2" s="2"/>
      <c r="Q2" s="2"/>
      <c r="R2" s="2"/>
      <c r="T2" s="2"/>
      <c r="U2" s="2"/>
    </row>
    <row r="3" spans="2:21" ht="15" thickBot="1" x14ac:dyDescent="0.35">
      <c r="B3" s="19" t="s">
        <v>70</v>
      </c>
      <c r="D3" s="5" t="s">
        <v>0</v>
      </c>
      <c r="E3" s="5" t="s">
        <v>1</v>
      </c>
      <c r="F3" s="5" t="s">
        <v>2</v>
      </c>
      <c r="G3" s="6" t="s">
        <v>3</v>
      </c>
      <c r="H3" s="6" t="s">
        <v>4</v>
      </c>
      <c r="I3" s="7" t="s">
        <v>5</v>
      </c>
      <c r="J3" s="6" t="s">
        <v>6</v>
      </c>
      <c r="L3" s="6" t="s">
        <v>6</v>
      </c>
      <c r="N3" s="100" t="s">
        <v>159</v>
      </c>
      <c r="O3" s="101" t="s">
        <v>160</v>
      </c>
      <c r="Q3" s="113" t="s">
        <v>159</v>
      </c>
      <c r="R3" s="114" t="s">
        <v>175</v>
      </c>
      <c r="T3" s="131" t="s">
        <v>159</v>
      </c>
      <c r="U3" s="132" t="s">
        <v>202</v>
      </c>
    </row>
    <row r="4" spans="2:21" x14ac:dyDescent="0.3">
      <c r="C4" s="8"/>
      <c r="D4" s="8"/>
      <c r="G4" s="9"/>
      <c r="H4" s="9"/>
      <c r="I4" s="10"/>
      <c r="J4" s="9"/>
      <c r="L4" s="9"/>
      <c r="N4" s="102"/>
      <c r="O4" s="102"/>
      <c r="Q4" s="115"/>
      <c r="R4" s="115"/>
      <c r="T4" s="133"/>
      <c r="U4" s="133"/>
    </row>
    <row r="5" spans="2:21" x14ac:dyDescent="0.3">
      <c r="B5" s="11" t="s">
        <v>7</v>
      </c>
      <c r="C5" s="8"/>
      <c r="D5" s="8"/>
      <c r="L5" s="9">
        <f>SUM(J5:J8)</f>
        <v>13000</v>
      </c>
      <c r="N5" s="103">
        <v>0.5</v>
      </c>
      <c r="O5" s="104">
        <f>N5*L5</f>
        <v>6500</v>
      </c>
      <c r="Q5" s="116">
        <v>0.8</v>
      </c>
      <c r="R5" s="117">
        <f>Q5*L5</f>
        <v>10400</v>
      </c>
      <c r="T5" s="134">
        <v>0.95</v>
      </c>
      <c r="U5" s="135">
        <f>T5*L5</f>
        <v>12350</v>
      </c>
    </row>
    <row r="6" spans="2:21" x14ac:dyDescent="0.3">
      <c r="B6" t="s">
        <v>7</v>
      </c>
      <c r="C6" s="8"/>
      <c r="D6" s="8" t="s">
        <v>8</v>
      </c>
      <c r="G6" s="9"/>
      <c r="H6" s="9">
        <v>5000</v>
      </c>
      <c r="I6" s="10"/>
      <c r="J6" s="9">
        <f t="shared" ref="J6:J8" si="0">(H6*I6)+H6</f>
        <v>5000</v>
      </c>
      <c r="L6" s="9"/>
      <c r="N6" s="102"/>
      <c r="O6" s="104"/>
      <c r="Q6" s="115"/>
      <c r="R6" s="117"/>
      <c r="T6" s="133"/>
      <c r="U6" s="135"/>
    </row>
    <row r="7" spans="2:21" x14ac:dyDescent="0.3">
      <c r="B7" s="19" t="s">
        <v>9</v>
      </c>
      <c r="C7" s="19"/>
      <c r="D7" s="20" t="s">
        <v>8</v>
      </c>
      <c r="E7" s="20"/>
      <c r="F7" s="20"/>
      <c r="G7" s="20"/>
      <c r="H7" s="21">
        <v>6000</v>
      </c>
      <c r="I7" s="20"/>
      <c r="J7" s="21">
        <f t="shared" si="0"/>
        <v>6000</v>
      </c>
      <c r="N7" s="102"/>
      <c r="O7" s="104"/>
      <c r="Q7" s="115"/>
      <c r="R7" s="117"/>
      <c r="T7" s="133"/>
      <c r="U7" s="135"/>
    </row>
    <row r="8" spans="2:21" x14ac:dyDescent="0.3">
      <c r="B8" t="s">
        <v>15</v>
      </c>
      <c r="D8" s="8" t="s">
        <v>8</v>
      </c>
      <c r="H8" s="9">
        <v>2000</v>
      </c>
      <c r="J8" s="9">
        <f t="shared" si="0"/>
        <v>2000</v>
      </c>
      <c r="N8" s="102"/>
      <c r="O8" s="104"/>
      <c r="Q8" s="115"/>
      <c r="R8" s="117"/>
      <c r="T8" s="133"/>
      <c r="U8" s="135"/>
    </row>
    <row r="9" spans="2:21" x14ac:dyDescent="0.3">
      <c r="B9" s="12" t="s">
        <v>59</v>
      </c>
      <c r="D9" s="16" t="s">
        <v>60</v>
      </c>
      <c r="H9" s="9"/>
      <c r="J9" s="9"/>
      <c r="N9" s="102"/>
      <c r="O9" s="104"/>
      <c r="Q9" s="115"/>
      <c r="R9" s="117"/>
      <c r="T9" s="133"/>
      <c r="U9" s="135"/>
    </row>
    <row r="10" spans="2:21" x14ac:dyDescent="0.3">
      <c r="H10" s="9"/>
      <c r="N10" s="102"/>
      <c r="O10" s="104"/>
      <c r="Q10" s="115"/>
      <c r="R10" s="117"/>
      <c r="T10" s="133"/>
      <c r="U10" s="135"/>
    </row>
    <row r="11" spans="2:21" x14ac:dyDescent="0.3">
      <c r="B11" s="11" t="s">
        <v>10</v>
      </c>
      <c r="H11" s="9"/>
      <c r="L11" s="9">
        <f>SUM(J12:J14)</f>
        <v>22120</v>
      </c>
      <c r="N11" s="103">
        <v>1</v>
      </c>
      <c r="O11" s="104">
        <f>N11*L11</f>
        <v>22120</v>
      </c>
      <c r="Q11" s="116">
        <v>1</v>
      </c>
      <c r="R11" s="117">
        <f>Q11*L11</f>
        <v>22120</v>
      </c>
      <c r="T11" s="134">
        <v>1</v>
      </c>
      <c r="U11" s="135">
        <f>T11*L11</f>
        <v>22120</v>
      </c>
    </row>
    <row r="12" spans="2:21" x14ac:dyDescent="0.3">
      <c r="B12" t="s">
        <v>50</v>
      </c>
      <c r="D12" s="8" t="s">
        <v>8</v>
      </c>
      <c r="E12" s="8">
        <v>26</v>
      </c>
      <c r="F12" s="8">
        <v>520</v>
      </c>
      <c r="G12" s="22">
        <v>500</v>
      </c>
      <c r="H12" s="9">
        <f>(E12*F12)+G12</f>
        <v>14020</v>
      </c>
      <c r="J12" s="9">
        <f t="shared" ref="J12" si="1">(H12*I12)+H12</f>
        <v>14020</v>
      </c>
      <c r="N12" s="102"/>
      <c r="O12" s="104"/>
      <c r="Q12" s="115"/>
      <c r="R12" s="117"/>
      <c r="T12" s="133"/>
      <c r="U12" s="135"/>
    </row>
    <row r="13" spans="2:21" x14ac:dyDescent="0.3">
      <c r="B13" t="s">
        <v>16</v>
      </c>
      <c r="D13" s="8" t="s">
        <v>8</v>
      </c>
      <c r="E13" s="8">
        <v>15</v>
      </c>
      <c r="F13" s="8">
        <v>520</v>
      </c>
      <c r="G13" s="22">
        <v>300</v>
      </c>
      <c r="H13" s="9">
        <f t="shared" ref="H13:H21" si="2">(E13*F13)+G13</f>
        <v>8100</v>
      </c>
      <c r="J13" s="9">
        <f t="shared" ref="J13:J21" si="3">(H13*I13)+H13</f>
        <v>8100</v>
      </c>
      <c r="N13" s="102"/>
      <c r="O13" s="104"/>
      <c r="Q13" s="115"/>
      <c r="R13" s="117"/>
      <c r="T13" s="133"/>
      <c r="U13" s="135"/>
    </row>
    <row r="14" spans="2:21" x14ac:dyDescent="0.3">
      <c r="D14" s="8"/>
      <c r="G14" s="22"/>
      <c r="H14" s="9"/>
      <c r="J14" s="9"/>
      <c r="N14" s="102"/>
      <c r="O14" s="104"/>
      <c r="Q14" s="115"/>
      <c r="R14" s="117"/>
      <c r="T14" s="133"/>
      <c r="U14" s="135"/>
    </row>
    <row r="15" spans="2:21" x14ac:dyDescent="0.3">
      <c r="B15" s="11" t="s">
        <v>43</v>
      </c>
      <c r="D15" s="8"/>
      <c r="G15" s="22"/>
      <c r="H15" s="9"/>
      <c r="J15" s="9"/>
      <c r="L15" s="9">
        <f>SUM(J16:J23)</f>
        <v>53440</v>
      </c>
      <c r="N15" s="103">
        <v>0.15</v>
      </c>
      <c r="O15" s="104">
        <f>N15*L15</f>
        <v>8016</v>
      </c>
      <c r="Q15" s="116">
        <v>0.8</v>
      </c>
      <c r="R15" s="117">
        <f>Q15*L15</f>
        <v>42752</v>
      </c>
      <c r="T15" s="134">
        <v>1</v>
      </c>
      <c r="U15" s="135">
        <f>T15*L15</f>
        <v>53440</v>
      </c>
    </row>
    <row r="16" spans="2:21" x14ac:dyDescent="0.3">
      <c r="B16" t="s">
        <v>17</v>
      </c>
      <c r="D16" s="8" t="s">
        <v>8</v>
      </c>
      <c r="E16" s="8">
        <v>30</v>
      </c>
      <c r="F16" s="8">
        <v>520</v>
      </c>
      <c r="G16" s="22">
        <v>1500</v>
      </c>
      <c r="H16" s="9">
        <f t="shared" si="2"/>
        <v>17100</v>
      </c>
      <c r="J16" s="9">
        <f t="shared" si="3"/>
        <v>17100</v>
      </c>
      <c r="N16" s="102"/>
      <c r="O16" s="104"/>
      <c r="Q16" s="115"/>
      <c r="R16" s="117"/>
      <c r="T16" s="133"/>
      <c r="U16" s="135"/>
    </row>
    <row r="17" spans="2:21" x14ac:dyDescent="0.3">
      <c r="B17" t="s">
        <v>18</v>
      </c>
      <c r="D17" s="8" t="s">
        <v>8</v>
      </c>
      <c r="E17" s="8">
        <v>15</v>
      </c>
      <c r="F17" s="8">
        <v>520</v>
      </c>
      <c r="G17" s="22">
        <v>2000</v>
      </c>
      <c r="H17" s="9">
        <f t="shared" si="2"/>
        <v>9800</v>
      </c>
      <c r="J17" s="9">
        <f t="shared" si="3"/>
        <v>9800</v>
      </c>
      <c r="N17" s="102"/>
      <c r="O17" s="104"/>
      <c r="Q17" s="115"/>
      <c r="R17" s="117"/>
      <c r="T17" s="133"/>
      <c r="U17" s="135"/>
    </row>
    <row r="18" spans="2:21" x14ac:dyDescent="0.3">
      <c r="B18" t="s">
        <v>19</v>
      </c>
      <c r="D18" s="8" t="s">
        <v>8</v>
      </c>
      <c r="E18" s="8">
        <v>4</v>
      </c>
      <c r="F18" s="8">
        <v>520</v>
      </c>
      <c r="G18" s="22">
        <v>800</v>
      </c>
      <c r="H18" s="9">
        <f t="shared" si="2"/>
        <v>2880</v>
      </c>
      <c r="J18" s="9">
        <f t="shared" si="3"/>
        <v>2880</v>
      </c>
      <c r="N18" s="102"/>
      <c r="O18" s="104"/>
      <c r="Q18" s="115"/>
      <c r="R18" s="117"/>
      <c r="T18" s="133"/>
      <c r="U18" s="135"/>
    </row>
    <row r="19" spans="2:21" x14ac:dyDescent="0.3">
      <c r="B19" t="s">
        <v>40</v>
      </c>
      <c r="D19" s="8" t="s">
        <v>8</v>
      </c>
      <c r="E19" s="8">
        <v>6</v>
      </c>
      <c r="F19" s="8">
        <v>520</v>
      </c>
      <c r="G19" s="22"/>
      <c r="H19" s="9">
        <f t="shared" ref="H19" si="4">(E19*F19)+G19</f>
        <v>3120</v>
      </c>
      <c r="J19" s="9">
        <f t="shared" ref="J19" si="5">(H19*I19)+H19</f>
        <v>3120</v>
      </c>
      <c r="N19" s="102"/>
      <c r="O19" s="104"/>
      <c r="Q19" s="115"/>
      <c r="R19" s="117"/>
      <c r="T19" s="133"/>
      <c r="U19" s="135"/>
    </row>
    <row r="20" spans="2:21" x14ac:dyDescent="0.3">
      <c r="B20" t="s">
        <v>41</v>
      </c>
      <c r="D20" s="8" t="s">
        <v>8</v>
      </c>
      <c r="G20" s="22">
        <v>8000</v>
      </c>
      <c r="H20" s="9">
        <f t="shared" ref="H20" si="6">(E20*F20)+G20</f>
        <v>8000</v>
      </c>
      <c r="J20" s="9">
        <f t="shared" ref="J20" si="7">(H20*I20)+H20</f>
        <v>8000</v>
      </c>
      <c r="N20" s="102"/>
      <c r="O20" s="104"/>
      <c r="Q20" s="115"/>
      <c r="R20" s="117"/>
      <c r="T20" s="133"/>
      <c r="U20" s="135"/>
    </row>
    <row r="21" spans="2:21" x14ac:dyDescent="0.3">
      <c r="B21" t="s">
        <v>39</v>
      </c>
      <c r="D21" s="8" t="s">
        <v>8</v>
      </c>
      <c r="E21" s="8">
        <v>6</v>
      </c>
      <c r="F21" s="8">
        <v>520</v>
      </c>
      <c r="G21" s="22">
        <v>2500</v>
      </c>
      <c r="H21" s="9">
        <f t="shared" si="2"/>
        <v>5620</v>
      </c>
      <c r="J21" s="9">
        <f t="shared" si="3"/>
        <v>5620</v>
      </c>
      <c r="N21" s="102"/>
      <c r="O21" s="104"/>
      <c r="Q21" s="115"/>
      <c r="R21" s="117"/>
      <c r="T21" s="133"/>
      <c r="U21" s="135"/>
    </row>
    <row r="22" spans="2:21" x14ac:dyDescent="0.3">
      <c r="B22" t="s">
        <v>42</v>
      </c>
      <c r="D22" s="8" t="s">
        <v>8</v>
      </c>
      <c r="E22" s="8">
        <v>6</v>
      </c>
      <c r="F22" s="8">
        <v>520</v>
      </c>
      <c r="G22" s="22">
        <v>1500</v>
      </c>
      <c r="H22" s="9">
        <f t="shared" ref="H22" si="8">(E22*F22)+G22</f>
        <v>4620</v>
      </c>
      <c r="J22" s="9">
        <f t="shared" ref="J22" si="9">(H22*I22)+H22</f>
        <v>4620</v>
      </c>
      <c r="N22" s="102"/>
      <c r="O22" s="104"/>
      <c r="Q22" s="115"/>
      <c r="R22" s="117"/>
      <c r="T22" s="133"/>
      <c r="U22" s="135"/>
    </row>
    <row r="23" spans="2:21" x14ac:dyDescent="0.3">
      <c r="B23" t="s">
        <v>66</v>
      </c>
      <c r="D23" s="8" t="s">
        <v>29</v>
      </c>
      <c r="G23" s="22"/>
      <c r="H23" s="9">
        <v>2000</v>
      </c>
      <c r="I23" s="18">
        <v>0.15</v>
      </c>
      <c r="J23" s="9">
        <f t="shared" ref="J23" si="10">(H23*I23)+H23</f>
        <v>2300</v>
      </c>
      <c r="N23" s="102"/>
      <c r="O23" s="104"/>
      <c r="Q23" s="115"/>
      <c r="R23" s="117"/>
      <c r="T23" s="133"/>
      <c r="U23" s="135"/>
    </row>
    <row r="24" spans="2:21" x14ac:dyDescent="0.3">
      <c r="D24" s="8"/>
      <c r="G24" s="22"/>
      <c r="H24" s="9"/>
      <c r="J24" s="9"/>
      <c r="N24" s="102"/>
      <c r="O24" s="104"/>
      <c r="Q24" s="115"/>
      <c r="R24" s="117"/>
      <c r="T24" s="133"/>
      <c r="U24" s="135"/>
    </row>
    <row r="25" spans="2:21" x14ac:dyDescent="0.3">
      <c r="B25" s="11" t="s">
        <v>20</v>
      </c>
      <c r="G25" s="22"/>
      <c r="H25" s="9"/>
      <c r="J25" s="9"/>
      <c r="L25" s="9">
        <f>SUM(J26:J34)</f>
        <v>71650</v>
      </c>
      <c r="N25" s="103">
        <v>0</v>
      </c>
      <c r="O25" s="104">
        <f>N25*L25</f>
        <v>0</v>
      </c>
      <c r="Q25" s="116">
        <v>0.5</v>
      </c>
      <c r="R25" s="117">
        <f>Q25*L25</f>
        <v>35825</v>
      </c>
      <c r="T25" s="134">
        <v>0.9</v>
      </c>
      <c r="U25" s="135">
        <f>T25*L25</f>
        <v>64485</v>
      </c>
    </row>
    <row r="26" spans="2:21" x14ac:dyDescent="0.3">
      <c r="B26" s="19" t="s">
        <v>49</v>
      </c>
      <c r="D26" s="8" t="s">
        <v>8</v>
      </c>
      <c r="E26" s="8">
        <v>18</v>
      </c>
      <c r="F26" s="8">
        <v>520</v>
      </c>
      <c r="G26" s="22">
        <v>6000</v>
      </c>
      <c r="H26" s="9">
        <f t="shared" ref="H26:H41" si="11">(E26*F26)+G26</f>
        <v>15360</v>
      </c>
      <c r="J26" s="9">
        <f t="shared" ref="J26:J41" si="12">(H26*I26)+H26</f>
        <v>15360</v>
      </c>
      <c r="N26" s="102"/>
      <c r="O26" s="104"/>
      <c r="Q26" s="115"/>
      <c r="R26" s="117"/>
      <c r="T26" s="133"/>
      <c r="U26" s="135"/>
    </row>
    <row r="27" spans="2:21" x14ac:dyDescent="0.3">
      <c r="B27" t="s">
        <v>21</v>
      </c>
      <c r="D27" s="8" t="s">
        <v>8</v>
      </c>
      <c r="E27" s="8">
        <v>7.5</v>
      </c>
      <c r="F27" s="8">
        <v>520</v>
      </c>
      <c r="G27" s="22">
        <v>2400</v>
      </c>
      <c r="H27" s="9">
        <f t="shared" si="11"/>
        <v>6300</v>
      </c>
      <c r="J27" s="9">
        <f t="shared" si="12"/>
        <v>6300</v>
      </c>
      <c r="N27" s="102"/>
      <c r="O27" s="104"/>
      <c r="Q27" s="115"/>
      <c r="R27" s="117"/>
      <c r="T27" s="133"/>
      <c r="U27" s="135"/>
    </row>
    <row r="28" spans="2:21" x14ac:dyDescent="0.3">
      <c r="B28" t="s">
        <v>22</v>
      </c>
      <c r="D28" s="8" t="s">
        <v>8</v>
      </c>
      <c r="E28" s="8">
        <v>6</v>
      </c>
      <c r="F28" s="8">
        <v>520</v>
      </c>
      <c r="G28" s="22">
        <v>400</v>
      </c>
      <c r="H28" s="9">
        <f t="shared" si="11"/>
        <v>3520</v>
      </c>
      <c r="J28" s="9">
        <f t="shared" si="12"/>
        <v>3520</v>
      </c>
      <c r="N28" s="102"/>
      <c r="O28" s="104"/>
      <c r="Q28" s="115"/>
      <c r="R28" s="117"/>
      <c r="T28" s="133"/>
      <c r="U28" s="135"/>
    </row>
    <row r="29" spans="2:21" x14ac:dyDescent="0.3">
      <c r="B29" t="s">
        <v>44</v>
      </c>
      <c r="D29" s="8" t="s">
        <v>8</v>
      </c>
      <c r="E29" s="8">
        <v>14</v>
      </c>
      <c r="F29" s="8">
        <v>520</v>
      </c>
      <c r="G29" s="22">
        <v>800</v>
      </c>
      <c r="H29" s="9">
        <f t="shared" ref="H29:H30" si="13">(E29*F29)+G29</f>
        <v>8080</v>
      </c>
      <c r="J29" s="9">
        <f t="shared" ref="J29:J30" si="14">(H29*I29)+H29</f>
        <v>8080</v>
      </c>
      <c r="N29" s="102"/>
      <c r="O29" s="104"/>
      <c r="Q29" s="115"/>
      <c r="R29" s="117"/>
      <c r="T29" s="133"/>
      <c r="U29" s="135"/>
    </row>
    <row r="30" spans="2:21" x14ac:dyDescent="0.3">
      <c r="B30" t="s">
        <v>46</v>
      </c>
      <c r="D30" s="8" t="s">
        <v>8</v>
      </c>
      <c r="E30" s="8">
        <v>12</v>
      </c>
      <c r="F30" s="8">
        <v>520</v>
      </c>
      <c r="G30" s="22">
        <v>800</v>
      </c>
      <c r="H30" s="9">
        <f t="shared" si="13"/>
        <v>7040</v>
      </c>
      <c r="J30" s="9">
        <f t="shared" si="14"/>
        <v>7040</v>
      </c>
      <c r="N30" s="102"/>
      <c r="O30" s="104"/>
      <c r="Q30" s="115"/>
      <c r="R30" s="117"/>
      <c r="T30" s="133"/>
      <c r="U30" s="135"/>
    </row>
    <row r="31" spans="2:21" x14ac:dyDescent="0.3">
      <c r="B31" t="s">
        <v>47</v>
      </c>
      <c r="D31" s="8" t="s">
        <v>8</v>
      </c>
      <c r="E31" s="8">
        <v>20</v>
      </c>
      <c r="F31" s="8">
        <v>520</v>
      </c>
      <c r="G31" s="22">
        <v>1000</v>
      </c>
      <c r="H31" s="9">
        <f t="shared" ref="H31:H32" si="15">(E31*F31)+G31</f>
        <v>11400</v>
      </c>
      <c r="J31" s="9">
        <f t="shared" ref="J31:J32" si="16">(H31*I31)+H31</f>
        <v>11400</v>
      </c>
      <c r="N31" s="102"/>
      <c r="O31" s="104"/>
      <c r="Q31" s="115"/>
      <c r="R31" s="117"/>
      <c r="T31" s="133"/>
      <c r="U31" s="135"/>
    </row>
    <row r="32" spans="2:21" x14ac:dyDescent="0.3">
      <c r="B32" t="s">
        <v>48</v>
      </c>
      <c r="D32" s="8" t="s">
        <v>8</v>
      </c>
      <c r="E32" s="8">
        <v>6</v>
      </c>
      <c r="F32" s="8">
        <v>520</v>
      </c>
      <c r="G32" s="22">
        <v>1000</v>
      </c>
      <c r="H32" s="9">
        <f t="shared" si="15"/>
        <v>4120</v>
      </c>
      <c r="J32" s="9">
        <f t="shared" si="16"/>
        <v>4120</v>
      </c>
      <c r="N32" s="102"/>
      <c r="O32" s="104"/>
      <c r="Q32" s="115"/>
      <c r="R32" s="117"/>
      <c r="T32" s="133"/>
      <c r="U32" s="135"/>
    </row>
    <row r="33" spans="2:21" x14ac:dyDescent="0.3">
      <c r="B33" t="s">
        <v>45</v>
      </c>
      <c r="D33" s="8" t="s">
        <v>8</v>
      </c>
      <c r="E33" s="8">
        <v>22</v>
      </c>
      <c r="F33" s="8">
        <v>300</v>
      </c>
      <c r="G33" s="22"/>
      <c r="H33" s="9">
        <f t="shared" si="11"/>
        <v>6600</v>
      </c>
      <c r="I33" s="18">
        <v>0.15</v>
      </c>
      <c r="J33" s="9">
        <f t="shared" si="12"/>
        <v>7590</v>
      </c>
      <c r="N33" s="102"/>
      <c r="O33" s="104"/>
      <c r="Q33" s="115"/>
      <c r="R33" s="117"/>
      <c r="T33" s="133"/>
      <c r="U33" s="135"/>
    </row>
    <row r="34" spans="2:21" x14ac:dyDescent="0.3">
      <c r="B34" t="s">
        <v>51</v>
      </c>
      <c r="D34" s="8" t="s">
        <v>8</v>
      </c>
      <c r="E34" s="8">
        <v>12</v>
      </c>
      <c r="F34" s="8">
        <v>520</v>
      </c>
      <c r="G34" s="22">
        <v>2000</v>
      </c>
      <c r="H34" s="9">
        <f t="shared" si="11"/>
        <v>8240</v>
      </c>
      <c r="J34" s="9">
        <f t="shared" si="12"/>
        <v>8240</v>
      </c>
      <c r="N34" s="102"/>
      <c r="O34" s="104"/>
      <c r="Q34" s="115"/>
      <c r="R34" s="117"/>
      <c r="T34" s="133"/>
      <c r="U34" s="135"/>
    </row>
    <row r="35" spans="2:21" x14ac:dyDescent="0.3">
      <c r="G35" s="22"/>
      <c r="H35" s="9"/>
      <c r="J35" s="9"/>
      <c r="N35" s="102"/>
      <c r="O35" s="104"/>
      <c r="Q35" s="115"/>
      <c r="R35" s="117"/>
      <c r="T35" s="133"/>
      <c r="U35" s="135"/>
    </row>
    <row r="36" spans="2:21" x14ac:dyDescent="0.3">
      <c r="B36" s="11" t="s">
        <v>23</v>
      </c>
      <c r="G36" s="22"/>
      <c r="H36" s="9"/>
      <c r="J36" s="9"/>
      <c r="L36" s="9">
        <f>SUM(J37:J45)</f>
        <v>98747.25</v>
      </c>
      <c r="N36" s="103">
        <v>0.4</v>
      </c>
      <c r="O36" s="104">
        <f>N36*L36</f>
        <v>39498.9</v>
      </c>
      <c r="Q36" s="116">
        <v>0.8</v>
      </c>
      <c r="R36" s="117">
        <f>Q36*L36</f>
        <v>78997.8</v>
      </c>
      <c r="T36" s="134">
        <v>0.9</v>
      </c>
      <c r="U36" s="135">
        <f>T36*L36</f>
        <v>88872.525000000009</v>
      </c>
    </row>
    <row r="37" spans="2:21" x14ac:dyDescent="0.3">
      <c r="B37" t="s">
        <v>30</v>
      </c>
      <c r="D37" s="8" t="s">
        <v>8</v>
      </c>
      <c r="E37" s="17">
        <v>7.5</v>
      </c>
      <c r="F37" s="8">
        <v>600</v>
      </c>
      <c r="G37" s="22">
        <v>500</v>
      </c>
      <c r="H37" s="9">
        <f t="shared" si="11"/>
        <v>5000</v>
      </c>
      <c r="J37" s="9">
        <f t="shared" si="12"/>
        <v>5000</v>
      </c>
      <c r="N37" s="102"/>
      <c r="O37" s="104"/>
      <c r="Q37" s="115"/>
      <c r="R37" s="117"/>
      <c r="T37" s="133"/>
      <c r="U37" s="135"/>
    </row>
    <row r="38" spans="2:21" x14ac:dyDescent="0.3">
      <c r="B38" t="s">
        <v>31</v>
      </c>
      <c r="D38" s="8" t="s">
        <v>8</v>
      </c>
      <c r="E38" s="17">
        <f>4*7.5</f>
        <v>30</v>
      </c>
      <c r="F38" s="8">
        <v>600</v>
      </c>
      <c r="G38" s="22">
        <v>14000</v>
      </c>
      <c r="H38" s="9">
        <f t="shared" si="11"/>
        <v>32000</v>
      </c>
      <c r="J38" s="9">
        <f t="shared" si="12"/>
        <v>32000</v>
      </c>
      <c r="N38" s="102"/>
      <c r="O38" s="104"/>
      <c r="Q38" s="115"/>
      <c r="R38" s="117"/>
      <c r="T38" s="133"/>
      <c r="U38" s="135"/>
    </row>
    <row r="39" spans="2:21" x14ac:dyDescent="0.3">
      <c r="B39" t="s">
        <v>35</v>
      </c>
      <c r="D39" s="8" t="s">
        <v>8</v>
      </c>
      <c r="E39" s="17">
        <v>7.5</v>
      </c>
      <c r="F39" s="8">
        <v>600</v>
      </c>
      <c r="G39" s="22">
        <v>1200</v>
      </c>
      <c r="H39" s="9">
        <f t="shared" si="11"/>
        <v>5700</v>
      </c>
      <c r="J39" s="9">
        <f t="shared" si="12"/>
        <v>5700</v>
      </c>
      <c r="N39" s="102"/>
      <c r="O39" s="104"/>
      <c r="Q39" s="115"/>
      <c r="R39" s="117"/>
      <c r="T39" s="133"/>
      <c r="U39" s="135"/>
    </row>
    <row r="40" spans="2:21" x14ac:dyDescent="0.3">
      <c r="B40" t="s">
        <v>32</v>
      </c>
      <c r="D40" s="8" t="s">
        <v>8</v>
      </c>
      <c r="E40" s="17">
        <f>4*7.5</f>
        <v>30</v>
      </c>
      <c r="F40" s="8">
        <v>600</v>
      </c>
      <c r="G40" s="22">
        <v>5000</v>
      </c>
      <c r="H40" s="9">
        <f t="shared" si="11"/>
        <v>23000</v>
      </c>
      <c r="J40" s="9">
        <f t="shared" si="12"/>
        <v>23000</v>
      </c>
      <c r="N40" s="102"/>
      <c r="O40" s="104"/>
      <c r="Q40" s="115"/>
      <c r="R40" s="117"/>
      <c r="T40" s="133"/>
      <c r="U40" s="135"/>
    </row>
    <row r="41" spans="2:21" x14ac:dyDescent="0.3">
      <c r="B41" t="s">
        <v>53</v>
      </c>
      <c r="D41" s="8" t="s">
        <v>8</v>
      </c>
      <c r="E41" s="8">
        <v>7.5</v>
      </c>
      <c r="F41" s="8">
        <v>600</v>
      </c>
      <c r="G41" s="22">
        <v>600</v>
      </c>
      <c r="H41" s="9">
        <f t="shared" si="11"/>
        <v>5100</v>
      </c>
      <c r="J41" s="9">
        <f t="shared" si="12"/>
        <v>5100</v>
      </c>
      <c r="N41" s="102"/>
      <c r="O41" s="104"/>
      <c r="Q41" s="115"/>
      <c r="R41" s="117"/>
      <c r="T41" s="133"/>
      <c r="U41" s="135"/>
    </row>
    <row r="42" spans="2:21" x14ac:dyDescent="0.3">
      <c r="B42" s="19" t="s">
        <v>33</v>
      </c>
      <c r="C42" s="19"/>
      <c r="D42" s="20" t="s">
        <v>8</v>
      </c>
      <c r="E42" s="20">
        <v>4</v>
      </c>
      <c r="F42" s="20">
        <v>600</v>
      </c>
      <c r="G42" s="24">
        <f>(2215*1.15)+8000+1200+2000</f>
        <v>13747.25</v>
      </c>
      <c r="H42" s="21">
        <f t="shared" ref="H42:H43" si="17">(E42*F42)+G42</f>
        <v>16147.25</v>
      </c>
      <c r="I42" s="20"/>
      <c r="J42" s="21">
        <f t="shared" ref="J42:J43" si="18">(H42*I42)+H42</f>
        <v>16147.25</v>
      </c>
      <c r="N42" s="102"/>
      <c r="O42" s="104"/>
      <c r="Q42" s="115"/>
      <c r="R42" s="117"/>
      <c r="T42" s="133"/>
      <c r="U42" s="135"/>
    </row>
    <row r="43" spans="2:21" x14ac:dyDescent="0.3">
      <c r="B43" t="s">
        <v>36</v>
      </c>
      <c r="D43" s="8" t="s">
        <v>8</v>
      </c>
      <c r="E43" s="8">
        <v>10</v>
      </c>
      <c r="F43" s="8">
        <v>600</v>
      </c>
      <c r="G43" s="22">
        <v>4000</v>
      </c>
      <c r="H43" s="9">
        <f t="shared" si="17"/>
        <v>10000</v>
      </c>
      <c r="J43" s="9">
        <f t="shared" si="18"/>
        <v>10000</v>
      </c>
      <c r="N43" s="102"/>
      <c r="O43" s="104"/>
      <c r="Q43" s="115"/>
      <c r="R43" s="117"/>
      <c r="T43" s="133"/>
      <c r="U43" s="135"/>
    </row>
    <row r="44" spans="2:21" x14ac:dyDescent="0.3">
      <c r="B44" t="s">
        <v>34</v>
      </c>
      <c r="D44" s="8" t="s">
        <v>8</v>
      </c>
      <c r="E44" s="8">
        <v>2</v>
      </c>
      <c r="F44" s="8">
        <v>600</v>
      </c>
      <c r="G44" s="22">
        <v>600</v>
      </c>
      <c r="H44" s="9">
        <f t="shared" ref="H44:H47" si="19">(E44*F44)+G44</f>
        <v>1800</v>
      </c>
      <c r="J44" s="9">
        <f t="shared" ref="J44:J50" si="20">(H44*I44)+H44</f>
        <v>1800</v>
      </c>
      <c r="N44" s="102"/>
      <c r="O44" s="104"/>
      <c r="Q44" s="115"/>
      <c r="R44" s="117"/>
      <c r="T44" s="133"/>
      <c r="U44" s="135"/>
    </row>
    <row r="45" spans="2:21" x14ac:dyDescent="0.3">
      <c r="E45"/>
      <c r="G45" s="23"/>
      <c r="H45" s="9"/>
      <c r="J45" s="9"/>
      <c r="N45" s="102"/>
      <c r="O45" s="104"/>
      <c r="Q45" s="115"/>
      <c r="R45" s="117"/>
      <c r="T45" s="133"/>
      <c r="U45" s="135"/>
    </row>
    <row r="46" spans="2:21" x14ac:dyDescent="0.3">
      <c r="B46" s="11" t="s">
        <v>24</v>
      </c>
      <c r="E46"/>
      <c r="G46" s="23"/>
      <c r="H46" s="9"/>
      <c r="J46" s="9"/>
      <c r="L46" s="9">
        <f>SUM(J47:J50)</f>
        <v>39187.934999999998</v>
      </c>
      <c r="N46" s="103">
        <v>0</v>
      </c>
      <c r="O46" s="104">
        <f>N46*L46</f>
        <v>0</v>
      </c>
      <c r="Q46" s="116">
        <v>0.15</v>
      </c>
      <c r="R46" s="117">
        <f>Q46*L46</f>
        <v>5878.1902499999997</v>
      </c>
      <c r="T46" s="134">
        <v>0.9</v>
      </c>
      <c r="U46" s="135">
        <f>T46*L46</f>
        <v>35269.141499999998</v>
      </c>
    </row>
    <row r="47" spans="2:21" x14ac:dyDescent="0.3">
      <c r="B47" t="s">
        <v>58</v>
      </c>
      <c r="D47" s="8" t="s">
        <v>8</v>
      </c>
      <c r="E47"/>
      <c r="G47" s="23">
        <v>25750</v>
      </c>
      <c r="H47" s="9">
        <f t="shared" si="19"/>
        <v>25750</v>
      </c>
      <c r="I47" s="18">
        <v>0.2</v>
      </c>
      <c r="J47" s="9">
        <f t="shared" si="20"/>
        <v>30900</v>
      </c>
      <c r="N47" s="102"/>
      <c r="O47" s="104"/>
      <c r="Q47" s="115"/>
      <c r="R47" s="117"/>
      <c r="T47" s="133"/>
      <c r="U47" s="135"/>
    </row>
    <row r="48" spans="2:21" x14ac:dyDescent="0.3">
      <c r="B48" t="s">
        <v>68</v>
      </c>
      <c r="D48" s="8" t="s">
        <v>8</v>
      </c>
      <c r="E48"/>
      <c r="G48" s="23">
        <v>5200</v>
      </c>
      <c r="H48" s="9">
        <f>(E49*F49)+G48</f>
        <v>5200</v>
      </c>
      <c r="I48" s="18">
        <v>0.15</v>
      </c>
      <c r="J48" s="9">
        <f t="shared" si="20"/>
        <v>5980</v>
      </c>
      <c r="N48" s="102"/>
      <c r="O48" s="104"/>
      <c r="Q48" s="115"/>
      <c r="R48" s="117"/>
      <c r="T48" s="133"/>
      <c r="U48" s="135"/>
    </row>
    <row r="49" spans="2:21" x14ac:dyDescent="0.3">
      <c r="B49" t="s">
        <v>67</v>
      </c>
      <c r="D49" s="8" t="s">
        <v>8</v>
      </c>
      <c r="E49"/>
      <c r="G49" s="22">
        <v>1206.9000000000001</v>
      </c>
      <c r="H49" s="9">
        <f>(E50*F50)+G49</f>
        <v>1206.9000000000001</v>
      </c>
      <c r="I49" s="18">
        <v>0.15</v>
      </c>
      <c r="J49" s="9">
        <f t="shared" si="20"/>
        <v>1387.9350000000002</v>
      </c>
      <c r="N49" s="102"/>
      <c r="O49" s="104"/>
      <c r="Q49" s="115"/>
      <c r="R49" s="117"/>
      <c r="T49" s="133"/>
      <c r="U49" s="135"/>
    </row>
    <row r="50" spans="2:21" x14ac:dyDescent="0.3">
      <c r="B50" t="s">
        <v>25</v>
      </c>
      <c r="D50" s="8" t="s">
        <v>8</v>
      </c>
      <c r="E50"/>
      <c r="G50" s="23">
        <v>800</v>
      </c>
      <c r="H50" s="9">
        <f>(E51*F51)+G50</f>
        <v>800</v>
      </c>
      <c r="I50" s="18">
        <v>0.15</v>
      </c>
      <c r="J50" s="9">
        <f t="shared" si="20"/>
        <v>920</v>
      </c>
      <c r="N50" s="102"/>
      <c r="O50" s="104"/>
      <c r="Q50" s="115"/>
      <c r="R50" s="117"/>
      <c r="T50" s="133"/>
      <c r="U50" s="135"/>
    </row>
    <row r="51" spans="2:21" x14ac:dyDescent="0.3">
      <c r="B51" s="12" t="s">
        <v>52</v>
      </c>
      <c r="D51" s="8"/>
      <c r="E51"/>
      <c r="G51" s="22"/>
      <c r="I51" s="18"/>
      <c r="N51" s="102"/>
      <c r="O51" s="104"/>
      <c r="Q51" s="115"/>
      <c r="R51" s="117"/>
      <c r="T51" s="133"/>
      <c r="U51" s="135"/>
    </row>
    <row r="52" spans="2:21" x14ac:dyDescent="0.3">
      <c r="E52"/>
      <c r="G52" s="23"/>
      <c r="H52" s="9"/>
      <c r="N52" s="102"/>
      <c r="O52" s="104"/>
      <c r="Q52" s="115"/>
      <c r="R52" s="117"/>
      <c r="T52" s="133"/>
      <c r="U52" s="135"/>
    </row>
    <row r="53" spans="2:21" x14ac:dyDescent="0.3">
      <c r="B53" s="11" t="s">
        <v>26</v>
      </c>
      <c r="D53" s="8" t="s">
        <v>8</v>
      </c>
      <c r="E53"/>
      <c r="G53" s="22"/>
      <c r="H53" s="9"/>
      <c r="J53" s="9"/>
      <c r="L53" s="9">
        <f>SUM(J54:J59)</f>
        <v>23230</v>
      </c>
      <c r="N53" s="103">
        <v>0.15</v>
      </c>
      <c r="O53" s="104">
        <f>N53*L53</f>
        <v>3484.5</v>
      </c>
      <c r="Q53" s="116">
        <v>0.7</v>
      </c>
      <c r="R53" s="117">
        <f>Q53*L53</f>
        <v>16260.999999999998</v>
      </c>
      <c r="T53" s="134">
        <v>1</v>
      </c>
      <c r="U53" s="135">
        <f>T53*L53</f>
        <v>23230</v>
      </c>
    </row>
    <row r="54" spans="2:21" x14ac:dyDescent="0.3">
      <c r="B54" t="s">
        <v>38</v>
      </c>
      <c r="D54" s="8" t="s">
        <v>8</v>
      </c>
      <c r="E54"/>
      <c r="G54" s="22"/>
      <c r="H54" s="9">
        <v>4500</v>
      </c>
      <c r="I54" s="18">
        <v>0.15</v>
      </c>
      <c r="J54" s="9">
        <f t="shared" ref="J54:J55" si="21">(H54*I54)+H54</f>
        <v>5175</v>
      </c>
      <c r="N54" s="102"/>
      <c r="O54" s="104"/>
      <c r="Q54" s="115"/>
      <c r="R54" s="117"/>
      <c r="T54" s="133"/>
      <c r="U54" s="135"/>
    </row>
    <row r="55" spans="2:21" x14ac:dyDescent="0.3">
      <c r="B55" t="s">
        <v>62</v>
      </c>
      <c r="D55" s="8" t="s">
        <v>8</v>
      </c>
      <c r="E55"/>
      <c r="H55" s="9">
        <v>3200</v>
      </c>
      <c r="I55" s="18">
        <v>0.15</v>
      </c>
      <c r="J55" s="9">
        <f t="shared" si="21"/>
        <v>3680</v>
      </c>
      <c r="N55" s="102"/>
      <c r="O55" s="104"/>
      <c r="Q55" s="115"/>
      <c r="R55" s="117"/>
      <c r="T55" s="133"/>
      <c r="U55" s="135"/>
    </row>
    <row r="56" spans="2:21" x14ac:dyDescent="0.3">
      <c r="B56" t="s">
        <v>57</v>
      </c>
      <c r="D56" s="8" t="s">
        <v>8</v>
      </c>
      <c r="G56" s="22"/>
      <c r="H56" s="9">
        <v>3000</v>
      </c>
      <c r="I56" s="18">
        <v>0.15</v>
      </c>
      <c r="J56" s="9">
        <f t="shared" ref="J56" si="22">(H56*I56)+H56</f>
        <v>3450</v>
      </c>
      <c r="N56" s="102"/>
      <c r="O56" s="104"/>
      <c r="Q56" s="115"/>
      <c r="R56" s="117"/>
      <c r="T56" s="133"/>
      <c r="U56" s="135"/>
    </row>
    <row r="57" spans="2:21" x14ac:dyDescent="0.3">
      <c r="B57" t="s">
        <v>55</v>
      </c>
      <c r="D57" s="8" t="s">
        <v>8</v>
      </c>
      <c r="G57" s="22"/>
      <c r="H57" s="9">
        <v>4500</v>
      </c>
      <c r="I57" s="18">
        <v>0.15</v>
      </c>
      <c r="J57" s="9">
        <f t="shared" ref="J57" si="23">(H57*I57)+H57</f>
        <v>5175</v>
      </c>
      <c r="N57" s="102"/>
      <c r="O57" s="104"/>
      <c r="Q57" s="115"/>
      <c r="R57" s="117"/>
      <c r="T57" s="133"/>
      <c r="U57" s="135"/>
    </row>
    <row r="58" spans="2:21" x14ac:dyDescent="0.3">
      <c r="B58" t="s">
        <v>56</v>
      </c>
      <c r="D58" s="8" t="s">
        <v>8</v>
      </c>
      <c r="G58" s="22"/>
      <c r="H58" s="9">
        <v>2500</v>
      </c>
      <c r="I58" s="18">
        <v>0.15</v>
      </c>
      <c r="J58" s="9">
        <f t="shared" ref="J58" si="24">(H58*I58)+H58</f>
        <v>2875</v>
      </c>
      <c r="N58" s="102"/>
      <c r="O58" s="104"/>
      <c r="Q58" s="115"/>
      <c r="R58" s="117"/>
      <c r="T58" s="133"/>
      <c r="U58" s="135"/>
    </row>
    <row r="59" spans="2:21" x14ac:dyDescent="0.3">
      <c r="B59" t="s">
        <v>61</v>
      </c>
      <c r="D59" s="8" t="s">
        <v>8</v>
      </c>
      <c r="G59" s="22"/>
      <c r="H59" s="9">
        <v>2500</v>
      </c>
      <c r="I59" s="18">
        <v>0.15</v>
      </c>
      <c r="J59" s="9">
        <f t="shared" ref="J59" si="25">(H59*I59)+H59</f>
        <v>2875</v>
      </c>
      <c r="N59" s="102"/>
      <c r="O59" s="104"/>
      <c r="Q59" s="115"/>
      <c r="R59" s="117"/>
      <c r="T59" s="133"/>
      <c r="U59" s="135"/>
    </row>
    <row r="60" spans="2:21" x14ac:dyDescent="0.3">
      <c r="B60" t="s">
        <v>69</v>
      </c>
      <c r="D60" s="8" t="s">
        <v>8</v>
      </c>
      <c r="G60" s="22"/>
      <c r="H60" s="9">
        <v>0</v>
      </c>
      <c r="I60" s="18">
        <v>0.15</v>
      </c>
      <c r="J60" s="9">
        <f t="shared" ref="J60" si="26">(H60*I60)+H60</f>
        <v>0</v>
      </c>
      <c r="N60" s="102"/>
      <c r="O60" s="104"/>
      <c r="Q60" s="115"/>
      <c r="R60" s="117"/>
      <c r="T60" s="133"/>
      <c r="U60" s="135"/>
    </row>
    <row r="61" spans="2:21" x14ac:dyDescent="0.3">
      <c r="G61" s="22"/>
      <c r="N61" s="102"/>
      <c r="O61" s="104"/>
      <c r="Q61" s="115"/>
      <c r="R61" s="117"/>
      <c r="T61" s="133"/>
      <c r="U61" s="135"/>
    </row>
    <row r="62" spans="2:21" x14ac:dyDescent="0.3">
      <c r="B62" s="11" t="s">
        <v>27</v>
      </c>
      <c r="D62" s="8"/>
      <c r="G62" s="22"/>
      <c r="H62" s="9">
        <v>18000</v>
      </c>
      <c r="I62" s="18">
        <v>0.15</v>
      </c>
      <c r="J62" s="9">
        <f t="shared" ref="J62" si="27">(H62*I62)+H62</f>
        <v>20700</v>
      </c>
      <c r="L62" s="9">
        <f>SUM(J62:J63)</f>
        <v>20700</v>
      </c>
      <c r="N62" s="103">
        <v>0</v>
      </c>
      <c r="O62" s="104">
        <f>N62*L62</f>
        <v>0</v>
      </c>
      <c r="Q62" s="116">
        <v>0</v>
      </c>
      <c r="R62" s="117">
        <f>Q62*O62</f>
        <v>0</v>
      </c>
      <c r="T62" s="134">
        <v>1</v>
      </c>
      <c r="U62" s="135">
        <f>T62*L62</f>
        <v>20700</v>
      </c>
    </row>
    <row r="63" spans="2:21" x14ac:dyDescent="0.3">
      <c r="B63" t="s">
        <v>28</v>
      </c>
      <c r="D63" s="8" t="s">
        <v>11</v>
      </c>
      <c r="G63" s="22"/>
      <c r="N63" s="102"/>
      <c r="O63" s="104"/>
      <c r="Q63" s="115"/>
      <c r="R63" s="117"/>
      <c r="T63" s="133"/>
      <c r="U63" s="135"/>
    </row>
    <row r="64" spans="2:21" x14ac:dyDescent="0.3">
      <c r="B64" t="s">
        <v>37</v>
      </c>
      <c r="D64" s="8" t="s">
        <v>11</v>
      </c>
      <c r="G64" s="22"/>
      <c r="N64" s="102"/>
      <c r="O64" s="104"/>
      <c r="Q64" s="115"/>
      <c r="R64" s="117"/>
      <c r="T64" s="133"/>
      <c r="U64" s="135"/>
    </row>
    <row r="65" spans="2:25" x14ac:dyDescent="0.3">
      <c r="B65" t="s">
        <v>54</v>
      </c>
      <c r="D65" s="8" t="s">
        <v>11</v>
      </c>
      <c r="G65" s="22"/>
      <c r="N65" s="102"/>
      <c r="O65" s="104"/>
      <c r="Q65" s="115"/>
      <c r="R65" s="117"/>
      <c r="T65" s="133"/>
      <c r="U65" s="135"/>
    </row>
    <row r="66" spans="2:25" x14ac:dyDescent="0.3">
      <c r="G66" s="22"/>
      <c r="N66" s="102"/>
      <c r="O66" s="104"/>
      <c r="Q66" s="115"/>
      <c r="R66" s="117"/>
      <c r="T66" s="133"/>
      <c r="U66" s="135"/>
    </row>
    <row r="67" spans="2:25" x14ac:dyDescent="0.3">
      <c r="J67" s="13"/>
      <c r="K67" s="14" t="s">
        <v>12</v>
      </c>
      <c r="L67" s="13">
        <f>SUM(L4:L66)</f>
        <v>342075.185</v>
      </c>
      <c r="N67" s="107" t="s">
        <v>166</v>
      </c>
      <c r="O67" s="105">
        <f>SUM(O5:O66)</f>
        <v>79619.399999999994</v>
      </c>
      <c r="Q67" s="118" t="s">
        <v>176</v>
      </c>
      <c r="R67" s="119">
        <f>SUM(R4:R65)</f>
        <v>212233.99024999997</v>
      </c>
      <c r="T67" s="136" t="s">
        <v>176</v>
      </c>
      <c r="U67" s="137">
        <f>SUM(U4:U65)</f>
        <v>320466.66650000005</v>
      </c>
    </row>
    <row r="68" spans="2:25" x14ac:dyDescent="0.3">
      <c r="K68" s="14" t="s">
        <v>13</v>
      </c>
      <c r="L68" s="25">
        <f>L67/100*25</f>
        <v>85518.796249999999</v>
      </c>
      <c r="N68" s="107" t="s">
        <v>13</v>
      </c>
      <c r="O68" s="106">
        <f>O67/100*25</f>
        <v>19904.849999999999</v>
      </c>
      <c r="Q68" s="123" t="s">
        <v>167</v>
      </c>
      <c r="R68" s="120">
        <f>-O67</f>
        <v>-79619.399999999994</v>
      </c>
      <c r="T68" s="136" t="s">
        <v>167</v>
      </c>
      <c r="U68" s="137">
        <f>-O67</f>
        <v>-79619.399999999994</v>
      </c>
    </row>
    <row r="69" spans="2:25" ht="15" thickBot="1" x14ac:dyDescent="0.35">
      <c r="K69" s="14" t="s">
        <v>14</v>
      </c>
      <c r="L69" s="13">
        <f>SUM(L67:L68)</f>
        <v>427593.98125000001</v>
      </c>
      <c r="N69" s="109" t="s">
        <v>167</v>
      </c>
      <c r="O69" s="108">
        <f>SUM(O67:O68)</f>
        <v>99524.25</v>
      </c>
      <c r="Q69" s="118" t="s">
        <v>174</v>
      </c>
      <c r="R69" s="119">
        <f>SUM(R67:R68)</f>
        <v>132614.59024999998</v>
      </c>
      <c r="T69" s="138" t="s">
        <v>174</v>
      </c>
      <c r="U69" s="139">
        <f>-R69</f>
        <v>-132614.59024999998</v>
      </c>
    </row>
    <row r="70" spans="2:25" ht="15" thickTop="1" x14ac:dyDescent="0.3">
      <c r="K70" s="14" t="s">
        <v>64</v>
      </c>
      <c r="L70" s="13">
        <v>-27594</v>
      </c>
      <c r="Q70" s="118" t="s">
        <v>13</v>
      </c>
      <c r="R70" s="120">
        <f>R69/100*25</f>
        <v>33153.647562499995</v>
      </c>
      <c r="T70" s="136" t="s">
        <v>203</v>
      </c>
      <c r="U70" s="142">
        <f>SUM(U67:U69)</f>
        <v>108232.67625000008</v>
      </c>
    </row>
    <row r="71" spans="2:25" ht="15" thickBot="1" x14ac:dyDescent="0.35">
      <c r="I71" s="15"/>
      <c r="J71" s="26"/>
      <c r="K71" s="27" t="s">
        <v>65</v>
      </c>
      <c r="L71" s="28">
        <f>SUM(L69:L70)</f>
        <v>399999.98125000001</v>
      </c>
      <c r="Q71" s="121" t="s">
        <v>174</v>
      </c>
      <c r="R71" s="122">
        <f>SUM(R69:R70)</f>
        <v>165768.23781249998</v>
      </c>
      <c r="T71" s="136" t="s">
        <v>13</v>
      </c>
      <c r="U71" s="137">
        <f>U70/100*25</f>
        <v>27058.169062500019</v>
      </c>
    </row>
    <row r="72" spans="2:25" ht="15" thickTop="1" x14ac:dyDescent="0.3">
      <c r="T72" s="136" t="s">
        <v>204</v>
      </c>
      <c r="U72" s="142">
        <f>L70</f>
        <v>-27594</v>
      </c>
    </row>
    <row r="73" spans="2:25" ht="15" thickBot="1" x14ac:dyDescent="0.35">
      <c r="N73" s="110" t="s">
        <v>168</v>
      </c>
      <c r="O73" s="111">
        <f>L71-O69</f>
        <v>300475.73125000001</v>
      </c>
      <c r="T73" s="140" t="s">
        <v>203</v>
      </c>
      <c r="U73" s="141">
        <f>SUM(U70:U72)</f>
        <v>107696.84531250008</v>
      </c>
      <c r="W73" s="13">
        <f>O69+R71+U73</f>
        <v>372989.33312500006</v>
      </c>
      <c r="Y73" s="13">
        <f>L71-W73</f>
        <v>27010.648124999949</v>
      </c>
    </row>
    <row r="74" spans="2:25" ht="15" thickTop="1" x14ac:dyDescent="0.3">
      <c r="Q74" s="110" t="s">
        <v>168</v>
      </c>
      <c r="R74" s="111">
        <f>L71-(O69+R71)</f>
        <v>134707.49343750003</v>
      </c>
    </row>
    <row r="75" spans="2:25" x14ac:dyDescent="0.3">
      <c r="T75" s="110" t="s">
        <v>168</v>
      </c>
      <c r="U75" s="111">
        <f>L71-(O69+R71+U73)</f>
        <v>27010.648124999949</v>
      </c>
    </row>
  </sheetData>
  <pageMargins left="0.7" right="0.7" top="0.75" bottom="0.75" header="0.3" footer="0.3"/>
  <pageSetup paperSize="8" scale="6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2CE5FE-06D9-4B3C-A9E6-C491ABF9FC86}">
  <sheetPr>
    <pageSetUpPr fitToPage="1"/>
  </sheetPr>
  <dimension ref="A1:H42"/>
  <sheetViews>
    <sheetView workbookViewId="0">
      <selection activeCell="B10" sqref="B10"/>
    </sheetView>
  </sheetViews>
  <sheetFormatPr defaultRowHeight="14.4" x14ac:dyDescent="0.3"/>
  <cols>
    <col min="1" max="1" width="5" customWidth="1"/>
    <col min="2" max="2" width="71.5546875" bestFit="1" customWidth="1"/>
    <col min="3" max="3" width="9.33203125" bestFit="1" customWidth="1"/>
    <col min="5" max="5" width="4.44140625" customWidth="1"/>
    <col min="6" max="6" width="45.44140625" customWidth="1"/>
    <col min="7" max="7" width="2.6640625" customWidth="1"/>
    <col min="8" max="8" width="22.6640625" customWidth="1"/>
  </cols>
  <sheetData>
    <row r="1" spans="1:8" ht="21.6" thickBot="1" x14ac:dyDescent="0.45">
      <c r="A1" s="82" t="s">
        <v>130</v>
      </c>
      <c r="B1" s="30"/>
      <c r="C1" s="2"/>
      <c r="D1" s="2"/>
      <c r="E1" s="30"/>
    </row>
    <row r="2" spans="1:8" x14ac:dyDescent="0.3">
      <c r="A2" s="8"/>
      <c r="C2" s="8"/>
      <c r="D2" s="8"/>
    </row>
    <row r="3" spans="1:8" x14ac:dyDescent="0.3">
      <c r="A3" s="8"/>
      <c r="C3" s="8"/>
      <c r="D3" s="8"/>
    </row>
    <row r="4" spans="1:8" x14ac:dyDescent="0.3">
      <c r="A4" s="8">
        <v>1</v>
      </c>
      <c r="B4" t="s">
        <v>131</v>
      </c>
      <c r="C4" s="9">
        <f>+'Asbest sanering'!L68</f>
        <v>57523.199999999997</v>
      </c>
      <c r="D4" s="8" t="s">
        <v>129</v>
      </c>
      <c r="F4" s="99" t="s">
        <v>165</v>
      </c>
      <c r="H4" s="99" t="s">
        <v>163</v>
      </c>
    </row>
    <row r="5" spans="1:8" x14ac:dyDescent="0.3">
      <c r="A5" s="8"/>
      <c r="C5" s="8"/>
      <c r="D5" s="8"/>
    </row>
    <row r="6" spans="1:8" x14ac:dyDescent="0.3">
      <c r="A6" s="8">
        <v>2</v>
      </c>
      <c r="B6" t="s">
        <v>132</v>
      </c>
      <c r="C6" s="9">
        <v>48240</v>
      </c>
      <c r="D6" s="8" t="s">
        <v>129</v>
      </c>
      <c r="F6" s="99" t="s">
        <v>164</v>
      </c>
      <c r="H6" s="99" t="s">
        <v>163</v>
      </c>
    </row>
    <row r="7" spans="1:8" x14ac:dyDescent="0.3">
      <c r="A7" s="8"/>
      <c r="C7" s="9"/>
      <c r="D7" s="8"/>
    </row>
    <row r="8" spans="1:8" x14ac:dyDescent="0.3">
      <c r="A8" s="8">
        <v>3</v>
      </c>
      <c r="B8" t="s">
        <v>157</v>
      </c>
      <c r="C8" s="9">
        <f>1987.5+1192.5</f>
        <v>3180</v>
      </c>
      <c r="D8" s="8" t="s">
        <v>129</v>
      </c>
      <c r="F8" s="99" t="s">
        <v>164</v>
      </c>
      <c r="H8" s="99" t="s">
        <v>163</v>
      </c>
    </row>
    <row r="9" spans="1:8" x14ac:dyDescent="0.3">
      <c r="A9" s="8"/>
      <c r="C9" s="9"/>
      <c r="D9" s="8"/>
    </row>
    <row r="10" spans="1:8" x14ac:dyDescent="0.3">
      <c r="A10" s="8">
        <v>4</v>
      </c>
      <c r="B10" t="s">
        <v>158</v>
      </c>
      <c r="C10" s="9">
        <v>24223.599999999999</v>
      </c>
      <c r="D10" s="8" t="s">
        <v>129</v>
      </c>
      <c r="F10" s="99" t="s">
        <v>165</v>
      </c>
    </row>
    <row r="11" spans="1:8" x14ac:dyDescent="0.3">
      <c r="A11" s="8"/>
      <c r="C11" s="9"/>
      <c r="D11" s="8"/>
    </row>
    <row r="12" spans="1:8" x14ac:dyDescent="0.3">
      <c r="A12" s="8">
        <v>5</v>
      </c>
      <c r="B12" t="s">
        <v>162</v>
      </c>
      <c r="C12" s="9">
        <v>3300</v>
      </c>
      <c r="D12" s="8" t="s">
        <v>129</v>
      </c>
      <c r="F12" s="99" t="s">
        <v>170</v>
      </c>
    </row>
    <row r="13" spans="1:8" x14ac:dyDescent="0.3">
      <c r="A13" s="8"/>
      <c r="C13" s="9"/>
      <c r="D13" s="8"/>
    </row>
    <row r="14" spans="1:8" x14ac:dyDescent="0.3">
      <c r="A14" s="8">
        <v>6</v>
      </c>
      <c r="B14" t="s">
        <v>161</v>
      </c>
      <c r="C14" s="9">
        <v>1750</v>
      </c>
      <c r="D14" s="8" t="s">
        <v>129</v>
      </c>
      <c r="F14" s="99" t="s">
        <v>170</v>
      </c>
    </row>
    <row r="15" spans="1:8" x14ac:dyDescent="0.3">
      <c r="A15" s="8"/>
      <c r="C15" s="8"/>
      <c r="D15" s="8"/>
    </row>
    <row r="16" spans="1:8" x14ac:dyDescent="0.3">
      <c r="A16" s="16">
        <v>7</v>
      </c>
      <c r="B16" s="12" t="s">
        <v>169</v>
      </c>
      <c r="C16" s="145">
        <v>-11600</v>
      </c>
      <c r="D16" s="16" t="s">
        <v>129</v>
      </c>
      <c r="F16" s="99" t="s">
        <v>171</v>
      </c>
    </row>
    <row r="17" spans="1:6" x14ac:dyDescent="0.3">
      <c r="A17" s="16"/>
      <c r="B17" s="12"/>
      <c r="C17" s="16"/>
      <c r="D17" s="16"/>
    </row>
    <row r="18" spans="1:6" x14ac:dyDescent="0.3">
      <c r="A18" s="16">
        <v>8</v>
      </c>
      <c r="B18" s="12" t="s">
        <v>172</v>
      </c>
      <c r="C18" s="145">
        <v>-8000</v>
      </c>
      <c r="D18" s="16" t="s">
        <v>129</v>
      </c>
      <c r="F18" s="99" t="s">
        <v>215</v>
      </c>
    </row>
    <row r="19" spans="1:6" x14ac:dyDescent="0.3">
      <c r="A19" s="8"/>
      <c r="C19" s="8"/>
      <c r="D19" s="8"/>
    </row>
    <row r="20" spans="1:6" x14ac:dyDescent="0.3">
      <c r="A20" s="8">
        <v>9</v>
      </c>
      <c r="B20" t="s">
        <v>189</v>
      </c>
      <c r="C20" s="8">
        <v>580</v>
      </c>
      <c r="D20" s="8" t="s">
        <v>129</v>
      </c>
      <c r="F20" s="99" t="s">
        <v>178</v>
      </c>
    </row>
    <row r="21" spans="1:6" x14ac:dyDescent="0.3">
      <c r="A21" s="8"/>
    </row>
    <row r="22" spans="1:6" x14ac:dyDescent="0.3">
      <c r="A22" s="16">
        <v>10</v>
      </c>
      <c r="B22" s="12" t="s">
        <v>173</v>
      </c>
      <c r="C22" s="145">
        <v>-1200</v>
      </c>
      <c r="D22" s="16" t="s">
        <v>129</v>
      </c>
      <c r="F22" s="99" t="s">
        <v>215</v>
      </c>
    </row>
    <row r="24" spans="1:6" x14ac:dyDescent="0.3">
      <c r="A24" s="8">
        <v>11</v>
      </c>
      <c r="B24" t="s">
        <v>187</v>
      </c>
      <c r="C24" s="23">
        <v>5390</v>
      </c>
      <c r="D24" s="8" t="s">
        <v>129</v>
      </c>
      <c r="F24" s="99" t="s">
        <v>188</v>
      </c>
    </row>
    <row r="26" spans="1:6" x14ac:dyDescent="0.3">
      <c r="A26" s="8">
        <v>12</v>
      </c>
      <c r="B26" t="s">
        <v>192</v>
      </c>
      <c r="C26" s="23">
        <v>3408</v>
      </c>
      <c r="D26" s="8" t="s">
        <v>129</v>
      </c>
      <c r="F26" s="99" t="s">
        <v>201</v>
      </c>
    </row>
    <row r="27" spans="1:6" x14ac:dyDescent="0.3">
      <c r="A27" s="8"/>
    </row>
    <row r="28" spans="1:6" x14ac:dyDescent="0.3">
      <c r="A28" s="16">
        <v>13</v>
      </c>
      <c r="B28" s="12" t="s">
        <v>214</v>
      </c>
      <c r="C28" s="145">
        <v>-920</v>
      </c>
      <c r="D28" s="16" t="s">
        <v>129</v>
      </c>
      <c r="F28" s="99" t="s">
        <v>215</v>
      </c>
    </row>
    <row r="29" spans="1:6" x14ac:dyDescent="0.3">
      <c r="A29" s="8"/>
    </row>
    <row r="30" spans="1:6" x14ac:dyDescent="0.3">
      <c r="A30" s="8">
        <v>14</v>
      </c>
      <c r="B30" t="s">
        <v>216</v>
      </c>
      <c r="C30" s="17">
        <v>850</v>
      </c>
      <c r="D30" s="20" t="s">
        <v>129</v>
      </c>
      <c r="F30" s="99" t="s">
        <v>217</v>
      </c>
    </row>
    <row r="31" spans="1:6" x14ac:dyDescent="0.3">
      <c r="A31" s="8"/>
    </row>
    <row r="32" spans="1:6" x14ac:dyDescent="0.3">
      <c r="A32" s="8"/>
      <c r="B32" s="37" t="s">
        <v>218</v>
      </c>
      <c r="C32" s="112">
        <f>SUM(C10:C30)</f>
        <v>17781.599999999999</v>
      </c>
      <c r="D32" s="47" t="s">
        <v>129</v>
      </c>
    </row>
    <row r="33" spans="1:6" x14ac:dyDescent="0.3">
      <c r="A33" s="8"/>
    </row>
    <row r="34" spans="1:6" x14ac:dyDescent="0.3">
      <c r="A34" s="8"/>
    </row>
    <row r="38" spans="1:6" x14ac:dyDescent="0.3">
      <c r="A38" s="8"/>
    </row>
    <row r="40" spans="1:6" x14ac:dyDescent="0.3">
      <c r="A40" s="8"/>
      <c r="B40" s="11" t="s">
        <v>177</v>
      </c>
    </row>
    <row r="41" spans="1:6" x14ac:dyDescent="0.3">
      <c r="A41" s="8"/>
    </row>
    <row r="42" spans="1:6" x14ac:dyDescent="0.3">
      <c r="A42" s="8">
        <v>1</v>
      </c>
      <c r="B42" t="s">
        <v>190</v>
      </c>
      <c r="C42" s="9">
        <v>1500</v>
      </c>
      <c r="D42" s="8" t="s">
        <v>129</v>
      </c>
      <c r="F42" s="99" t="s">
        <v>191</v>
      </c>
    </row>
  </sheetData>
  <pageMargins left="0.7" right="0.7" top="0.75" bottom="0.75" header="0.3" footer="0.3"/>
  <pageSetup paperSize="9" scale="77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7404D9-070E-409D-86CE-F409261026AA}">
  <sheetPr>
    <pageSetUpPr fitToPage="1"/>
  </sheetPr>
  <dimension ref="A1:L70"/>
  <sheetViews>
    <sheetView workbookViewId="0">
      <selection activeCell="G80" sqref="G80"/>
    </sheetView>
  </sheetViews>
  <sheetFormatPr defaultRowHeight="14.4" x14ac:dyDescent="0.3"/>
  <cols>
    <col min="1" max="1" width="68" bestFit="1" customWidth="1"/>
    <col min="2" max="2" width="4" customWidth="1"/>
    <col min="4" max="4" width="11.6640625" bestFit="1" customWidth="1"/>
    <col min="7" max="7" width="10.44140625" bestFit="1" customWidth="1"/>
    <col min="12" max="12" width="16.6640625" bestFit="1" customWidth="1"/>
  </cols>
  <sheetData>
    <row r="1" spans="1:12" ht="18" x14ac:dyDescent="0.35">
      <c r="A1" s="61" t="s">
        <v>154</v>
      </c>
      <c r="B1" s="29"/>
      <c r="K1" s="14" t="s">
        <v>72</v>
      </c>
      <c r="L1" s="43">
        <f ca="1">TODAY()</f>
        <v>45632</v>
      </c>
    </row>
    <row r="2" spans="1:12" ht="18.600000000000001" thickBot="1" x14ac:dyDescent="0.4">
      <c r="A2" s="29"/>
      <c r="B2" s="29"/>
      <c r="L2" s="43"/>
    </row>
    <row r="3" spans="1:12" ht="14.25" customHeight="1" thickBot="1" x14ac:dyDescent="0.4">
      <c r="A3" s="29"/>
      <c r="B3" s="29"/>
      <c r="C3" s="56" t="s">
        <v>73</v>
      </c>
      <c r="D3" s="56" t="s">
        <v>1</v>
      </c>
      <c r="E3" s="57" t="s">
        <v>74</v>
      </c>
      <c r="F3" s="57" t="s">
        <v>4</v>
      </c>
      <c r="G3" s="58" t="s">
        <v>3</v>
      </c>
      <c r="H3" s="59" t="s">
        <v>5</v>
      </c>
      <c r="I3" s="57" t="s">
        <v>75</v>
      </c>
      <c r="J3" s="57" t="s">
        <v>6</v>
      </c>
      <c r="K3" s="40"/>
      <c r="L3" s="57" t="s">
        <v>6</v>
      </c>
    </row>
    <row r="4" spans="1:12" ht="15.6" x14ac:dyDescent="0.3">
      <c r="A4" s="11" t="s">
        <v>76</v>
      </c>
      <c r="B4" s="45"/>
      <c r="C4" s="47"/>
      <c r="D4" s="47"/>
      <c r="E4" s="40"/>
      <c r="F4" s="40"/>
      <c r="G4" s="40"/>
      <c r="H4" s="48"/>
      <c r="I4" s="40"/>
      <c r="J4" s="40"/>
      <c r="K4" s="40"/>
      <c r="L4" s="36">
        <v>20838</v>
      </c>
    </row>
    <row r="5" spans="1:12" x14ac:dyDescent="0.3">
      <c r="A5" t="s">
        <v>77</v>
      </c>
      <c r="B5" s="42"/>
      <c r="C5" s="20" t="s">
        <v>78</v>
      </c>
      <c r="F5" s="31">
        <v>0</v>
      </c>
      <c r="G5" s="51">
        <v>4000</v>
      </c>
      <c r="H5" s="52">
        <v>7.4999999999999997E-2</v>
      </c>
      <c r="I5" s="31">
        <v>4300</v>
      </c>
      <c r="J5" s="49">
        <v>4300</v>
      </c>
      <c r="K5" s="49"/>
    </row>
    <row r="6" spans="1:12" x14ac:dyDescent="0.3">
      <c r="A6" t="s">
        <v>79</v>
      </c>
      <c r="B6" s="42"/>
      <c r="C6" s="20" t="s">
        <v>78</v>
      </c>
      <c r="G6" s="51">
        <v>1750</v>
      </c>
      <c r="H6" s="52"/>
      <c r="I6" s="31">
        <v>1750</v>
      </c>
      <c r="J6" s="49">
        <v>1750</v>
      </c>
      <c r="K6" s="49"/>
    </row>
    <row r="7" spans="1:12" x14ac:dyDescent="0.3">
      <c r="A7" t="s">
        <v>80</v>
      </c>
      <c r="B7" s="42"/>
      <c r="C7" s="20" t="s">
        <v>78</v>
      </c>
      <c r="D7" s="8">
        <v>188.73</v>
      </c>
      <c r="E7" s="31">
        <v>10</v>
      </c>
      <c r="F7" s="31">
        <v>1887.3</v>
      </c>
      <c r="G7" s="51">
        <v>9000</v>
      </c>
      <c r="H7" s="52">
        <v>7.4999999999999997E-2</v>
      </c>
      <c r="I7" s="31">
        <v>9675</v>
      </c>
      <c r="J7" s="49">
        <v>11563</v>
      </c>
      <c r="K7" s="49"/>
    </row>
    <row r="8" spans="1:12" x14ac:dyDescent="0.3">
      <c r="A8" s="19" t="s">
        <v>81</v>
      </c>
      <c r="B8" s="42"/>
      <c r="C8" s="20" t="s">
        <v>78</v>
      </c>
      <c r="D8" s="20"/>
      <c r="F8" s="31">
        <v>0</v>
      </c>
      <c r="G8" s="34">
        <v>3000</v>
      </c>
      <c r="H8" s="52">
        <v>7.4999999999999997E-2</v>
      </c>
      <c r="I8" s="31">
        <v>3225</v>
      </c>
      <c r="J8" s="49">
        <v>3225</v>
      </c>
      <c r="K8" s="49"/>
    </row>
    <row r="9" spans="1:12" x14ac:dyDescent="0.3">
      <c r="B9" s="19"/>
      <c r="C9" s="20" t="s">
        <v>78</v>
      </c>
      <c r="F9" s="31">
        <v>0</v>
      </c>
      <c r="G9" s="51"/>
      <c r="H9" s="52"/>
      <c r="I9" s="31">
        <v>0</v>
      </c>
      <c r="J9" s="49" t="s">
        <v>87</v>
      </c>
      <c r="K9" s="49"/>
    </row>
    <row r="10" spans="1:12" x14ac:dyDescent="0.3">
      <c r="A10" s="19"/>
      <c r="B10" s="19"/>
      <c r="C10" s="20" t="s">
        <v>78</v>
      </c>
      <c r="D10" s="20"/>
      <c r="F10" s="31">
        <v>0</v>
      </c>
      <c r="G10" s="51"/>
      <c r="H10" s="52"/>
      <c r="I10" s="31">
        <v>0</v>
      </c>
      <c r="J10" s="49" t="s">
        <v>87</v>
      </c>
      <c r="K10" s="49"/>
    </row>
    <row r="11" spans="1:12" x14ac:dyDescent="0.3">
      <c r="A11" s="19"/>
      <c r="B11" s="19"/>
      <c r="D11" s="20"/>
      <c r="E11" s="53"/>
      <c r="F11" s="53"/>
      <c r="G11" s="31"/>
      <c r="H11" s="54"/>
      <c r="I11" s="31"/>
      <c r="J11" s="49" t="s">
        <v>87</v>
      </c>
      <c r="K11" s="49"/>
    </row>
    <row r="12" spans="1:12" ht="15.6" x14ac:dyDescent="0.3">
      <c r="B12" s="46"/>
      <c r="C12" s="47"/>
      <c r="D12" s="47"/>
      <c r="E12" s="40"/>
      <c r="F12" s="40"/>
      <c r="G12" s="40"/>
      <c r="H12" s="48"/>
      <c r="I12" s="36"/>
      <c r="J12" s="49" t="s">
        <v>87</v>
      </c>
      <c r="K12" s="50"/>
      <c r="L12" s="36">
        <v>38616</v>
      </c>
    </row>
    <row r="13" spans="1:12" x14ac:dyDescent="0.3">
      <c r="A13" s="11" t="s">
        <v>82</v>
      </c>
      <c r="B13" s="19"/>
      <c r="C13" s="20" t="s">
        <v>78</v>
      </c>
      <c r="D13" s="20"/>
      <c r="E13" s="53"/>
      <c r="F13" s="31">
        <v>0</v>
      </c>
      <c r="G13" s="51">
        <v>23947.5</v>
      </c>
      <c r="H13" s="52">
        <v>7.4999999999999997E-2</v>
      </c>
      <c r="I13" s="31">
        <v>25743.5625</v>
      </c>
      <c r="J13" s="49">
        <v>25744</v>
      </c>
      <c r="K13" s="49"/>
    </row>
    <row r="14" spans="1:12" x14ac:dyDescent="0.3">
      <c r="A14" s="19"/>
      <c r="B14" s="19"/>
      <c r="C14" s="20"/>
      <c r="H14" s="52"/>
      <c r="I14" s="31"/>
      <c r="J14" s="49" t="s">
        <v>87</v>
      </c>
      <c r="K14" s="49"/>
    </row>
    <row r="15" spans="1:12" x14ac:dyDescent="0.3">
      <c r="A15" s="11" t="s">
        <v>83</v>
      </c>
      <c r="B15" s="19"/>
      <c r="C15" s="20" t="s">
        <v>78</v>
      </c>
      <c r="F15" s="31">
        <v>0</v>
      </c>
      <c r="G15" s="34">
        <v>11973.75</v>
      </c>
      <c r="H15" s="52">
        <v>7.4999999999999997E-2</v>
      </c>
      <c r="I15" s="31">
        <v>12871.78125</v>
      </c>
      <c r="J15" s="49">
        <v>12872</v>
      </c>
      <c r="K15" s="49"/>
    </row>
    <row r="16" spans="1:12" hidden="1" x14ac:dyDescent="0.3">
      <c r="A16" s="19"/>
      <c r="B16" s="19"/>
      <c r="C16" s="20"/>
      <c r="H16" s="52"/>
      <c r="I16" s="31"/>
      <c r="J16" s="49">
        <v>12872</v>
      </c>
      <c r="K16" s="49"/>
    </row>
    <row r="17" spans="1:12" hidden="1" x14ac:dyDescent="0.3">
      <c r="A17" s="19"/>
      <c r="B17" s="19"/>
      <c r="C17" s="20"/>
      <c r="H17" s="52"/>
      <c r="I17" s="31"/>
      <c r="J17" s="49">
        <v>12872</v>
      </c>
      <c r="K17" s="49"/>
    </row>
    <row r="18" spans="1:12" hidden="1" x14ac:dyDescent="0.3">
      <c r="A18" s="19"/>
      <c r="B18" s="19"/>
      <c r="G18" s="55"/>
      <c r="H18" s="52"/>
      <c r="I18" s="31"/>
      <c r="J18" s="49">
        <v>12872</v>
      </c>
      <c r="K18" s="49"/>
    </row>
    <row r="19" spans="1:12" ht="15.6" hidden="1" x14ac:dyDescent="0.3">
      <c r="B19" s="46"/>
      <c r="C19" s="47"/>
      <c r="D19" s="47"/>
      <c r="E19" s="40"/>
      <c r="F19" s="40"/>
      <c r="G19" s="40"/>
      <c r="H19" s="48"/>
      <c r="I19" s="36"/>
      <c r="J19" s="49">
        <v>12872</v>
      </c>
      <c r="K19" s="50"/>
      <c r="L19" s="36"/>
    </row>
    <row r="20" spans="1:12" hidden="1" x14ac:dyDescent="0.3">
      <c r="A20" s="19"/>
      <c r="B20" s="19"/>
      <c r="C20" s="20"/>
      <c r="G20" s="51"/>
      <c r="H20" s="52"/>
      <c r="I20" s="31"/>
      <c r="J20" s="49">
        <v>12872</v>
      </c>
      <c r="K20" s="49"/>
    </row>
    <row r="21" spans="1:12" hidden="1" x14ac:dyDescent="0.3">
      <c r="A21" s="19"/>
      <c r="B21" s="19"/>
      <c r="C21" s="20"/>
      <c r="G21" s="51"/>
      <c r="H21" s="52"/>
      <c r="I21" s="31"/>
      <c r="J21" s="49">
        <v>12872</v>
      </c>
      <c r="K21" s="49"/>
    </row>
    <row r="22" spans="1:12" hidden="1" x14ac:dyDescent="0.3">
      <c r="A22" s="19"/>
      <c r="B22" s="19"/>
      <c r="C22" s="20"/>
      <c r="H22" s="52"/>
      <c r="I22" s="31"/>
      <c r="J22" s="49">
        <v>12872</v>
      </c>
      <c r="K22" s="49"/>
    </row>
    <row r="23" spans="1:12" hidden="1" x14ac:dyDescent="0.3">
      <c r="A23" s="19"/>
      <c r="B23" s="19"/>
      <c r="C23" s="20"/>
      <c r="H23" s="52"/>
      <c r="I23" s="31"/>
      <c r="J23" s="49">
        <v>12872</v>
      </c>
      <c r="K23" s="49"/>
    </row>
    <row r="24" spans="1:12" hidden="1" x14ac:dyDescent="0.3">
      <c r="A24" s="19"/>
      <c r="B24" s="19"/>
      <c r="C24" s="20"/>
      <c r="D24" s="20"/>
      <c r="E24" s="53"/>
      <c r="H24" s="52"/>
      <c r="I24" s="31"/>
      <c r="J24" s="49">
        <v>12872</v>
      </c>
      <c r="K24" s="49"/>
    </row>
    <row r="25" spans="1:12" hidden="1" x14ac:dyDescent="0.3">
      <c r="A25" s="19"/>
      <c r="B25" s="19"/>
      <c r="C25" s="20"/>
      <c r="H25" s="52"/>
      <c r="I25" s="31"/>
      <c r="J25" s="49">
        <v>12872</v>
      </c>
      <c r="K25" s="49"/>
    </row>
    <row r="26" spans="1:12" hidden="1" x14ac:dyDescent="0.3">
      <c r="A26" s="19"/>
      <c r="B26" s="19"/>
      <c r="C26" s="20"/>
      <c r="H26" s="52"/>
      <c r="I26" s="31"/>
      <c r="J26" s="49">
        <v>12872</v>
      </c>
      <c r="K26" s="49"/>
    </row>
    <row r="27" spans="1:12" hidden="1" x14ac:dyDescent="0.3">
      <c r="A27" s="19"/>
      <c r="B27" s="19"/>
      <c r="G27" s="55"/>
      <c r="H27" s="52"/>
      <c r="I27" s="31"/>
      <c r="J27" s="49">
        <v>12872</v>
      </c>
      <c r="K27" s="49"/>
      <c r="L27" s="36"/>
    </row>
    <row r="28" spans="1:12" ht="15.6" hidden="1" x14ac:dyDescent="0.3">
      <c r="A28" s="11" t="s">
        <v>88</v>
      </c>
      <c r="B28" s="46"/>
      <c r="C28" s="47"/>
      <c r="D28" s="47"/>
      <c r="E28" s="40"/>
      <c r="F28" s="40"/>
      <c r="G28" s="40"/>
      <c r="H28" s="48"/>
      <c r="I28" s="36"/>
      <c r="J28" s="49">
        <v>12872</v>
      </c>
      <c r="K28" s="50"/>
      <c r="L28" s="36">
        <v>0</v>
      </c>
    </row>
    <row r="29" spans="1:12" hidden="1" x14ac:dyDescent="0.3">
      <c r="A29" s="19"/>
      <c r="B29" s="19"/>
      <c r="C29" s="20" t="s">
        <v>78</v>
      </c>
      <c r="D29" s="31"/>
      <c r="E29" s="34"/>
      <c r="F29" s="31">
        <v>0</v>
      </c>
      <c r="H29" s="54"/>
      <c r="I29" s="31">
        <v>0</v>
      </c>
      <c r="J29" s="49">
        <v>12872</v>
      </c>
      <c r="K29" s="49"/>
    </row>
    <row r="30" spans="1:12" hidden="1" x14ac:dyDescent="0.3">
      <c r="A30" s="19"/>
      <c r="B30" s="19"/>
      <c r="C30" s="20" t="s">
        <v>78</v>
      </c>
      <c r="D30" s="31"/>
      <c r="E30" s="34"/>
      <c r="F30" s="31">
        <v>0</v>
      </c>
      <c r="H30" s="54"/>
      <c r="I30" s="31">
        <v>0</v>
      </c>
      <c r="J30" s="49">
        <v>12872</v>
      </c>
      <c r="K30" s="49"/>
    </row>
    <row r="31" spans="1:12" hidden="1" x14ac:dyDescent="0.3">
      <c r="A31" s="19"/>
      <c r="B31" s="19"/>
      <c r="C31" s="20" t="s">
        <v>78</v>
      </c>
      <c r="D31" s="31"/>
      <c r="E31" s="34"/>
      <c r="F31" s="31">
        <v>0</v>
      </c>
      <c r="H31" s="54"/>
      <c r="I31" s="31">
        <v>0</v>
      </c>
      <c r="J31" s="49">
        <v>12872</v>
      </c>
      <c r="K31" s="49"/>
    </row>
    <row r="32" spans="1:12" hidden="1" x14ac:dyDescent="0.3">
      <c r="A32" s="19"/>
      <c r="B32" s="19"/>
      <c r="C32" s="20" t="s">
        <v>78</v>
      </c>
      <c r="D32" s="31"/>
      <c r="E32" s="34"/>
      <c r="F32" s="31">
        <v>0</v>
      </c>
      <c r="H32" s="54"/>
      <c r="I32" s="31">
        <v>0</v>
      </c>
      <c r="J32" s="49">
        <v>12872</v>
      </c>
      <c r="K32" s="49"/>
    </row>
    <row r="33" spans="1:12" hidden="1" x14ac:dyDescent="0.3">
      <c r="A33" s="19"/>
      <c r="B33" s="19"/>
      <c r="C33" s="20" t="s">
        <v>78</v>
      </c>
      <c r="D33" s="31"/>
      <c r="E33" s="34"/>
      <c r="F33" s="31">
        <v>0</v>
      </c>
      <c r="H33" s="54"/>
      <c r="I33" s="31">
        <v>0</v>
      </c>
      <c r="J33" s="49">
        <v>12872</v>
      </c>
      <c r="K33" s="49"/>
    </row>
    <row r="34" spans="1:12" hidden="1" x14ac:dyDescent="0.3">
      <c r="A34" s="19"/>
      <c r="B34" s="19"/>
      <c r="C34" s="20" t="s">
        <v>78</v>
      </c>
      <c r="D34" s="31"/>
      <c r="E34" s="34"/>
      <c r="F34" s="31">
        <v>0</v>
      </c>
      <c r="H34" s="54"/>
      <c r="I34" s="31">
        <v>0</v>
      </c>
      <c r="J34" s="49">
        <v>12872</v>
      </c>
      <c r="K34" s="49"/>
    </row>
    <row r="35" spans="1:12" hidden="1" x14ac:dyDescent="0.3">
      <c r="A35" s="19"/>
      <c r="B35" s="19"/>
      <c r="C35" s="20"/>
      <c r="D35" s="31"/>
      <c r="H35" s="54"/>
      <c r="I35" s="31"/>
      <c r="J35" s="49">
        <v>12872</v>
      </c>
      <c r="K35" s="49"/>
    </row>
    <row r="36" spans="1:12" ht="15.6" hidden="1" x14ac:dyDescent="0.3">
      <c r="A36" s="11" t="s">
        <v>89</v>
      </c>
      <c r="B36" s="46"/>
      <c r="C36" s="47"/>
      <c r="D36" s="47"/>
      <c r="E36" s="40"/>
      <c r="F36" s="40"/>
      <c r="G36" s="40"/>
      <c r="H36" s="48"/>
      <c r="I36" s="36"/>
      <c r="J36" s="49">
        <v>12872</v>
      </c>
      <c r="K36" s="50"/>
      <c r="L36" s="36">
        <v>0</v>
      </c>
    </row>
    <row r="37" spans="1:12" hidden="1" x14ac:dyDescent="0.3">
      <c r="A37" s="44"/>
      <c r="B37" s="44"/>
      <c r="C37" s="20" t="s">
        <v>78</v>
      </c>
      <c r="D37" s="47"/>
      <c r="E37" s="40"/>
      <c r="F37" s="31">
        <v>0</v>
      </c>
      <c r="H37" s="54"/>
      <c r="I37" s="31">
        <v>0</v>
      </c>
      <c r="J37" s="49">
        <v>12872</v>
      </c>
      <c r="K37" s="49"/>
      <c r="L37" s="36"/>
    </row>
    <row r="38" spans="1:12" hidden="1" x14ac:dyDescent="0.3">
      <c r="C38" s="20" t="s">
        <v>78</v>
      </c>
      <c r="F38" s="31">
        <v>0</v>
      </c>
      <c r="H38" s="54"/>
      <c r="I38" s="31">
        <v>0</v>
      </c>
      <c r="J38" s="49">
        <v>12872</v>
      </c>
      <c r="K38" s="49"/>
    </row>
    <row r="39" spans="1:12" hidden="1" x14ac:dyDescent="0.3">
      <c r="C39" s="20" t="s">
        <v>78</v>
      </c>
      <c r="F39" s="31">
        <v>0</v>
      </c>
      <c r="H39" s="54"/>
      <c r="I39" s="31">
        <v>0</v>
      </c>
      <c r="J39" s="49">
        <v>12872</v>
      </c>
      <c r="K39" s="49"/>
    </row>
    <row r="40" spans="1:12" hidden="1" x14ac:dyDescent="0.3">
      <c r="C40" s="20" t="s">
        <v>78</v>
      </c>
      <c r="F40" s="31">
        <v>0</v>
      </c>
      <c r="H40" s="54"/>
      <c r="I40" s="31">
        <v>0</v>
      </c>
      <c r="J40" s="49">
        <v>12872</v>
      </c>
      <c r="K40" s="49"/>
    </row>
    <row r="41" spans="1:12" hidden="1" x14ac:dyDescent="0.3">
      <c r="C41" s="20" t="s">
        <v>78</v>
      </c>
      <c r="F41" s="31">
        <v>0</v>
      </c>
      <c r="H41" s="54"/>
      <c r="I41" s="31">
        <v>0</v>
      </c>
      <c r="J41" s="49">
        <v>12872</v>
      </c>
      <c r="K41" s="49"/>
    </row>
    <row r="42" spans="1:12" hidden="1" x14ac:dyDescent="0.3">
      <c r="C42" s="20" t="s">
        <v>78</v>
      </c>
      <c r="F42" s="31">
        <v>0</v>
      </c>
      <c r="H42" s="54"/>
      <c r="I42" s="31">
        <v>0</v>
      </c>
      <c r="J42" s="49">
        <v>12872</v>
      </c>
      <c r="K42" s="49"/>
    </row>
    <row r="43" spans="1:12" hidden="1" x14ac:dyDescent="0.3">
      <c r="C43" s="20"/>
      <c r="H43" s="54"/>
      <c r="I43" s="31"/>
      <c r="J43" s="49">
        <v>12872</v>
      </c>
      <c r="K43" s="49"/>
    </row>
    <row r="44" spans="1:12" ht="15.6" hidden="1" x14ac:dyDescent="0.3">
      <c r="A44" s="11" t="s">
        <v>23</v>
      </c>
      <c r="B44" s="46"/>
      <c r="C44" s="47"/>
      <c r="D44" s="47"/>
      <c r="E44" s="40"/>
      <c r="F44" s="40"/>
      <c r="G44" s="40"/>
      <c r="H44" s="48"/>
      <c r="I44" s="36"/>
      <c r="J44" s="49">
        <v>12872</v>
      </c>
      <c r="K44" s="50"/>
      <c r="L44" s="36">
        <v>0</v>
      </c>
    </row>
    <row r="45" spans="1:12" hidden="1" x14ac:dyDescent="0.3">
      <c r="A45" s="19"/>
      <c r="B45" s="19"/>
      <c r="C45" s="20" t="s">
        <v>78</v>
      </c>
      <c r="D45" s="31"/>
      <c r="E45" s="34"/>
      <c r="F45" s="31">
        <v>0</v>
      </c>
      <c r="G45" s="51"/>
      <c r="H45" s="52"/>
      <c r="I45" s="31">
        <v>0</v>
      </c>
      <c r="J45" s="49">
        <v>12872</v>
      </c>
      <c r="K45" s="49"/>
    </row>
    <row r="46" spans="1:12" hidden="1" x14ac:dyDescent="0.3">
      <c r="A46" s="19"/>
      <c r="B46" s="19"/>
      <c r="C46" s="20" t="s">
        <v>78</v>
      </c>
      <c r="D46" s="31"/>
      <c r="E46" s="34"/>
      <c r="F46" s="31">
        <v>0</v>
      </c>
      <c r="H46" s="52"/>
      <c r="I46" s="31">
        <v>0</v>
      </c>
      <c r="J46" s="49">
        <v>12872</v>
      </c>
      <c r="K46" s="49"/>
    </row>
    <row r="47" spans="1:12" hidden="1" x14ac:dyDescent="0.3">
      <c r="A47" s="19"/>
      <c r="B47" s="19"/>
      <c r="C47" s="20" t="s">
        <v>78</v>
      </c>
      <c r="D47" s="31"/>
      <c r="E47" s="34"/>
      <c r="F47" s="31">
        <v>0</v>
      </c>
      <c r="H47" s="52"/>
      <c r="I47" s="31">
        <v>0</v>
      </c>
      <c r="J47" s="49">
        <v>12872</v>
      </c>
      <c r="K47" s="49"/>
    </row>
    <row r="48" spans="1:12" hidden="1" x14ac:dyDescent="0.3">
      <c r="A48" s="19"/>
      <c r="B48" s="19"/>
      <c r="C48" s="20" t="s">
        <v>78</v>
      </c>
      <c r="D48" s="31"/>
      <c r="F48" s="31">
        <v>0</v>
      </c>
      <c r="H48" s="52"/>
      <c r="I48" s="31">
        <v>0</v>
      </c>
      <c r="J48" s="49">
        <v>12872</v>
      </c>
      <c r="K48" s="49"/>
    </row>
    <row r="49" spans="1:12" hidden="1" x14ac:dyDescent="0.3">
      <c r="A49" s="19"/>
      <c r="B49" s="19"/>
      <c r="C49" s="20" t="s">
        <v>78</v>
      </c>
      <c r="D49" s="31"/>
      <c r="E49" s="34"/>
      <c r="F49" s="31">
        <v>0</v>
      </c>
      <c r="H49" s="52"/>
      <c r="I49" s="31">
        <v>0</v>
      </c>
      <c r="J49" s="49">
        <v>12872</v>
      </c>
      <c r="K49" s="49"/>
    </row>
    <row r="50" spans="1:12" hidden="1" x14ac:dyDescent="0.3">
      <c r="A50" s="19"/>
      <c r="B50" s="19"/>
      <c r="C50" s="20" t="s">
        <v>78</v>
      </c>
      <c r="D50" s="31"/>
      <c r="E50" s="34"/>
      <c r="F50" s="31">
        <v>0</v>
      </c>
      <c r="H50" s="52"/>
      <c r="I50" s="31">
        <v>0</v>
      </c>
      <c r="J50" s="49">
        <v>12872</v>
      </c>
      <c r="K50" s="49"/>
    </row>
    <row r="51" spans="1:12" hidden="1" x14ac:dyDescent="0.3">
      <c r="A51" s="19"/>
      <c r="B51" s="19"/>
      <c r="C51" s="20" t="s">
        <v>78</v>
      </c>
      <c r="D51" s="31"/>
      <c r="E51" s="34"/>
      <c r="G51" s="55"/>
      <c r="H51" s="52"/>
      <c r="I51" s="31"/>
      <c r="J51" s="49">
        <v>12872</v>
      </c>
      <c r="K51" s="49"/>
    </row>
    <row r="52" spans="1:12" ht="15.6" hidden="1" x14ac:dyDescent="0.3">
      <c r="A52" s="11" t="s">
        <v>26</v>
      </c>
      <c r="B52" s="46"/>
      <c r="C52" s="47"/>
      <c r="D52" s="47"/>
      <c r="E52" s="40"/>
      <c r="F52" s="40"/>
      <c r="G52" s="40"/>
      <c r="H52" s="48"/>
      <c r="I52" s="36"/>
      <c r="J52" s="49">
        <v>12872</v>
      </c>
      <c r="K52" s="50"/>
      <c r="L52" s="36">
        <v>0</v>
      </c>
    </row>
    <row r="53" spans="1:12" hidden="1" x14ac:dyDescent="0.3">
      <c r="A53" s="19"/>
      <c r="B53" s="19"/>
      <c r="C53" s="20" t="s">
        <v>78</v>
      </c>
      <c r="F53" s="31">
        <v>0</v>
      </c>
      <c r="G53" s="40"/>
      <c r="H53" s="54"/>
      <c r="I53" s="31">
        <v>0</v>
      </c>
      <c r="J53" s="49">
        <v>12872</v>
      </c>
      <c r="K53" s="49"/>
    </row>
    <row r="54" spans="1:12" hidden="1" x14ac:dyDescent="0.3">
      <c r="A54" s="19"/>
      <c r="B54" s="19"/>
      <c r="C54" s="20" t="s">
        <v>78</v>
      </c>
      <c r="F54" s="31">
        <v>0</v>
      </c>
      <c r="G54" s="40"/>
      <c r="H54" s="54"/>
      <c r="I54" s="31">
        <v>0</v>
      </c>
      <c r="J54" s="49">
        <v>12872</v>
      </c>
      <c r="K54" s="49"/>
    </row>
    <row r="55" spans="1:12" hidden="1" x14ac:dyDescent="0.3">
      <c r="A55" s="19"/>
      <c r="B55" s="19"/>
      <c r="C55" s="20" t="s">
        <v>78</v>
      </c>
      <c r="F55" s="31">
        <v>0</v>
      </c>
      <c r="G55" s="49"/>
      <c r="H55" s="54"/>
      <c r="I55" s="31">
        <v>0</v>
      </c>
      <c r="J55" s="49">
        <v>12872</v>
      </c>
      <c r="K55" s="49"/>
    </row>
    <row r="56" spans="1:12" hidden="1" x14ac:dyDescent="0.3">
      <c r="A56" s="19"/>
      <c r="B56" s="19"/>
      <c r="C56" s="20" t="s">
        <v>78</v>
      </c>
      <c r="F56" s="31">
        <v>0</v>
      </c>
      <c r="G56" s="49"/>
      <c r="H56" s="54"/>
      <c r="I56" s="31">
        <v>0</v>
      </c>
      <c r="J56" s="49">
        <v>12872</v>
      </c>
      <c r="K56" s="49"/>
    </row>
    <row r="57" spans="1:12" hidden="1" x14ac:dyDescent="0.3">
      <c r="A57" s="19"/>
      <c r="B57" s="19"/>
      <c r="C57" s="20" t="s">
        <v>78</v>
      </c>
      <c r="F57" s="31">
        <v>0</v>
      </c>
      <c r="G57" s="49"/>
      <c r="H57" s="54"/>
      <c r="I57" s="31">
        <v>0</v>
      </c>
      <c r="J57" s="49">
        <v>12872</v>
      </c>
      <c r="K57" s="49"/>
    </row>
    <row r="58" spans="1:12" hidden="1" x14ac:dyDescent="0.3">
      <c r="A58" s="19"/>
      <c r="B58" s="19"/>
      <c r="C58" s="20"/>
      <c r="F58" s="31">
        <v>0</v>
      </c>
      <c r="G58" s="49"/>
      <c r="H58" s="54"/>
      <c r="I58" s="31">
        <v>0</v>
      </c>
      <c r="J58" s="49">
        <v>12872</v>
      </c>
      <c r="K58" s="49"/>
    </row>
    <row r="59" spans="1:12" ht="15.6" hidden="1" x14ac:dyDescent="0.3">
      <c r="A59" s="11" t="s">
        <v>27</v>
      </c>
      <c r="B59" s="46"/>
      <c r="C59" s="47"/>
      <c r="D59" s="47"/>
      <c r="E59" s="40"/>
      <c r="F59" s="40"/>
      <c r="G59" s="40"/>
      <c r="H59" s="48"/>
      <c r="I59" s="36"/>
      <c r="J59" s="49">
        <v>12872</v>
      </c>
      <c r="K59" s="50"/>
      <c r="L59" s="36">
        <v>0</v>
      </c>
    </row>
    <row r="60" spans="1:12" hidden="1" x14ac:dyDescent="0.3">
      <c r="A60" s="19"/>
      <c r="B60" s="19"/>
      <c r="C60" s="20" t="s">
        <v>78</v>
      </c>
      <c r="F60" s="31">
        <v>0</v>
      </c>
      <c r="G60" s="40"/>
      <c r="H60" s="54"/>
      <c r="I60" s="31">
        <v>0</v>
      </c>
      <c r="J60" s="49">
        <v>12872</v>
      </c>
      <c r="K60" s="49"/>
    </row>
    <row r="61" spans="1:12" hidden="1" x14ac:dyDescent="0.3">
      <c r="C61" s="20" t="s">
        <v>78</v>
      </c>
      <c r="F61" s="31">
        <v>0</v>
      </c>
      <c r="G61" s="40"/>
      <c r="H61" s="54"/>
      <c r="I61" s="31">
        <v>0</v>
      </c>
      <c r="J61" s="49">
        <v>12872</v>
      </c>
      <c r="K61" s="49"/>
    </row>
    <row r="62" spans="1:12" hidden="1" x14ac:dyDescent="0.3">
      <c r="C62" s="20" t="s">
        <v>78</v>
      </c>
      <c r="F62" s="31">
        <v>0</v>
      </c>
      <c r="G62" s="49"/>
      <c r="H62" s="54"/>
      <c r="I62" s="31">
        <v>0</v>
      </c>
      <c r="J62" s="49">
        <v>12872</v>
      </c>
      <c r="K62" s="49"/>
    </row>
    <row r="63" spans="1:12" hidden="1" x14ac:dyDescent="0.3">
      <c r="C63" s="20" t="s">
        <v>78</v>
      </c>
      <c r="F63" s="31">
        <v>0</v>
      </c>
      <c r="G63" s="49"/>
      <c r="H63" s="54"/>
      <c r="I63" s="31">
        <v>0</v>
      </c>
      <c r="J63" s="49">
        <v>12872</v>
      </c>
      <c r="K63" s="49"/>
    </row>
    <row r="64" spans="1:12" hidden="1" x14ac:dyDescent="0.3">
      <c r="C64" s="20" t="s">
        <v>78</v>
      </c>
      <c r="F64" s="31">
        <v>0</v>
      </c>
      <c r="G64" s="49"/>
      <c r="H64" s="54"/>
      <c r="I64" s="31">
        <v>0</v>
      </c>
      <c r="J64" s="49">
        <v>12872</v>
      </c>
      <c r="K64" s="49"/>
    </row>
    <row r="65" spans="1:12" x14ac:dyDescent="0.3">
      <c r="C65" s="20"/>
      <c r="F65" s="31"/>
      <c r="G65" s="49"/>
      <c r="H65" s="54"/>
      <c r="I65" s="31"/>
      <c r="J65" s="49"/>
      <c r="K65" s="49"/>
    </row>
    <row r="66" spans="1:12" x14ac:dyDescent="0.3">
      <c r="A66" s="11" t="s">
        <v>155</v>
      </c>
      <c r="C66" s="20"/>
      <c r="F66" s="31"/>
      <c r="G66" s="34">
        <f>+J13+J15</f>
        <v>38616</v>
      </c>
      <c r="H66" s="54">
        <v>-0.05</v>
      </c>
      <c r="I66" s="31"/>
      <c r="J66" s="49">
        <f>+G66*H66</f>
        <v>-1930.8000000000002</v>
      </c>
      <c r="K66" s="49"/>
      <c r="L66" s="49">
        <f>+J66</f>
        <v>-1930.8000000000002</v>
      </c>
    </row>
    <row r="67" spans="1:12" ht="15" thickBot="1" x14ac:dyDescent="0.35">
      <c r="A67" s="30"/>
      <c r="B67" s="30"/>
      <c r="C67" s="60"/>
      <c r="D67" s="2"/>
      <c r="E67" s="32"/>
      <c r="F67" s="32"/>
      <c r="G67" s="39"/>
      <c r="H67" s="33"/>
      <c r="I67" s="32"/>
      <c r="J67" s="39" t="s">
        <v>87</v>
      </c>
      <c r="K67" s="39"/>
      <c r="L67" s="38"/>
    </row>
    <row r="68" spans="1:12" ht="15.6" x14ac:dyDescent="0.3">
      <c r="A68" s="41"/>
      <c r="B68" s="41"/>
      <c r="E68" s="40"/>
      <c r="F68" s="40"/>
      <c r="K68" s="37" t="s">
        <v>84</v>
      </c>
      <c r="L68" s="36">
        <f>SUM(L4:L66)</f>
        <v>57523.199999999997</v>
      </c>
    </row>
    <row r="69" spans="1:12" x14ac:dyDescent="0.3">
      <c r="A69" s="12"/>
      <c r="B69" s="12"/>
      <c r="E69" s="40"/>
      <c r="F69" s="40"/>
      <c r="K69" s="37" t="s">
        <v>85</v>
      </c>
      <c r="L69" s="36">
        <f>+L68*0.25</f>
        <v>14380.8</v>
      </c>
    </row>
    <row r="70" spans="1:12" ht="15" thickBot="1" x14ac:dyDescent="0.35">
      <c r="A70" s="12"/>
      <c r="B70" s="12"/>
      <c r="E70" s="40"/>
      <c r="F70" s="40"/>
      <c r="K70" s="37" t="s">
        <v>86</v>
      </c>
      <c r="L70" s="35">
        <f>SUM(L68:L69)</f>
        <v>71904</v>
      </c>
    </row>
  </sheetData>
  <pageMargins left="0.7" right="0.7" top="0.75" bottom="0.75" header="0.3" footer="0.3"/>
  <pageSetup paperSize="9" scale="75" fitToHeight="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228D98-B8CE-487D-B517-CAD5E79497AC}">
  <sheetPr>
    <pageSetUpPr fitToPage="1"/>
  </sheetPr>
  <dimension ref="B1:Q77"/>
  <sheetViews>
    <sheetView zoomScaleNormal="100" zoomScalePageLayoutView="85" workbookViewId="0">
      <selection activeCell="F85" sqref="F85"/>
    </sheetView>
  </sheetViews>
  <sheetFormatPr defaultRowHeight="14.4" outlineLevelCol="1" x14ac:dyDescent="0.3"/>
  <cols>
    <col min="1" max="1" width="2.44140625" customWidth="1"/>
    <col min="2" max="2" width="48.109375" customWidth="1"/>
    <col min="3" max="3" width="2.88671875" customWidth="1"/>
    <col min="4" max="4" width="14.33203125" style="8" customWidth="1"/>
    <col min="5" max="5" width="11.6640625" style="8" customWidth="1" outlineLevel="1"/>
    <col min="6" max="7" width="9.109375" style="31" customWidth="1" outlineLevel="1"/>
    <col min="8" max="8" width="10.88671875" style="34" customWidth="1" outlineLevel="1"/>
    <col min="9" max="9" width="9.109375" style="80" customWidth="1" outlineLevel="1"/>
    <col min="10" max="10" width="13.44140625" style="34" customWidth="1" outlineLevel="1"/>
    <col min="11" max="11" width="15.88671875" style="14" customWidth="1"/>
    <col min="12" max="12" width="2.109375" style="14" customWidth="1"/>
    <col min="13" max="13" width="19.33203125" style="11" customWidth="1"/>
    <col min="14" max="14" width="10" bestFit="1" customWidth="1"/>
    <col min="15" max="15" width="20.88671875" customWidth="1"/>
    <col min="16" max="16" width="10.6640625" customWidth="1"/>
    <col min="17" max="17" width="11.109375" customWidth="1"/>
    <col min="18" max="18" width="10.5546875" customWidth="1"/>
  </cols>
  <sheetData>
    <row r="1" spans="2:16" ht="18" x14ac:dyDescent="0.35">
      <c r="B1" s="61" t="s">
        <v>71</v>
      </c>
      <c r="C1" s="29"/>
      <c r="L1" s="14" t="s">
        <v>72</v>
      </c>
      <c r="M1" s="43">
        <v>45236</v>
      </c>
    </row>
    <row r="2" spans="2:16" ht="18.600000000000001" thickBot="1" x14ac:dyDescent="0.4">
      <c r="B2" s="29"/>
      <c r="C2" s="29"/>
      <c r="M2" s="43"/>
    </row>
    <row r="3" spans="2:16" ht="15.6" customHeight="1" thickBot="1" x14ac:dyDescent="0.4">
      <c r="B3" s="29"/>
      <c r="C3" s="29"/>
      <c r="D3" s="56" t="s">
        <v>73</v>
      </c>
      <c r="E3" s="56" t="s">
        <v>1</v>
      </c>
      <c r="F3" s="57" t="s">
        <v>74</v>
      </c>
      <c r="G3" s="57" t="s">
        <v>4</v>
      </c>
      <c r="H3" s="58" t="s">
        <v>3</v>
      </c>
      <c r="I3" s="59" t="s">
        <v>5</v>
      </c>
      <c r="J3" s="57" t="s">
        <v>75</v>
      </c>
      <c r="K3" s="57" t="s">
        <v>6</v>
      </c>
      <c r="L3" s="40"/>
      <c r="M3" s="57" t="s">
        <v>6</v>
      </c>
      <c r="O3" t="s">
        <v>123</v>
      </c>
      <c r="P3" t="s">
        <v>122</v>
      </c>
    </row>
    <row r="4" spans="2:16" ht="15.6" x14ac:dyDescent="0.3">
      <c r="B4" s="11" t="s">
        <v>76</v>
      </c>
      <c r="C4" s="45"/>
      <c r="D4" s="47"/>
      <c r="E4" s="47"/>
      <c r="F4" s="40"/>
      <c r="G4" s="40"/>
      <c r="H4" s="40"/>
      <c r="I4" s="48"/>
      <c r="J4" s="40"/>
      <c r="K4" s="40"/>
      <c r="L4" s="40"/>
      <c r="M4" s="36">
        <f>SUM(K5:K10)</f>
        <v>20838</v>
      </c>
    </row>
    <row r="5" spans="2:16" x14ac:dyDescent="0.3">
      <c r="C5" s="42"/>
      <c r="D5" s="20" t="s">
        <v>78</v>
      </c>
      <c r="G5" s="31">
        <f>+F5*E5</f>
        <v>0</v>
      </c>
      <c r="H5" s="51">
        <v>4000</v>
      </c>
      <c r="I5" s="52">
        <v>7.4999999999999997E-2</v>
      </c>
      <c r="J5" s="31">
        <f t="shared" ref="J5:J10" si="0">(+H5*I5)+H5</f>
        <v>4300</v>
      </c>
      <c r="K5" s="49">
        <f t="shared" ref="K5:K14" si="1">IF(ROUNDUP(J5+G5,0)=0,"",ROUNDUP(J5+G5,0))</f>
        <v>4300</v>
      </c>
      <c r="L5" s="49"/>
    </row>
    <row r="6" spans="2:16" x14ac:dyDescent="0.3">
      <c r="C6" s="42"/>
      <c r="D6" s="20" t="s">
        <v>78</v>
      </c>
      <c r="H6" s="51">
        <v>1750</v>
      </c>
      <c r="I6" s="52"/>
      <c r="J6" s="31">
        <f t="shared" si="0"/>
        <v>1750</v>
      </c>
      <c r="K6" s="49">
        <f t="shared" si="1"/>
        <v>1750</v>
      </c>
      <c r="L6" s="49"/>
    </row>
    <row r="7" spans="2:16" x14ac:dyDescent="0.3">
      <c r="C7" s="42"/>
      <c r="D7" s="20" t="s">
        <v>78</v>
      </c>
      <c r="E7" s="8">
        <v>188.73</v>
      </c>
      <c r="F7" s="31">
        <v>10</v>
      </c>
      <c r="G7" s="31">
        <f>+F7*E7</f>
        <v>1887.3</v>
      </c>
      <c r="H7" s="51">
        <v>9000</v>
      </c>
      <c r="I7" s="52">
        <v>7.4999999999999997E-2</v>
      </c>
      <c r="J7" s="31">
        <f t="shared" si="0"/>
        <v>9675</v>
      </c>
      <c r="K7" s="49">
        <f t="shared" si="1"/>
        <v>11563</v>
      </c>
      <c r="L7" s="49"/>
    </row>
    <row r="8" spans="2:16" x14ac:dyDescent="0.3">
      <c r="B8" s="19"/>
      <c r="C8" s="42"/>
      <c r="D8" s="20" t="s">
        <v>78</v>
      </c>
      <c r="E8" s="20"/>
      <c r="G8" s="31">
        <f>+F8*E8</f>
        <v>0</v>
      </c>
      <c r="H8" s="34">
        <v>3000</v>
      </c>
      <c r="I8" s="52">
        <v>7.4999999999999997E-2</v>
      </c>
      <c r="J8" s="31">
        <f t="shared" si="0"/>
        <v>3225</v>
      </c>
      <c r="K8" s="49">
        <f t="shared" si="1"/>
        <v>3225</v>
      </c>
      <c r="L8" s="49"/>
    </row>
    <row r="9" spans="2:16" hidden="1" x14ac:dyDescent="0.3">
      <c r="C9" s="19"/>
      <c r="D9" s="20" t="s">
        <v>78</v>
      </c>
      <c r="G9" s="31">
        <f>+F9*E9</f>
        <v>0</v>
      </c>
      <c r="H9" s="51"/>
      <c r="I9" s="52"/>
      <c r="J9" s="31">
        <f t="shared" si="0"/>
        <v>0</v>
      </c>
      <c r="K9" s="49" t="str">
        <f t="shared" si="1"/>
        <v/>
      </c>
      <c r="L9" s="49"/>
    </row>
    <row r="10" spans="2:16" hidden="1" x14ac:dyDescent="0.3">
      <c r="B10" s="19"/>
      <c r="C10" s="19"/>
      <c r="D10" s="20" t="s">
        <v>78</v>
      </c>
      <c r="E10" s="20"/>
      <c r="G10" s="31">
        <f>+F10*E10</f>
        <v>0</v>
      </c>
      <c r="H10" s="51"/>
      <c r="I10" s="52"/>
      <c r="J10" s="31">
        <f t="shared" si="0"/>
        <v>0</v>
      </c>
      <c r="K10" s="49" t="str">
        <f t="shared" si="1"/>
        <v/>
      </c>
      <c r="L10" s="49"/>
    </row>
    <row r="11" spans="2:16" hidden="1" x14ac:dyDescent="0.3">
      <c r="B11" s="19"/>
      <c r="C11" s="19"/>
      <c r="E11" s="20"/>
      <c r="F11" s="53"/>
      <c r="G11" s="53"/>
      <c r="H11" s="31"/>
      <c r="I11" s="54"/>
      <c r="J11" s="31"/>
      <c r="K11" s="49" t="str">
        <f t="shared" si="1"/>
        <v/>
      </c>
      <c r="L11" s="49"/>
    </row>
    <row r="12" spans="2:16" ht="15.6" x14ac:dyDescent="0.3">
      <c r="C12" s="46"/>
      <c r="D12" s="47"/>
      <c r="E12" s="47"/>
      <c r="F12" s="40"/>
      <c r="G12" s="40"/>
      <c r="H12" s="40"/>
      <c r="I12" s="48"/>
      <c r="J12" s="36"/>
      <c r="K12" s="49" t="str">
        <f t="shared" si="1"/>
        <v/>
      </c>
      <c r="L12" s="50"/>
      <c r="M12" s="36">
        <f>SUM(K13:K18)</f>
        <v>25744</v>
      </c>
    </row>
    <row r="13" spans="2:16" x14ac:dyDescent="0.3">
      <c r="B13" s="11"/>
      <c r="C13" s="19"/>
      <c r="D13" s="20" t="s">
        <v>78</v>
      </c>
      <c r="E13" s="20"/>
      <c r="F13" s="53"/>
      <c r="G13" s="31">
        <f>+F13*E13</f>
        <v>0</v>
      </c>
      <c r="H13" s="51">
        <v>23947.5</v>
      </c>
      <c r="I13" s="52">
        <v>7.4999999999999997E-2</v>
      </c>
      <c r="J13" s="31">
        <f>(+H13*I13)+H13</f>
        <v>25743.5625</v>
      </c>
      <c r="K13" s="49">
        <f t="shared" si="1"/>
        <v>25744</v>
      </c>
      <c r="L13" s="49"/>
    </row>
    <row r="14" spans="2:16" x14ac:dyDescent="0.3">
      <c r="B14" s="19"/>
      <c r="C14" s="19"/>
      <c r="D14" s="20"/>
      <c r="I14" s="52"/>
      <c r="J14" s="31"/>
      <c r="K14" s="49" t="str">
        <f t="shared" si="1"/>
        <v/>
      </c>
      <c r="L14" s="49"/>
      <c r="O14" s="13"/>
      <c r="P14" s="13"/>
    </row>
    <row r="15" spans="2:16" x14ac:dyDescent="0.3">
      <c r="B15" s="11"/>
      <c r="C15" s="19"/>
      <c r="D15" s="20"/>
      <c r="I15" s="52"/>
      <c r="J15" s="31"/>
      <c r="K15" s="49"/>
      <c r="L15" s="49"/>
      <c r="O15" s="13"/>
      <c r="P15" s="13"/>
    </row>
    <row r="16" spans="2:16" x14ac:dyDescent="0.3">
      <c r="B16" s="19"/>
      <c r="C16" s="19"/>
      <c r="D16" s="20"/>
      <c r="I16" s="52"/>
      <c r="J16" s="31"/>
      <c r="K16" s="49" t="str">
        <f t="shared" ref="K16:K47" si="2">IF(ROUNDUP(J16+G16,0)=0,"",ROUNDUP(J16+G16,0))</f>
        <v/>
      </c>
      <c r="L16" s="49"/>
      <c r="N16" s="34"/>
      <c r="O16" s="13"/>
      <c r="P16" s="13"/>
    </row>
    <row r="17" spans="2:17" x14ac:dyDescent="0.3">
      <c r="B17" s="19"/>
      <c r="C17" s="19"/>
      <c r="D17" s="20"/>
      <c r="I17" s="52"/>
      <c r="J17" s="31"/>
      <c r="K17" s="49" t="str">
        <f t="shared" si="2"/>
        <v/>
      </c>
      <c r="L17" s="49"/>
      <c r="O17" s="13"/>
      <c r="P17" s="13"/>
    </row>
    <row r="18" spans="2:17" x14ac:dyDescent="0.3">
      <c r="B18" s="19"/>
      <c r="C18" s="19"/>
      <c r="H18" s="55"/>
      <c r="I18" s="52"/>
      <c r="J18" s="31"/>
      <c r="K18" s="49" t="str">
        <f t="shared" si="2"/>
        <v/>
      </c>
      <c r="L18" s="49"/>
      <c r="Q18" s="36"/>
    </row>
    <row r="19" spans="2:17" ht="15.6" x14ac:dyDescent="0.3">
      <c r="C19" s="46"/>
      <c r="D19" s="47"/>
      <c r="E19" s="47"/>
      <c r="F19" s="40"/>
      <c r="G19" s="40"/>
      <c r="H19" s="40"/>
      <c r="I19" s="48"/>
      <c r="J19" s="36"/>
      <c r="K19" s="49" t="str">
        <f t="shared" si="2"/>
        <v/>
      </c>
      <c r="L19" s="50"/>
      <c r="M19" s="36"/>
      <c r="N19" s="34"/>
    </row>
    <row r="20" spans="2:17" x14ac:dyDescent="0.3">
      <c r="B20" s="19"/>
      <c r="C20" s="19"/>
      <c r="D20" s="20"/>
      <c r="H20" s="51"/>
      <c r="I20" s="52"/>
      <c r="J20" s="31"/>
      <c r="K20" s="49" t="str">
        <f t="shared" si="2"/>
        <v/>
      </c>
      <c r="L20" s="49"/>
      <c r="Q20">
        <v>59454</v>
      </c>
    </row>
    <row r="21" spans="2:17" hidden="1" x14ac:dyDescent="0.3">
      <c r="B21" s="19"/>
      <c r="C21" s="19"/>
      <c r="D21" s="20"/>
      <c r="H21" s="51"/>
      <c r="I21" s="52"/>
      <c r="J21" s="31"/>
      <c r="K21" s="49" t="str">
        <f t="shared" si="2"/>
        <v/>
      </c>
      <c r="L21" s="49"/>
    </row>
    <row r="22" spans="2:17" hidden="1" x14ac:dyDescent="0.3">
      <c r="B22" s="19"/>
      <c r="C22" s="19"/>
      <c r="D22" s="20"/>
      <c r="I22" s="52"/>
      <c r="J22" s="31"/>
      <c r="K22" s="49" t="str">
        <f t="shared" si="2"/>
        <v/>
      </c>
      <c r="L22" s="49"/>
    </row>
    <row r="23" spans="2:17" hidden="1" x14ac:dyDescent="0.3">
      <c r="B23" s="19"/>
      <c r="C23" s="19"/>
      <c r="D23" s="20"/>
      <c r="I23" s="52"/>
      <c r="J23" s="31"/>
      <c r="K23" s="49" t="str">
        <f t="shared" si="2"/>
        <v/>
      </c>
      <c r="L23" s="49"/>
    </row>
    <row r="24" spans="2:17" hidden="1" x14ac:dyDescent="0.3">
      <c r="B24" s="19"/>
      <c r="C24" s="19"/>
      <c r="D24" s="20"/>
      <c r="E24" s="20"/>
      <c r="F24" s="53"/>
      <c r="I24" s="52"/>
      <c r="J24" s="31"/>
      <c r="K24" s="49" t="str">
        <f t="shared" si="2"/>
        <v/>
      </c>
      <c r="L24" s="49"/>
    </row>
    <row r="25" spans="2:17" hidden="1" x14ac:dyDescent="0.3">
      <c r="B25" s="19"/>
      <c r="C25" s="19"/>
      <c r="D25" s="20"/>
      <c r="I25" s="52"/>
      <c r="J25" s="31"/>
      <c r="K25" s="49" t="str">
        <f t="shared" si="2"/>
        <v/>
      </c>
      <c r="L25" s="49"/>
      <c r="P25" s="8"/>
    </row>
    <row r="26" spans="2:17" hidden="1" x14ac:dyDescent="0.3">
      <c r="B26" s="19"/>
      <c r="C26" s="19"/>
      <c r="D26" s="20"/>
      <c r="I26" s="52"/>
      <c r="J26" s="31"/>
      <c r="K26" s="49" t="str">
        <f t="shared" si="2"/>
        <v/>
      </c>
      <c r="L26" s="49"/>
    </row>
    <row r="27" spans="2:17" hidden="1" x14ac:dyDescent="0.3">
      <c r="B27" s="19"/>
      <c r="C27" s="19"/>
      <c r="H27" s="55"/>
      <c r="I27" s="52"/>
      <c r="J27" s="31"/>
      <c r="K27" s="49" t="str">
        <f t="shared" si="2"/>
        <v/>
      </c>
      <c r="L27" s="49"/>
      <c r="M27" s="36"/>
    </row>
    <row r="28" spans="2:17" ht="15.6" hidden="1" x14ac:dyDescent="0.3">
      <c r="B28" s="11" t="s">
        <v>88</v>
      </c>
      <c r="C28" s="46"/>
      <c r="D28" s="47"/>
      <c r="E28" s="47"/>
      <c r="F28" s="40"/>
      <c r="G28" s="40"/>
      <c r="H28" s="40"/>
      <c r="I28" s="48"/>
      <c r="J28" s="36"/>
      <c r="K28" s="49" t="str">
        <f t="shared" si="2"/>
        <v/>
      </c>
      <c r="L28" s="50"/>
      <c r="M28" s="36">
        <f>SUM(K29:K34)</f>
        <v>0</v>
      </c>
    </row>
    <row r="29" spans="2:17" hidden="1" x14ac:dyDescent="0.3">
      <c r="B29" s="19"/>
      <c r="C29" s="19"/>
      <c r="D29" s="20" t="s">
        <v>78</v>
      </c>
      <c r="E29" s="31"/>
      <c r="F29" s="34"/>
      <c r="G29" s="31">
        <f t="shared" ref="G29:G34" si="3">+F29*E29</f>
        <v>0</v>
      </c>
      <c r="I29" s="54"/>
      <c r="J29" s="31">
        <f t="shared" ref="J29:J34" si="4">(+H29*I29)+H29</f>
        <v>0</v>
      </c>
      <c r="K29" s="49" t="str">
        <f t="shared" si="2"/>
        <v/>
      </c>
      <c r="L29" s="49"/>
    </row>
    <row r="30" spans="2:17" hidden="1" x14ac:dyDescent="0.3">
      <c r="B30" s="19"/>
      <c r="C30" s="19"/>
      <c r="D30" s="20" t="s">
        <v>78</v>
      </c>
      <c r="E30" s="31"/>
      <c r="F30" s="34"/>
      <c r="G30" s="31">
        <f t="shared" si="3"/>
        <v>0</v>
      </c>
      <c r="I30" s="54"/>
      <c r="J30" s="31">
        <f t="shared" si="4"/>
        <v>0</v>
      </c>
      <c r="K30" s="49" t="str">
        <f t="shared" si="2"/>
        <v/>
      </c>
      <c r="L30" s="49"/>
    </row>
    <row r="31" spans="2:17" hidden="1" x14ac:dyDescent="0.3">
      <c r="B31" s="19"/>
      <c r="C31" s="19"/>
      <c r="D31" s="20" t="s">
        <v>78</v>
      </c>
      <c r="E31" s="31"/>
      <c r="F31" s="34"/>
      <c r="G31" s="31">
        <f t="shared" si="3"/>
        <v>0</v>
      </c>
      <c r="I31" s="54"/>
      <c r="J31" s="31">
        <f t="shared" si="4"/>
        <v>0</v>
      </c>
      <c r="K31" s="49" t="str">
        <f t="shared" si="2"/>
        <v/>
      </c>
      <c r="L31" s="49"/>
    </row>
    <row r="32" spans="2:17" hidden="1" x14ac:dyDescent="0.3">
      <c r="B32" s="19"/>
      <c r="C32" s="19"/>
      <c r="D32" s="20" t="s">
        <v>78</v>
      </c>
      <c r="E32" s="31"/>
      <c r="F32" s="34"/>
      <c r="G32" s="31">
        <f t="shared" si="3"/>
        <v>0</v>
      </c>
      <c r="I32" s="54"/>
      <c r="J32" s="31">
        <f t="shared" si="4"/>
        <v>0</v>
      </c>
      <c r="K32" s="49" t="str">
        <f t="shared" si="2"/>
        <v/>
      </c>
      <c r="L32" s="49"/>
    </row>
    <row r="33" spans="2:13" hidden="1" x14ac:dyDescent="0.3">
      <c r="B33" s="19"/>
      <c r="C33" s="19"/>
      <c r="D33" s="20" t="s">
        <v>78</v>
      </c>
      <c r="E33" s="31"/>
      <c r="F33" s="34"/>
      <c r="G33" s="31">
        <f t="shared" si="3"/>
        <v>0</v>
      </c>
      <c r="I33" s="54"/>
      <c r="J33" s="31">
        <f t="shared" si="4"/>
        <v>0</v>
      </c>
      <c r="K33" s="49" t="str">
        <f t="shared" si="2"/>
        <v/>
      </c>
      <c r="L33" s="49"/>
    </row>
    <row r="34" spans="2:13" hidden="1" x14ac:dyDescent="0.3">
      <c r="B34" s="19"/>
      <c r="C34" s="19"/>
      <c r="D34" s="20" t="s">
        <v>78</v>
      </c>
      <c r="E34" s="31"/>
      <c r="F34" s="34"/>
      <c r="G34" s="31">
        <f t="shared" si="3"/>
        <v>0</v>
      </c>
      <c r="I34" s="54"/>
      <c r="J34" s="31">
        <f t="shared" si="4"/>
        <v>0</v>
      </c>
      <c r="K34" s="49" t="str">
        <f t="shared" si="2"/>
        <v/>
      </c>
      <c r="L34" s="49"/>
    </row>
    <row r="35" spans="2:13" hidden="1" x14ac:dyDescent="0.3">
      <c r="B35" s="19"/>
      <c r="C35" s="19"/>
      <c r="D35" s="20"/>
      <c r="E35" s="31"/>
      <c r="I35" s="54"/>
      <c r="J35" s="31"/>
      <c r="K35" s="49" t="str">
        <f t="shared" si="2"/>
        <v/>
      </c>
      <c r="L35" s="49"/>
    </row>
    <row r="36" spans="2:13" ht="15.6" hidden="1" x14ac:dyDescent="0.3">
      <c r="B36" s="11" t="s">
        <v>89</v>
      </c>
      <c r="C36" s="46"/>
      <c r="D36" s="47"/>
      <c r="E36" s="47"/>
      <c r="F36" s="40"/>
      <c r="G36" s="40"/>
      <c r="H36" s="40"/>
      <c r="I36" s="48"/>
      <c r="J36" s="36"/>
      <c r="K36" s="49" t="str">
        <f t="shared" si="2"/>
        <v/>
      </c>
      <c r="L36" s="50"/>
      <c r="M36" s="36">
        <f>SUM(K37:K43)</f>
        <v>0</v>
      </c>
    </row>
    <row r="37" spans="2:13" hidden="1" x14ac:dyDescent="0.3">
      <c r="B37" s="44"/>
      <c r="C37" s="44"/>
      <c r="D37" s="20" t="s">
        <v>78</v>
      </c>
      <c r="E37" s="47"/>
      <c r="F37" s="40"/>
      <c r="G37" s="31">
        <f t="shared" ref="G37:G42" si="5">+F37*E37</f>
        <v>0</v>
      </c>
      <c r="I37" s="54"/>
      <c r="J37" s="31">
        <f t="shared" ref="J37:J42" si="6">(+H37*I37)+H37</f>
        <v>0</v>
      </c>
      <c r="K37" s="49" t="str">
        <f t="shared" si="2"/>
        <v/>
      </c>
      <c r="L37" s="49"/>
      <c r="M37" s="36"/>
    </row>
    <row r="38" spans="2:13" hidden="1" x14ac:dyDescent="0.3">
      <c r="D38" s="20" t="s">
        <v>78</v>
      </c>
      <c r="G38" s="31">
        <f t="shared" si="5"/>
        <v>0</v>
      </c>
      <c r="I38" s="54"/>
      <c r="J38" s="31">
        <f t="shared" si="6"/>
        <v>0</v>
      </c>
      <c r="K38" s="49" t="str">
        <f t="shared" si="2"/>
        <v/>
      </c>
      <c r="L38" s="49"/>
    </row>
    <row r="39" spans="2:13" hidden="1" x14ac:dyDescent="0.3">
      <c r="D39" s="20" t="s">
        <v>78</v>
      </c>
      <c r="G39" s="31">
        <f t="shared" si="5"/>
        <v>0</v>
      </c>
      <c r="I39" s="54"/>
      <c r="J39" s="31">
        <f t="shared" si="6"/>
        <v>0</v>
      </c>
      <c r="K39" s="49" t="str">
        <f t="shared" si="2"/>
        <v/>
      </c>
      <c r="L39" s="49"/>
    </row>
    <row r="40" spans="2:13" hidden="1" x14ac:dyDescent="0.3">
      <c r="D40" s="20" t="s">
        <v>78</v>
      </c>
      <c r="G40" s="31">
        <f t="shared" si="5"/>
        <v>0</v>
      </c>
      <c r="I40" s="54"/>
      <c r="J40" s="31">
        <f t="shared" si="6"/>
        <v>0</v>
      </c>
      <c r="K40" s="49" t="str">
        <f t="shared" si="2"/>
        <v/>
      </c>
      <c r="L40" s="49"/>
    </row>
    <row r="41" spans="2:13" hidden="1" x14ac:dyDescent="0.3">
      <c r="D41" s="20" t="s">
        <v>78</v>
      </c>
      <c r="G41" s="31">
        <f t="shared" si="5"/>
        <v>0</v>
      </c>
      <c r="I41" s="54"/>
      <c r="J41" s="31">
        <f t="shared" si="6"/>
        <v>0</v>
      </c>
      <c r="K41" s="49" t="str">
        <f t="shared" si="2"/>
        <v/>
      </c>
      <c r="L41" s="49"/>
    </row>
    <row r="42" spans="2:13" hidden="1" x14ac:dyDescent="0.3">
      <c r="D42" s="20" t="s">
        <v>78</v>
      </c>
      <c r="G42" s="31">
        <f t="shared" si="5"/>
        <v>0</v>
      </c>
      <c r="I42" s="54"/>
      <c r="J42" s="31">
        <f t="shared" si="6"/>
        <v>0</v>
      </c>
      <c r="K42" s="49" t="str">
        <f t="shared" si="2"/>
        <v/>
      </c>
      <c r="L42" s="49"/>
    </row>
    <row r="43" spans="2:13" hidden="1" x14ac:dyDescent="0.3">
      <c r="D43" s="20"/>
      <c r="I43" s="54"/>
      <c r="J43" s="31"/>
      <c r="K43" s="49" t="str">
        <f t="shared" si="2"/>
        <v/>
      </c>
      <c r="L43" s="49"/>
    </row>
    <row r="44" spans="2:13" ht="15.6" hidden="1" x14ac:dyDescent="0.3">
      <c r="B44" s="11" t="s">
        <v>23</v>
      </c>
      <c r="C44" s="46"/>
      <c r="D44" s="47"/>
      <c r="E44" s="47"/>
      <c r="F44" s="40"/>
      <c r="G44" s="40"/>
      <c r="H44" s="40"/>
      <c r="I44" s="48"/>
      <c r="J44" s="36"/>
      <c r="K44" s="49" t="str">
        <f t="shared" si="2"/>
        <v/>
      </c>
      <c r="L44" s="50"/>
      <c r="M44" s="36">
        <f>SUM(K45:K50)</f>
        <v>0</v>
      </c>
    </row>
    <row r="45" spans="2:13" hidden="1" x14ac:dyDescent="0.3">
      <c r="B45" s="19"/>
      <c r="C45" s="19"/>
      <c r="D45" s="20" t="s">
        <v>78</v>
      </c>
      <c r="E45" s="31"/>
      <c r="F45" s="34"/>
      <c r="G45" s="31">
        <f t="shared" ref="G45:G50" si="7">+F45*E45</f>
        <v>0</v>
      </c>
      <c r="H45" s="51"/>
      <c r="I45" s="52"/>
      <c r="J45" s="31">
        <f t="shared" ref="J45:J50" si="8">(+H45*I45)+H45</f>
        <v>0</v>
      </c>
      <c r="K45" s="49" t="str">
        <f t="shared" si="2"/>
        <v/>
      </c>
      <c r="L45" s="49"/>
    </row>
    <row r="46" spans="2:13" hidden="1" x14ac:dyDescent="0.3">
      <c r="B46" s="19"/>
      <c r="C46" s="19"/>
      <c r="D46" s="20" t="s">
        <v>78</v>
      </c>
      <c r="E46" s="31"/>
      <c r="F46" s="34"/>
      <c r="G46" s="31">
        <f t="shared" si="7"/>
        <v>0</v>
      </c>
      <c r="I46" s="52"/>
      <c r="J46" s="31">
        <f t="shared" si="8"/>
        <v>0</v>
      </c>
      <c r="K46" s="49" t="str">
        <f t="shared" si="2"/>
        <v/>
      </c>
      <c r="L46" s="49"/>
    </row>
    <row r="47" spans="2:13" hidden="1" x14ac:dyDescent="0.3">
      <c r="B47" s="19"/>
      <c r="C47" s="19"/>
      <c r="D47" s="20" t="s">
        <v>78</v>
      </c>
      <c r="E47" s="31"/>
      <c r="F47" s="34"/>
      <c r="G47" s="31">
        <f t="shared" si="7"/>
        <v>0</v>
      </c>
      <c r="I47" s="52"/>
      <c r="J47" s="31">
        <f t="shared" si="8"/>
        <v>0</v>
      </c>
      <c r="K47" s="49" t="str">
        <f t="shared" si="2"/>
        <v/>
      </c>
      <c r="L47" s="49"/>
    </row>
    <row r="48" spans="2:13" hidden="1" x14ac:dyDescent="0.3">
      <c r="B48" s="19"/>
      <c r="C48" s="19"/>
      <c r="D48" s="20" t="s">
        <v>78</v>
      </c>
      <c r="E48" s="31"/>
      <c r="G48" s="31">
        <f t="shared" si="7"/>
        <v>0</v>
      </c>
      <c r="I48" s="52"/>
      <c r="J48" s="31">
        <f t="shared" si="8"/>
        <v>0</v>
      </c>
      <c r="K48" s="49" t="str">
        <f t="shared" ref="K48:K65" si="9">IF(ROUNDUP(J48+G48,0)=0,"",ROUNDUP(J48+G48,0))</f>
        <v/>
      </c>
      <c r="L48" s="49"/>
    </row>
    <row r="49" spans="2:13" hidden="1" x14ac:dyDescent="0.3">
      <c r="B49" s="19"/>
      <c r="C49" s="19"/>
      <c r="D49" s="20" t="s">
        <v>78</v>
      </c>
      <c r="E49" s="31"/>
      <c r="F49" s="34"/>
      <c r="G49" s="31">
        <f t="shared" si="7"/>
        <v>0</v>
      </c>
      <c r="I49" s="52"/>
      <c r="J49" s="31">
        <f t="shared" si="8"/>
        <v>0</v>
      </c>
      <c r="K49" s="49" t="str">
        <f t="shared" si="9"/>
        <v/>
      </c>
      <c r="L49" s="49"/>
    </row>
    <row r="50" spans="2:13" hidden="1" x14ac:dyDescent="0.3">
      <c r="B50" s="19"/>
      <c r="C50" s="19"/>
      <c r="D50" s="20" t="s">
        <v>78</v>
      </c>
      <c r="E50" s="31"/>
      <c r="F50" s="34"/>
      <c r="G50" s="31">
        <f t="shared" si="7"/>
        <v>0</v>
      </c>
      <c r="I50" s="52"/>
      <c r="J50" s="31">
        <f t="shared" si="8"/>
        <v>0</v>
      </c>
      <c r="K50" s="49" t="str">
        <f t="shared" si="9"/>
        <v/>
      </c>
      <c r="L50" s="49"/>
    </row>
    <row r="51" spans="2:13" hidden="1" x14ac:dyDescent="0.3">
      <c r="B51" s="19"/>
      <c r="C51" s="19"/>
      <c r="D51" s="20" t="s">
        <v>78</v>
      </c>
      <c r="E51" s="31"/>
      <c r="F51" s="34"/>
      <c r="H51" s="55"/>
      <c r="I51" s="52"/>
      <c r="J51" s="31"/>
      <c r="K51" s="49" t="str">
        <f t="shared" si="9"/>
        <v/>
      </c>
      <c r="L51" s="49"/>
    </row>
    <row r="52" spans="2:13" ht="15.6" hidden="1" x14ac:dyDescent="0.3">
      <c r="B52" s="11" t="s">
        <v>26</v>
      </c>
      <c r="C52" s="46"/>
      <c r="D52" s="47"/>
      <c r="E52" s="47"/>
      <c r="F52" s="40"/>
      <c r="G52" s="40"/>
      <c r="H52" s="40"/>
      <c r="I52" s="48"/>
      <c r="J52" s="36"/>
      <c r="K52" s="49" t="str">
        <f t="shared" si="9"/>
        <v/>
      </c>
      <c r="L52" s="50"/>
      <c r="M52" s="36">
        <f>SUM(K53:K58)</f>
        <v>0</v>
      </c>
    </row>
    <row r="53" spans="2:13" hidden="1" x14ac:dyDescent="0.3">
      <c r="B53" s="19"/>
      <c r="C53" s="19"/>
      <c r="D53" s="20" t="s">
        <v>78</v>
      </c>
      <c r="G53" s="31">
        <f t="shared" ref="G53:G58" si="10">+F53*E53</f>
        <v>0</v>
      </c>
      <c r="H53" s="40"/>
      <c r="I53" s="54"/>
      <c r="J53" s="31">
        <f t="shared" ref="J53:J58" si="11">(+H53*I53)+H53</f>
        <v>0</v>
      </c>
      <c r="K53" s="49" t="str">
        <f t="shared" si="9"/>
        <v/>
      </c>
      <c r="L53" s="49"/>
    </row>
    <row r="54" spans="2:13" hidden="1" x14ac:dyDescent="0.3">
      <c r="B54" s="19"/>
      <c r="C54" s="19"/>
      <c r="D54" s="20" t="s">
        <v>78</v>
      </c>
      <c r="G54" s="31">
        <f t="shared" si="10"/>
        <v>0</v>
      </c>
      <c r="H54" s="40"/>
      <c r="I54" s="54"/>
      <c r="J54" s="31">
        <f t="shared" si="11"/>
        <v>0</v>
      </c>
      <c r="K54" s="49" t="str">
        <f t="shared" si="9"/>
        <v/>
      </c>
      <c r="L54" s="49"/>
    </row>
    <row r="55" spans="2:13" hidden="1" x14ac:dyDescent="0.3">
      <c r="B55" s="19"/>
      <c r="C55" s="19"/>
      <c r="D55" s="20" t="s">
        <v>78</v>
      </c>
      <c r="G55" s="31">
        <f t="shared" si="10"/>
        <v>0</v>
      </c>
      <c r="H55" s="49"/>
      <c r="I55" s="54"/>
      <c r="J55" s="31">
        <f t="shared" si="11"/>
        <v>0</v>
      </c>
      <c r="K55" s="49" t="str">
        <f t="shared" si="9"/>
        <v/>
      </c>
      <c r="L55" s="49"/>
    </row>
    <row r="56" spans="2:13" hidden="1" x14ac:dyDescent="0.3">
      <c r="B56" s="19"/>
      <c r="C56" s="19"/>
      <c r="D56" s="20" t="s">
        <v>78</v>
      </c>
      <c r="G56" s="31">
        <f t="shared" si="10"/>
        <v>0</v>
      </c>
      <c r="H56" s="49"/>
      <c r="I56" s="54"/>
      <c r="J56" s="31">
        <f t="shared" si="11"/>
        <v>0</v>
      </c>
      <c r="K56" s="49" t="str">
        <f t="shared" si="9"/>
        <v/>
      </c>
      <c r="L56" s="49"/>
    </row>
    <row r="57" spans="2:13" hidden="1" x14ac:dyDescent="0.3">
      <c r="B57" s="19"/>
      <c r="C57" s="19"/>
      <c r="D57" s="20" t="s">
        <v>78</v>
      </c>
      <c r="G57" s="31">
        <f t="shared" si="10"/>
        <v>0</v>
      </c>
      <c r="H57" s="49"/>
      <c r="I57" s="54"/>
      <c r="J57" s="31">
        <f t="shared" si="11"/>
        <v>0</v>
      </c>
      <c r="K57" s="49" t="str">
        <f t="shared" si="9"/>
        <v/>
      </c>
      <c r="L57" s="49"/>
    </row>
    <row r="58" spans="2:13" hidden="1" x14ac:dyDescent="0.3">
      <c r="B58" s="19"/>
      <c r="C58" s="19"/>
      <c r="D58" s="20"/>
      <c r="G58" s="31">
        <f t="shared" si="10"/>
        <v>0</v>
      </c>
      <c r="H58" s="49"/>
      <c r="I58" s="54"/>
      <c r="J58" s="31">
        <f t="shared" si="11"/>
        <v>0</v>
      </c>
      <c r="K58" s="49" t="str">
        <f t="shared" si="9"/>
        <v/>
      </c>
      <c r="L58" s="49"/>
    </row>
    <row r="59" spans="2:13" ht="15.6" hidden="1" x14ac:dyDescent="0.3">
      <c r="B59" s="11" t="s">
        <v>27</v>
      </c>
      <c r="C59" s="46"/>
      <c r="D59" s="47"/>
      <c r="E59" s="47"/>
      <c r="F59" s="40"/>
      <c r="G59" s="40"/>
      <c r="H59" s="40"/>
      <c r="I59" s="48"/>
      <c r="J59" s="36"/>
      <c r="K59" s="49" t="str">
        <f t="shared" si="9"/>
        <v/>
      </c>
      <c r="L59" s="50"/>
      <c r="M59" s="36">
        <f>SUM(K60:K65)</f>
        <v>0</v>
      </c>
    </row>
    <row r="60" spans="2:13" hidden="1" x14ac:dyDescent="0.3">
      <c r="B60" s="19"/>
      <c r="C60" s="19"/>
      <c r="D60" s="20" t="s">
        <v>78</v>
      </c>
      <c r="G60" s="31">
        <f>+F60*E60</f>
        <v>0</v>
      </c>
      <c r="H60" s="40"/>
      <c r="I60" s="54"/>
      <c r="J60" s="31">
        <f>(+H60*I60)+H60</f>
        <v>0</v>
      </c>
      <c r="K60" s="49" t="str">
        <f t="shared" si="9"/>
        <v/>
      </c>
      <c r="L60" s="49"/>
    </row>
    <row r="61" spans="2:13" hidden="1" x14ac:dyDescent="0.3">
      <c r="D61" s="20" t="s">
        <v>78</v>
      </c>
      <c r="G61" s="31">
        <f>+F61*E61</f>
        <v>0</v>
      </c>
      <c r="H61" s="40"/>
      <c r="I61" s="54"/>
      <c r="J61" s="31">
        <f>(+H61*I61)+H61</f>
        <v>0</v>
      </c>
      <c r="K61" s="49" t="str">
        <f t="shared" si="9"/>
        <v/>
      </c>
      <c r="L61" s="49"/>
    </row>
    <row r="62" spans="2:13" hidden="1" x14ac:dyDescent="0.3">
      <c r="D62" s="20" t="s">
        <v>78</v>
      </c>
      <c r="G62" s="31">
        <f>+F62*E62</f>
        <v>0</v>
      </c>
      <c r="H62" s="49"/>
      <c r="I62" s="54"/>
      <c r="J62" s="31">
        <f>(+H62*I62)+H62</f>
        <v>0</v>
      </c>
      <c r="K62" s="49" t="str">
        <f t="shared" si="9"/>
        <v/>
      </c>
      <c r="L62" s="49"/>
    </row>
    <row r="63" spans="2:13" hidden="1" x14ac:dyDescent="0.3">
      <c r="D63" s="20" t="s">
        <v>78</v>
      </c>
      <c r="G63" s="31">
        <f>+F63*E63</f>
        <v>0</v>
      </c>
      <c r="H63" s="49"/>
      <c r="I63" s="54"/>
      <c r="J63" s="31">
        <f>(+H63*I63)+H63</f>
        <v>0</v>
      </c>
      <c r="K63" s="49" t="str">
        <f t="shared" si="9"/>
        <v/>
      </c>
      <c r="L63" s="49"/>
    </row>
    <row r="64" spans="2:13" hidden="1" x14ac:dyDescent="0.3">
      <c r="D64" s="20" t="s">
        <v>78</v>
      </c>
      <c r="G64" s="31">
        <f>+F64*E64</f>
        <v>0</v>
      </c>
      <c r="H64" s="49"/>
      <c r="I64" s="54"/>
      <c r="J64" s="31">
        <f>(+H64*I64)+H64</f>
        <v>0</v>
      </c>
      <c r="K64" s="49" t="str">
        <f t="shared" si="9"/>
        <v/>
      </c>
      <c r="L64" s="49"/>
    </row>
    <row r="65" spans="2:15" ht="15" thickBot="1" x14ac:dyDescent="0.35">
      <c r="B65" s="30"/>
      <c r="C65" s="30"/>
      <c r="D65" s="60"/>
      <c r="E65" s="2"/>
      <c r="F65" s="32"/>
      <c r="G65" s="32"/>
      <c r="H65" s="39"/>
      <c r="I65" s="33"/>
      <c r="J65" s="32"/>
      <c r="K65" s="39" t="str">
        <f t="shared" si="9"/>
        <v/>
      </c>
      <c r="L65" s="39"/>
      <c r="M65" s="38"/>
    </row>
    <row r="66" spans="2:15" ht="15.6" x14ac:dyDescent="0.3">
      <c r="B66" s="41"/>
      <c r="C66" s="41"/>
      <c r="F66" s="40"/>
      <c r="G66" s="40"/>
      <c r="L66" s="37" t="s">
        <v>84</v>
      </c>
      <c r="M66" s="36">
        <f>SUM(M4:M65)</f>
        <v>46582</v>
      </c>
      <c r="N66" s="36"/>
    </row>
    <row r="67" spans="2:15" x14ac:dyDescent="0.3">
      <c r="B67" s="12"/>
      <c r="C67" s="12"/>
      <c r="F67" s="40"/>
      <c r="G67" s="40"/>
      <c r="L67" s="37" t="s">
        <v>85</v>
      </c>
      <c r="M67" s="36">
        <f>M66/100*25</f>
        <v>11645.5</v>
      </c>
      <c r="N67" s="36"/>
    </row>
    <row r="68" spans="2:15" ht="15" thickBot="1" x14ac:dyDescent="0.35">
      <c r="B68" s="12"/>
      <c r="C68" s="12"/>
      <c r="F68" s="40"/>
      <c r="G68" s="40"/>
      <c r="H68" s="34">
        <f>SUM(H5:H15)</f>
        <v>41697.5</v>
      </c>
      <c r="J68" s="34">
        <f>SUM(J5:J15)-H68</f>
        <v>2996.0625</v>
      </c>
      <c r="L68" s="37" t="s">
        <v>86</v>
      </c>
      <c r="M68" s="35">
        <f>SUM(M66:M67)</f>
        <v>58227.5</v>
      </c>
      <c r="N68" s="36"/>
    </row>
    <row r="69" spans="2:15" ht="15" thickTop="1" x14ac:dyDescent="0.3">
      <c r="B69" s="12"/>
      <c r="C69" s="12"/>
    </row>
    <row r="70" spans="2:15" x14ac:dyDescent="0.3">
      <c r="B70" s="12"/>
      <c r="C70" s="12"/>
    </row>
    <row r="71" spans="2:15" x14ac:dyDescent="0.3">
      <c r="B71" s="12"/>
      <c r="C71" s="12"/>
      <c r="H71" s="34">
        <v>3894</v>
      </c>
    </row>
    <row r="72" spans="2:15" x14ac:dyDescent="0.3">
      <c r="D72" s="8" t="s">
        <v>125</v>
      </c>
      <c r="E72" s="8">
        <f>44800</f>
        <v>44800</v>
      </c>
    </row>
    <row r="73" spans="2:15" x14ac:dyDescent="0.3">
      <c r="D73" s="8" t="s">
        <v>126</v>
      </c>
      <c r="E73" s="8">
        <f>+E72*0.075</f>
        <v>3360</v>
      </c>
      <c r="O73">
        <f>3*5*7.5</f>
        <v>112.5</v>
      </c>
    </row>
    <row r="74" spans="2:15" x14ac:dyDescent="0.3">
      <c r="D74" s="8" t="s">
        <v>127</v>
      </c>
      <c r="E74" s="8">
        <f>SUM(E72:E73)</f>
        <v>48160</v>
      </c>
    </row>
    <row r="75" spans="2:15" x14ac:dyDescent="0.3">
      <c r="D75" s="81" t="s">
        <v>128</v>
      </c>
      <c r="E75" s="81">
        <f>+E74*0.25</f>
        <v>12040</v>
      </c>
    </row>
    <row r="76" spans="2:15" ht="15" thickBot="1" x14ac:dyDescent="0.35">
      <c r="D76" s="15" t="s">
        <v>124</v>
      </c>
      <c r="E76" s="15">
        <f>+E74*1.25</f>
        <v>60200</v>
      </c>
      <c r="O76">
        <f>80000/O73</f>
        <v>711.11111111111109</v>
      </c>
    </row>
    <row r="77" spans="2:15" ht="15" thickTop="1" x14ac:dyDescent="0.3"/>
  </sheetData>
  <pageMargins left="0.70866141732283472" right="0.70866141732283472" top="1.1811023622047245" bottom="0.74803149606299213" header="0.39370078740157483" footer="0.31496062992125984"/>
  <pageSetup paperSize="9" scale="48" orientation="portrait" r:id="rId1"/>
  <headerFooter>
    <oddHeader xml:space="preserve">&amp;L&amp;G&amp;R
</oddHeader>
    <oddFooter>&amp;C&amp;"Arial,Normal"&amp;8&amp;K00B0F0Orbital Projects ApS&amp;K01+000
Fabriksparken 10B, 2600 Glostrup — Tlf.: 88 618 608 — kontakt@bnord.dk — bnord.dk
CVR-nr.: 39702037 — Bank: Spar Bank Nord —  Konto: 9056-1580083702&amp;RSide &amp;P af &amp;N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F6C9A-E99E-433C-B3F3-A18670296B36}">
  <sheetPr>
    <pageSetUpPr fitToPage="1"/>
  </sheetPr>
  <dimension ref="B1:AJ47"/>
  <sheetViews>
    <sheetView topLeftCell="N1" workbookViewId="0">
      <selection activeCell="AM32" sqref="AM32"/>
    </sheetView>
  </sheetViews>
  <sheetFormatPr defaultRowHeight="14.4" x14ac:dyDescent="0.3"/>
  <cols>
    <col min="1" max="1" width="3.6640625" customWidth="1"/>
    <col min="2" max="2" width="7.44140625" customWidth="1"/>
    <col min="3" max="3" width="51.33203125" customWidth="1"/>
    <col min="4" max="5" width="13.44140625" bestFit="1" customWidth="1"/>
    <col min="6" max="36" width="2.88671875" customWidth="1"/>
  </cols>
  <sheetData>
    <row r="1" spans="2:36" ht="23.4" x14ac:dyDescent="0.45">
      <c r="C1" s="62" t="s">
        <v>90</v>
      </c>
      <c r="D1" s="86"/>
      <c r="E1" s="8"/>
      <c r="F1" s="63" t="s">
        <v>91</v>
      </c>
      <c r="G1" s="63"/>
      <c r="H1" s="63"/>
      <c r="I1" s="64"/>
      <c r="J1" s="63"/>
      <c r="K1" s="63"/>
      <c r="L1" s="63"/>
      <c r="M1" s="63"/>
      <c r="N1" s="63"/>
      <c r="O1" s="63"/>
      <c r="P1" s="64"/>
      <c r="Q1" s="63"/>
      <c r="R1" s="63"/>
      <c r="S1" s="63"/>
      <c r="T1" s="63"/>
      <c r="U1" s="63"/>
      <c r="V1" s="63"/>
      <c r="W1" s="64"/>
      <c r="X1" s="63"/>
      <c r="Y1" s="63"/>
      <c r="Z1" s="63"/>
      <c r="AA1" s="63"/>
      <c r="AB1" s="63"/>
      <c r="AC1" s="63"/>
      <c r="AD1" s="64"/>
      <c r="AE1" s="63"/>
      <c r="AF1" s="64"/>
      <c r="AG1" s="63"/>
      <c r="AH1" s="65"/>
      <c r="AI1" s="63"/>
      <c r="AJ1" s="66" t="s">
        <v>92</v>
      </c>
    </row>
    <row r="2" spans="2:36" ht="15" thickBot="1" x14ac:dyDescent="0.35">
      <c r="C2" s="87" t="s">
        <v>145</v>
      </c>
      <c r="E2" s="8"/>
      <c r="F2" s="67"/>
      <c r="G2" s="67"/>
      <c r="H2" s="67"/>
      <c r="I2" s="67"/>
      <c r="J2" s="67"/>
      <c r="K2" s="68">
        <v>45</v>
      </c>
      <c r="L2" s="67"/>
      <c r="M2" s="67"/>
      <c r="N2" s="67"/>
      <c r="O2" s="67"/>
      <c r="P2" s="67"/>
      <c r="Q2" s="67"/>
      <c r="R2" s="68">
        <v>46</v>
      </c>
      <c r="S2" s="67"/>
      <c r="T2" s="67"/>
      <c r="U2" s="67"/>
      <c r="V2" s="67"/>
      <c r="W2" s="67"/>
      <c r="X2" s="67"/>
      <c r="Y2" s="68">
        <v>47</v>
      </c>
      <c r="Z2" s="67"/>
      <c r="AA2" s="67"/>
      <c r="AB2" s="67"/>
      <c r="AC2" s="67"/>
      <c r="AD2" s="67"/>
      <c r="AE2" s="67"/>
      <c r="AF2" s="68">
        <v>48</v>
      </c>
      <c r="AG2" s="67"/>
      <c r="AH2" s="67"/>
      <c r="AI2" s="67"/>
      <c r="AJ2" s="67"/>
    </row>
    <row r="3" spans="2:36" ht="18.600000000000001" customHeight="1" thickBot="1" x14ac:dyDescent="0.4">
      <c r="E3" s="8"/>
      <c r="F3" s="69" t="s">
        <v>93</v>
      </c>
      <c r="G3" s="69" t="s">
        <v>94</v>
      </c>
      <c r="H3" s="69" t="s">
        <v>95</v>
      </c>
      <c r="I3" s="70" t="s">
        <v>96</v>
      </c>
      <c r="J3" s="70" t="s">
        <v>97</v>
      </c>
      <c r="K3" s="69" t="s">
        <v>98</v>
      </c>
      <c r="L3" s="69" t="s">
        <v>94</v>
      </c>
      <c r="M3" s="69" t="s">
        <v>93</v>
      </c>
      <c r="N3" s="69" t="s">
        <v>94</v>
      </c>
      <c r="O3" s="69" t="s">
        <v>95</v>
      </c>
      <c r="P3" s="70" t="s">
        <v>96</v>
      </c>
      <c r="Q3" s="70" t="s">
        <v>97</v>
      </c>
      <c r="R3" s="69" t="s">
        <v>98</v>
      </c>
      <c r="S3" s="69" t="s">
        <v>94</v>
      </c>
      <c r="T3" s="69" t="s">
        <v>93</v>
      </c>
      <c r="U3" s="69" t="s">
        <v>94</v>
      </c>
      <c r="V3" s="69" t="s">
        <v>95</v>
      </c>
      <c r="W3" s="70" t="s">
        <v>96</v>
      </c>
      <c r="X3" s="70" t="s">
        <v>97</v>
      </c>
      <c r="Y3" s="69" t="s">
        <v>98</v>
      </c>
      <c r="Z3" s="69" t="s">
        <v>94</v>
      </c>
      <c r="AA3" s="69" t="s">
        <v>93</v>
      </c>
      <c r="AB3" s="69" t="s">
        <v>94</v>
      </c>
      <c r="AC3" s="69" t="s">
        <v>95</v>
      </c>
      <c r="AD3" s="70" t="s">
        <v>96</v>
      </c>
      <c r="AE3" s="70" t="s">
        <v>97</v>
      </c>
      <c r="AF3" s="69" t="s">
        <v>98</v>
      </c>
      <c r="AG3" s="69" t="s">
        <v>94</v>
      </c>
      <c r="AH3" s="69" t="s">
        <v>93</v>
      </c>
      <c r="AI3" s="69" t="s">
        <v>94</v>
      </c>
      <c r="AJ3" s="69" t="s">
        <v>95</v>
      </c>
    </row>
    <row r="4" spans="2:36" ht="18.600000000000001" thickBot="1" x14ac:dyDescent="0.4">
      <c r="B4" t="s">
        <v>119</v>
      </c>
      <c r="C4" s="29" t="s">
        <v>99</v>
      </c>
      <c r="D4" s="83" t="s">
        <v>136</v>
      </c>
      <c r="E4" s="71" t="s">
        <v>100</v>
      </c>
      <c r="F4" s="72">
        <v>1</v>
      </c>
      <c r="G4" s="72">
        <v>2</v>
      </c>
      <c r="H4" s="72">
        <v>3</v>
      </c>
      <c r="I4" s="72">
        <v>4</v>
      </c>
      <c r="J4" s="72">
        <v>5</v>
      </c>
      <c r="K4" s="72">
        <v>6</v>
      </c>
      <c r="L4" s="72">
        <v>7</v>
      </c>
      <c r="M4" s="72">
        <v>8</v>
      </c>
      <c r="N4" s="72">
        <v>9</v>
      </c>
      <c r="O4" s="72">
        <v>10</v>
      </c>
      <c r="P4" s="72">
        <v>11</v>
      </c>
      <c r="Q4" s="72">
        <v>12</v>
      </c>
      <c r="R4" s="72">
        <v>13</v>
      </c>
      <c r="S4" s="72">
        <v>14</v>
      </c>
      <c r="T4" s="72">
        <v>15</v>
      </c>
      <c r="U4" s="72">
        <v>16</v>
      </c>
      <c r="V4" s="72">
        <v>17</v>
      </c>
      <c r="W4" s="72">
        <v>18</v>
      </c>
      <c r="X4" s="72">
        <v>19</v>
      </c>
      <c r="Y4" s="72">
        <v>20</v>
      </c>
      <c r="Z4" s="72">
        <v>21</v>
      </c>
      <c r="AA4" s="72">
        <v>22</v>
      </c>
      <c r="AB4" s="72">
        <v>23</v>
      </c>
      <c r="AC4" s="72">
        <v>24</v>
      </c>
      <c r="AD4" s="72">
        <v>25</v>
      </c>
      <c r="AE4" s="72">
        <v>26</v>
      </c>
      <c r="AF4" s="72">
        <v>27</v>
      </c>
      <c r="AG4" s="72">
        <v>28</v>
      </c>
      <c r="AH4" s="72">
        <v>29</v>
      </c>
      <c r="AI4" s="72">
        <v>30</v>
      </c>
      <c r="AJ4" s="72">
        <v>1</v>
      </c>
    </row>
    <row r="5" spans="2:36" x14ac:dyDescent="0.3">
      <c r="D5" s="8"/>
      <c r="E5" s="8"/>
    </row>
    <row r="6" spans="2:36" x14ac:dyDescent="0.3">
      <c r="C6" t="s">
        <v>101</v>
      </c>
      <c r="D6" s="8"/>
      <c r="E6" s="17" t="s">
        <v>8</v>
      </c>
      <c r="F6" s="73"/>
      <c r="G6" s="74"/>
      <c r="H6" s="74"/>
      <c r="K6" s="74"/>
      <c r="L6" s="74"/>
      <c r="M6" s="74"/>
      <c r="N6" s="74"/>
      <c r="O6" s="74"/>
      <c r="R6" s="74"/>
      <c r="S6" s="74"/>
      <c r="T6" s="74"/>
      <c r="U6" s="74"/>
      <c r="V6" s="74"/>
      <c r="Y6" s="74"/>
      <c r="Z6" s="74"/>
      <c r="AA6" s="74"/>
      <c r="AB6" s="74"/>
      <c r="AC6" s="74"/>
      <c r="AF6" s="74"/>
      <c r="AG6" s="74"/>
      <c r="AH6" s="74"/>
      <c r="AI6" s="74"/>
      <c r="AJ6" s="74"/>
    </row>
    <row r="7" spans="2:36" x14ac:dyDescent="0.3">
      <c r="B7" s="8">
        <v>1</v>
      </c>
      <c r="C7" t="s">
        <v>137</v>
      </c>
      <c r="D7" s="8">
        <v>2</v>
      </c>
      <c r="E7" s="17" t="s">
        <v>8</v>
      </c>
      <c r="F7" s="74"/>
      <c r="G7" s="75"/>
      <c r="H7" s="74"/>
      <c r="K7" s="74"/>
      <c r="L7" s="74"/>
      <c r="M7" s="74"/>
      <c r="N7" s="74"/>
      <c r="O7" s="74"/>
      <c r="R7" s="74"/>
      <c r="S7" s="74"/>
      <c r="T7" s="74"/>
      <c r="U7" s="74"/>
      <c r="V7" s="74"/>
      <c r="Y7" s="74"/>
      <c r="Z7" s="74"/>
      <c r="AA7" s="74"/>
      <c r="AB7" s="74"/>
      <c r="AC7" s="74"/>
      <c r="AF7" s="74"/>
      <c r="AG7" s="74"/>
      <c r="AH7" s="74"/>
      <c r="AI7" s="74"/>
      <c r="AJ7" s="74"/>
    </row>
    <row r="8" spans="2:36" x14ac:dyDescent="0.3">
      <c r="C8" t="s">
        <v>102</v>
      </c>
      <c r="D8" s="8"/>
      <c r="E8" s="17" t="s">
        <v>103</v>
      </c>
      <c r="F8" s="74"/>
      <c r="G8" s="74"/>
      <c r="H8" s="76"/>
      <c r="K8" s="74"/>
      <c r="L8" s="74"/>
      <c r="M8" s="74"/>
      <c r="N8" s="74"/>
      <c r="O8" s="74"/>
      <c r="R8" s="74"/>
      <c r="S8" s="74"/>
      <c r="T8" s="74"/>
      <c r="U8" s="74"/>
      <c r="V8" s="74"/>
      <c r="Y8" s="74"/>
      <c r="Z8" s="74"/>
      <c r="AA8" s="74"/>
      <c r="AB8" s="74"/>
      <c r="AC8" s="74"/>
      <c r="AF8" s="74"/>
      <c r="AG8" s="74"/>
      <c r="AH8" s="74"/>
      <c r="AI8" s="74"/>
      <c r="AJ8" s="74"/>
    </row>
    <row r="9" spans="2:36" x14ac:dyDescent="0.3">
      <c r="B9" s="8"/>
      <c r="C9" t="s">
        <v>104</v>
      </c>
      <c r="D9" s="8"/>
      <c r="E9" s="17" t="s">
        <v>8</v>
      </c>
      <c r="F9" s="74"/>
      <c r="G9" s="74"/>
      <c r="H9" s="73"/>
      <c r="K9" s="73"/>
      <c r="L9" s="73"/>
      <c r="M9" s="73"/>
      <c r="N9" s="74"/>
      <c r="O9" s="74"/>
      <c r="R9" s="74"/>
      <c r="S9" s="74"/>
      <c r="T9" s="74"/>
      <c r="U9" s="74"/>
      <c r="V9" s="74"/>
      <c r="Y9" s="74"/>
      <c r="Z9" s="74"/>
      <c r="AA9" s="74"/>
      <c r="AB9" s="74"/>
      <c r="AC9" s="74"/>
      <c r="AF9" s="74"/>
      <c r="AG9" s="74"/>
      <c r="AH9" s="74"/>
      <c r="AI9" s="74"/>
      <c r="AJ9" s="74"/>
    </row>
    <row r="10" spans="2:36" x14ac:dyDescent="0.3">
      <c r="B10" s="8">
        <v>2</v>
      </c>
      <c r="C10" t="s">
        <v>105</v>
      </c>
      <c r="D10" s="8"/>
      <c r="E10" s="17" t="s">
        <v>8</v>
      </c>
      <c r="F10" s="74"/>
      <c r="G10" s="74"/>
      <c r="H10" s="74"/>
      <c r="K10" s="77"/>
      <c r="L10" s="74"/>
      <c r="M10" s="74"/>
      <c r="N10" s="74"/>
      <c r="O10" s="74"/>
      <c r="R10" s="74"/>
      <c r="S10" s="74"/>
      <c r="T10" s="74"/>
      <c r="U10" s="74"/>
      <c r="V10" s="74"/>
      <c r="Y10" s="74"/>
      <c r="Z10" s="74"/>
      <c r="AA10" s="74"/>
      <c r="AB10" s="74"/>
      <c r="AC10" s="74"/>
      <c r="AF10" s="74"/>
      <c r="AG10" s="74"/>
      <c r="AH10" s="74"/>
      <c r="AI10" s="74"/>
      <c r="AJ10" s="74"/>
    </row>
    <row r="11" spans="2:36" x14ac:dyDescent="0.3">
      <c r="B11" s="8"/>
      <c r="C11" t="s">
        <v>106</v>
      </c>
      <c r="D11" s="8"/>
      <c r="E11" s="17" t="s">
        <v>107</v>
      </c>
      <c r="F11" s="74"/>
      <c r="G11" s="74"/>
      <c r="H11" s="74"/>
      <c r="K11" s="74"/>
      <c r="L11" s="78"/>
      <c r="M11" s="74"/>
      <c r="N11" s="74"/>
      <c r="O11" s="74"/>
      <c r="R11" s="74"/>
      <c r="S11" s="74"/>
      <c r="T11" s="74"/>
      <c r="U11" s="74"/>
      <c r="V11" s="74"/>
      <c r="Y11" s="74"/>
      <c r="Z11" s="74"/>
      <c r="AA11" s="74"/>
      <c r="AB11" s="74"/>
      <c r="AC11" s="74"/>
      <c r="AF11" s="74"/>
      <c r="AG11" s="74"/>
      <c r="AH11" s="74"/>
      <c r="AI11" s="74"/>
      <c r="AJ11" s="74"/>
    </row>
    <row r="12" spans="2:36" x14ac:dyDescent="0.3">
      <c r="B12" s="8"/>
      <c r="C12" t="s">
        <v>108</v>
      </c>
      <c r="D12" s="8"/>
      <c r="E12" s="17" t="s">
        <v>107</v>
      </c>
      <c r="F12" s="74"/>
      <c r="G12" s="74"/>
      <c r="H12" s="74"/>
      <c r="K12" s="74"/>
      <c r="L12" s="75"/>
      <c r="M12" s="74"/>
      <c r="N12" s="74"/>
      <c r="O12" s="74"/>
      <c r="R12" s="74"/>
      <c r="S12" s="74"/>
      <c r="T12" s="74"/>
      <c r="U12" s="74"/>
      <c r="V12" s="74"/>
      <c r="Y12" s="74"/>
      <c r="Z12" s="74"/>
      <c r="AA12" s="74"/>
      <c r="AB12" s="74"/>
      <c r="AC12" s="74"/>
      <c r="AF12" s="74"/>
      <c r="AG12" s="74"/>
      <c r="AH12" s="74"/>
      <c r="AI12" s="74"/>
      <c r="AJ12" s="74"/>
    </row>
    <row r="13" spans="2:36" x14ac:dyDescent="0.3">
      <c r="B13" s="8">
        <v>3</v>
      </c>
      <c r="C13" t="s">
        <v>138</v>
      </c>
      <c r="D13" s="8">
        <v>2</v>
      </c>
      <c r="E13" s="17" t="s">
        <v>107</v>
      </c>
      <c r="F13" s="74"/>
      <c r="G13" s="74"/>
      <c r="H13" s="74"/>
      <c r="K13" s="74"/>
      <c r="L13" s="74"/>
      <c r="M13" s="74"/>
      <c r="N13" s="75"/>
      <c r="O13" s="74"/>
      <c r="R13" s="74"/>
      <c r="S13" s="74"/>
      <c r="T13" s="74"/>
      <c r="U13" s="74"/>
      <c r="V13" s="74"/>
      <c r="Y13" s="74"/>
      <c r="Z13" s="74"/>
      <c r="AA13" s="74"/>
      <c r="AB13" s="74"/>
      <c r="AC13" s="74"/>
      <c r="AF13" s="74"/>
      <c r="AG13" s="74"/>
      <c r="AH13" s="74"/>
      <c r="AI13" s="74"/>
      <c r="AJ13" s="74"/>
    </row>
    <row r="14" spans="2:36" x14ac:dyDescent="0.3">
      <c r="B14" s="8">
        <v>4</v>
      </c>
      <c r="C14" t="s">
        <v>109</v>
      </c>
      <c r="D14" s="8">
        <v>3</v>
      </c>
      <c r="E14" s="17" t="s">
        <v>8</v>
      </c>
      <c r="F14" s="74"/>
      <c r="G14" s="74"/>
      <c r="H14" s="74"/>
      <c r="K14" s="74"/>
      <c r="L14" s="74"/>
      <c r="M14" s="74"/>
      <c r="N14" s="74"/>
      <c r="O14" s="74"/>
      <c r="R14" s="74"/>
      <c r="S14" s="79"/>
      <c r="T14" s="74"/>
      <c r="U14" s="74"/>
      <c r="V14" s="74"/>
      <c r="Y14" s="74"/>
      <c r="Z14" s="74"/>
      <c r="AA14" s="74"/>
      <c r="AB14" s="74"/>
      <c r="AC14" s="74"/>
      <c r="AF14" s="74"/>
      <c r="AG14" s="74"/>
      <c r="AH14" s="74"/>
      <c r="AI14" s="74"/>
      <c r="AJ14" s="74"/>
    </row>
    <row r="15" spans="2:36" x14ac:dyDescent="0.3">
      <c r="C15" t="s">
        <v>110</v>
      </c>
      <c r="D15" s="8"/>
      <c r="E15" s="17" t="s">
        <v>111</v>
      </c>
      <c r="F15" s="74"/>
      <c r="G15" s="74"/>
      <c r="H15" s="74"/>
      <c r="K15" s="74"/>
      <c r="L15" s="74"/>
      <c r="M15" s="74"/>
      <c r="N15" s="74"/>
      <c r="O15" s="74"/>
      <c r="R15" s="74"/>
      <c r="S15" s="76"/>
      <c r="T15" s="74"/>
      <c r="U15" s="74"/>
      <c r="V15" s="74"/>
      <c r="Y15" s="74"/>
      <c r="Z15" s="74"/>
      <c r="AA15" s="74"/>
      <c r="AB15" s="74"/>
      <c r="AC15" s="74"/>
      <c r="AF15" s="74"/>
      <c r="AG15" s="74"/>
      <c r="AH15" s="74"/>
      <c r="AI15" s="74"/>
      <c r="AJ15" s="74"/>
    </row>
    <row r="16" spans="2:36" x14ac:dyDescent="0.3">
      <c r="B16" s="8"/>
      <c r="C16" t="s">
        <v>112</v>
      </c>
      <c r="D16" s="8"/>
      <c r="E16" s="17" t="s">
        <v>113</v>
      </c>
      <c r="F16" s="74"/>
      <c r="G16" s="74"/>
      <c r="H16" s="74"/>
      <c r="K16" s="74"/>
      <c r="L16" s="74"/>
      <c r="M16" s="74"/>
      <c r="N16" s="74"/>
      <c r="O16" s="74"/>
      <c r="R16" s="74"/>
      <c r="T16" s="74"/>
      <c r="U16" s="74"/>
      <c r="V16" s="79"/>
      <c r="Y16" s="74"/>
      <c r="Z16" s="74"/>
      <c r="AA16" s="74"/>
      <c r="AB16" s="74"/>
      <c r="AC16" s="74"/>
      <c r="AF16" s="74"/>
      <c r="AG16" s="74"/>
      <c r="AH16" s="74"/>
      <c r="AI16" s="74"/>
      <c r="AJ16" s="74"/>
    </row>
    <row r="17" spans="2:36" x14ac:dyDescent="0.3">
      <c r="B17" s="8"/>
      <c r="C17" t="s">
        <v>114</v>
      </c>
      <c r="D17" s="8"/>
      <c r="E17" s="17" t="s">
        <v>8</v>
      </c>
      <c r="F17" s="74"/>
      <c r="G17" s="74"/>
      <c r="H17" s="74"/>
      <c r="K17" s="74"/>
      <c r="L17" s="74"/>
      <c r="M17" s="74"/>
      <c r="N17" s="74"/>
      <c r="O17" s="74"/>
      <c r="R17" s="74"/>
      <c r="S17" s="74"/>
      <c r="T17" s="74"/>
      <c r="U17" s="74"/>
      <c r="V17" s="74"/>
      <c r="Y17" s="79"/>
      <c r="Z17" s="74"/>
      <c r="AA17" s="74"/>
      <c r="AB17" s="74"/>
      <c r="AC17" s="74"/>
      <c r="AF17" s="74"/>
      <c r="AG17" s="74"/>
      <c r="AH17" s="74"/>
      <c r="AI17" s="74"/>
      <c r="AJ17" s="74"/>
    </row>
    <row r="18" spans="2:36" x14ac:dyDescent="0.3">
      <c r="B18" s="8"/>
      <c r="C18" t="s">
        <v>115</v>
      </c>
      <c r="D18" s="8"/>
      <c r="E18" s="17" t="s">
        <v>111</v>
      </c>
      <c r="F18" s="74"/>
      <c r="G18" s="74"/>
      <c r="H18" s="74"/>
      <c r="K18" s="74"/>
      <c r="L18" s="74"/>
      <c r="M18" s="74"/>
      <c r="N18" s="74"/>
      <c r="O18" s="74"/>
      <c r="R18" s="74"/>
      <c r="S18" s="74"/>
      <c r="T18" s="74"/>
      <c r="U18" s="74"/>
      <c r="V18" s="74"/>
      <c r="Y18" s="73"/>
      <c r="Z18" s="74"/>
      <c r="AA18" s="74"/>
      <c r="AB18" s="74"/>
      <c r="AC18" s="74"/>
      <c r="AF18" s="74"/>
      <c r="AG18" s="74"/>
      <c r="AH18" s="74"/>
      <c r="AI18" s="74"/>
      <c r="AJ18" s="74"/>
    </row>
    <row r="19" spans="2:36" x14ac:dyDescent="0.3">
      <c r="B19" s="8"/>
      <c r="C19" t="s">
        <v>116</v>
      </c>
      <c r="D19" s="8"/>
      <c r="E19" s="17" t="s">
        <v>111</v>
      </c>
      <c r="F19" s="74"/>
      <c r="G19" s="74"/>
      <c r="H19" s="74"/>
      <c r="K19" s="74"/>
      <c r="L19" s="74"/>
      <c r="M19" s="74"/>
      <c r="N19" s="74"/>
      <c r="O19" s="74"/>
      <c r="R19" s="74"/>
      <c r="S19" s="74"/>
      <c r="T19" s="74"/>
      <c r="U19" s="74"/>
      <c r="V19" s="74"/>
      <c r="Y19" s="74"/>
      <c r="Z19" s="73"/>
      <c r="AA19" s="73"/>
      <c r="AB19" s="73"/>
      <c r="AC19" s="73"/>
      <c r="AF19" s="73"/>
      <c r="AG19" s="73"/>
      <c r="AH19" s="73"/>
      <c r="AI19" s="74"/>
      <c r="AJ19" s="74"/>
    </row>
    <row r="20" spans="2:36" x14ac:dyDescent="0.3">
      <c r="B20" s="8">
        <v>5</v>
      </c>
      <c r="C20" t="s">
        <v>120</v>
      </c>
      <c r="D20" s="8">
        <v>3</v>
      </c>
      <c r="E20" s="17" t="s">
        <v>111</v>
      </c>
      <c r="F20" s="74"/>
      <c r="G20" s="74"/>
      <c r="H20" s="74"/>
      <c r="K20" s="74"/>
      <c r="L20" s="74"/>
      <c r="M20" s="74"/>
      <c r="N20" s="74"/>
      <c r="O20" s="74"/>
      <c r="R20" s="74"/>
      <c r="S20" s="74"/>
      <c r="T20" s="74"/>
      <c r="U20" s="74"/>
      <c r="V20" s="74"/>
      <c r="Y20" s="74"/>
      <c r="Z20" s="74"/>
      <c r="AA20" s="74"/>
      <c r="AB20" s="79"/>
      <c r="AC20" s="74"/>
      <c r="AF20" s="74"/>
      <c r="AG20" s="74"/>
      <c r="AH20" s="74"/>
      <c r="AI20" s="74"/>
      <c r="AJ20" s="74"/>
    </row>
    <row r="21" spans="2:36" x14ac:dyDescent="0.3">
      <c r="B21" s="8">
        <v>6</v>
      </c>
      <c r="C21" t="s">
        <v>117</v>
      </c>
      <c r="D21" s="8"/>
      <c r="E21" s="17" t="s">
        <v>111</v>
      </c>
      <c r="F21" s="74"/>
      <c r="G21" s="74"/>
      <c r="H21" s="74"/>
      <c r="K21" s="74"/>
      <c r="L21" s="74"/>
      <c r="M21" s="74"/>
      <c r="N21" s="74"/>
      <c r="O21" s="74"/>
      <c r="R21" s="74"/>
      <c r="S21" s="74"/>
      <c r="T21" s="74"/>
      <c r="U21" s="74"/>
      <c r="V21" s="74"/>
      <c r="Y21" s="74"/>
      <c r="Z21" s="74"/>
      <c r="AA21" s="74"/>
      <c r="AB21" s="74"/>
      <c r="AC21" s="77"/>
      <c r="AF21" s="74"/>
      <c r="AG21" s="74"/>
      <c r="AH21" s="74"/>
      <c r="AI21" s="74"/>
      <c r="AJ21" s="74"/>
    </row>
    <row r="22" spans="2:36" x14ac:dyDescent="0.3">
      <c r="B22" s="8"/>
      <c r="C22" t="s">
        <v>121</v>
      </c>
      <c r="D22" s="8"/>
      <c r="E22" s="17" t="s">
        <v>111</v>
      </c>
      <c r="F22" s="74"/>
      <c r="G22" s="74"/>
      <c r="H22" s="74"/>
      <c r="K22" s="74"/>
      <c r="L22" s="74"/>
      <c r="M22" s="74"/>
      <c r="N22" s="74"/>
      <c r="O22" s="74"/>
      <c r="R22" s="74"/>
      <c r="S22" s="74"/>
      <c r="T22" s="74"/>
      <c r="U22" s="74"/>
      <c r="V22" s="74"/>
      <c r="Y22" s="74"/>
      <c r="Z22" s="74"/>
      <c r="AA22" s="74"/>
      <c r="AB22" s="74"/>
      <c r="AC22" s="74"/>
      <c r="AF22" s="74"/>
      <c r="AG22" s="79"/>
      <c r="AH22" s="74"/>
      <c r="AI22" s="74"/>
      <c r="AJ22" s="74"/>
    </row>
    <row r="23" spans="2:36" x14ac:dyDescent="0.3">
      <c r="B23" s="8">
        <v>7</v>
      </c>
      <c r="C23" t="s">
        <v>135</v>
      </c>
      <c r="D23" s="8">
        <v>1</v>
      </c>
      <c r="E23" s="17" t="s">
        <v>8</v>
      </c>
      <c r="F23" s="74"/>
      <c r="G23" s="74"/>
      <c r="H23" s="74"/>
      <c r="K23" s="74"/>
      <c r="L23" s="74"/>
      <c r="M23" s="74"/>
      <c r="N23" s="74"/>
      <c r="O23" s="74"/>
      <c r="R23" s="74"/>
      <c r="S23" s="74"/>
      <c r="T23" s="74"/>
      <c r="U23" s="74"/>
      <c r="V23" s="74"/>
      <c r="Y23" s="74"/>
      <c r="Z23" s="74"/>
      <c r="AA23" s="74"/>
      <c r="AB23" s="74"/>
      <c r="AC23" s="74"/>
      <c r="AF23" s="74"/>
      <c r="AG23" s="74"/>
      <c r="AH23" s="79"/>
      <c r="AI23" s="74"/>
      <c r="AJ23" s="74"/>
    </row>
    <row r="24" spans="2:36" x14ac:dyDescent="0.3">
      <c r="D24" s="8"/>
      <c r="E24" s="17"/>
    </row>
    <row r="25" spans="2:36" x14ac:dyDescent="0.3">
      <c r="C25" t="s">
        <v>118</v>
      </c>
      <c r="D25" s="8">
        <f>SUM(D7:D23)</f>
        <v>11</v>
      </c>
      <c r="E25" s="17"/>
    </row>
    <row r="26" spans="2:36" x14ac:dyDescent="0.3">
      <c r="E26" s="17"/>
    </row>
    <row r="27" spans="2:36" ht="18" x14ac:dyDescent="0.35">
      <c r="C27" s="29" t="s">
        <v>150</v>
      </c>
      <c r="D27" s="29"/>
      <c r="E27" s="98" t="s">
        <v>151</v>
      </c>
    </row>
    <row r="28" spans="2:36" x14ac:dyDescent="0.3">
      <c r="B28" s="8">
        <v>1</v>
      </c>
      <c r="C28" t="s">
        <v>139</v>
      </c>
      <c r="E28" s="84">
        <f>1192.5+795</f>
        <v>1987.5</v>
      </c>
    </row>
    <row r="29" spans="2:36" x14ac:dyDescent="0.3">
      <c r="B29" s="47">
        <v>2</v>
      </c>
      <c r="C29" s="11" t="s">
        <v>133</v>
      </c>
      <c r="D29" s="11"/>
      <c r="E29" s="88">
        <f>+'Asbest sanering'!L68</f>
        <v>57523.199999999997</v>
      </c>
      <c r="G29" t="s">
        <v>147</v>
      </c>
    </row>
    <row r="30" spans="2:36" x14ac:dyDescent="0.3">
      <c r="B30" s="8">
        <v>3</v>
      </c>
      <c r="C30" t="s">
        <v>140</v>
      </c>
      <c r="E30" s="84">
        <f>1192.5*2</f>
        <v>2385</v>
      </c>
    </row>
    <row r="31" spans="2:36" x14ac:dyDescent="0.3">
      <c r="B31" s="8">
        <v>4</v>
      </c>
      <c r="C31" t="s">
        <v>141</v>
      </c>
      <c r="E31" s="84">
        <f>1192.5*3</f>
        <v>3577.5</v>
      </c>
      <c r="G31" s="89"/>
    </row>
    <row r="32" spans="2:36" x14ac:dyDescent="0.3">
      <c r="B32" s="8">
        <v>5</v>
      </c>
      <c r="C32" t="s">
        <v>142</v>
      </c>
      <c r="E32" s="84">
        <f>1192.5*3</f>
        <v>3577.5</v>
      </c>
    </row>
    <row r="33" spans="2:7" x14ac:dyDescent="0.3">
      <c r="B33" s="8">
        <v>6</v>
      </c>
      <c r="C33" t="s">
        <v>134</v>
      </c>
      <c r="E33" s="84">
        <v>60880</v>
      </c>
    </row>
    <row r="34" spans="2:7" x14ac:dyDescent="0.3">
      <c r="B34" s="8">
        <v>7</v>
      </c>
      <c r="C34" t="s">
        <v>143</v>
      </c>
      <c r="E34" s="84">
        <f>1192.5*1</f>
        <v>1192.5</v>
      </c>
    </row>
    <row r="36" spans="2:7" x14ac:dyDescent="0.3">
      <c r="D36" s="14" t="s">
        <v>146</v>
      </c>
      <c r="E36" s="85">
        <f>SUM(E28:E35)</f>
        <v>131123.20000000001</v>
      </c>
    </row>
    <row r="39" spans="2:7" ht="18" x14ac:dyDescent="0.35">
      <c r="C39" s="92" t="s">
        <v>156</v>
      </c>
      <c r="D39" s="90"/>
      <c r="E39" s="11" t="s">
        <v>144</v>
      </c>
    </row>
    <row r="40" spans="2:7" x14ac:dyDescent="0.3">
      <c r="B40" s="8">
        <v>1</v>
      </c>
      <c r="C40" t="s">
        <v>139</v>
      </c>
      <c r="D40" s="8">
        <v>2</v>
      </c>
      <c r="E40" s="84">
        <f>1192.5+795</f>
        <v>1987.5</v>
      </c>
    </row>
    <row r="41" spans="2:7" x14ac:dyDescent="0.3">
      <c r="B41" s="47">
        <v>2</v>
      </c>
      <c r="C41" s="11" t="s">
        <v>133</v>
      </c>
      <c r="D41" s="47"/>
      <c r="E41" s="88">
        <f>+'Asbest sanering'!L68</f>
        <v>57523.199999999997</v>
      </c>
      <c r="G41" t="s">
        <v>147</v>
      </c>
    </row>
    <row r="42" spans="2:7" x14ac:dyDescent="0.3">
      <c r="B42" s="91" t="s">
        <v>148</v>
      </c>
      <c r="C42" t="s">
        <v>149</v>
      </c>
      <c r="D42" s="8">
        <v>8</v>
      </c>
      <c r="E42" s="84">
        <v>48240</v>
      </c>
    </row>
    <row r="43" spans="2:7" x14ac:dyDescent="0.3">
      <c r="B43" s="81">
        <v>7</v>
      </c>
      <c r="C43" s="93" t="s">
        <v>135</v>
      </c>
      <c r="D43" s="81">
        <v>1</v>
      </c>
      <c r="E43" s="94">
        <f>1192.5*1</f>
        <v>1192.5</v>
      </c>
    </row>
    <row r="44" spans="2:7" x14ac:dyDescent="0.3">
      <c r="D44" s="14" t="s">
        <v>152</v>
      </c>
      <c r="E44" s="85">
        <f>SUM(E40:E43)</f>
        <v>108943.2</v>
      </c>
    </row>
    <row r="45" spans="2:7" x14ac:dyDescent="0.3">
      <c r="D45" s="95" t="s">
        <v>128</v>
      </c>
      <c r="E45" s="85">
        <f>+E44*0.25</f>
        <v>27235.8</v>
      </c>
    </row>
    <row r="46" spans="2:7" ht="15" thickBot="1" x14ac:dyDescent="0.35">
      <c r="D46" s="96" t="s">
        <v>153</v>
      </c>
      <c r="E46" s="97">
        <f>SUM(E44:E45)</f>
        <v>136179</v>
      </c>
    </row>
    <row r="47" spans="2:7" ht="15" thickTop="1" x14ac:dyDescent="0.3"/>
  </sheetData>
  <pageMargins left="0.25" right="0.25" top="0.75" bottom="0.75" header="0.3" footer="0.3"/>
  <pageSetup paperSize="8" fitToHeight="0"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5A42F1-67CA-42F8-A521-17D69118B860}">
  <sheetPr>
    <pageSetUpPr fitToPage="1"/>
  </sheetPr>
  <dimension ref="A1:L21"/>
  <sheetViews>
    <sheetView workbookViewId="0">
      <selection activeCell="A24" sqref="A24"/>
    </sheetView>
  </sheetViews>
  <sheetFormatPr defaultRowHeight="14.4" x14ac:dyDescent="0.3"/>
  <cols>
    <col min="1" max="1" width="68" customWidth="1"/>
    <col min="2" max="2" width="4" customWidth="1"/>
    <col min="4" max="4" width="11.6640625" hidden="1" customWidth="1"/>
    <col min="5" max="6" width="0" hidden="1" customWidth="1"/>
    <col min="7" max="7" width="10.44140625" hidden="1" customWidth="1"/>
    <col min="8" max="10" width="0" hidden="1" customWidth="1"/>
    <col min="11" max="11" width="3" customWidth="1"/>
    <col min="12" max="12" width="16.6640625" bestFit="1" customWidth="1"/>
  </cols>
  <sheetData>
    <row r="1" spans="1:12" ht="18" x14ac:dyDescent="0.35">
      <c r="A1" s="61" t="s">
        <v>186</v>
      </c>
      <c r="B1" s="29"/>
      <c r="K1" s="14" t="s">
        <v>72</v>
      </c>
      <c r="L1" s="43">
        <f ca="1">TODAY()</f>
        <v>45632</v>
      </c>
    </row>
    <row r="2" spans="1:12" ht="18.600000000000001" thickBot="1" x14ac:dyDescent="0.4">
      <c r="A2" s="29"/>
      <c r="B2" s="29"/>
      <c r="L2" s="43"/>
    </row>
    <row r="3" spans="1:12" ht="14.25" customHeight="1" thickBot="1" x14ac:dyDescent="0.4">
      <c r="A3" s="29"/>
      <c r="B3" s="29"/>
      <c r="C3" s="56" t="s">
        <v>73</v>
      </c>
      <c r="D3" s="56" t="s">
        <v>1</v>
      </c>
      <c r="E3" s="57" t="s">
        <v>74</v>
      </c>
      <c r="F3" s="57" t="s">
        <v>4</v>
      </c>
      <c r="G3" s="58" t="s">
        <v>3</v>
      </c>
      <c r="H3" s="59" t="s">
        <v>5</v>
      </c>
      <c r="I3" s="57" t="s">
        <v>75</v>
      </c>
      <c r="J3" s="57" t="s">
        <v>6</v>
      </c>
      <c r="K3" s="40"/>
      <c r="L3" s="57" t="s">
        <v>6</v>
      </c>
    </row>
    <row r="4" spans="1:12" ht="15.6" x14ac:dyDescent="0.3">
      <c r="A4" s="11" t="s">
        <v>179</v>
      </c>
      <c r="B4" s="45"/>
      <c r="C4" s="47"/>
      <c r="D4" s="47"/>
      <c r="E4" s="40"/>
      <c r="F4" s="40"/>
      <c r="G4" s="40"/>
      <c r="H4" s="48"/>
      <c r="I4" s="40"/>
      <c r="J4" s="40"/>
      <c r="K4" s="40"/>
      <c r="L4" s="36">
        <f>SUM(J5:J12)</f>
        <v>4420</v>
      </c>
    </row>
    <row r="5" spans="1:12" x14ac:dyDescent="0.3">
      <c r="A5" t="s">
        <v>182</v>
      </c>
      <c r="B5" s="42"/>
      <c r="C5" s="20" t="s">
        <v>78</v>
      </c>
      <c r="D5" s="20">
        <v>4</v>
      </c>
      <c r="E5" s="53">
        <v>600</v>
      </c>
      <c r="F5" s="31">
        <f>+E5*D5</f>
        <v>2400</v>
      </c>
      <c r="G5" s="51"/>
      <c r="H5" s="52">
        <v>0.15</v>
      </c>
      <c r="I5" s="31">
        <f>(+G5*H5)+G5</f>
        <v>0</v>
      </c>
      <c r="J5" s="49">
        <f>IF(ROUNDUP(I5+F5,0)=0,"",ROUNDUP(I5+F5,0))</f>
        <v>2400</v>
      </c>
      <c r="K5" s="49"/>
    </row>
    <row r="6" spans="1:12" x14ac:dyDescent="0.3">
      <c r="A6" t="s">
        <v>183</v>
      </c>
      <c r="B6" s="42"/>
      <c r="C6" s="20" t="s">
        <v>78</v>
      </c>
      <c r="F6" s="31">
        <f>+E6*D6</f>
        <v>0</v>
      </c>
      <c r="G6" s="51">
        <v>400</v>
      </c>
      <c r="H6" s="52">
        <v>0.15</v>
      </c>
      <c r="I6" s="31">
        <f>(+G6*H6)+G6</f>
        <v>460</v>
      </c>
      <c r="J6" s="49">
        <f>IF(ROUNDUP(I6+F6,0)=0,"",ROUNDUP(I6+F6,0))</f>
        <v>460</v>
      </c>
      <c r="K6" s="49"/>
    </row>
    <row r="7" spans="1:12" x14ac:dyDescent="0.3">
      <c r="A7" s="124" t="s">
        <v>185</v>
      </c>
      <c r="B7" s="42"/>
      <c r="C7" s="20" t="s">
        <v>78</v>
      </c>
      <c r="D7" s="8">
        <v>2</v>
      </c>
      <c r="E7" s="31">
        <v>550</v>
      </c>
      <c r="F7" s="31">
        <f>+E7*D7</f>
        <v>1100</v>
      </c>
      <c r="G7" s="51">
        <v>400</v>
      </c>
      <c r="H7" s="52">
        <v>0.15</v>
      </c>
      <c r="I7" s="31">
        <f>(+G7*H7)+G7</f>
        <v>460</v>
      </c>
      <c r="J7" s="49">
        <f>IF(ROUNDUP(I7+F7,0)=0,"",ROUNDUP(I7+F7,0))</f>
        <v>1560</v>
      </c>
      <c r="K7" s="49"/>
    </row>
    <row r="8" spans="1:12" ht="15" thickBot="1" x14ac:dyDescent="0.35">
      <c r="A8" s="125"/>
      <c r="B8" s="126"/>
      <c r="C8" s="60"/>
      <c r="D8" s="2"/>
      <c r="E8" s="32"/>
      <c r="F8" s="32"/>
      <c r="G8" s="127"/>
      <c r="H8" s="128"/>
      <c r="I8" s="32"/>
      <c r="J8" s="39"/>
      <c r="K8" s="39"/>
      <c r="L8" s="30"/>
    </row>
    <row r="9" spans="1:12" x14ac:dyDescent="0.3">
      <c r="A9" s="124"/>
      <c r="B9" s="42"/>
      <c r="C9" s="20"/>
      <c r="D9" s="8"/>
      <c r="E9" s="31"/>
      <c r="F9" s="31"/>
      <c r="G9" s="51"/>
      <c r="H9" s="52"/>
      <c r="I9" s="31"/>
      <c r="J9" s="49"/>
      <c r="K9" s="37" t="s">
        <v>84</v>
      </c>
      <c r="L9" s="36">
        <f>SUM(L4:L8)</f>
        <v>4420</v>
      </c>
    </row>
    <row r="10" spans="1:12" x14ac:dyDescent="0.3">
      <c r="A10" s="124"/>
      <c r="B10" s="42"/>
      <c r="C10" s="20"/>
      <c r="D10" s="8"/>
      <c r="E10" s="31"/>
      <c r="F10" s="31"/>
      <c r="G10" s="51"/>
      <c r="H10" s="52"/>
      <c r="I10" s="31"/>
      <c r="J10" s="49"/>
      <c r="K10" s="37" t="s">
        <v>85</v>
      </c>
      <c r="L10" s="36">
        <f>+L9*0.25</f>
        <v>1105</v>
      </c>
    </row>
    <row r="11" spans="1:12" ht="15" thickBot="1" x14ac:dyDescent="0.35">
      <c r="A11" s="124"/>
      <c r="B11" s="42"/>
      <c r="C11" s="20"/>
      <c r="D11" s="8"/>
      <c r="E11" s="31"/>
      <c r="F11" s="31"/>
      <c r="G11" s="51"/>
      <c r="H11" s="52"/>
      <c r="I11" s="31"/>
      <c r="J11" s="49"/>
      <c r="K11" s="37" t="s">
        <v>86</v>
      </c>
      <c r="L11" s="35">
        <f>SUM(L9:L10)</f>
        <v>5525</v>
      </c>
    </row>
    <row r="12" spans="1:12" ht="15" thickTop="1" x14ac:dyDescent="0.3">
      <c r="A12" s="124"/>
      <c r="B12" s="42"/>
      <c r="C12" s="20"/>
      <c r="D12" s="8"/>
      <c r="E12" s="31"/>
      <c r="F12" s="31"/>
      <c r="G12" s="51"/>
      <c r="H12" s="52"/>
      <c r="I12" s="31"/>
      <c r="J12" s="49"/>
      <c r="K12" s="49"/>
    </row>
    <row r="13" spans="1:12" ht="15.6" x14ac:dyDescent="0.3">
      <c r="B13" s="46"/>
      <c r="C13" s="47"/>
      <c r="D13" s="47"/>
      <c r="E13" s="40"/>
      <c r="F13" s="40"/>
      <c r="G13" s="51"/>
      <c r="H13" s="52"/>
      <c r="I13" s="31"/>
      <c r="J13" s="49"/>
      <c r="K13" s="50"/>
    </row>
    <row r="14" spans="1:12" x14ac:dyDescent="0.3">
      <c r="A14" s="11" t="s">
        <v>180</v>
      </c>
      <c r="B14" s="19"/>
      <c r="F14" s="31"/>
      <c r="G14" s="51"/>
      <c r="H14" s="52"/>
      <c r="I14" s="31"/>
      <c r="J14" s="49" t="str">
        <f>IF(ROUNDUP(I14+F14,0)=0,"",ROUNDUP(I14+F14,0))</f>
        <v/>
      </c>
      <c r="K14" s="49"/>
      <c r="L14" s="36">
        <f>SUM(J14:J16)</f>
        <v>5390</v>
      </c>
    </row>
    <row r="15" spans="1:12" x14ac:dyDescent="0.3">
      <c r="A15" s="19" t="s">
        <v>181</v>
      </c>
      <c r="B15" s="19"/>
      <c r="C15" s="20" t="s">
        <v>78</v>
      </c>
      <c r="D15" s="20">
        <v>4</v>
      </c>
      <c r="E15" s="53">
        <v>600</v>
      </c>
      <c r="F15" s="31">
        <f>+E15*D15</f>
        <v>2400</v>
      </c>
      <c r="G15" s="51">
        <v>1200</v>
      </c>
      <c r="H15" s="52">
        <v>0.15</v>
      </c>
      <c r="I15" s="31">
        <f>(+G15*H15)+G15</f>
        <v>1380</v>
      </c>
      <c r="J15" s="49">
        <f>IF(ROUNDUP(I15+F15,0)=0,"",ROUNDUP(I15+F15,0))</f>
        <v>3780</v>
      </c>
      <c r="K15" s="49"/>
    </row>
    <row r="16" spans="1:12" x14ac:dyDescent="0.3">
      <c r="A16" s="19" t="s">
        <v>184</v>
      </c>
      <c r="B16" s="19"/>
      <c r="C16" s="20" t="s">
        <v>78</v>
      </c>
      <c r="F16" s="31">
        <f>+E16*D16</f>
        <v>0</v>
      </c>
      <c r="G16" s="51">
        <v>1400</v>
      </c>
      <c r="H16" s="52">
        <v>0.15</v>
      </c>
      <c r="I16" s="31">
        <f>(+G16*H16)+G16</f>
        <v>1610</v>
      </c>
      <c r="J16" s="49">
        <f>IF(ROUNDUP(I16+F16,0)=0,"",ROUNDUP(I16+F16,0))</f>
        <v>1610</v>
      </c>
      <c r="K16" s="49"/>
    </row>
    <row r="17" spans="1:12" ht="15" thickBot="1" x14ac:dyDescent="0.35">
      <c r="A17" s="30"/>
      <c r="B17" s="30"/>
      <c r="C17" s="60"/>
      <c r="D17" s="2"/>
      <c r="E17" s="32"/>
      <c r="F17" s="32"/>
      <c r="G17" s="39"/>
      <c r="H17" s="33"/>
      <c r="I17" s="32"/>
      <c r="J17" s="39" t="s">
        <v>87</v>
      </c>
      <c r="K17" s="39"/>
      <c r="L17" s="38"/>
    </row>
    <row r="18" spans="1:12" ht="15.6" x14ac:dyDescent="0.3">
      <c r="A18" s="41"/>
      <c r="B18" s="41"/>
      <c r="E18" s="40"/>
      <c r="F18" s="40"/>
      <c r="K18" s="37" t="s">
        <v>84</v>
      </c>
      <c r="L18" s="36">
        <f>SUM(L14:L16)</f>
        <v>5390</v>
      </c>
    </row>
    <row r="19" spans="1:12" x14ac:dyDescent="0.3">
      <c r="A19" s="12"/>
      <c r="B19" s="12"/>
      <c r="E19" s="40"/>
      <c r="F19" s="40"/>
      <c r="K19" s="37" t="s">
        <v>85</v>
      </c>
      <c r="L19" s="36">
        <f>+L18*0.25</f>
        <v>1347.5</v>
      </c>
    </row>
    <row r="20" spans="1:12" ht="15" thickBot="1" x14ac:dyDescent="0.35">
      <c r="A20" s="12"/>
      <c r="B20" s="12"/>
      <c r="E20" s="40"/>
      <c r="F20" s="40"/>
      <c r="K20" s="37" t="s">
        <v>86</v>
      </c>
      <c r="L20" s="35">
        <f>SUM(L18:L19)</f>
        <v>6737.5</v>
      </c>
    </row>
    <row r="21" spans="1:12" ht="15" thickTop="1" x14ac:dyDescent="0.3"/>
  </sheetData>
  <pageMargins left="0.7" right="0.7" top="0.75" bottom="0.75" header="0.3" footer="0.3"/>
  <pageSetup paperSize="9" scale="75" fitToHeight="0" orientation="landscape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878B62-F111-4695-BF3E-F4FACD3C1E21}">
  <dimension ref="C3:D20"/>
  <sheetViews>
    <sheetView zoomScale="140" zoomScaleNormal="140" workbookViewId="0">
      <selection activeCell="C30" sqref="C30"/>
    </sheetView>
  </sheetViews>
  <sheetFormatPr defaultRowHeight="14.4" x14ac:dyDescent="0.3"/>
  <cols>
    <col min="3" max="3" width="19" customWidth="1"/>
  </cols>
  <sheetData>
    <row r="3" spans="3:4" x14ac:dyDescent="0.3">
      <c r="C3" s="11" t="s">
        <v>211</v>
      </c>
      <c r="D3" s="13"/>
    </row>
    <row r="4" spans="3:4" x14ac:dyDescent="0.3">
      <c r="C4" t="s">
        <v>205</v>
      </c>
      <c r="D4" s="13">
        <v>-1323</v>
      </c>
    </row>
    <row r="5" spans="3:4" x14ac:dyDescent="0.3">
      <c r="C5" t="s">
        <v>206</v>
      </c>
      <c r="D5" s="13">
        <v>21609</v>
      </c>
    </row>
    <row r="6" spans="3:4" x14ac:dyDescent="0.3">
      <c r="C6" t="s">
        <v>207</v>
      </c>
      <c r="D6" s="13">
        <v>16932</v>
      </c>
    </row>
    <row r="7" spans="3:4" x14ac:dyDescent="0.3">
      <c r="C7" t="s">
        <v>220</v>
      </c>
      <c r="D7" s="13">
        <v>1500</v>
      </c>
    </row>
    <row r="8" spans="3:4" x14ac:dyDescent="0.3">
      <c r="D8" s="112">
        <f>SUM(D4:D7)</f>
        <v>38718</v>
      </c>
    </row>
    <row r="10" spans="3:4" x14ac:dyDescent="0.3">
      <c r="C10" s="11" t="s">
        <v>212</v>
      </c>
      <c r="D10" s="13"/>
    </row>
    <row r="11" spans="3:4" x14ac:dyDescent="0.3">
      <c r="C11" t="s">
        <v>208</v>
      </c>
      <c r="D11" s="13">
        <f>4420*0.8</f>
        <v>3536</v>
      </c>
    </row>
    <row r="12" spans="3:4" x14ac:dyDescent="0.3">
      <c r="C12" t="s">
        <v>219</v>
      </c>
      <c r="D12" s="13">
        <v>21000</v>
      </c>
    </row>
    <row r="13" spans="3:4" x14ac:dyDescent="0.3">
      <c r="C13" t="s">
        <v>209</v>
      </c>
      <c r="D13" s="13">
        <v>20000</v>
      </c>
    </row>
    <row r="14" spans="3:4" x14ac:dyDescent="0.3">
      <c r="C14" t="s">
        <v>213</v>
      </c>
      <c r="D14" s="13">
        <f>6*450</f>
        <v>2700</v>
      </c>
    </row>
    <row r="16" spans="3:4" x14ac:dyDescent="0.3">
      <c r="D16" s="112">
        <f>SUM(D11:D15)</f>
        <v>47236</v>
      </c>
    </row>
    <row r="17" spans="3:4" x14ac:dyDescent="0.3">
      <c r="D17" s="13"/>
    </row>
    <row r="18" spans="3:4" x14ac:dyDescent="0.3">
      <c r="D18" s="13"/>
    </row>
    <row r="19" spans="3:4" ht="15" thickBot="1" x14ac:dyDescent="0.35">
      <c r="C19" s="143" t="s">
        <v>210</v>
      </c>
      <c r="D19" s="144">
        <f>D8-D16</f>
        <v>-8518</v>
      </c>
    </row>
    <row r="20" spans="3:4" ht="15" thickTop="1" x14ac:dyDescent="0.3"/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7D6975-21FE-45DB-A470-79B0E7BEE8CF}">
  <dimension ref="B2:D13"/>
  <sheetViews>
    <sheetView workbookViewId="0">
      <selection activeCell="G12" sqref="G12"/>
    </sheetView>
  </sheetViews>
  <sheetFormatPr defaultRowHeight="14.4" x14ac:dyDescent="0.3"/>
  <cols>
    <col min="2" max="2" width="20.44140625" customWidth="1"/>
    <col min="3" max="3" width="3.6640625" customWidth="1"/>
    <col min="4" max="4" width="9.33203125" bestFit="1" customWidth="1"/>
  </cols>
  <sheetData>
    <row r="2" spans="2:4" x14ac:dyDescent="0.3">
      <c r="B2" s="11" t="s">
        <v>197</v>
      </c>
    </row>
    <row r="3" spans="2:4" x14ac:dyDescent="0.3">
      <c r="B3" t="s">
        <v>193</v>
      </c>
      <c r="D3" s="23">
        <f>3700*0.8</f>
        <v>2960</v>
      </c>
    </row>
    <row r="4" spans="2:4" x14ac:dyDescent="0.3">
      <c r="B4" t="s">
        <v>194</v>
      </c>
      <c r="D4" s="130">
        <f>2169*0.8</f>
        <v>1735.2</v>
      </c>
    </row>
    <row r="5" spans="2:4" x14ac:dyDescent="0.3">
      <c r="B5" t="s">
        <v>200</v>
      </c>
      <c r="D5" s="23">
        <f>+(D3+D4)*0.15</f>
        <v>704.28</v>
      </c>
    </row>
    <row r="6" spans="2:4" x14ac:dyDescent="0.3">
      <c r="D6" s="23"/>
    </row>
    <row r="7" spans="2:4" x14ac:dyDescent="0.3">
      <c r="B7" s="11" t="s">
        <v>199</v>
      </c>
      <c r="D7" s="23"/>
    </row>
    <row r="8" spans="2:4" x14ac:dyDescent="0.3">
      <c r="B8" t="s">
        <v>198</v>
      </c>
      <c r="D8" s="23">
        <v>1388</v>
      </c>
    </row>
    <row r="9" spans="2:4" x14ac:dyDescent="0.3">
      <c r="B9" t="s">
        <v>194</v>
      </c>
      <c r="D9" s="23">
        <f>525*1.15</f>
        <v>603.75</v>
      </c>
    </row>
    <row r="10" spans="2:4" x14ac:dyDescent="0.3">
      <c r="D10" s="23"/>
    </row>
    <row r="11" spans="2:4" x14ac:dyDescent="0.3">
      <c r="B11" t="s">
        <v>195</v>
      </c>
      <c r="D11" s="23">
        <f>+D5-D8-D9+D4+D3</f>
        <v>3407.73</v>
      </c>
    </row>
    <row r="12" spans="2:4" x14ac:dyDescent="0.3">
      <c r="B12" s="93" t="s">
        <v>128</v>
      </c>
      <c r="C12" s="93"/>
      <c r="D12" s="129">
        <f>+D11*0.25</f>
        <v>851.9325</v>
      </c>
    </row>
    <row r="13" spans="2:4" x14ac:dyDescent="0.3">
      <c r="B13" t="s">
        <v>196</v>
      </c>
      <c r="D13" s="23">
        <f>+D11+D12</f>
        <v>4259.6625000000004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92DED09EA814A04AA67D21CE1BFB72BA" ma:contentTypeVersion="28" ma:contentTypeDescription="Opret et nyt dokument." ma:contentTypeScope="" ma:versionID="14d0c3fe0f2d66b6e7d68860b761c4a7">
  <xsd:schema xmlns:xsd="http://www.w3.org/2001/XMLSchema" xmlns:xs="http://www.w3.org/2001/XMLSchema" xmlns:p="http://schemas.microsoft.com/office/2006/metadata/properties" xmlns:ns2="938a5ba8-a2de-49f6-b885-4b123066ec6f" xmlns:ns3="19205e70-9770-44fc-a5b3-72b4caaab09a" targetNamespace="http://schemas.microsoft.com/office/2006/metadata/properties" ma:root="true" ma:fieldsID="a75d620c3b60ca538953e21cc33c3a9a" ns2:_="" ns3:_="">
    <xsd:import namespace="938a5ba8-a2de-49f6-b885-4b123066ec6f"/>
    <xsd:import namespace="19205e70-9770-44fc-a5b3-72b4caaab09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DateTaken" minOccurs="0"/>
                <xsd:element ref="ns2:MediaServiceLocation" minOccurs="0"/>
                <xsd:element ref="ns2:Placering" minOccurs="0"/>
                <xsd:element ref="ns2:e5d13b3b-7d87-48b2-a732-17d34f76a21bCountryOrRegion" minOccurs="0"/>
                <xsd:element ref="ns2:e5d13b3b-7d87-48b2-a732-17d34f76a21bState" minOccurs="0"/>
                <xsd:element ref="ns2:e5d13b3b-7d87-48b2-a732-17d34f76a21bCity" minOccurs="0"/>
                <xsd:element ref="ns2:e5d13b3b-7d87-48b2-a732-17d34f76a21bPostalCode" minOccurs="0"/>
                <xsd:element ref="ns2:e5d13b3b-7d87-48b2-a732-17d34f76a21bStreet" minOccurs="0"/>
                <xsd:element ref="ns2:e5d13b3b-7d87-48b2-a732-17d34f76a21bGeoLoc" minOccurs="0"/>
                <xsd:element ref="ns2:e5d13b3b-7d87-48b2-a732-17d34f76a21bDispName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MediaServiceAutoKeyPoints" minOccurs="0"/>
                <xsd:element ref="ns2:MediaServiceKeyPoints" minOccurs="0"/>
                <xsd:element ref="ns3:TaxCatchAll" minOccurs="0"/>
                <xsd:element ref="ns2:lcf76f155ced4ddcb4097134ff3c332f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8a5ba8-a2de-49f6-b885-4b123066ec6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Placering" ma:index="16" nillable="true" ma:displayName="Placering" ma:format="Dropdown" ma:internalName="Placering">
      <xsd:simpleType>
        <xsd:restriction base="dms:Unknown"/>
      </xsd:simpleType>
    </xsd:element>
    <xsd:element name="e5d13b3b-7d87-48b2-a732-17d34f76a21bCountryOrRegion" ma:index="17" nillable="true" ma:displayName="Placering: Land/område" ma:internalName="CountryOrRegion" ma:readOnly="true">
      <xsd:simpleType>
        <xsd:restriction base="dms:Text"/>
      </xsd:simpleType>
    </xsd:element>
    <xsd:element name="e5d13b3b-7d87-48b2-a732-17d34f76a21bState" ma:index="18" nillable="true" ma:displayName="Placering: Delstat" ma:internalName="State" ma:readOnly="true">
      <xsd:simpleType>
        <xsd:restriction base="dms:Text"/>
      </xsd:simpleType>
    </xsd:element>
    <xsd:element name="e5d13b3b-7d87-48b2-a732-17d34f76a21bCity" ma:index="19" nillable="true" ma:displayName="Placering: By" ma:internalName="City" ma:readOnly="true">
      <xsd:simpleType>
        <xsd:restriction base="dms:Text"/>
      </xsd:simpleType>
    </xsd:element>
    <xsd:element name="e5d13b3b-7d87-48b2-a732-17d34f76a21bPostalCode" ma:index="20" nillable="true" ma:displayName="Placering: Postnummer" ma:internalName="PostalCode" ma:readOnly="true">
      <xsd:simpleType>
        <xsd:restriction base="dms:Text"/>
      </xsd:simpleType>
    </xsd:element>
    <xsd:element name="e5d13b3b-7d87-48b2-a732-17d34f76a21bStreet" ma:index="21" nillable="true" ma:displayName="Placering: Gade" ma:internalName="Street" ma:readOnly="true">
      <xsd:simpleType>
        <xsd:restriction base="dms:Text"/>
      </xsd:simpleType>
    </xsd:element>
    <xsd:element name="e5d13b3b-7d87-48b2-a732-17d34f76a21bGeoLoc" ma:index="22" nillable="true" ma:displayName="Placering: Koordinater" ma:internalName="GeoLoc" ma:readOnly="true">
      <xsd:simpleType>
        <xsd:restriction base="dms:Unknown"/>
      </xsd:simpleType>
    </xsd:element>
    <xsd:element name="e5d13b3b-7d87-48b2-a732-17d34f76a21bDispName" ma:index="23" nillable="true" ma:displayName="Placering: Navn" ma:internalName="DispName" ma:readOnly="true">
      <xsd:simpleType>
        <xsd:restriction base="dms:Text"/>
      </xsd:simpleType>
    </xsd:element>
    <xsd:element name="MediaServiceGenerationTime" ma:index="2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6" nillable="true" ma:displayName="Length (seconds)" ma:internalName="MediaLengthInSeconds" ma:readOnly="true">
      <xsd:simpleType>
        <xsd:restriction base="dms:Unknown"/>
      </xsd:simpleType>
    </xsd:element>
    <xsd:element name="MediaServiceAutoKeyPoints" ma:index="27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8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31" nillable="true" ma:taxonomy="true" ma:internalName="lcf76f155ced4ddcb4097134ff3c332f" ma:taxonomyFieldName="MediaServiceImageTags" ma:displayName="Billedmærker" ma:readOnly="false" ma:fieldId="{5cf76f15-5ced-4ddc-b409-7134ff3c332f}" ma:taxonomyMulti="true" ma:sspId="cd9d3e45-4d42-40fe-b6c0-42e381ab4c0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32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9205e70-9770-44fc-a5b3-72b4caaab09a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Delt med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Delt med detaljer" ma:internalName="SharedWithDetails" ma:readOnly="true">
      <xsd:simpleType>
        <xsd:restriction base="dms:Note">
          <xsd:maxLength value="255"/>
        </xsd:restriction>
      </xsd:simpleType>
    </xsd:element>
    <xsd:element name="TaxCatchAll" ma:index="29" nillable="true" ma:displayName="Taxonomy Catch All Column" ma:hidden="true" ma:list="{2fd65098-851f-4145-804d-10d71047d329}" ma:internalName="TaxCatchAll" ma:showField="CatchAllData" ma:web="19205e70-9770-44fc-a5b3-72b4caaab09a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dholdstype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938a5ba8-a2de-49f6-b885-4b123066ec6f">
      <Terms xmlns="http://schemas.microsoft.com/office/infopath/2007/PartnerControls"/>
    </lcf76f155ced4ddcb4097134ff3c332f>
    <TaxCatchAll xmlns="19205e70-9770-44fc-a5b3-72b4caaab09a" xsi:nil="true"/>
    <Placering xmlns="938a5ba8-a2de-49f6-b885-4b123066ec6f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85F135-A61D-4502-BB61-0EB30DDC68F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8a5ba8-a2de-49f6-b885-4b123066ec6f"/>
    <ds:schemaRef ds:uri="19205e70-9770-44fc-a5b3-72b4caaab09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8F3D1E19-332E-4C37-8F33-8E1E41BD7A71}">
  <ds:schemaRefs>
    <ds:schemaRef ds:uri="http://schemas.microsoft.com/office/2006/metadata/properties"/>
    <ds:schemaRef ds:uri="http://purl.org/dc/elements/1.1/"/>
    <ds:schemaRef ds:uri="http://purl.org/dc/terms/"/>
    <ds:schemaRef ds:uri="19205e70-9770-44fc-a5b3-72b4caaab09a"/>
    <ds:schemaRef ds:uri="http://www.w3.org/XML/1998/namespace"/>
    <ds:schemaRef ds:uri="938a5ba8-a2de-49f6-b885-4b123066ec6f"/>
    <ds:schemaRef ds:uri="http://schemas.microsoft.com/office/2006/documentManagement/types"/>
    <ds:schemaRef ds:uri="http://purl.org/dc/dcmitype/"/>
    <ds:schemaRef ds:uri="http://schemas.microsoft.com/office/infopath/2007/PartnerControls"/>
    <ds:schemaRef ds:uri="http://schemas.openxmlformats.org/package/2006/metadata/core-properties"/>
  </ds:schemaRefs>
</ds:datastoreItem>
</file>

<file path=customXml/itemProps3.xml><?xml version="1.0" encoding="utf-8"?>
<ds:datastoreItem xmlns:ds="http://schemas.openxmlformats.org/officeDocument/2006/customXml" ds:itemID="{7B9B205F-B17C-487E-AC18-2CE9BB91E6C1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8</vt:i4>
      </vt:variant>
      <vt:variant>
        <vt:lpstr>Navngivne områder</vt:lpstr>
      </vt:variant>
      <vt:variant>
        <vt:i4>1</vt:i4>
      </vt:variant>
    </vt:vector>
  </HeadingPairs>
  <TitlesOfParts>
    <vt:vector size="9" baseType="lpstr">
      <vt:lpstr>Kalk</vt:lpstr>
      <vt:lpstr>Ekstra arbejde</vt:lpstr>
      <vt:lpstr>Asbest sanering</vt:lpstr>
      <vt:lpstr>Asbest sanering omgang 2</vt:lpstr>
      <vt:lpstr>Tidsforløb ASBEST</vt:lpstr>
      <vt:lpstr>Brugsvand og udendørsgane</vt:lpstr>
      <vt:lpstr>Fremskrivning</vt:lpstr>
      <vt:lpstr>Ark1</vt:lpstr>
      <vt:lpstr>'Asbest sanering omgang 2'!Udskriftsområde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Blankholm</dc:creator>
  <cp:lastModifiedBy>Rune Rindholm</cp:lastModifiedBy>
  <cp:lastPrinted>2024-03-19T10:09:18Z</cp:lastPrinted>
  <dcterms:created xsi:type="dcterms:W3CDTF">2023-04-20T06:50:22Z</dcterms:created>
  <dcterms:modified xsi:type="dcterms:W3CDTF">2024-12-07T12:40:46Z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0x01010092DED09EA814A04AA67D21CE1BFB72BA</vt:lpwstr>
  </property>
</Properties>
</file>