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nord.sharepoint.com/sites/bnord/Delte dokumenter/0  SAGER/3 Afsluttede sager/1763 Peter Bangs Vej 67 st th/KALK/"/>
    </mc:Choice>
  </mc:AlternateContent>
  <xr:revisionPtr revIDLastSave="631" documentId="8_{D011D2FB-2BCE-4925-820A-7ECBE1C17D94}" xr6:coauthVersionLast="47" xr6:coauthVersionMax="47" xr10:uidLastSave="{D1D3D6AD-591F-4683-98F0-CBE604CD45CB}"/>
  <bookViews>
    <workbookView xWindow="-108" yWindow="-108" windowWidth="41496" windowHeight="16896" xr2:uid="{7EF8C28B-1E7E-4A27-99A9-F24A9525C7D7}"/>
  </bookViews>
  <sheets>
    <sheet name="Budget 2023.10.21" sheetId="4" r:id="rId1"/>
    <sheet name="Ekstra arbejde" sheetId="5" r:id="rId2"/>
    <sheet name="Budget 2023.10.17" sheetId="3" r:id="rId3"/>
    <sheet name="Budget 2023.10.03" sheetId="1" r:id="rId4"/>
    <sheet name="VVS" sheetId="2" r:id="rId5"/>
    <sheet name="Fremskriv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0" i="4" l="1"/>
  <c r="D52" i="5" l="1"/>
  <c r="G27" i="6" l="1"/>
  <c r="G20" i="6"/>
  <c r="G21" i="6"/>
  <c r="G17" i="6"/>
  <c r="G16" i="6"/>
  <c r="G12" i="6"/>
  <c r="G5" i="6"/>
  <c r="G7" i="6" s="1"/>
  <c r="G29" i="6" s="1"/>
  <c r="D48" i="5"/>
  <c r="D46" i="5"/>
  <c r="D42" i="5"/>
  <c r="D40" i="5"/>
  <c r="T100" i="4"/>
  <c r="T94" i="4"/>
  <c r="T85" i="4"/>
  <c r="T77" i="4"/>
  <c r="T69" i="4"/>
  <c r="T57" i="4"/>
  <c r="T50" i="4"/>
  <c r="T44" i="4"/>
  <c r="T34" i="4"/>
  <c r="T18" i="4"/>
  <c r="T12" i="4"/>
  <c r="T7" i="4"/>
  <c r="Q94" i="4" l="1"/>
  <c r="Q85" i="4"/>
  <c r="Q77" i="4"/>
  <c r="Q69" i="4"/>
  <c r="Q57" i="4"/>
  <c r="Q50" i="4"/>
  <c r="Q44" i="4"/>
  <c r="Q34" i="4"/>
  <c r="Q18" i="4"/>
  <c r="Q12" i="4"/>
  <c r="Q7" i="4"/>
  <c r="Q100" i="4" l="1"/>
  <c r="D20" i="5"/>
  <c r="D10" i="5" l="1"/>
  <c r="Z50" i="4"/>
  <c r="Z49" i="4"/>
  <c r="Z51" i="4" l="1"/>
  <c r="D4" i="5"/>
  <c r="I94" i="4" l="1"/>
  <c r="K94" i="4" s="1"/>
  <c r="N94" i="4" s="1"/>
  <c r="I85" i="4"/>
  <c r="K85" i="4" s="1"/>
  <c r="N85" i="4" s="1"/>
  <c r="I83" i="4"/>
  <c r="I82" i="4"/>
  <c r="I81" i="4"/>
  <c r="I80" i="4"/>
  <c r="I78" i="4"/>
  <c r="I75" i="4"/>
  <c r="G75" i="4"/>
  <c r="I74" i="4"/>
  <c r="G74" i="4"/>
  <c r="I72" i="4"/>
  <c r="G72" i="4"/>
  <c r="I70" i="4"/>
  <c r="G70" i="4"/>
  <c r="G67" i="4"/>
  <c r="G66" i="4"/>
  <c r="D63" i="4"/>
  <c r="G63" i="4" s="1"/>
  <c r="I63" i="4" s="1"/>
  <c r="G62" i="4"/>
  <c r="I62" i="4" s="1"/>
  <c r="G61" i="4"/>
  <c r="I61" i="4" s="1"/>
  <c r="G60" i="4"/>
  <c r="I60" i="4" s="1"/>
  <c r="G59" i="4"/>
  <c r="I59" i="4" s="1"/>
  <c r="G58" i="4"/>
  <c r="I58" i="4" s="1"/>
  <c r="I55" i="4"/>
  <c r="I54" i="4"/>
  <c r="I53" i="4"/>
  <c r="I52" i="4"/>
  <c r="I51" i="4"/>
  <c r="I47" i="4"/>
  <c r="I46" i="4"/>
  <c r="I42" i="4"/>
  <c r="I41" i="4"/>
  <c r="I40" i="4"/>
  <c r="I38" i="4"/>
  <c r="I36" i="4"/>
  <c r="I35" i="4"/>
  <c r="K18" i="4"/>
  <c r="N18" i="4" s="1"/>
  <c r="G16" i="4"/>
  <c r="I16" i="4" s="1"/>
  <c r="G15" i="4"/>
  <c r="I15" i="4" s="1"/>
  <c r="G14" i="4"/>
  <c r="I14" i="4" s="1"/>
  <c r="G13" i="4"/>
  <c r="I13" i="4" s="1"/>
  <c r="I10" i="4"/>
  <c r="K7" i="4" s="1"/>
  <c r="N7" i="4" s="1"/>
  <c r="G75" i="3"/>
  <c r="G74" i="3"/>
  <c r="G72" i="3"/>
  <c r="G70" i="3"/>
  <c r="K69" i="4" l="1"/>
  <c r="N69" i="4" s="1"/>
  <c r="K57" i="4"/>
  <c r="N57" i="4" s="1"/>
  <c r="K12" i="4"/>
  <c r="N12" i="4" s="1"/>
  <c r="K77" i="4"/>
  <c r="N77" i="4" s="1"/>
  <c r="K50" i="4"/>
  <c r="N50" i="4" s="1"/>
  <c r="K44" i="4"/>
  <c r="N44" i="4" s="1"/>
  <c r="K34" i="4"/>
  <c r="N34" i="4" s="1"/>
  <c r="I94" i="3"/>
  <c r="K94" i="3" s="1"/>
  <c r="I83" i="3"/>
  <c r="I85" i="3"/>
  <c r="K85" i="3" s="1"/>
  <c r="I82" i="3"/>
  <c r="I81" i="3"/>
  <c r="I80" i="3"/>
  <c r="I78" i="3"/>
  <c r="E2" i="2"/>
  <c r="I75" i="3"/>
  <c r="I74" i="3"/>
  <c r="I72" i="3"/>
  <c r="I70" i="3"/>
  <c r="D63" i="3"/>
  <c r="G63" i="3" s="1"/>
  <c r="I63" i="3" s="1"/>
  <c r="G59" i="3"/>
  <c r="I59" i="3" s="1"/>
  <c r="G58" i="3"/>
  <c r="I58" i="3" s="1"/>
  <c r="G62" i="3"/>
  <c r="I62" i="3" s="1"/>
  <c r="G61" i="3"/>
  <c r="I61" i="3" s="1"/>
  <c r="G67" i="3"/>
  <c r="G66" i="3"/>
  <c r="G60" i="3"/>
  <c r="I60" i="3" s="1"/>
  <c r="I52" i="3"/>
  <c r="I53" i="3"/>
  <c r="I54" i="3"/>
  <c r="I51" i="3"/>
  <c r="I55" i="3"/>
  <c r="I47" i="3"/>
  <c r="I46" i="3"/>
  <c r="I42" i="3"/>
  <c r="I41" i="3"/>
  <c r="I40" i="3"/>
  <c r="I38" i="3"/>
  <c r="I36" i="3"/>
  <c r="I35" i="3"/>
  <c r="K18" i="3"/>
  <c r="G16" i="3"/>
  <c r="I16" i="3" s="1"/>
  <c r="G15" i="3"/>
  <c r="I15" i="3" s="1"/>
  <c r="G14" i="3"/>
  <c r="I14" i="3" s="1"/>
  <c r="G13" i="3"/>
  <c r="I10" i="3"/>
  <c r="K7" i="3" s="1"/>
  <c r="N100" i="4" l="1"/>
  <c r="I13" i="3"/>
  <c r="K99" i="4"/>
  <c r="K100" i="4" s="1"/>
  <c r="K102" i="4" s="1"/>
  <c r="K77" i="3"/>
  <c r="K57" i="3"/>
  <c r="K50" i="3"/>
  <c r="K69" i="3"/>
  <c r="K44" i="3"/>
  <c r="K34" i="3"/>
  <c r="K12" i="3"/>
  <c r="N101" i="4" l="1"/>
  <c r="N102" i="4" s="1"/>
  <c r="T101" i="4"/>
  <c r="Q101" i="4"/>
  <c r="Q102" i="4" s="1"/>
  <c r="K99" i="3"/>
  <c r="T102" i="4" l="1"/>
  <c r="T103" i="4" s="1"/>
  <c r="Q103" i="4"/>
  <c r="Q104" i="4" s="1"/>
  <c r="Q106" i="4" s="1"/>
  <c r="N104" i="4"/>
  <c r="K100" i="3"/>
  <c r="K102" i="3" s="1"/>
  <c r="C2" i="2"/>
  <c r="C17" i="2" s="1"/>
  <c r="G17" i="2" s="1"/>
  <c r="D3" i="2"/>
  <c r="D5" i="2"/>
  <c r="D7" i="2"/>
  <c r="D8" i="2"/>
  <c r="C10" i="2"/>
  <c r="E10" i="2"/>
  <c r="E17" i="2"/>
  <c r="T104" i="4" l="1"/>
  <c r="T105" i="4"/>
  <c r="T107" i="4" s="1"/>
  <c r="F85" i="1"/>
  <c r="D63" i="1"/>
  <c r="D48" i="1"/>
  <c r="D77" i="1"/>
  <c r="D85" i="1"/>
  <c r="D70" i="1"/>
  <c r="D55" i="1"/>
  <c r="D42" i="1"/>
  <c r="D21" i="1"/>
  <c r="D15" i="1"/>
  <c r="D10" i="1"/>
  <c r="D90" i="1" l="1"/>
  <c r="D91" i="1" l="1"/>
  <c r="D92" i="1" s="1"/>
</calcChain>
</file>

<file path=xl/sharedStrings.xml><?xml version="1.0" encoding="utf-8"?>
<sst xmlns="http://schemas.openxmlformats.org/spreadsheetml/2006/main" count="505" uniqueCount="206">
  <si>
    <t>Budgetoverslag</t>
  </si>
  <si>
    <t>Peter Bangs vej 67 st.th, 2000 Frederiksberg</t>
  </si>
  <si>
    <t>Tømrer:</t>
  </si>
  <si>
    <t>Ny væg ved vaskesøjle</t>
  </si>
  <si>
    <t>Nedrivning</t>
  </si>
  <si>
    <t>Nedtagning af gammel køkken</t>
  </si>
  <si>
    <t>Projekt:</t>
  </si>
  <si>
    <t>Projektledelse</t>
  </si>
  <si>
    <t>Parkering</t>
  </si>
  <si>
    <t>Affald</t>
  </si>
  <si>
    <t>Optagning af gulv i badeværelses udviddelsen</t>
  </si>
  <si>
    <t>Delvis optagning af gulv og fodpaneler i nyt køkken</t>
  </si>
  <si>
    <t>Udførsel af brandsikring i gulv i nyt køkken</t>
  </si>
  <si>
    <t>lægning af gulv i nyt køkken og genetablering af fodpaneler</t>
  </si>
  <si>
    <t>Ny væg i gang med dør til værelse 2</t>
  </si>
  <si>
    <t>Blænding af dør mellem nyt toilet og værelse 1</t>
  </si>
  <si>
    <t>Ny dør til værelse 1 fra gang</t>
  </si>
  <si>
    <t>Brandsikring af udviddelsen af badeværelsesgulv</t>
  </si>
  <si>
    <t>Snedker:</t>
  </si>
  <si>
    <t>Ny let gulvskonstruktion i Wedi</t>
  </si>
  <si>
    <t>VVS:</t>
  </si>
  <si>
    <t>Flytning og udskiftning af radiator i nyt køkken</t>
  </si>
  <si>
    <t>Gulv:</t>
  </si>
  <si>
    <t>Aflibning af gulve</t>
  </si>
  <si>
    <t>Lakering af gulve</t>
  </si>
  <si>
    <t>Optagning af linoleum i eksisterende køkken</t>
  </si>
  <si>
    <t>Nedhængt loft i gang</t>
  </si>
  <si>
    <t>Nedhængt loft i bad</t>
  </si>
  <si>
    <t>Nedhængt loft i mellemgang</t>
  </si>
  <si>
    <t>Badeværelsesmøbel</t>
  </si>
  <si>
    <t>Gennemgang af døre så de kan lukke</t>
  </si>
  <si>
    <t>Cisternestativ til hængetoilet</t>
  </si>
  <si>
    <t>Skabsløsning ved vaskesøjle med overskabe</t>
  </si>
  <si>
    <t>Køkken:</t>
  </si>
  <si>
    <t>Nedrivning af gammelt badeværelse</t>
  </si>
  <si>
    <t>Sanitet:</t>
  </si>
  <si>
    <t>Hårde hvidevarer</t>
  </si>
  <si>
    <t>Fodpaneler ved nye vægge og rep. Ved samlinger</t>
  </si>
  <si>
    <t>Ekstra for aftagning af spartelmasse</t>
  </si>
  <si>
    <t>Nyt skab ved eltavle, IKKE inkluderet</t>
  </si>
  <si>
    <t>Låger, frisider, sokler til IKEA køkken</t>
  </si>
  <si>
    <t>Murer:</t>
  </si>
  <si>
    <t>Vådrumssikring</t>
  </si>
  <si>
    <t>Lukning af diverse el- og VVSriller</t>
  </si>
  <si>
    <t>Pudsreperationer</t>
  </si>
  <si>
    <t>Fliser på gulv</t>
  </si>
  <si>
    <t>Fliser på væg</t>
  </si>
  <si>
    <t>Fuger</t>
  </si>
  <si>
    <t>Bruser orbital</t>
  </si>
  <si>
    <t>Vaskemaskine + Tørretumbler</t>
  </si>
  <si>
    <t>Toilet + skylleknap</t>
  </si>
  <si>
    <t>Bordplader + Vask</t>
  </si>
  <si>
    <t>Handvask batteri</t>
  </si>
  <si>
    <t>Kroge + diverse</t>
  </si>
  <si>
    <t>Vand og afløbsinstallation i køkken</t>
  </si>
  <si>
    <t>Vand og afløbsinstallation i nyt bad</t>
  </si>
  <si>
    <t>Ventilation fra værele 2 til nyt køkken, med moter</t>
  </si>
  <si>
    <t>Spot i badeværelse</t>
  </si>
  <si>
    <t>Ventilator i badeværelse</t>
  </si>
  <si>
    <t>EL i badeværelse</t>
  </si>
  <si>
    <t>El-gulvvarme</t>
  </si>
  <si>
    <t>Spots i gang arealer</t>
  </si>
  <si>
    <t>Oprydning i el-installationer</t>
  </si>
  <si>
    <t>EL:</t>
  </si>
  <si>
    <t>Maler:</t>
  </si>
  <si>
    <t>Spartling, flitning og maling af vægge</t>
  </si>
  <si>
    <t>Spartling og maling af kofter</t>
  </si>
  <si>
    <t>Maling af træværk, rør og radiatorer</t>
  </si>
  <si>
    <t>Køkken montage</t>
  </si>
  <si>
    <t>Ikea køkken med skuffe indsatser</t>
  </si>
  <si>
    <t>Pris ekskl moms =</t>
  </si>
  <si>
    <t>Moms =</t>
  </si>
  <si>
    <t>Pris Inkl. moms=</t>
  </si>
  <si>
    <t>Demontering</t>
  </si>
  <si>
    <t>03.10.2023 Byggeselskabet Nord ApS.</t>
  </si>
  <si>
    <t>diff</t>
  </si>
  <si>
    <t>Rykning af faldstamme ind i hjørnet</t>
  </si>
  <si>
    <t>med udboring igennem væg 9978857412</t>
  </si>
  <si>
    <t>FAG</t>
  </si>
  <si>
    <t>Timer/Antal</t>
  </si>
  <si>
    <t>Takst</t>
  </si>
  <si>
    <t>Materialer</t>
  </si>
  <si>
    <t>Kostpris</t>
  </si>
  <si>
    <t>Påslag</t>
  </si>
  <si>
    <t>Tilbud</t>
  </si>
  <si>
    <t>Bnord</t>
  </si>
  <si>
    <t>Noter:</t>
  </si>
  <si>
    <t>Blænding af dør mellem nyt toilet og værelse 2</t>
  </si>
  <si>
    <t>Cisternestativ til hængetoilet og rørkasse til faldstamme</t>
  </si>
  <si>
    <t>Efterskruning og spartling af gulv i entre og værelse 3</t>
  </si>
  <si>
    <t>Levering af trægulv Tarkett Pure - EG RUSTIC PLANK Plank 14 mm</t>
  </si>
  <si>
    <t>Montering af nyt trægulv, i faldende forløb, fuldlimet.</t>
  </si>
  <si>
    <t>Lev. Og montering af fejelister ved døre og skinner hvor nødvendigt.</t>
  </si>
  <si>
    <t>Afslibning samt 3 x lakering af gulve</t>
  </si>
  <si>
    <t>Lev. og montering af hvide sandlister fyr langs eksisterende fodpaneler</t>
  </si>
  <si>
    <t>Afdækning med 500 gr., gulvpap, tapet i samlinger</t>
  </si>
  <si>
    <t>Køkken: Samlet afsat beløb</t>
  </si>
  <si>
    <t>Låger, frisider, sokler til IKEA køkken (afsat beløb 45.000)</t>
  </si>
  <si>
    <t>Hårde hvidevarer (afsat beløb 25.000)</t>
  </si>
  <si>
    <t>Bordplader + Vask  (afsat beløb 20.000)</t>
  </si>
  <si>
    <t>Køkkenmontage</t>
  </si>
  <si>
    <t>Spartling af gulvvarme</t>
  </si>
  <si>
    <t>Støbning af fald</t>
  </si>
  <si>
    <t>Fuger Hårde og bløde</t>
  </si>
  <si>
    <t>Fliser på gulv og sokkelklinker</t>
  </si>
  <si>
    <t>Fliser på væg og ved vindue</t>
  </si>
  <si>
    <t>Indkøb af fliser 23 m2 inkl, spild (Afsat beløb 300 kr. pr. m2)</t>
  </si>
  <si>
    <t>Ventilation fra værele 2 til nyt køkken, med moter, udboring gennem væg</t>
  </si>
  <si>
    <t>Bruser orbital, Hvid</t>
  </si>
  <si>
    <t>Toilet + skylleknap (Afsat beløb 2.400)</t>
  </si>
  <si>
    <t>Handvask batteri (Afsat beløb 1.000)</t>
  </si>
  <si>
    <t>Kroge + diverse (Afsat beløb 800)</t>
  </si>
  <si>
    <t>Glasvinge (Afsat beløb 3.000 kr)</t>
  </si>
  <si>
    <t>Vaskemaskine + Tørretumbler (Ikke inkluderet i prisen)</t>
  </si>
  <si>
    <t>Gulv</t>
  </si>
  <si>
    <t>Pris fra Ravn</t>
  </si>
  <si>
    <t>Aftalt pris med Malerfabrikken inkl. tapet nedtagning</t>
  </si>
  <si>
    <t>Pris fra elektrikker HHR</t>
  </si>
  <si>
    <t>Dekort pga. Orbital køb =</t>
  </si>
  <si>
    <t>20.10.2023 Byggeselskabet Nord ApS.</t>
  </si>
  <si>
    <t>Ny eL i badeværelse</t>
  </si>
  <si>
    <t>Opsætning og flytning af installationr i flere af de øvrige rum</t>
  </si>
  <si>
    <t>De vil 775.000</t>
  </si>
  <si>
    <t>Skabsløsning ved vaskesøjle med overskabe, Ikke inkluderet i tilbud</t>
  </si>
  <si>
    <t>Spartling, flitning og maling af vægge (hvid)</t>
  </si>
  <si>
    <t>Maling af træværk, rør og radiatorer (Hvid)</t>
  </si>
  <si>
    <t>Badeværelsesmøbel (afsat beløb 10.000)</t>
  </si>
  <si>
    <t>Hurtig gennemgang så at døre så de kan lukke</t>
  </si>
  <si>
    <t>Ikea køkken med skuffe indsatser (afsat beløb 15.000)</t>
  </si>
  <si>
    <t>Ventilation fra væ. 2 til nyt køkken, med moter, udboring gennem væg</t>
  </si>
  <si>
    <t>21.10.2023 Byggeselskabet Nord ApS.</t>
  </si>
  <si>
    <t>EL</t>
  </si>
  <si>
    <t>Maler</t>
  </si>
  <si>
    <t xml:space="preserve"> + Moms</t>
  </si>
  <si>
    <t>Note</t>
  </si>
  <si>
    <t>Tilkøb af 3 parts Tapwell armatur til hoved og håndbruser samt rist og ramme messing</t>
  </si>
  <si>
    <t>aftalt på cafe møde 25/10</t>
  </si>
  <si>
    <t>Pris fra Blyme 72.000 kr.</t>
  </si>
  <si>
    <t>Afsat i tilbud =</t>
  </si>
  <si>
    <t>Pris fra Reform =</t>
  </si>
  <si>
    <t>Merpris for køkkenlåger=</t>
  </si>
  <si>
    <t xml:space="preserve"> + moms</t>
  </si>
  <si>
    <t>Tilkøb af køkkenfronter fra Reform</t>
  </si>
  <si>
    <t>Tilkøb af ny radiator i stuen</t>
  </si>
  <si>
    <t>Accept mail. D. 5.11.2023</t>
  </si>
  <si>
    <t>Accept mail. D. 4.11.2023</t>
  </si>
  <si>
    <t>Bygeherre informeret d. 06.11.2023</t>
  </si>
  <si>
    <t>Pris på udførsel af radiator i værelse ved bagtrappe</t>
  </si>
  <si>
    <t>Spildtid VVS, 2 mand fra kl. 07.30 til 9.00 d. 6.11  pga. vi ikke måtte lukke for varmen</t>
  </si>
  <si>
    <t>Bortskaffelse af klædeskab i værelse (Rabat 1.000 kr.)</t>
  </si>
  <si>
    <t>CBL 09.11.2023</t>
  </si>
  <si>
    <t>Udførsel af shampoo hylde i bruseniche</t>
  </si>
  <si>
    <t>Montage af større og mere kompliceret køkken med bænk</t>
  </si>
  <si>
    <t>Accept 14.11.2023</t>
  </si>
  <si>
    <t>Opsætning af væg i badeværelse ved Vaskemaskine og Tørretumbler</t>
  </si>
  <si>
    <t>Tilkøb af el-installationer</t>
  </si>
  <si>
    <t>Stade</t>
  </si>
  <si>
    <t>Aconto 1</t>
  </si>
  <si>
    <t>Aconto 1 =</t>
  </si>
  <si>
    <t>Rest :</t>
  </si>
  <si>
    <t>Accept 28.11.2023</t>
  </si>
  <si>
    <t>Tillægs- og fradragsarbejder Peterbangsvej 67 st. th.</t>
  </si>
  <si>
    <t>Accept CB 29.11.2023</t>
  </si>
  <si>
    <t>Bygherre indkkøber badeværelsesmøbel med vask - Dekort 10.000 Kr.</t>
  </si>
  <si>
    <t>Køkken bordplader + Vask  (Dekort 20.000)</t>
  </si>
  <si>
    <t>Sum =</t>
  </si>
  <si>
    <t>Bygherre indkkøber hårde hvidevarer - Dekort 25.000 Kr.</t>
  </si>
  <si>
    <t>Pris godkendt Laura tel. Med træ i væg</t>
  </si>
  <si>
    <t>Aconto 2</t>
  </si>
  <si>
    <t>Stade d.d.=</t>
  </si>
  <si>
    <t>Aconto 2 =</t>
  </si>
  <si>
    <t>Tilkøb af hvidpigmentering af gulve</t>
  </si>
  <si>
    <t>Tilkøb af dyrer trægulve end afsat i tilbud.</t>
  </si>
  <si>
    <t>Accept 18.12.2023</t>
  </si>
  <si>
    <t>Maling af vægge i farver og opsætning af tapet</t>
  </si>
  <si>
    <t>Accept 02.01.2023</t>
  </si>
  <si>
    <t>PCI Nano fuge</t>
  </si>
  <si>
    <t>Aconto 3</t>
  </si>
  <si>
    <t>Aconto 3 =</t>
  </si>
  <si>
    <t>Vinduesplade og blændplade på værelse ved bagtrappen</t>
  </si>
  <si>
    <t>Aftalt over telefon</t>
  </si>
  <si>
    <t>Grohe Essence håndvaskarmatur, børstet messing</t>
  </si>
  <si>
    <t>Varenummer: 701349118</t>
  </si>
  <si>
    <t>Samling af mindre skuffer i IKEA 2 timer a 550</t>
  </si>
  <si>
    <t>Elefantfødder på indfatninger, 3 timer</t>
  </si>
  <si>
    <t>Accept. Mundtligt d. 2.2.2024</t>
  </si>
  <si>
    <t>Opsætning af lamper, pris aftalt med bygherre 3500 + 11% + moms</t>
  </si>
  <si>
    <t>Accepteret ved aflevering 12.02.2021</t>
  </si>
  <si>
    <t>Opsætning af skab i entre 550 kr x 10 timer + 600 kr. i materialer</t>
  </si>
  <si>
    <t>Accept</t>
  </si>
  <si>
    <t>ECO</t>
  </si>
  <si>
    <t>Tilgang</t>
  </si>
  <si>
    <t>Afgang</t>
  </si>
  <si>
    <t>REST</t>
  </si>
  <si>
    <t>Ekstra</t>
  </si>
  <si>
    <t>El</t>
  </si>
  <si>
    <t>el-Ekstra</t>
  </si>
  <si>
    <t>El ekstra lamper</t>
  </si>
  <si>
    <t>VVS</t>
  </si>
  <si>
    <t>VVS ekstra</t>
  </si>
  <si>
    <t>VVS fradrag, vi fjerner radiator</t>
  </si>
  <si>
    <t>Maler ekstra</t>
  </si>
  <si>
    <t>Dækning</t>
  </si>
  <si>
    <t>Montering af køkken - T. Hald</t>
  </si>
  <si>
    <t>Kørsel efter og Indkøb af vandlås 550 kr. 1 time + 300 kr. materialer</t>
  </si>
  <si>
    <t>Accept CB 20.02.2024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</si>
</sst>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4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5" fillId="0" borderId="0" xfId="1" applyNumberFormat="1" applyFont="1"/>
    <xf numFmtId="0" fontId="5" fillId="0" borderId="0" xfId="0" applyFont="1"/>
    <xf numFmtId="3" fontId="6" fillId="0" borderId="0" xfId="0" applyNumberFormat="1" applyFont="1"/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/>
    <xf numFmtId="3" fontId="3" fillId="0" borderId="0" xfId="0" applyNumberFormat="1" applyFont="1"/>
    <xf numFmtId="3" fontId="1" fillId="0" borderId="1" xfId="0" applyNumberFormat="1" applyFont="1" applyBorder="1" applyAlignment="1">
      <alignment horizontal="left" vertical="center"/>
    </xf>
    <xf numFmtId="164" fontId="7" fillId="0" borderId="0" xfId="1" applyNumberFormat="1" applyFont="1"/>
    <xf numFmtId="3" fontId="7" fillId="0" borderId="0" xfId="0" applyNumberFormat="1" applyFont="1"/>
    <xf numFmtId="0" fontId="5" fillId="0" borderId="0" xfId="0" applyFont="1" applyAlignment="1">
      <alignment horizontal="center"/>
    </xf>
    <xf numFmtId="0" fontId="0" fillId="2" borderId="0" xfId="0" applyFill="1"/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/>
    <xf numFmtId="0" fontId="8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 vertical="center"/>
    </xf>
    <xf numFmtId="9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9" fontId="0" fillId="3" borderId="0" xfId="0" applyNumberFormat="1" applyFill="1" applyAlignment="1">
      <alignment horizontal="right"/>
    </xf>
    <xf numFmtId="3" fontId="0" fillId="3" borderId="0" xfId="0" applyNumberFormat="1" applyFill="1" applyAlignment="1">
      <alignment horizontal="right"/>
    </xf>
    <xf numFmtId="3" fontId="1" fillId="3" borderId="2" xfId="0" applyNumberFormat="1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1" fillId="3" borderId="2" xfId="0" applyNumberFormat="1" applyFont="1" applyFill="1" applyBorder="1" applyAlignment="1">
      <alignment horizontal="right"/>
    </xf>
    <xf numFmtId="9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3" fontId="0" fillId="4" borderId="3" xfId="0" applyNumberFormat="1" applyFill="1" applyBorder="1" applyAlignment="1">
      <alignment horizontal="center"/>
    </xf>
    <xf numFmtId="9" fontId="0" fillId="4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9" fontId="1" fillId="4" borderId="2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3" fontId="0" fillId="5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3" fontId="0" fillId="5" borderId="0" xfId="0" applyNumberFormat="1" applyFill="1" applyAlignment="1">
      <alignment horizontal="right"/>
    </xf>
    <xf numFmtId="9" fontId="0" fillId="5" borderId="0" xfId="0" applyNumberFormat="1" applyFill="1" applyAlignment="1">
      <alignment horizontal="right"/>
    </xf>
    <xf numFmtId="3" fontId="0" fillId="5" borderId="3" xfId="0" applyNumberFormat="1" applyFill="1" applyBorder="1" applyAlignment="1">
      <alignment horizontal="center"/>
    </xf>
    <xf numFmtId="9" fontId="1" fillId="5" borderId="2" xfId="0" applyNumberFormat="1" applyFont="1" applyFill="1" applyBorder="1" applyAlignment="1">
      <alignment horizontal="right"/>
    </xf>
    <xf numFmtId="3" fontId="1" fillId="5" borderId="2" xfId="0" applyNumberFormat="1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/>
    <xf numFmtId="4" fontId="0" fillId="0" borderId="0" xfId="0" applyNumberFormat="1"/>
    <xf numFmtId="4" fontId="1" fillId="0" borderId="0" xfId="0" applyNumberFormat="1" applyFont="1"/>
    <xf numFmtId="4" fontId="5" fillId="0" borderId="0" xfId="0" applyNumberFormat="1" applyFont="1"/>
  </cellXfs>
  <cellStyles count="2">
    <cellStyle name="Komma 2" xfId="1" xr:uid="{3E31ED55-52CB-42F5-A09B-2009977D08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3BE4-5A6B-469B-A31C-7FE38EACBC78}">
  <sheetPr>
    <pageSetUpPr fitToPage="1"/>
  </sheetPr>
  <dimension ref="B2:AA110"/>
  <sheetViews>
    <sheetView tabSelected="1" topLeftCell="A24" zoomScale="120" zoomScaleNormal="120" workbookViewId="0">
      <selection activeCell="V42" sqref="V42"/>
    </sheetView>
  </sheetViews>
  <sheetFormatPr defaultRowHeight="14.4" x14ac:dyDescent="0.3"/>
  <cols>
    <col min="2" max="2" width="62" customWidth="1"/>
    <col min="3" max="3" width="9.109375" style="19" customWidth="1"/>
    <col min="4" max="4" width="12.33203125" customWidth="1"/>
    <col min="5" max="5" width="8.33203125" customWidth="1"/>
    <col min="6" max="6" width="10.6640625" customWidth="1"/>
    <col min="7" max="7" width="8.33203125" style="4" customWidth="1"/>
    <col min="8" max="8" width="8.33203125" customWidth="1"/>
    <col min="9" max="9" width="8.88671875" style="4" customWidth="1"/>
    <col min="10" max="10" width="2.109375" style="4" customWidth="1"/>
    <col min="12" max="12" width="4.44140625" customWidth="1"/>
    <col min="13" max="13" width="11.33203125" style="41" customWidth="1"/>
    <col min="14" max="14" width="12.88671875" style="19" customWidth="1"/>
    <col min="15" max="15" width="3.109375" style="19" customWidth="1"/>
    <col min="16" max="16" width="11.33203125" style="19" customWidth="1"/>
    <col min="17" max="17" width="12.88671875" style="19" customWidth="1"/>
    <col min="18" max="18" width="3.109375" customWidth="1"/>
    <col min="19" max="19" width="11.33203125" style="19" customWidth="1"/>
    <col min="20" max="20" width="12.88671875" style="19" customWidth="1"/>
    <col min="21" max="21" width="15.33203125" customWidth="1"/>
    <col min="22" max="22" width="11" customWidth="1"/>
  </cols>
  <sheetData>
    <row r="2" spans="2:20" ht="18" x14ac:dyDescent="0.35">
      <c r="B2" s="1"/>
      <c r="C2" s="17"/>
      <c r="D2" s="1"/>
      <c r="E2" s="1"/>
      <c r="F2" s="1"/>
      <c r="G2" s="21"/>
      <c r="H2" s="1"/>
    </row>
    <row r="3" spans="2:20" ht="21" x14ac:dyDescent="0.4">
      <c r="B3" s="2" t="s">
        <v>1</v>
      </c>
      <c r="C3" s="18"/>
      <c r="D3" s="2"/>
      <c r="E3" s="2"/>
      <c r="F3" s="2"/>
      <c r="G3" s="22"/>
      <c r="H3" s="2"/>
    </row>
    <row r="4" spans="2:20" x14ac:dyDescent="0.3">
      <c r="B4" t="s">
        <v>130</v>
      </c>
    </row>
    <row r="5" spans="2:20" ht="15" thickBot="1" x14ac:dyDescent="0.35">
      <c r="C5" s="13" t="s">
        <v>78</v>
      </c>
      <c r="D5" s="13" t="s">
        <v>79</v>
      </c>
      <c r="E5" s="13" t="s">
        <v>80</v>
      </c>
      <c r="F5" s="14" t="s">
        <v>81</v>
      </c>
      <c r="G5" s="14" t="s">
        <v>82</v>
      </c>
      <c r="H5" s="15" t="s">
        <v>83</v>
      </c>
      <c r="I5" s="14" t="s">
        <v>84</v>
      </c>
      <c r="J5"/>
      <c r="K5" s="14" t="s">
        <v>84</v>
      </c>
      <c r="M5" s="47" t="s">
        <v>156</v>
      </c>
      <c r="N5" s="48" t="s">
        <v>157</v>
      </c>
      <c r="O5" s="20"/>
      <c r="P5" s="54" t="s">
        <v>156</v>
      </c>
      <c r="Q5" s="55" t="s">
        <v>168</v>
      </c>
      <c r="S5" s="65" t="s">
        <v>156</v>
      </c>
      <c r="T5" s="66" t="s">
        <v>177</v>
      </c>
    </row>
    <row r="6" spans="2:20" x14ac:dyDescent="0.3">
      <c r="M6" s="42"/>
      <c r="N6" s="43"/>
      <c r="O6" s="38"/>
      <c r="P6" s="56"/>
      <c r="Q6" s="56"/>
      <c r="S6" s="67"/>
      <c r="T6" s="67"/>
    </row>
    <row r="7" spans="2:20" x14ac:dyDescent="0.3">
      <c r="B7" s="3" t="s">
        <v>6</v>
      </c>
      <c r="C7" s="20"/>
      <c r="D7" s="3"/>
      <c r="E7" s="3"/>
      <c r="F7" s="3"/>
      <c r="G7" s="5"/>
      <c r="H7" s="3"/>
      <c r="K7" s="5">
        <f>SUM(I8:I10)</f>
        <v>15270</v>
      </c>
      <c r="M7" s="42">
        <v>0.65</v>
      </c>
      <c r="N7" s="43">
        <f>K7*M7</f>
        <v>9925.5</v>
      </c>
      <c r="O7" s="38"/>
      <c r="P7" s="57">
        <v>0.8</v>
      </c>
      <c r="Q7" s="56">
        <f>K7*P7</f>
        <v>12216</v>
      </c>
      <c r="S7" s="68">
        <v>0.9</v>
      </c>
      <c r="T7" s="67">
        <f>K7*S7</f>
        <v>13743</v>
      </c>
    </row>
    <row r="8" spans="2:20" x14ac:dyDescent="0.3">
      <c r="B8" t="s">
        <v>7</v>
      </c>
      <c r="C8" s="19" t="s">
        <v>85</v>
      </c>
      <c r="G8" s="4">
        <v>4000</v>
      </c>
      <c r="I8" s="4">
        <v>4000</v>
      </c>
      <c r="M8" s="42"/>
      <c r="N8" s="43"/>
      <c r="O8" s="38"/>
      <c r="P8" s="56"/>
      <c r="Q8" s="56"/>
      <c r="S8" s="67"/>
      <c r="T8" s="67"/>
    </row>
    <row r="9" spans="2:20" x14ac:dyDescent="0.3">
      <c r="B9" t="s">
        <v>8</v>
      </c>
      <c r="C9" s="19" t="s">
        <v>85</v>
      </c>
      <c r="G9" s="4">
        <v>3500</v>
      </c>
      <c r="I9" s="4">
        <v>3500</v>
      </c>
      <c r="M9" s="42"/>
      <c r="N9" s="43"/>
      <c r="O9" s="38"/>
      <c r="P9" s="56"/>
      <c r="Q9" s="56"/>
      <c r="S9" s="67"/>
      <c r="T9" s="67"/>
    </row>
    <row r="10" spans="2:20" x14ac:dyDescent="0.3">
      <c r="B10" t="s">
        <v>9</v>
      </c>
      <c r="C10" s="19" t="s">
        <v>85</v>
      </c>
      <c r="G10" s="4">
        <v>7000</v>
      </c>
      <c r="H10" s="16">
        <v>0.11</v>
      </c>
      <c r="I10" s="4">
        <f>G10*H10+G10</f>
        <v>7770</v>
      </c>
      <c r="M10" s="42"/>
      <c r="N10" s="43"/>
      <c r="O10" s="38"/>
      <c r="P10" s="56"/>
      <c r="Q10" s="56"/>
      <c r="S10" s="67"/>
      <c r="T10" s="67"/>
    </row>
    <row r="11" spans="2:20" x14ac:dyDescent="0.3">
      <c r="M11" s="42"/>
      <c r="N11" s="43"/>
      <c r="O11" s="38"/>
      <c r="P11" s="56"/>
      <c r="Q11" s="56"/>
      <c r="S11" s="67"/>
      <c r="T11" s="67"/>
    </row>
    <row r="12" spans="2:20" x14ac:dyDescent="0.3">
      <c r="B12" s="3" t="s">
        <v>4</v>
      </c>
      <c r="C12" s="20"/>
      <c r="D12" s="3"/>
      <c r="E12" s="3"/>
      <c r="F12" s="3"/>
      <c r="G12" s="5"/>
      <c r="H12" s="3"/>
      <c r="K12" s="5">
        <f>SUM(I13:I16)</f>
        <v>20900</v>
      </c>
      <c r="M12" s="42">
        <v>1</v>
      </c>
      <c r="N12" s="43">
        <f>K12*M12</f>
        <v>20900</v>
      </c>
      <c r="O12" s="38"/>
      <c r="P12" s="57">
        <v>1</v>
      </c>
      <c r="Q12" s="56">
        <f>K12*P12</f>
        <v>20900</v>
      </c>
      <c r="S12" s="68">
        <v>1</v>
      </c>
      <c r="T12" s="67">
        <f>K12*S12</f>
        <v>20900</v>
      </c>
    </row>
    <row r="13" spans="2:20" x14ac:dyDescent="0.3">
      <c r="B13" t="s">
        <v>5</v>
      </c>
      <c r="C13" s="19" t="s">
        <v>85</v>
      </c>
      <c r="D13">
        <v>8</v>
      </c>
      <c r="E13">
        <v>550</v>
      </c>
      <c r="F13">
        <v>0</v>
      </c>
      <c r="G13" s="4">
        <f>(D13*E13)+F13</f>
        <v>4400</v>
      </c>
      <c r="H13" s="16"/>
      <c r="I13" s="4">
        <f>G13*H13+G13</f>
        <v>4400</v>
      </c>
      <c r="M13" s="42"/>
      <c r="N13" s="43"/>
      <c r="O13" s="38"/>
      <c r="P13" s="56"/>
      <c r="Q13" s="56"/>
      <c r="S13" s="67"/>
      <c r="T13" s="67"/>
    </row>
    <row r="14" spans="2:20" x14ac:dyDescent="0.3">
      <c r="B14" t="s">
        <v>10</v>
      </c>
      <c r="C14" s="19" t="s">
        <v>85</v>
      </c>
      <c r="D14">
        <v>11</v>
      </c>
      <c r="E14">
        <v>550</v>
      </c>
      <c r="F14">
        <v>0</v>
      </c>
      <c r="G14" s="4">
        <f>(D14*E14)+F14</f>
        <v>6050</v>
      </c>
      <c r="H14" s="16"/>
      <c r="I14" s="4">
        <f>G14*H14+G14</f>
        <v>6050</v>
      </c>
      <c r="M14" s="42"/>
      <c r="N14" s="43"/>
      <c r="O14" s="38"/>
      <c r="P14" s="56"/>
      <c r="Q14" s="56"/>
      <c r="S14" s="67"/>
      <c r="T14" s="67"/>
    </row>
    <row r="15" spans="2:20" x14ac:dyDescent="0.3">
      <c r="B15" t="s">
        <v>25</v>
      </c>
      <c r="C15" s="19" t="s">
        <v>85</v>
      </c>
      <c r="D15">
        <v>4</v>
      </c>
      <c r="E15">
        <v>550</v>
      </c>
      <c r="F15">
        <v>0</v>
      </c>
      <c r="G15" s="4">
        <f>(D15*E15)+F15</f>
        <v>2200</v>
      </c>
      <c r="H15" s="16"/>
      <c r="I15" s="4">
        <f>G15*H15+G15</f>
        <v>2200</v>
      </c>
      <c r="M15" s="42"/>
      <c r="N15" s="43"/>
      <c r="O15" s="38"/>
      <c r="P15" s="56"/>
      <c r="Q15" s="56"/>
      <c r="S15" s="67"/>
      <c r="T15" s="67"/>
    </row>
    <row r="16" spans="2:20" x14ac:dyDescent="0.3">
      <c r="B16" t="s">
        <v>34</v>
      </c>
      <c r="C16" s="19" t="s">
        <v>85</v>
      </c>
      <c r="D16">
        <v>15</v>
      </c>
      <c r="E16">
        <v>550</v>
      </c>
      <c r="F16">
        <v>0</v>
      </c>
      <c r="G16" s="4">
        <f>(D16*E16)+F16</f>
        <v>8250</v>
      </c>
      <c r="H16" s="16"/>
      <c r="I16" s="4">
        <f>G16*H16+G16</f>
        <v>8250</v>
      </c>
      <c r="M16" s="42"/>
      <c r="N16" s="43"/>
      <c r="O16" s="38"/>
      <c r="P16" s="56"/>
      <c r="Q16" s="56"/>
      <c r="S16" s="67"/>
      <c r="T16" s="67"/>
    </row>
    <row r="17" spans="2:20" x14ac:dyDescent="0.3">
      <c r="M17" s="42"/>
      <c r="N17" s="43"/>
      <c r="O17" s="38"/>
      <c r="P17" s="56"/>
      <c r="Q17" s="56"/>
      <c r="S17" s="67"/>
      <c r="T17" s="67"/>
    </row>
    <row r="18" spans="2:20" x14ac:dyDescent="0.3">
      <c r="B18" s="3" t="s">
        <v>2</v>
      </c>
      <c r="C18" s="20"/>
      <c r="D18" s="3"/>
      <c r="E18" s="3"/>
      <c r="F18" s="3"/>
      <c r="G18" s="5"/>
      <c r="H18" s="3"/>
      <c r="K18" s="5">
        <f>SUM(I19:I32)</f>
        <v>87000</v>
      </c>
      <c r="M18" s="42">
        <v>0.55000000000000004</v>
      </c>
      <c r="N18" s="43">
        <f>K18*M18</f>
        <v>47850.000000000007</v>
      </c>
      <c r="O18" s="38"/>
      <c r="P18" s="57">
        <v>0.9</v>
      </c>
      <c r="Q18" s="56">
        <f>K18*P18</f>
        <v>78300</v>
      </c>
      <c r="S18" s="68">
        <v>1</v>
      </c>
      <c r="T18" s="67">
        <f>K18*S18</f>
        <v>87000</v>
      </c>
    </row>
    <row r="19" spans="2:20" x14ac:dyDescent="0.3">
      <c r="B19" t="s">
        <v>14</v>
      </c>
      <c r="C19" s="19" t="s">
        <v>85</v>
      </c>
      <c r="G19" s="4">
        <v>18000</v>
      </c>
      <c r="I19" s="4">
        <v>18000</v>
      </c>
      <c r="M19" s="42"/>
      <c r="N19" s="43"/>
      <c r="O19" s="38"/>
      <c r="P19" s="56"/>
      <c r="Q19" s="56"/>
      <c r="S19" s="67"/>
      <c r="T19" s="67"/>
    </row>
    <row r="20" spans="2:20" x14ac:dyDescent="0.3">
      <c r="B20" t="s">
        <v>3</v>
      </c>
      <c r="C20" s="19" t="s">
        <v>85</v>
      </c>
      <c r="G20" s="4">
        <v>7000</v>
      </c>
      <c r="I20" s="4">
        <v>7000</v>
      </c>
      <c r="M20" s="42"/>
      <c r="N20" s="43"/>
      <c r="O20" s="38"/>
      <c r="P20" s="56"/>
      <c r="Q20" s="56"/>
      <c r="S20" s="67"/>
      <c r="T20" s="67"/>
    </row>
    <row r="21" spans="2:20" x14ac:dyDescent="0.3">
      <c r="B21" t="s">
        <v>87</v>
      </c>
      <c r="C21" s="19" t="s">
        <v>85</v>
      </c>
      <c r="G21" s="4">
        <v>4500</v>
      </c>
      <c r="I21" s="4">
        <v>4500</v>
      </c>
      <c r="M21" s="42"/>
      <c r="N21" s="43"/>
      <c r="O21" s="38"/>
      <c r="P21" s="56"/>
      <c r="Q21" s="56"/>
      <c r="S21" s="67"/>
      <c r="T21" s="67"/>
    </row>
    <row r="22" spans="2:20" x14ac:dyDescent="0.3">
      <c r="B22" t="s">
        <v>16</v>
      </c>
      <c r="C22" s="19" t="s">
        <v>85</v>
      </c>
      <c r="G22" s="4">
        <v>4500</v>
      </c>
      <c r="I22" s="4">
        <v>4500</v>
      </c>
      <c r="M22" s="42"/>
      <c r="N22" s="43"/>
      <c r="O22" s="38"/>
      <c r="P22" s="56"/>
      <c r="Q22" s="56"/>
      <c r="S22" s="67"/>
      <c r="T22" s="67"/>
    </row>
    <row r="23" spans="2:20" x14ac:dyDescent="0.3">
      <c r="B23" t="s">
        <v>11</v>
      </c>
      <c r="C23" s="19" t="s">
        <v>85</v>
      </c>
      <c r="G23" s="4">
        <v>2000</v>
      </c>
      <c r="I23" s="4">
        <v>2000</v>
      </c>
      <c r="M23" s="42"/>
      <c r="N23" s="43"/>
      <c r="O23" s="38"/>
      <c r="P23" s="56"/>
      <c r="Q23" s="56"/>
      <c r="S23" s="67"/>
      <c r="T23" s="67"/>
    </row>
    <row r="24" spans="2:20" x14ac:dyDescent="0.3">
      <c r="B24" t="s">
        <v>12</v>
      </c>
      <c r="C24" s="19" t="s">
        <v>85</v>
      </c>
      <c r="G24" s="4">
        <v>4000</v>
      </c>
      <c r="I24" s="4">
        <v>4000</v>
      </c>
      <c r="M24" s="42"/>
      <c r="N24" s="43"/>
      <c r="O24" s="38"/>
      <c r="P24" s="56"/>
      <c r="Q24" s="56"/>
      <c r="S24" s="67"/>
      <c r="T24" s="67"/>
    </row>
    <row r="25" spans="2:20" x14ac:dyDescent="0.3">
      <c r="B25" t="s">
        <v>13</v>
      </c>
      <c r="C25" s="19" t="s">
        <v>85</v>
      </c>
      <c r="G25" s="4">
        <v>2500</v>
      </c>
      <c r="I25" s="4">
        <v>2500</v>
      </c>
      <c r="M25" s="42"/>
      <c r="N25" s="43"/>
      <c r="O25" s="38"/>
      <c r="P25" s="56"/>
      <c r="Q25" s="56"/>
      <c r="S25" s="67"/>
      <c r="T25" s="67"/>
    </row>
    <row r="26" spans="2:20" x14ac:dyDescent="0.3">
      <c r="B26" t="s">
        <v>17</v>
      </c>
      <c r="C26" s="19" t="s">
        <v>85</v>
      </c>
      <c r="G26" s="4">
        <v>5000</v>
      </c>
      <c r="I26" s="4">
        <v>5000</v>
      </c>
      <c r="M26" s="42"/>
      <c r="N26" s="43"/>
      <c r="O26" s="38"/>
      <c r="P26" s="56"/>
      <c r="Q26" s="56"/>
      <c r="S26" s="67"/>
      <c r="T26" s="67"/>
    </row>
    <row r="27" spans="2:20" x14ac:dyDescent="0.3">
      <c r="B27" t="s">
        <v>19</v>
      </c>
      <c r="C27" s="19" t="s">
        <v>85</v>
      </c>
      <c r="G27" s="4">
        <v>10000</v>
      </c>
      <c r="I27" s="4">
        <v>10000</v>
      </c>
      <c r="M27" s="42"/>
      <c r="N27" s="43"/>
      <c r="O27" s="38"/>
      <c r="P27" s="56"/>
      <c r="Q27" s="56"/>
      <c r="S27" s="67"/>
      <c r="T27" s="67"/>
    </row>
    <row r="28" spans="2:20" x14ac:dyDescent="0.3">
      <c r="B28" t="s">
        <v>26</v>
      </c>
      <c r="C28" s="19" t="s">
        <v>85</v>
      </c>
      <c r="G28" s="4">
        <v>6000</v>
      </c>
      <c r="I28" s="4">
        <v>6000</v>
      </c>
      <c r="M28" s="42"/>
      <c r="N28" s="43"/>
      <c r="O28" s="38"/>
      <c r="P28" s="56"/>
      <c r="Q28" s="56"/>
      <c r="S28" s="67"/>
      <c r="T28" s="67"/>
    </row>
    <row r="29" spans="2:20" x14ac:dyDescent="0.3">
      <c r="B29" t="s">
        <v>27</v>
      </c>
      <c r="C29" s="19" t="s">
        <v>85</v>
      </c>
      <c r="G29" s="4">
        <v>9000</v>
      </c>
      <c r="I29" s="4">
        <v>9000</v>
      </c>
      <c r="M29" s="42"/>
      <c r="N29" s="43"/>
      <c r="O29" s="38"/>
      <c r="P29" s="56"/>
      <c r="Q29" s="56"/>
      <c r="S29" s="67"/>
      <c r="T29" s="67"/>
    </row>
    <row r="30" spans="2:20" x14ac:dyDescent="0.3">
      <c r="B30" t="s">
        <v>28</v>
      </c>
      <c r="C30" s="19" t="s">
        <v>85</v>
      </c>
      <c r="G30" s="4">
        <v>3500</v>
      </c>
      <c r="I30" s="4">
        <v>3500</v>
      </c>
      <c r="M30" s="42"/>
      <c r="N30" s="43"/>
      <c r="O30" s="38"/>
      <c r="P30" s="56"/>
      <c r="Q30" s="56"/>
      <c r="S30" s="67"/>
      <c r="T30" s="67"/>
    </row>
    <row r="31" spans="2:20" x14ac:dyDescent="0.3">
      <c r="B31" t="s">
        <v>88</v>
      </c>
      <c r="C31" s="19" t="s">
        <v>85</v>
      </c>
      <c r="G31" s="4">
        <v>7000</v>
      </c>
      <c r="I31" s="4">
        <v>7000</v>
      </c>
      <c r="M31" s="42"/>
      <c r="N31" s="43"/>
      <c r="O31" s="38"/>
      <c r="P31" s="56"/>
      <c r="Q31" s="56"/>
      <c r="S31" s="67"/>
      <c r="T31" s="67"/>
    </row>
    <row r="32" spans="2:20" x14ac:dyDescent="0.3">
      <c r="B32" t="s">
        <v>37</v>
      </c>
      <c r="C32" s="19" t="s">
        <v>85</v>
      </c>
      <c r="G32" s="4">
        <v>4000</v>
      </c>
      <c r="I32" s="4">
        <v>4000</v>
      </c>
      <c r="M32" s="42"/>
      <c r="N32" s="43"/>
      <c r="O32" s="38"/>
      <c r="P32" s="56"/>
      <c r="Q32" s="56"/>
      <c r="S32" s="67"/>
      <c r="T32" s="67"/>
    </row>
    <row r="33" spans="2:20" x14ac:dyDescent="0.3">
      <c r="M33" s="42"/>
      <c r="N33" s="43"/>
      <c r="O33" s="38"/>
      <c r="P33" s="56"/>
      <c r="Q33" s="56"/>
      <c r="S33" s="67"/>
      <c r="T33" s="67"/>
    </row>
    <row r="34" spans="2:20" x14ac:dyDescent="0.3">
      <c r="B34" s="3" t="s">
        <v>22</v>
      </c>
      <c r="C34" s="20"/>
      <c r="D34" s="3"/>
      <c r="E34" s="3"/>
      <c r="F34" s="3"/>
      <c r="G34" s="5"/>
      <c r="H34" s="3"/>
      <c r="K34" s="5">
        <f>SUM(I35:I42)</f>
        <v>28388.25</v>
      </c>
      <c r="M34" s="42">
        <v>0</v>
      </c>
      <c r="N34" s="43">
        <f>K34*M34</f>
        <v>0</v>
      </c>
      <c r="O34" s="38"/>
      <c r="P34" s="57">
        <v>0</v>
      </c>
      <c r="Q34" s="56">
        <f>K34*P34</f>
        <v>0</v>
      </c>
      <c r="S34" s="68">
        <v>0.95</v>
      </c>
      <c r="T34" s="67">
        <f>K34*S34</f>
        <v>26968.837499999998</v>
      </c>
    </row>
    <row r="35" spans="2:20" x14ac:dyDescent="0.3">
      <c r="B35" t="s">
        <v>89</v>
      </c>
      <c r="C35" s="19" t="s">
        <v>114</v>
      </c>
      <c r="D35" s="3"/>
      <c r="E35" s="3"/>
      <c r="F35" s="3"/>
      <c r="G35" s="4">
        <v>2730</v>
      </c>
      <c r="H35" s="16">
        <v>0.11</v>
      </c>
      <c r="I35" s="4">
        <f>G35*H35+G35</f>
        <v>3030.3</v>
      </c>
      <c r="M35" s="42"/>
      <c r="N35" s="43"/>
      <c r="O35" s="38"/>
      <c r="P35" s="56"/>
      <c r="Q35" s="56"/>
      <c r="S35" s="67"/>
      <c r="T35" s="67"/>
    </row>
    <row r="36" spans="2:20" x14ac:dyDescent="0.3">
      <c r="B36" t="s">
        <v>90</v>
      </c>
      <c r="C36" s="19" t="s">
        <v>114</v>
      </c>
      <c r="D36" s="3"/>
      <c r="E36" s="3"/>
      <c r="F36" s="3"/>
      <c r="G36" s="4">
        <v>6090</v>
      </c>
      <c r="H36" s="16">
        <v>0.11</v>
      </c>
      <c r="I36" s="4">
        <f>G36*H36+G36</f>
        <v>6759.9</v>
      </c>
      <c r="M36" s="42"/>
      <c r="N36" s="43"/>
      <c r="O36" s="38"/>
      <c r="P36" s="56"/>
      <c r="Q36" s="56"/>
      <c r="S36" s="67"/>
      <c r="T36" s="67"/>
    </row>
    <row r="37" spans="2:20" x14ac:dyDescent="0.3">
      <c r="B37" t="s">
        <v>91</v>
      </c>
      <c r="C37" s="19" t="s">
        <v>114</v>
      </c>
      <c r="M37" s="42"/>
      <c r="N37" s="43"/>
      <c r="O37" s="38"/>
      <c r="P37" s="56"/>
      <c r="Q37" s="56"/>
      <c r="S37" s="67"/>
      <c r="T37" s="67"/>
    </row>
    <row r="38" spans="2:20" x14ac:dyDescent="0.3">
      <c r="B38" t="s">
        <v>92</v>
      </c>
      <c r="C38" s="19" t="s">
        <v>114</v>
      </c>
      <c r="G38" s="4">
        <v>3575</v>
      </c>
      <c r="H38" s="16">
        <v>0.11</v>
      </c>
      <c r="I38" s="4">
        <f>G38*H38+G38</f>
        <v>3968.25</v>
      </c>
      <c r="M38" s="42"/>
      <c r="N38" s="43"/>
      <c r="O38" s="38"/>
      <c r="P38" s="56"/>
      <c r="Q38" s="56"/>
      <c r="S38" s="67"/>
      <c r="T38" s="67"/>
    </row>
    <row r="39" spans="2:20" x14ac:dyDescent="0.3">
      <c r="H39" s="16"/>
      <c r="M39" s="42"/>
      <c r="N39" s="43"/>
      <c r="O39" s="38"/>
      <c r="P39" s="56"/>
      <c r="Q39" s="56"/>
      <c r="S39" s="67"/>
      <c r="T39" s="67"/>
    </row>
    <row r="40" spans="2:20" x14ac:dyDescent="0.3">
      <c r="B40" t="s">
        <v>93</v>
      </c>
      <c r="C40" s="19" t="s">
        <v>114</v>
      </c>
      <c r="G40" s="4">
        <v>8680</v>
      </c>
      <c r="H40" s="16">
        <v>0.11</v>
      </c>
      <c r="I40" s="4">
        <f>G40*H40+G40</f>
        <v>9634.7999999999993</v>
      </c>
      <c r="M40" s="42"/>
      <c r="N40" s="43"/>
      <c r="O40" s="38"/>
      <c r="P40" s="56"/>
      <c r="Q40" s="56"/>
      <c r="S40" s="67"/>
      <c r="T40" s="67"/>
    </row>
    <row r="41" spans="2:20" x14ac:dyDescent="0.3">
      <c r="B41" t="s">
        <v>94</v>
      </c>
      <c r="C41" s="19" t="s">
        <v>114</v>
      </c>
      <c r="G41" s="4">
        <v>2625</v>
      </c>
      <c r="H41" s="16">
        <v>0.11</v>
      </c>
      <c r="I41" s="4">
        <f>G41*H41+G41</f>
        <v>2913.75</v>
      </c>
      <c r="M41" s="42"/>
      <c r="N41" s="43"/>
      <c r="O41" s="38"/>
      <c r="P41" s="56"/>
      <c r="Q41" s="56"/>
      <c r="S41" s="67"/>
      <c r="T41" s="67"/>
    </row>
    <row r="42" spans="2:20" x14ac:dyDescent="0.3">
      <c r="B42" t="s">
        <v>95</v>
      </c>
      <c r="C42" s="19" t="s">
        <v>114</v>
      </c>
      <c r="G42" s="4">
        <v>1875</v>
      </c>
      <c r="H42" s="16">
        <v>0.11</v>
      </c>
      <c r="I42" s="4">
        <f>G42*H42+G42</f>
        <v>2081.25</v>
      </c>
      <c r="M42" s="42"/>
      <c r="N42" s="43"/>
      <c r="O42" s="38"/>
      <c r="P42" s="56"/>
      <c r="Q42" s="56"/>
      <c r="S42" s="67"/>
      <c r="T42" s="67"/>
    </row>
    <row r="43" spans="2:20" x14ac:dyDescent="0.3">
      <c r="M43" s="42"/>
      <c r="N43" s="43"/>
      <c r="O43" s="38"/>
      <c r="P43" s="56"/>
      <c r="Q43" s="56"/>
      <c r="S43" s="67"/>
      <c r="T43" s="67"/>
    </row>
    <row r="44" spans="2:20" x14ac:dyDescent="0.3">
      <c r="B44" s="3" t="s">
        <v>18</v>
      </c>
      <c r="C44" s="20"/>
      <c r="D44" s="3"/>
      <c r="F44" s="3"/>
      <c r="G44" s="5"/>
      <c r="H44" s="3"/>
      <c r="K44" s="5">
        <f>SUM(I45:I48)</f>
        <v>12765</v>
      </c>
      <c r="M44" s="42">
        <v>0</v>
      </c>
      <c r="N44" s="43">
        <f>K44*M44</f>
        <v>0</v>
      </c>
      <c r="O44" s="38"/>
      <c r="P44" s="57">
        <v>0.5</v>
      </c>
      <c r="Q44" s="56">
        <f>K44*P44</f>
        <v>6382.5</v>
      </c>
      <c r="S44" s="68">
        <v>0.9</v>
      </c>
      <c r="T44" s="67">
        <f>K44*S44</f>
        <v>11488.5</v>
      </c>
    </row>
    <row r="45" spans="2:20" x14ac:dyDescent="0.3">
      <c r="B45" s="10" t="s">
        <v>39</v>
      </c>
      <c r="G45" s="4">
        <v>0</v>
      </c>
      <c r="I45" s="29">
        <v>0</v>
      </c>
      <c r="M45" s="42"/>
      <c r="N45" s="43"/>
      <c r="O45" s="38"/>
      <c r="P45" s="56"/>
      <c r="Q45" s="56"/>
      <c r="S45" s="67"/>
      <c r="T45" s="67"/>
    </row>
    <row r="46" spans="2:20" x14ac:dyDescent="0.3">
      <c r="B46" t="s">
        <v>126</v>
      </c>
      <c r="C46" s="19" t="s">
        <v>85</v>
      </c>
      <c r="G46" s="4">
        <v>10000</v>
      </c>
      <c r="H46" s="16">
        <v>0.11</v>
      </c>
      <c r="I46" s="4">
        <f>G46*H46+G46</f>
        <v>11100</v>
      </c>
      <c r="M46" s="42"/>
      <c r="N46" s="43"/>
      <c r="O46" s="38"/>
      <c r="P46" s="56"/>
      <c r="Q46" s="56"/>
      <c r="S46" s="67"/>
      <c r="T46" s="67"/>
    </row>
    <row r="47" spans="2:20" x14ac:dyDescent="0.3">
      <c r="B47" t="s">
        <v>127</v>
      </c>
      <c r="C47" s="19" t="s">
        <v>85</v>
      </c>
      <c r="G47" s="4">
        <v>1500</v>
      </c>
      <c r="H47" s="16">
        <v>0.11</v>
      </c>
      <c r="I47" s="4">
        <f>G47*H47+G47</f>
        <v>1665</v>
      </c>
      <c r="M47" s="42"/>
      <c r="N47" s="43"/>
      <c r="O47" s="38"/>
      <c r="P47" s="56"/>
      <c r="Q47" s="56"/>
      <c r="S47" s="67"/>
      <c r="T47" s="67"/>
    </row>
    <row r="48" spans="2:20" x14ac:dyDescent="0.3">
      <c r="B48" s="10" t="s">
        <v>123</v>
      </c>
      <c r="G48" s="4">
        <v>8000</v>
      </c>
      <c r="H48" s="16">
        <v>0.11</v>
      </c>
      <c r="I48" s="29">
        <v>0</v>
      </c>
      <c r="M48" s="42"/>
      <c r="N48" s="43"/>
      <c r="O48" s="38"/>
      <c r="P48" s="56"/>
      <c r="Q48" s="56"/>
      <c r="S48" s="67"/>
      <c r="T48" s="67"/>
    </row>
    <row r="49" spans="2:27" x14ac:dyDescent="0.3">
      <c r="M49" s="42"/>
      <c r="N49" s="43"/>
      <c r="O49" s="38"/>
      <c r="P49" s="56"/>
      <c r="Q49" s="56"/>
      <c r="S49" s="67"/>
      <c r="T49" s="67"/>
      <c r="W49" t="s">
        <v>138</v>
      </c>
      <c r="X49" s="4">
        <v>45000</v>
      </c>
      <c r="Y49" s="16">
        <v>0.11</v>
      </c>
      <c r="Z49" s="4">
        <f>X49*Y49+X49</f>
        <v>49950</v>
      </c>
      <c r="AA49" t="s">
        <v>141</v>
      </c>
    </row>
    <row r="50" spans="2:27" x14ac:dyDescent="0.3">
      <c r="B50" s="3" t="s">
        <v>96</v>
      </c>
      <c r="C50" s="20"/>
      <c r="D50" s="3"/>
      <c r="E50" s="3"/>
      <c r="F50" s="3"/>
      <c r="G50" s="5"/>
      <c r="H50" s="3"/>
      <c r="K50" s="5">
        <f>SUM(I51:I55)</f>
        <v>138750</v>
      </c>
      <c r="M50" s="42">
        <v>0</v>
      </c>
      <c r="N50" s="43">
        <f>K50*M50</f>
        <v>0</v>
      </c>
      <c r="O50" s="38"/>
      <c r="P50" s="57">
        <v>0.5</v>
      </c>
      <c r="Q50" s="56">
        <f>K50*P50</f>
        <v>69375</v>
      </c>
      <c r="S50" s="68">
        <v>0.7</v>
      </c>
      <c r="T50" s="67">
        <f>K50*S50</f>
        <v>97125</v>
      </c>
      <c r="W50" t="s">
        <v>139</v>
      </c>
      <c r="X50" s="4">
        <v>63265.599999999999</v>
      </c>
      <c r="Y50" s="16">
        <v>0.11</v>
      </c>
      <c r="Z50" s="4">
        <f>X50*Y50+X50</f>
        <v>70224.815999999992</v>
      </c>
      <c r="AA50" t="s">
        <v>141</v>
      </c>
    </row>
    <row r="51" spans="2:27" ht="15" thickBot="1" x14ac:dyDescent="0.35">
      <c r="B51" t="s">
        <v>128</v>
      </c>
      <c r="C51" s="19" t="s">
        <v>85</v>
      </c>
      <c r="G51" s="4">
        <v>15000</v>
      </c>
      <c r="H51" s="16">
        <v>0.11</v>
      </c>
      <c r="I51" s="4">
        <f>G51*H51+G51</f>
        <v>16650</v>
      </c>
      <c r="M51" s="42"/>
      <c r="N51" s="43"/>
      <c r="O51" s="38"/>
      <c r="P51" s="56"/>
      <c r="Q51" s="56"/>
      <c r="S51" s="67"/>
      <c r="T51" s="67"/>
      <c r="W51" t="s">
        <v>140</v>
      </c>
      <c r="X51" s="4"/>
      <c r="Z51" s="32">
        <f>Z50-Z49</f>
        <v>20274.815999999992</v>
      </c>
      <c r="AA51" t="s">
        <v>141</v>
      </c>
    </row>
    <row r="52" spans="2:27" ht="15" thickTop="1" x14ac:dyDescent="0.3">
      <c r="B52" t="s">
        <v>97</v>
      </c>
      <c r="C52" s="19" t="s">
        <v>85</v>
      </c>
      <c r="G52" s="4">
        <v>45000</v>
      </c>
      <c r="H52" s="16">
        <v>0.11</v>
      </c>
      <c r="I52" s="4">
        <f t="shared" ref="I52:I54" si="0">G52*H52+G52</f>
        <v>49950</v>
      </c>
      <c r="M52" s="42"/>
      <c r="N52" s="43"/>
      <c r="O52" s="38"/>
      <c r="P52" s="56"/>
      <c r="Q52" s="56"/>
      <c r="S52" s="67"/>
      <c r="T52" s="67"/>
      <c r="V52" s="4"/>
      <c r="X52" s="4"/>
    </row>
    <row r="53" spans="2:27" x14ac:dyDescent="0.3">
      <c r="B53" t="s">
        <v>98</v>
      </c>
      <c r="C53" s="19" t="s">
        <v>85</v>
      </c>
      <c r="G53" s="4">
        <v>25000</v>
      </c>
      <c r="H53" s="16">
        <v>0.11</v>
      </c>
      <c r="I53" s="4">
        <f t="shared" si="0"/>
        <v>27750</v>
      </c>
      <c r="M53" s="42"/>
      <c r="N53" s="43"/>
      <c r="O53" s="38"/>
      <c r="P53" s="56"/>
      <c r="Q53" s="56"/>
      <c r="S53" s="67"/>
      <c r="T53" s="67"/>
      <c r="V53" s="4"/>
      <c r="X53" s="4"/>
    </row>
    <row r="54" spans="2:27" x14ac:dyDescent="0.3">
      <c r="B54" t="s">
        <v>99</v>
      </c>
      <c r="C54" s="19" t="s">
        <v>85</v>
      </c>
      <c r="G54" s="4">
        <v>20000</v>
      </c>
      <c r="H54" s="16">
        <v>0.11</v>
      </c>
      <c r="I54" s="4">
        <f t="shared" si="0"/>
        <v>22200</v>
      </c>
      <c r="M54" s="42"/>
      <c r="N54" s="43"/>
      <c r="O54" s="38"/>
      <c r="P54" s="56"/>
      <c r="Q54" s="56"/>
      <c r="S54" s="67"/>
      <c r="T54" s="67"/>
      <c r="V54" s="4"/>
      <c r="X54" s="4"/>
    </row>
    <row r="55" spans="2:27" x14ac:dyDescent="0.3">
      <c r="B55" t="s">
        <v>100</v>
      </c>
      <c r="C55" s="19" t="s">
        <v>85</v>
      </c>
      <c r="G55" s="4">
        <v>20000</v>
      </c>
      <c r="H55" s="16">
        <v>0.11</v>
      </c>
      <c r="I55" s="4">
        <f>G55*H55+G55</f>
        <v>22200</v>
      </c>
      <c r="M55" s="42"/>
      <c r="N55" s="43"/>
      <c r="O55" s="38"/>
      <c r="P55" s="56"/>
      <c r="Q55" s="56"/>
      <c r="S55" s="67"/>
      <c r="T55" s="67"/>
      <c r="V55" s="4"/>
      <c r="X55" s="4"/>
    </row>
    <row r="56" spans="2:27" x14ac:dyDescent="0.3">
      <c r="M56" s="42"/>
      <c r="N56" s="43"/>
      <c r="O56" s="38"/>
      <c r="P56" s="56"/>
      <c r="Q56" s="56"/>
      <c r="S56" s="67"/>
      <c r="T56" s="67"/>
      <c r="X56" s="4"/>
    </row>
    <row r="57" spans="2:27" x14ac:dyDescent="0.3">
      <c r="B57" s="3" t="s">
        <v>41</v>
      </c>
      <c r="C57" s="20"/>
      <c r="D57" s="3"/>
      <c r="E57" s="3"/>
      <c r="F57" s="3"/>
      <c r="G57" s="5"/>
      <c r="H57" s="3"/>
      <c r="K57" s="5">
        <f>SUM(I58:I67)</f>
        <v>52259</v>
      </c>
      <c r="M57" s="42">
        <v>0.2</v>
      </c>
      <c r="N57" s="43">
        <f>K57*M57</f>
        <v>10451.800000000001</v>
      </c>
      <c r="O57" s="38"/>
      <c r="P57" s="57">
        <v>0.8</v>
      </c>
      <c r="Q57" s="56">
        <f>K57*P57</f>
        <v>41807.200000000004</v>
      </c>
      <c r="S57" s="68">
        <v>1</v>
      </c>
      <c r="T57" s="67">
        <f>K57*S57</f>
        <v>52259</v>
      </c>
    </row>
    <row r="58" spans="2:27" x14ac:dyDescent="0.3">
      <c r="B58" t="s">
        <v>101</v>
      </c>
      <c r="C58" s="19" t="s">
        <v>85</v>
      </c>
      <c r="D58">
        <v>6</v>
      </c>
      <c r="E58">
        <v>550</v>
      </c>
      <c r="F58">
        <v>1500</v>
      </c>
      <c r="G58" s="4">
        <f t="shared" ref="G58:G63" si="1">(D58*E58)+F58</f>
        <v>4800</v>
      </c>
      <c r="H58" s="16"/>
      <c r="I58" s="4">
        <f>G58*H58+G58</f>
        <v>4800</v>
      </c>
      <c r="K58" s="5"/>
      <c r="M58" s="42"/>
      <c r="N58" s="43"/>
      <c r="O58" s="38"/>
      <c r="P58" s="56"/>
      <c r="Q58" s="56"/>
      <c r="S58" s="67"/>
      <c r="T58" s="67"/>
    </row>
    <row r="59" spans="2:27" x14ac:dyDescent="0.3">
      <c r="B59" t="s">
        <v>102</v>
      </c>
      <c r="C59" s="19" t="s">
        <v>85</v>
      </c>
      <c r="D59">
        <v>4</v>
      </c>
      <c r="E59">
        <v>550</v>
      </c>
      <c r="F59">
        <v>400</v>
      </c>
      <c r="G59" s="4">
        <f t="shared" si="1"/>
        <v>2600</v>
      </c>
      <c r="H59" s="16"/>
      <c r="I59" s="4">
        <f t="shared" ref="I59:I63" si="2">G59*H59+G59</f>
        <v>2600</v>
      </c>
      <c r="K59" s="5"/>
      <c r="M59" s="42"/>
      <c r="N59" s="43"/>
      <c r="O59" s="38"/>
      <c r="P59" s="56"/>
      <c r="Q59" s="56"/>
      <c r="S59" s="67"/>
      <c r="T59" s="67"/>
    </row>
    <row r="60" spans="2:27" x14ac:dyDescent="0.3">
      <c r="B60" t="s">
        <v>42</v>
      </c>
      <c r="C60" s="19" t="s">
        <v>85</v>
      </c>
      <c r="D60">
        <v>8</v>
      </c>
      <c r="E60">
        <v>550</v>
      </c>
      <c r="F60">
        <v>2400</v>
      </c>
      <c r="G60" s="4">
        <f t="shared" si="1"/>
        <v>6800</v>
      </c>
      <c r="H60" s="16"/>
      <c r="I60" s="4">
        <f t="shared" si="2"/>
        <v>6800</v>
      </c>
      <c r="M60" s="42"/>
      <c r="N60" s="43"/>
      <c r="O60" s="38"/>
      <c r="P60" s="56"/>
      <c r="Q60" s="56"/>
      <c r="S60" s="67"/>
      <c r="T60" s="67"/>
    </row>
    <row r="61" spans="2:27" x14ac:dyDescent="0.3">
      <c r="B61" t="s">
        <v>104</v>
      </c>
      <c r="C61" s="19" t="s">
        <v>85</v>
      </c>
      <c r="D61">
        <v>15</v>
      </c>
      <c r="E61">
        <v>550</v>
      </c>
      <c r="F61">
        <v>800</v>
      </c>
      <c r="G61" s="4">
        <f t="shared" si="1"/>
        <v>9050</v>
      </c>
      <c r="H61" s="16"/>
      <c r="I61" s="4">
        <f t="shared" si="2"/>
        <v>9050</v>
      </c>
      <c r="M61" s="42"/>
      <c r="N61" s="43"/>
      <c r="O61" s="38"/>
      <c r="P61" s="56"/>
      <c r="Q61" s="56"/>
      <c r="S61" s="67"/>
      <c r="T61" s="67"/>
    </row>
    <row r="62" spans="2:27" x14ac:dyDescent="0.3">
      <c r="B62" t="s">
        <v>105</v>
      </c>
      <c r="C62" s="19" t="s">
        <v>85</v>
      </c>
      <c r="D62">
        <v>21</v>
      </c>
      <c r="E62">
        <v>550</v>
      </c>
      <c r="F62">
        <v>800</v>
      </c>
      <c r="G62" s="4">
        <f t="shared" si="1"/>
        <v>12350</v>
      </c>
      <c r="H62" s="16"/>
      <c r="I62" s="4">
        <f t="shared" si="2"/>
        <v>12350</v>
      </c>
      <c r="M62" s="42"/>
      <c r="N62" s="43"/>
      <c r="O62" s="38"/>
      <c r="P62" s="56"/>
      <c r="Q62" s="56"/>
      <c r="S62" s="67"/>
      <c r="T62" s="67"/>
    </row>
    <row r="63" spans="2:27" x14ac:dyDescent="0.3">
      <c r="B63" t="s">
        <v>106</v>
      </c>
      <c r="C63" s="19" t="s">
        <v>85</v>
      </c>
      <c r="D63">
        <f>10+8+5</f>
        <v>23</v>
      </c>
      <c r="E63">
        <v>300</v>
      </c>
      <c r="G63" s="4">
        <f t="shared" si="1"/>
        <v>6900</v>
      </c>
      <c r="H63" s="16">
        <v>0.11</v>
      </c>
      <c r="I63" s="4">
        <f t="shared" si="2"/>
        <v>7659</v>
      </c>
      <c r="M63" s="42"/>
      <c r="N63" s="43"/>
      <c r="O63" s="38"/>
      <c r="P63" s="56"/>
      <c r="Q63" s="56"/>
      <c r="S63" s="67"/>
      <c r="T63" s="67"/>
    </row>
    <row r="64" spans="2:27" x14ac:dyDescent="0.3">
      <c r="B64" t="s">
        <v>103</v>
      </c>
      <c r="C64" s="19" t="s">
        <v>85</v>
      </c>
      <c r="G64" s="4">
        <v>3000</v>
      </c>
      <c r="I64" s="4">
        <v>3000</v>
      </c>
      <c r="M64" s="42"/>
      <c r="N64" s="43"/>
      <c r="O64" s="38"/>
      <c r="P64" s="56"/>
      <c r="Q64" s="56"/>
      <c r="S64" s="67"/>
      <c r="T64" s="67"/>
    </row>
    <row r="65" spans="2:22" x14ac:dyDescent="0.3">
      <c r="M65" s="42"/>
      <c r="N65" s="43"/>
      <c r="O65" s="38"/>
      <c r="P65" s="56"/>
      <c r="Q65" s="56"/>
      <c r="S65" s="67"/>
      <c r="T65" s="67"/>
    </row>
    <row r="66" spans="2:22" x14ac:dyDescent="0.3">
      <c r="B66" t="s">
        <v>43</v>
      </c>
      <c r="C66" s="19" t="s">
        <v>85</v>
      </c>
      <c r="D66">
        <v>8</v>
      </c>
      <c r="E66">
        <v>550</v>
      </c>
      <c r="F66">
        <v>0</v>
      </c>
      <c r="G66" s="4">
        <f>(D66*E66)+F66</f>
        <v>4400</v>
      </c>
      <c r="I66" s="4">
        <v>3000</v>
      </c>
      <c r="M66" s="42"/>
      <c r="N66" s="43"/>
      <c r="O66" s="38"/>
      <c r="P66" s="56"/>
      <c r="Q66" s="56"/>
      <c r="S66" s="67"/>
      <c r="T66" s="67"/>
    </row>
    <row r="67" spans="2:22" x14ac:dyDescent="0.3">
      <c r="B67" t="s">
        <v>44</v>
      </c>
      <c r="C67" s="19" t="s">
        <v>85</v>
      </c>
      <c r="D67">
        <v>8</v>
      </c>
      <c r="E67">
        <v>550</v>
      </c>
      <c r="F67">
        <v>0</v>
      </c>
      <c r="G67" s="4">
        <f>(D67*E67)+F67</f>
        <v>4400</v>
      </c>
      <c r="I67" s="4">
        <v>3000</v>
      </c>
      <c r="M67" s="42"/>
      <c r="N67" s="43"/>
      <c r="O67" s="38"/>
      <c r="P67" s="56"/>
      <c r="Q67" s="56"/>
      <c r="S67" s="67"/>
      <c r="T67" s="67"/>
    </row>
    <row r="68" spans="2:22" x14ac:dyDescent="0.3">
      <c r="M68" s="42"/>
      <c r="N68" s="43"/>
      <c r="O68" s="38"/>
      <c r="P68" s="56"/>
      <c r="Q68" s="56"/>
      <c r="S68" s="67"/>
      <c r="T68" s="67"/>
    </row>
    <row r="69" spans="2:22" x14ac:dyDescent="0.3">
      <c r="B69" s="3" t="s">
        <v>20</v>
      </c>
      <c r="C69" s="20"/>
      <c r="D69" s="3"/>
      <c r="E69" s="3"/>
      <c r="F69" s="3"/>
      <c r="G69" s="5"/>
      <c r="H69" s="3"/>
      <c r="K69" s="5">
        <f>SUM(I70:I75)</f>
        <v>82914</v>
      </c>
      <c r="M69" s="42">
        <v>0.65</v>
      </c>
      <c r="N69" s="43">
        <f>K69*M69</f>
        <v>53894.1</v>
      </c>
      <c r="O69" s="38"/>
      <c r="P69" s="57">
        <v>0.8</v>
      </c>
      <c r="Q69" s="56">
        <f>K69*P69</f>
        <v>66331.199999999997</v>
      </c>
      <c r="S69" s="68">
        <v>0.8</v>
      </c>
      <c r="T69" s="67">
        <f>K69*S69</f>
        <v>66331.199999999997</v>
      </c>
      <c r="V69" s="27" t="s">
        <v>137</v>
      </c>
    </row>
    <row r="70" spans="2:22" x14ac:dyDescent="0.3">
      <c r="B70" t="s">
        <v>73</v>
      </c>
      <c r="C70" s="19" t="s">
        <v>85</v>
      </c>
      <c r="D70" s="5"/>
      <c r="G70" s="24">
        <f>7.5*600</f>
        <v>4500</v>
      </c>
      <c r="I70" s="24">
        <f>7.5*600</f>
        <v>4500</v>
      </c>
      <c r="M70" s="42"/>
      <c r="N70" s="43"/>
      <c r="O70" s="38"/>
      <c r="P70" s="56"/>
      <c r="Q70" s="56"/>
      <c r="S70" s="67"/>
      <c r="T70" s="67"/>
    </row>
    <row r="71" spans="2:22" x14ac:dyDescent="0.3">
      <c r="B71" t="s">
        <v>21</v>
      </c>
      <c r="C71" s="19" t="s">
        <v>85</v>
      </c>
      <c r="D71" s="4"/>
      <c r="G71" s="24">
        <v>6500</v>
      </c>
      <c r="I71" s="24">
        <v>6500</v>
      </c>
      <c r="M71" s="42"/>
      <c r="N71" s="43"/>
      <c r="O71" s="38"/>
      <c r="P71" s="56"/>
      <c r="Q71" s="56"/>
      <c r="S71" s="67"/>
      <c r="T71" s="67"/>
    </row>
    <row r="72" spans="2:22" x14ac:dyDescent="0.3">
      <c r="B72" t="s">
        <v>129</v>
      </c>
      <c r="C72" s="19" t="s">
        <v>85</v>
      </c>
      <c r="D72" s="4"/>
      <c r="G72" s="24">
        <f>400+200+50+50+(2345*1.2)+(15*600)+(4000)</f>
        <v>16514</v>
      </c>
      <c r="I72" s="24">
        <f>400+200+50+50+(2345*1.2)+(15*600)+(4000)</f>
        <v>16514</v>
      </c>
      <c r="M72" s="42"/>
      <c r="N72" s="43"/>
      <c r="O72" s="38"/>
      <c r="P72" s="56"/>
      <c r="Q72" s="56"/>
      <c r="S72" s="67"/>
      <c r="T72" s="67"/>
    </row>
    <row r="73" spans="2:22" x14ac:dyDescent="0.3">
      <c r="B73" t="s">
        <v>54</v>
      </c>
      <c r="C73" s="19" t="s">
        <v>85</v>
      </c>
      <c r="D73" s="4"/>
      <c r="G73" s="24">
        <v>1900</v>
      </c>
      <c r="I73" s="24">
        <v>1900</v>
      </c>
      <c r="M73" s="42"/>
      <c r="N73" s="43"/>
      <c r="O73" s="38"/>
      <c r="P73" s="56"/>
      <c r="Q73" s="56"/>
      <c r="S73" s="67"/>
      <c r="T73" s="67"/>
    </row>
    <row r="74" spans="2:22" x14ac:dyDescent="0.3">
      <c r="B74" t="s">
        <v>55</v>
      </c>
      <c r="C74" s="19" t="s">
        <v>85</v>
      </c>
      <c r="D74" s="4"/>
      <c r="G74" s="24">
        <f>+(7.5*7*600)+10000</f>
        <v>41500</v>
      </c>
      <c r="I74" s="24">
        <f>+(7.5*7*600)+10000</f>
        <v>41500</v>
      </c>
      <c r="M74" s="42"/>
      <c r="N74" s="43"/>
      <c r="O74" s="38"/>
      <c r="P74" s="56"/>
      <c r="Q74" s="56"/>
      <c r="S74" s="67"/>
      <c r="T74" s="67"/>
    </row>
    <row r="75" spans="2:22" x14ac:dyDescent="0.3">
      <c r="B75" t="s">
        <v>76</v>
      </c>
      <c r="C75" s="19" t="s">
        <v>85</v>
      </c>
      <c r="D75" s="4"/>
      <c r="G75" s="24">
        <f>9000+3000</f>
        <v>12000</v>
      </c>
      <c r="I75" s="24">
        <f>9000+3000</f>
        <v>12000</v>
      </c>
      <c r="M75" s="42"/>
      <c r="N75" s="43"/>
      <c r="O75" s="38"/>
      <c r="P75" s="56"/>
      <c r="Q75" s="56"/>
      <c r="S75" s="67"/>
      <c r="T75" s="67"/>
    </row>
    <row r="76" spans="2:22" x14ac:dyDescent="0.3">
      <c r="C76" s="4"/>
      <c r="D76" s="4"/>
      <c r="E76" s="9"/>
      <c r="M76" s="42"/>
      <c r="N76" s="43"/>
      <c r="O76" s="38"/>
      <c r="P76" s="56"/>
      <c r="Q76" s="56"/>
      <c r="S76" s="67"/>
      <c r="T76" s="67"/>
    </row>
    <row r="77" spans="2:22" x14ac:dyDescent="0.3">
      <c r="B77" s="3" t="s">
        <v>35</v>
      </c>
      <c r="C77" s="20"/>
      <c r="D77" s="3"/>
      <c r="E77" s="3"/>
      <c r="F77" s="3"/>
      <c r="G77" s="5"/>
      <c r="H77" s="3"/>
      <c r="K77" s="5">
        <f>SUM(I78:I83)</f>
        <v>38517</v>
      </c>
      <c r="M77" s="42">
        <v>0.3</v>
      </c>
      <c r="N77" s="43">
        <f>K77*M77</f>
        <v>11555.1</v>
      </c>
      <c r="O77" s="38"/>
      <c r="P77" s="57">
        <v>0.3</v>
      </c>
      <c r="Q77" s="56">
        <f>K77*P77</f>
        <v>11555.1</v>
      </c>
      <c r="S77" s="68">
        <v>0.6</v>
      </c>
      <c r="T77" s="67">
        <f>K77*S77</f>
        <v>23110.2</v>
      </c>
    </row>
    <row r="78" spans="2:22" x14ac:dyDescent="0.3">
      <c r="B78" t="s">
        <v>108</v>
      </c>
      <c r="C78" s="19" t="s">
        <v>85</v>
      </c>
      <c r="G78" s="24">
        <v>27500</v>
      </c>
      <c r="H78" s="16">
        <v>0.11</v>
      </c>
      <c r="I78" s="4">
        <f>G78*H78+G78</f>
        <v>30525</v>
      </c>
      <c r="M78" s="42"/>
      <c r="N78" s="43"/>
      <c r="O78" s="38"/>
      <c r="P78" s="56"/>
      <c r="Q78" s="56"/>
      <c r="S78" s="67"/>
      <c r="T78" s="67"/>
    </row>
    <row r="79" spans="2:22" x14ac:dyDescent="0.3">
      <c r="B79" s="10" t="s">
        <v>113</v>
      </c>
      <c r="C79" s="19" t="s">
        <v>85</v>
      </c>
      <c r="G79" s="24"/>
      <c r="H79" s="16"/>
      <c r="I79" s="29">
        <v>0</v>
      </c>
      <c r="M79" s="42"/>
      <c r="N79" s="43"/>
      <c r="O79" s="38"/>
      <c r="P79" s="56"/>
      <c r="Q79" s="56"/>
      <c r="S79" s="67"/>
      <c r="T79" s="67"/>
    </row>
    <row r="80" spans="2:22" x14ac:dyDescent="0.3">
      <c r="B80" t="s">
        <v>109</v>
      </c>
      <c r="C80" s="19" t="s">
        <v>85</v>
      </c>
      <c r="G80" s="24">
        <v>2400</v>
      </c>
      <c r="H80" s="16">
        <v>0.11</v>
      </c>
      <c r="I80" s="4">
        <f>G80*H80+G80</f>
        <v>2664</v>
      </c>
      <c r="M80" s="42"/>
      <c r="N80" s="43"/>
      <c r="O80" s="38"/>
      <c r="P80" s="56"/>
      <c r="Q80" s="56"/>
      <c r="S80" s="67"/>
      <c r="T80" s="67"/>
    </row>
    <row r="81" spans="2:20" x14ac:dyDescent="0.3">
      <c r="B81" t="s">
        <v>110</v>
      </c>
      <c r="C81" s="19" t="s">
        <v>85</v>
      </c>
      <c r="G81" s="24">
        <v>1000</v>
      </c>
      <c r="H81" s="16">
        <v>0.11</v>
      </c>
      <c r="I81" s="4">
        <f>G81*H81+G81</f>
        <v>1110</v>
      </c>
      <c r="M81" s="42"/>
      <c r="N81" s="43"/>
      <c r="O81" s="38"/>
      <c r="P81" s="56"/>
      <c r="Q81" s="56"/>
      <c r="S81" s="67"/>
      <c r="T81" s="67"/>
    </row>
    <row r="82" spans="2:20" x14ac:dyDescent="0.3">
      <c r="B82" t="s">
        <v>111</v>
      </c>
      <c r="C82" s="19" t="s">
        <v>85</v>
      </c>
      <c r="G82" s="24">
        <v>800</v>
      </c>
      <c r="H82" s="16">
        <v>0.11</v>
      </c>
      <c r="I82" s="4">
        <f>G82*H82+G82</f>
        <v>888</v>
      </c>
      <c r="M82" s="42"/>
      <c r="N82" s="43"/>
      <c r="O82" s="38"/>
      <c r="P82" s="56"/>
      <c r="Q82" s="56"/>
      <c r="S82" s="67"/>
      <c r="T82" s="67"/>
    </row>
    <row r="83" spans="2:20" x14ac:dyDescent="0.3">
      <c r="B83" t="s">
        <v>112</v>
      </c>
      <c r="C83" s="19" t="s">
        <v>85</v>
      </c>
      <c r="G83" s="24">
        <v>3000</v>
      </c>
      <c r="H83" s="16">
        <v>0.11</v>
      </c>
      <c r="I83" s="4">
        <f>G83*H83+G83</f>
        <v>3330</v>
      </c>
      <c r="M83" s="42"/>
      <c r="N83" s="43"/>
      <c r="O83" s="38"/>
      <c r="P83" s="56"/>
      <c r="Q83" s="56"/>
      <c r="S83" s="67"/>
      <c r="T83" s="67"/>
    </row>
    <row r="84" spans="2:20" x14ac:dyDescent="0.3">
      <c r="G84" s="25"/>
      <c r="M84" s="42"/>
      <c r="N84" s="43"/>
      <c r="O84" s="38"/>
      <c r="P84" s="56"/>
      <c r="Q84" s="56"/>
      <c r="S84" s="67"/>
      <c r="T84" s="67"/>
    </row>
    <row r="85" spans="2:20" x14ac:dyDescent="0.3">
      <c r="B85" s="3" t="s">
        <v>63</v>
      </c>
      <c r="C85" s="20"/>
      <c r="D85" s="3"/>
      <c r="E85" s="3"/>
      <c r="F85" s="3"/>
      <c r="G85" s="4">
        <v>71000</v>
      </c>
      <c r="H85" s="16">
        <v>0.11</v>
      </c>
      <c r="I85" s="4">
        <f>G85*H85+G85</f>
        <v>78810</v>
      </c>
      <c r="K85" s="5">
        <f>SUM(I85:I89)</f>
        <v>78810</v>
      </c>
      <c r="M85" s="42">
        <v>0.05</v>
      </c>
      <c r="N85" s="43">
        <f>K85*M85</f>
        <v>3940.5</v>
      </c>
      <c r="O85" s="38"/>
      <c r="P85" s="57">
        <v>0.75</v>
      </c>
      <c r="Q85" s="56">
        <f>K85*P85</f>
        <v>59107.5</v>
      </c>
      <c r="S85" s="68">
        <v>0.75</v>
      </c>
      <c r="T85" s="67">
        <f>K85*S85</f>
        <v>59107.5</v>
      </c>
    </row>
    <row r="86" spans="2:20" x14ac:dyDescent="0.3">
      <c r="B86" t="s">
        <v>57</v>
      </c>
      <c r="C86" s="19" t="s">
        <v>131</v>
      </c>
      <c r="M86" s="42"/>
      <c r="N86" s="43"/>
      <c r="O86" s="38"/>
      <c r="P86" s="56"/>
      <c r="Q86" s="56"/>
      <c r="S86" s="67"/>
      <c r="T86" s="67"/>
    </row>
    <row r="87" spans="2:20" x14ac:dyDescent="0.3">
      <c r="B87" t="s">
        <v>58</v>
      </c>
      <c r="C87" s="19" t="s">
        <v>131</v>
      </c>
      <c r="M87" s="42"/>
      <c r="N87" s="43"/>
      <c r="O87" s="38"/>
      <c r="P87" s="56"/>
      <c r="Q87" s="56"/>
      <c r="S87" s="67"/>
      <c r="T87" s="67"/>
    </row>
    <row r="88" spans="2:20" x14ac:dyDescent="0.3">
      <c r="B88" t="s">
        <v>120</v>
      </c>
      <c r="C88" s="19" t="s">
        <v>131</v>
      </c>
      <c r="M88" s="42"/>
      <c r="N88" s="43"/>
      <c r="O88" s="38"/>
      <c r="P88" s="56"/>
      <c r="Q88" s="56"/>
      <c r="S88" s="67"/>
      <c r="T88" s="67"/>
    </row>
    <row r="89" spans="2:20" x14ac:dyDescent="0.3">
      <c r="B89" t="s">
        <v>60</v>
      </c>
      <c r="C89" s="19" t="s">
        <v>131</v>
      </c>
      <c r="M89" s="42"/>
      <c r="N89" s="43"/>
      <c r="O89" s="38"/>
      <c r="P89" s="56"/>
      <c r="Q89" s="56"/>
      <c r="S89" s="67"/>
      <c r="T89" s="67"/>
    </row>
    <row r="90" spans="2:20" x14ac:dyDescent="0.3">
      <c r="B90" t="s">
        <v>61</v>
      </c>
      <c r="C90" s="19" t="s">
        <v>131</v>
      </c>
      <c r="M90" s="42"/>
      <c r="N90" s="43"/>
      <c r="O90" s="38"/>
      <c r="P90" s="56"/>
      <c r="Q90" s="56"/>
      <c r="S90" s="67"/>
      <c r="T90" s="67"/>
    </row>
    <row r="91" spans="2:20" x14ac:dyDescent="0.3">
      <c r="B91" t="s">
        <v>62</v>
      </c>
      <c r="C91" s="19" t="s">
        <v>131</v>
      </c>
      <c r="M91" s="42"/>
      <c r="N91" s="43"/>
      <c r="O91" s="38"/>
      <c r="P91" s="56"/>
      <c r="Q91" s="56"/>
      <c r="S91" s="67"/>
      <c r="T91" s="67"/>
    </row>
    <row r="92" spans="2:20" x14ac:dyDescent="0.3">
      <c r="B92" t="s">
        <v>121</v>
      </c>
      <c r="C92" s="19" t="s">
        <v>131</v>
      </c>
      <c r="M92" s="42"/>
      <c r="N92" s="43"/>
      <c r="O92" s="38"/>
      <c r="P92" s="56"/>
      <c r="Q92" s="56"/>
      <c r="S92" s="67"/>
      <c r="T92" s="67"/>
    </row>
    <row r="93" spans="2:20" x14ac:dyDescent="0.3">
      <c r="M93" s="42"/>
      <c r="N93" s="43"/>
      <c r="O93" s="38"/>
      <c r="P93" s="56"/>
      <c r="Q93" s="56"/>
      <c r="S93" s="67"/>
      <c r="T93" s="67"/>
    </row>
    <row r="94" spans="2:20" x14ac:dyDescent="0.3">
      <c r="B94" s="3" t="s">
        <v>64</v>
      </c>
      <c r="D94" s="3"/>
      <c r="E94" s="3"/>
      <c r="F94" s="3"/>
      <c r="G94" s="4">
        <v>76000</v>
      </c>
      <c r="H94" s="16">
        <v>0.11</v>
      </c>
      <c r="I94" s="4">
        <f>G94*H94+G94</f>
        <v>84360</v>
      </c>
      <c r="K94" s="5">
        <f>SUM(I94:I98)</f>
        <v>84360</v>
      </c>
      <c r="M94" s="42">
        <v>0</v>
      </c>
      <c r="N94" s="43">
        <f>K94*M94</f>
        <v>0</v>
      </c>
      <c r="O94" s="38"/>
      <c r="P94" s="57">
        <v>0</v>
      </c>
      <c r="Q94" s="56">
        <f>K94*P94</f>
        <v>0</v>
      </c>
      <c r="S94" s="68">
        <v>0.8</v>
      </c>
      <c r="T94" s="67">
        <f>K94*S94</f>
        <v>67488</v>
      </c>
    </row>
    <row r="95" spans="2:20" x14ac:dyDescent="0.3">
      <c r="B95" t="s">
        <v>124</v>
      </c>
      <c r="C95" s="19" t="s">
        <v>132</v>
      </c>
      <c r="M95" s="42"/>
      <c r="N95" s="43"/>
      <c r="O95" s="38"/>
      <c r="P95" s="56"/>
      <c r="Q95" s="56"/>
      <c r="S95" s="67"/>
      <c r="T95" s="67"/>
    </row>
    <row r="96" spans="2:20" x14ac:dyDescent="0.3">
      <c r="B96" t="s">
        <v>66</v>
      </c>
      <c r="C96" s="19" t="s">
        <v>132</v>
      </c>
      <c r="M96" s="42"/>
      <c r="N96" s="43"/>
      <c r="O96" s="38"/>
      <c r="P96" s="56"/>
      <c r="Q96" s="56"/>
      <c r="S96" s="67"/>
      <c r="T96" s="67"/>
    </row>
    <row r="97" spans="2:20" x14ac:dyDescent="0.3">
      <c r="B97" t="s">
        <v>125</v>
      </c>
      <c r="C97" s="19" t="s">
        <v>132</v>
      </c>
      <c r="M97" s="42"/>
      <c r="N97" s="43"/>
      <c r="O97" s="38"/>
      <c r="P97" s="56"/>
      <c r="Q97" s="56"/>
      <c r="S97" s="67"/>
      <c r="T97" s="67"/>
    </row>
    <row r="98" spans="2:20" x14ac:dyDescent="0.3">
      <c r="M98" s="42"/>
      <c r="N98" s="43"/>
      <c r="O98" s="38"/>
      <c r="P98" s="56"/>
      <c r="Q98" s="56"/>
      <c r="S98" s="67"/>
      <c r="T98" s="67"/>
    </row>
    <row r="99" spans="2:20" ht="12.6" customHeight="1" x14ac:dyDescent="0.3">
      <c r="J99" s="6" t="s">
        <v>70</v>
      </c>
      <c r="K99" s="4">
        <f>SUM(K7:K98)</f>
        <v>639933.25</v>
      </c>
      <c r="M99" s="42"/>
      <c r="N99" s="43"/>
      <c r="P99" s="58"/>
      <c r="Q99" s="58"/>
      <c r="S99" s="69"/>
      <c r="T99" s="69"/>
    </row>
    <row r="100" spans="2:20" x14ac:dyDescent="0.3">
      <c r="J100" s="6" t="s">
        <v>71</v>
      </c>
      <c r="K100" s="4">
        <f>K99/100*25</f>
        <v>159983.3125</v>
      </c>
      <c r="M100" s="44" t="s">
        <v>158</v>
      </c>
      <c r="N100" s="43">
        <f>SUM(N7:N98)</f>
        <v>158517</v>
      </c>
      <c r="O100" s="38"/>
      <c r="P100" s="56" t="s">
        <v>169</v>
      </c>
      <c r="Q100" s="56">
        <f>SUM(Q7:Q98)</f>
        <v>365974.5</v>
      </c>
      <c r="S100" s="70" t="s">
        <v>169</v>
      </c>
      <c r="T100" s="67">
        <f>SUM(T7:T98)</f>
        <v>525521.23750000005</v>
      </c>
    </row>
    <row r="101" spans="2:20" ht="14.25" customHeight="1" x14ac:dyDescent="0.3">
      <c r="J101" s="28" t="s">
        <v>118</v>
      </c>
      <c r="K101" s="29">
        <v>-25000</v>
      </c>
      <c r="M101" s="45" t="s">
        <v>71</v>
      </c>
      <c r="N101" s="43">
        <f>N100/100*25</f>
        <v>39629.25</v>
      </c>
      <c r="O101" s="38"/>
      <c r="P101" s="61" t="s">
        <v>158</v>
      </c>
      <c r="Q101" s="60">
        <f>-N100</f>
        <v>-158517</v>
      </c>
      <c r="S101" s="71" t="s">
        <v>158</v>
      </c>
      <c r="T101" s="67">
        <f>-N100</f>
        <v>-158517</v>
      </c>
    </row>
    <row r="102" spans="2:20" ht="15" thickBot="1" x14ac:dyDescent="0.35">
      <c r="C102" s="30"/>
      <c r="D102" s="31"/>
      <c r="E102" s="31"/>
      <c r="F102" s="31"/>
      <c r="G102" s="32"/>
      <c r="H102" s="31"/>
      <c r="I102" s="32"/>
      <c r="J102" s="33" t="s">
        <v>72</v>
      </c>
      <c r="K102" s="34">
        <f>SUM(K99:K101)</f>
        <v>774916.5625</v>
      </c>
      <c r="M102" s="49" t="s">
        <v>158</v>
      </c>
      <c r="N102" s="46">
        <f>SUM(N100:N101)</f>
        <v>198146.25</v>
      </c>
      <c r="O102" s="53"/>
      <c r="P102" s="59"/>
      <c r="Q102" s="56">
        <f>SUM(Q100:Q101)</f>
        <v>207457.5</v>
      </c>
      <c r="S102" s="71" t="s">
        <v>170</v>
      </c>
      <c r="T102" s="72">
        <f>-Q102</f>
        <v>-207457.5</v>
      </c>
    </row>
    <row r="103" spans="2:20" ht="15" thickTop="1" x14ac:dyDescent="0.3">
      <c r="P103" s="62" t="s">
        <v>71</v>
      </c>
      <c r="Q103" s="56">
        <f>Q102/100*25</f>
        <v>51864.374999999993</v>
      </c>
      <c r="S103" s="71" t="s">
        <v>178</v>
      </c>
      <c r="T103" s="67">
        <f>SUM(T100:T102)</f>
        <v>159546.73750000005</v>
      </c>
    </row>
    <row r="104" spans="2:20" ht="15" thickBot="1" x14ac:dyDescent="0.35">
      <c r="M104" s="50" t="s">
        <v>159</v>
      </c>
      <c r="N104" s="51">
        <f>K102-N102</f>
        <v>576770.3125</v>
      </c>
      <c r="O104" s="51"/>
      <c r="P104" s="63" t="s">
        <v>170</v>
      </c>
      <c r="Q104" s="64">
        <f>SUM(Q102:Q103)</f>
        <v>259321.875</v>
      </c>
      <c r="S104" s="70" t="s">
        <v>71</v>
      </c>
      <c r="T104" s="67">
        <f>T103/100*25</f>
        <v>39886.684375000012</v>
      </c>
    </row>
    <row r="105" spans="2:20" ht="15.6" thickTop="1" thickBot="1" x14ac:dyDescent="0.35">
      <c r="G105"/>
      <c r="S105" s="73" t="s">
        <v>170</v>
      </c>
      <c r="T105" s="74">
        <f>SUM(T103:T104)</f>
        <v>199433.42187500006</v>
      </c>
    </row>
    <row r="106" spans="2:20" ht="15" thickTop="1" x14ac:dyDescent="0.3">
      <c r="G106"/>
      <c r="P106" s="50" t="s">
        <v>159</v>
      </c>
      <c r="Q106" s="51">
        <f>K102-(N102+Q104)</f>
        <v>317448.4375</v>
      </c>
    </row>
    <row r="107" spans="2:20" x14ac:dyDescent="0.3">
      <c r="S107" s="50" t="s">
        <v>159</v>
      </c>
      <c r="T107" s="51">
        <f>K102-(N102+Q104+T105)</f>
        <v>118015.015625</v>
      </c>
    </row>
    <row r="110" spans="2:20" x14ac:dyDescent="0.3">
      <c r="T110" s="4">
        <f>94412*1.25</f>
        <v>118015</v>
      </c>
    </row>
  </sheetData>
  <pageMargins left="0.7" right="0.7" top="0.75" bottom="0.75" header="0.3" footer="0.3"/>
  <pageSetup paperSize="8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BEDF-22D8-482F-B8F0-5218BFBC78E6}">
  <sheetPr>
    <pageSetUpPr fitToPage="1"/>
  </sheetPr>
  <dimension ref="A1:J52"/>
  <sheetViews>
    <sheetView workbookViewId="0">
      <selection activeCell="N30" sqref="N30"/>
    </sheetView>
  </sheetViews>
  <sheetFormatPr defaultRowHeight="14.4" x14ac:dyDescent="0.3"/>
  <cols>
    <col min="1" max="1" width="5" customWidth="1"/>
    <col min="2" max="2" width="76.6640625" customWidth="1"/>
    <col min="3" max="3" width="6.6640625" customWidth="1"/>
    <col min="4" max="4" width="10.33203125" customWidth="1"/>
    <col min="5" max="5" width="9.33203125" customWidth="1"/>
    <col min="6" max="6" width="35" customWidth="1"/>
    <col min="10" max="10" width="9.109375" style="19"/>
  </cols>
  <sheetData>
    <row r="1" spans="1:6" ht="21.6" thickBot="1" x14ac:dyDescent="0.45">
      <c r="A1" s="35" t="s">
        <v>161</v>
      </c>
      <c r="B1" s="36"/>
      <c r="C1" s="36"/>
      <c r="D1" s="36"/>
      <c r="E1" s="37"/>
      <c r="F1" s="36"/>
    </row>
    <row r="2" spans="1:6" x14ac:dyDescent="0.3">
      <c r="A2" s="19"/>
      <c r="E2" s="19"/>
    </row>
    <row r="3" spans="1:6" x14ac:dyDescent="0.3">
      <c r="A3" s="19"/>
      <c r="E3" s="19"/>
      <c r="F3" t="s">
        <v>134</v>
      </c>
    </row>
    <row r="4" spans="1:6" x14ac:dyDescent="0.3">
      <c r="A4" s="19">
        <v>1</v>
      </c>
      <c r="B4" t="s">
        <v>135</v>
      </c>
      <c r="D4" s="40">
        <f>7543*0.8</f>
        <v>6034.4000000000005</v>
      </c>
      <c r="E4" s="19" t="s">
        <v>133</v>
      </c>
      <c r="F4" s="27" t="s">
        <v>136</v>
      </c>
    </row>
    <row r="5" spans="1:6" x14ac:dyDescent="0.3">
      <c r="A5" s="19"/>
      <c r="E5" s="19"/>
    </row>
    <row r="6" spans="1:6" x14ac:dyDescent="0.3">
      <c r="A6" s="19">
        <v>2</v>
      </c>
      <c r="B6" t="s">
        <v>142</v>
      </c>
      <c r="D6" s="4">
        <v>20275</v>
      </c>
      <c r="E6" s="19" t="s">
        <v>133</v>
      </c>
      <c r="F6" s="27" t="s">
        <v>145</v>
      </c>
    </row>
    <row r="7" spans="1:6" x14ac:dyDescent="0.3">
      <c r="A7" s="19"/>
      <c r="D7" s="4"/>
      <c r="E7" s="19"/>
    </row>
    <row r="8" spans="1:6" x14ac:dyDescent="0.3">
      <c r="A8" s="19">
        <v>3</v>
      </c>
      <c r="B8" t="s">
        <v>143</v>
      </c>
      <c r="D8" s="4">
        <v>6500</v>
      </c>
      <c r="E8" s="19" t="s">
        <v>133</v>
      </c>
      <c r="F8" s="27" t="s">
        <v>144</v>
      </c>
    </row>
    <row r="9" spans="1:6" x14ac:dyDescent="0.3">
      <c r="A9" s="19"/>
      <c r="D9" s="4"/>
      <c r="E9" s="19"/>
    </row>
    <row r="10" spans="1:6" x14ac:dyDescent="0.3">
      <c r="A10" s="19">
        <v>4</v>
      </c>
      <c r="B10" t="s">
        <v>148</v>
      </c>
      <c r="D10" s="4">
        <f>600*1.5*2</f>
        <v>1800</v>
      </c>
      <c r="E10" s="19" t="s">
        <v>133</v>
      </c>
      <c r="F10" s="27" t="s">
        <v>146</v>
      </c>
    </row>
    <row r="11" spans="1:6" x14ac:dyDescent="0.3">
      <c r="A11" s="19"/>
      <c r="D11" s="4"/>
      <c r="E11" s="19"/>
    </row>
    <row r="12" spans="1:6" x14ac:dyDescent="0.3">
      <c r="A12" s="19">
        <v>5</v>
      </c>
      <c r="B12" t="s">
        <v>147</v>
      </c>
      <c r="D12" s="4">
        <v>5500</v>
      </c>
      <c r="E12" s="19" t="s">
        <v>133</v>
      </c>
      <c r="F12" s="27" t="s">
        <v>153</v>
      </c>
    </row>
    <row r="13" spans="1:6" x14ac:dyDescent="0.3">
      <c r="A13" s="19"/>
      <c r="C13" s="38"/>
      <c r="D13" s="4"/>
      <c r="E13" s="19"/>
    </row>
    <row r="14" spans="1:6" x14ac:dyDescent="0.3">
      <c r="A14" s="19">
        <v>6</v>
      </c>
      <c r="B14" t="s">
        <v>149</v>
      </c>
      <c r="D14" s="4">
        <v>0</v>
      </c>
      <c r="E14" s="19" t="s">
        <v>133</v>
      </c>
      <c r="F14" s="27" t="s">
        <v>150</v>
      </c>
    </row>
    <row r="15" spans="1:6" x14ac:dyDescent="0.3">
      <c r="A15" s="19"/>
    </row>
    <row r="16" spans="1:6" x14ac:dyDescent="0.3">
      <c r="A16" s="19">
        <v>7</v>
      </c>
      <c r="B16" t="s">
        <v>151</v>
      </c>
      <c r="D16" s="4">
        <v>3500</v>
      </c>
      <c r="E16" s="19" t="s">
        <v>133</v>
      </c>
      <c r="F16" s="27" t="s">
        <v>153</v>
      </c>
    </row>
    <row r="17" spans="1:6" x14ac:dyDescent="0.3">
      <c r="A17" s="19"/>
    </row>
    <row r="18" spans="1:6" x14ac:dyDescent="0.3">
      <c r="A18" s="19">
        <v>8</v>
      </c>
      <c r="B18" t="s">
        <v>152</v>
      </c>
      <c r="D18" s="4">
        <v>0</v>
      </c>
      <c r="E18" s="19" t="s">
        <v>133</v>
      </c>
      <c r="F18" s="27" t="s">
        <v>150</v>
      </c>
    </row>
    <row r="19" spans="1:6" x14ac:dyDescent="0.3">
      <c r="A19" s="19"/>
    </row>
    <row r="20" spans="1:6" x14ac:dyDescent="0.3">
      <c r="A20" s="19">
        <v>10</v>
      </c>
      <c r="B20" t="s">
        <v>154</v>
      </c>
      <c r="D20" s="4">
        <f>520*7+800</f>
        <v>4440</v>
      </c>
      <c r="E20" s="19" t="s">
        <v>133</v>
      </c>
      <c r="F20" s="27" t="s">
        <v>167</v>
      </c>
    </row>
    <row r="21" spans="1:6" x14ac:dyDescent="0.3">
      <c r="A21" s="19"/>
    </row>
    <row r="22" spans="1:6" x14ac:dyDescent="0.3">
      <c r="A22" s="19">
        <v>11</v>
      </c>
      <c r="B22" t="s">
        <v>155</v>
      </c>
      <c r="D22" s="4">
        <v>10545</v>
      </c>
      <c r="E22" s="19" t="s">
        <v>133</v>
      </c>
      <c r="F22" s="27" t="s">
        <v>160</v>
      </c>
    </row>
    <row r="23" spans="1:6" x14ac:dyDescent="0.3">
      <c r="A23" s="19"/>
      <c r="D23" s="39"/>
    </row>
    <row r="24" spans="1:6" x14ac:dyDescent="0.3">
      <c r="A24" s="26">
        <v>12</v>
      </c>
      <c r="B24" s="10" t="s">
        <v>166</v>
      </c>
      <c r="D24" s="4">
        <v>-25000</v>
      </c>
      <c r="E24" s="19" t="s">
        <v>133</v>
      </c>
      <c r="F24" s="27" t="s">
        <v>162</v>
      </c>
    </row>
    <row r="25" spans="1:6" x14ac:dyDescent="0.3">
      <c r="A25" s="19"/>
      <c r="D25" s="39"/>
    </row>
    <row r="26" spans="1:6" x14ac:dyDescent="0.3">
      <c r="A26" s="26">
        <v>13</v>
      </c>
      <c r="B26" s="10" t="s">
        <v>163</v>
      </c>
      <c r="D26" s="4">
        <v>-10000</v>
      </c>
      <c r="E26" s="19" t="s">
        <v>133</v>
      </c>
      <c r="F26" s="27" t="s">
        <v>162</v>
      </c>
    </row>
    <row r="27" spans="1:6" x14ac:dyDescent="0.3">
      <c r="A27" s="19"/>
      <c r="D27" s="39"/>
    </row>
    <row r="28" spans="1:6" x14ac:dyDescent="0.3">
      <c r="A28" s="26">
        <v>14</v>
      </c>
      <c r="B28" s="10" t="s">
        <v>164</v>
      </c>
      <c r="D28" s="4">
        <v>-20000</v>
      </c>
      <c r="E28" s="19" t="s">
        <v>133</v>
      </c>
      <c r="F28" s="27" t="s">
        <v>162</v>
      </c>
    </row>
    <row r="29" spans="1:6" x14ac:dyDescent="0.3">
      <c r="A29" s="19"/>
      <c r="D29" s="39"/>
    </row>
    <row r="30" spans="1:6" x14ac:dyDescent="0.3">
      <c r="A30" s="26">
        <v>15</v>
      </c>
      <c r="B30" s="10" t="s">
        <v>128</v>
      </c>
      <c r="D30" s="4">
        <v>-15000</v>
      </c>
      <c r="E30" s="19" t="s">
        <v>133</v>
      </c>
      <c r="F30" s="27" t="s">
        <v>162</v>
      </c>
    </row>
    <row r="31" spans="1:6" x14ac:dyDescent="0.3">
      <c r="A31" s="19"/>
      <c r="D31" s="39"/>
    </row>
    <row r="32" spans="1:6" x14ac:dyDescent="0.3">
      <c r="A32" s="19">
        <v>16</v>
      </c>
      <c r="B32" t="s">
        <v>171</v>
      </c>
      <c r="D32" s="4">
        <v>4473</v>
      </c>
      <c r="E32" s="19" t="s">
        <v>133</v>
      </c>
      <c r="F32" s="27" t="s">
        <v>173</v>
      </c>
    </row>
    <row r="33" spans="1:6" x14ac:dyDescent="0.3">
      <c r="A33" s="19"/>
      <c r="D33" s="4"/>
    </row>
    <row r="34" spans="1:6" x14ac:dyDescent="0.3">
      <c r="A34" s="19">
        <v>17</v>
      </c>
      <c r="B34" t="s">
        <v>172</v>
      </c>
      <c r="D34" s="4">
        <v>963</v>
      </c>
      <c r="E34" s="19" t="s">
        <v>133</v>
      </c>
      <c r="F34" s="27" t="s">
        <v>173</v>
      </c>
    </row>
    <row r="35" spans="1:6" x14ac:dyDescent="0.3">
      <c r="A35" s="19"/>
      <c r="D35" s="4"/>
    </row>
    <row r="36" spans="1:6" x14ac:dyDescent="0.3">
      <c r="A36" s="19">
        <v>18</v>
      </c>
      <c r="B36" t="s">
        <v>174</v>
      </c>
      <c r="D36" s="4">
        <v>8835</v>
      </c>
      <c r="E36" s="19" t="s">
        <v>133</v>
      </c>
      <c r="F36" s="27" t="s">
        <v>175</v>
      </c>
    </row>
    <row r="37" spans="1:6" x14ac:dyDescent="0.3">
      <c r="D37" s="4"/>
    </row>
    <row r="38" spans="1:6" x14ac:dyDescent="0.3">
      <c r="A38" s="19">
        <v>19</v>
      </c>
      <c r="B38" t="s">
        <v>176</v>
      </c>
      <c r="D38" s="4">
        <v>910</v>
      </c>
      <c r="E38" s="19" t="s">
        <v>133</v>
      </c>
      <c r="F38" s="27" t="s">
        <v>175</v>
      </c>
    </row>
    <row r="40" spans="1:6" x14ac:dyDescent="0.3">
      <c r="A40" s="19">
        <v>20</v>
      </c>
      <c r="B40" t="s">
        <v>179</v>
      </c>
      <c r="D40" s="4">
        <f>(4*450)+500</f>
        <v>2300</v>
      </c>
      <c r="E40" s="19" t="s">
        <v>133</v>
      </c>
      <c r="F40" s="27" t="s">
        <v>180</v>
      </c>
    </row>
    <row r="42" spans="1:6" x14ac:dyDescent="0.3">
      <c r="A42" s="19">
        <v>21</v>
      </c>
      <c r="B42" s="77" t="s">
        <v>184</v>
      </c>
      <c r="D42" s="4">
        <f>3*550</f>
        <v>1650</v>
      </c>
      <c r="E42" s="19" t="s">
        <v>133</v>
      </c>
      <c r="F42" s="27" t="s">
        <v>187</v>
      </c>
    </row>
    <row r="43" spans="1:6" x14ac:dyDescent="0.3">
      <c r="A43" s="19"/>
      <c r="B43" s="77"/>
      <c r="D43" s="4"/>
    </row>
    <row r="44" spans="1:6" x14ac:dyDescent="0.3">
      <c r="A44" s="19">
        <v>22</v>
      </c>
      <c r="B44" s="10" t="s">
        <v>183</v>
      </c>
      <c r="D44" s="4">
        <v>0</v>
      </c>
      <c r="E44" s="19" t="s">
        <v>133</v>
      </c>
      <c r="F44" s="27" t="s">
        <v>205</v>
      </c>
    </row>
    <row r="45" spans="1:6" x14ac:dyDescent="0.3">
      <c r="A45" s="19"/>
      <c r="B45" s="10"/>
    </row>
    <row r="46" spans="1:6" x14ac:dyDescent="0.3">
      <c r="A46" s="19">
        <v>23</v>
      </c>
      <c r="B46" s="77" t="s">
        <v>186</v>
      </c>
      <c r="D46" s="4">
        <f>3500*1.11</f>
        <v>3885.0000000000005</v>
      </c>
      <c r="E46" s="19" t="s">
        <v>133</v>
      </c>
      <c r="F46" s="27" t="s">
        <v>185</v>
      </c>
    </row>
    <row r="48" spans="1:6" x14ac:dyDescent="0.3">
      <c r="A48" s="19">
        <v>24</v>
      </c>
      <c r="B48" t="s">
        <v>188</v>
      </c>
      <c r="D48" s="4">
        <f>(550*10)+600</f>
        <v>6100</v>
      </c>
      <c r="E48" s="19" t="s">
        <v>133</v>
      </c>
      <c r="F48" s="27" t="s">
        <v>189</v>
      </c>
    </row>
    <row r="49" spans="1:5" x14ac:dyDescent="0.3">
      <c r="D49" s="4"/>
    </row>
    <row r="50" spans="1:5" x14ac:dyDescent="0.3">
      <c r="A50" s="19">
        <v>25</v>
      </c>
      <c r="B50" t="s">
        <v>204</v>
      </c>
      <c r="D50" s="4">
        <v>850</v>
      </c>
      <c r="E50" s="19" t="s">
        <v>133</v>
      </c>
    </row>
    <row r="51" spans="1:5" x14ac:dyDescent="0.3">
      <c r="D51" s="4"/>
    </row>
    <row r="52" spans="1:5" x14ac:dyDescent="0.3">
      <c r="C52" s="52" t="s">
        <v>165</v>
      </c>
      <c r="D52" s="5">
        <f>SUM(D4:D50)</f>
        <v>18560.400000000001</v>
      </c>
      <c r="E52" s="20" t="s">
        <v>133</v>
      </c>
    </row>
  </sheetData>
  <pageMargins left="0.7" right="0.7" top="0.75" bottom="0.75" header="0.3" footer="0.3"/>
  <pageSetup paperSize="9"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3D7E-79D8-4132-8F57-AE2B3C7B8F45}">
  <sheetPr>
    <pageSetUpPr fitToPage="1"/>
  </sheetPr>
  <dimension ref="B2:M103"/>
  <sheetViews>
    <sheetView topLeftCell="A42" zoomScale="120" zoomScaleNormal="120" workbookViewId="0">
      <selection activeCell="H108" sqref="H108"/>
    </sheetView>
  </sheetViews>
  <sheetFormatPr defaultRowHeight="14.4" x14ac:dyDescent="0.3"/>
  <cols>
    <col min="2" max="2" width="62.88671875" customWidth="1"/>
    <col min="3" max="3" width="9.109375" style="19" customWidth="1"/>
    <col min="4" max="4" width="12.33203125" customWidth="1"/>
    <col min="5" max="5" width="8.33203125" customWidth="1"/>
    <col min="6" max="6" width="10.6640625" customWidth="1"/>
    <col min="7" max="7" width="8.33203125" style="4" customWidth="1"/>
    <col min="8" max="8" width="8.33203125" customWidth="1"/>
    <col min="9" max="9" width="9.109375" style="4"/>
    <col min="10" max="10" width="3.109375" style="4" customWidth="1"/>
    <col min="12" max="12" width="4.44140625" customWidth="1"/>
    <col min="13" max="13" width="24.88671875" customWidth="1"/>
  </cols>
  <sheetData>
    <row r="2" spans="2:13" ht="18" x14ac:dyDescent="0.35">
      <c r="B2" s="1"/>
      <c r="C2" s="17"/>
      <c r="D2" s="1"/>
      <c r="E2" s="1"/>
      <c r="F2" s="1"/>
      <c r="G2" s="21"/>
      <c r="H2" s="1"/>
    </row>
    <row r="3" spans="2:13" ht="21" x14ac:dyDescent="0.4">
      <c r="B3" s="2" t="s">
        <v>1</v>
      </c>
      <c r="C3" s="18"/>
      <c r="D3" s="2"/>
      <c r="E3" s="2"/>
      <c r="F3" s="2"/>
      <c r="G3" s="22"/>
      <c r="H3" s="2"/>
    </row>
    <row r="4" spans="2:13" x14ac:dyDescent="0.3">
      <c r="B4" t="s">
        <v>119</v>
      </c>
    </row>
    <row r="5" spans="2:13" ht="15" thickBot="1" x14ac:dyDescent="0.35">
      <c r="C5" s="13" t="s">
        <v>78</v>
      </c>
      <c r="D5" s="13" t="s">
        <v>79</v>
      </c>
      <c r="E5" s="13" t="s">
        <v>80</v>
      </c>
      <c r="F5" s="14" t="s">
        <v>81</v>
      </c>
      <c r="G5" s="14" t="s">
        <v>82</v>
      </c>
      <c r="H5" s="15" t="s">
        <v>83</v>
      </c>
      <c r="I5" s="14" t="s">
        <v>84</v>
      </c>
      <c r="J5"/>
      <c r="K5" s="14" t="s">
        <v>84</v>
      </c>
      <c r="M5" s="23" t="s">
        <v>86</v>
      </c>
    </row>
    <row r="7" spans="2:13" x14ac:dyDescent="0.3">
      <c r="B7" s="3" t="s">
        <v>6</v>
      </c>
      <c r="C7" s="20"/>
      <c r="D7" s="3"/>
      <c r="E7" s="3"/>
      <c r="F7" s="3"/>
      <c r="G7" s="5"/>
      <c r="H7" s="3"/>
      <c r="K7" s="5">
        <f>SUM(I8:I10)</f>
        <v>16550</v>
      </c>
    </row>
    <row r="8" spans="2:13" x14ac:dyDescent="0.3">
      <c r="B8" t="s">
        <v>7</v>
      </c>
      <c r="C8" s="19" t="s">
        <v>85</v>
      </c>
      <c r="G8" s="4">
        <v>5000</v>
      </c>
      <c r="I8" s="4">
        <v>5000</v>
      </c>
    </row>
    <row r="9" spans="2:13" x14ac:dyDescent="0.3">
      <c r="B9" t="s">
        <v>8</v>
      </c>
      <c r="C9" s="19" t="s">
        <v>85</v>
      </c>
      <c r="G9" s="4">
        <v>3500</v>
      </c>
      <c r="I9" s="4">
        <v>3500</v>
      </c>
    </row>
    <row r="10" spans="2:13" x14ac:dyDescent="0.3">
      <c r="B10" t="s">
        <v>9</v>
      </c>
      <c r="C10" s="19" t="s">
        <v>85</v>
      </c>
      <c r="G10" s="4">
        <v>7000</v>
      </c>
      <c r="H10" s="16">
        <v>0.15</v>
      </c>
      <c r="I10" s="4">
        <f>G10*H10+G10</f>
        <v>8050</v>
      </c>
    </row>
    <row r="12" spans="2:13" x14ac:dyDescent="0.3">
      <c r="B12" s="3" t="s">
        <v>4</v>
      </c>
      <c r="C12" s="20"/>
      <c r="D12" s="3"/>
      <c r="E12" s="3"/>
      <c r="F12" s="3"/>
      <c r="G12" s="5"/>
      <c r="H12" s="3"/>
      <c r="K12" s="5">
        <f>SUM(I13:I16)</f>
        <v>20900</v>
      </c>
    </row>
    <row r="13" spans="2:13" x14ac:dyDescent="0.3">
      <c r="B13" t="s">
        <v>5</v>
      </c>
      <c r="C13" s="19" t="s">
        <v>85</v>
      </c>
      <c r="D13">
        <v>8</v>
      </c>
      <c r="E13">
        <v>550</v>
      </c>
      <c r="F13">
        <v>0</v>
      </c>
      <c r="G13" s="4">
        <f>(D13*E13)+F13</f>
        <v>4400</v>
      </c>
      <c r="H13" s="16"/>
      <c r="I13" s="4">
        <f>G13*H13+G13</f>
        <v>4400</v>
      </c>
    </row>
    <row r="14" spans="2:13" x14ac:dyDescent="0.3">
      <c r="B14" t="s">
        <v>10</v>
      </c>
      <c r="C14" s="19" t="s">
        <v>85</v>
      </c>
      <c r="D14">
        <v>11</v>
      </c>
      <c r="E14">
        <v>550</v>
      </c>
      <c r="F14">
        <v>0</v>
      </c>
      <c r="G14" s="4">
        <f>(D14*E14)+F14</f>
        <v>6050</v>
      </c>
      <c r="H14" s="16"/>
      <c r="I14" s="4">
        <f>G14*H14+G14</f>
        <v>6050</v>
      </c>
    </row>
    <row r="15" spans="2:13" x14ac:dyDescent="0.3">
      <c r="B15" t="s">
        <v>25</v>
      </c>
      <c r="C15" s="19" t="s">
        <v>85</v>
      </c>
      <c r="D15">
        <v>4</v>
      </c>
      <c r="E15">
        <v>550</v>
      </c>
      <c r="F15">
        <v>0</v>
      </c>
      <c r="G15" s="4">
        <f>(D15*E15)+F15</f>
        <v>2200</v>
      </c>
      <c r="H15" s="16"/>
      <c r="I15" s="4">
        <f>G15*H15+G15</f>
        <v>2200</v>
      </c>
    </row>
    <row r="16" spans="2:13" x14ac:dyDescent="0.3">
      <c r="B16" t="s">
        <v>34</v>
      </c>
      <c r="C16" s="19" t="s">
        <v>85</v>
      </c>
      <c r="D16">
        <v>15</v>
      </c>
      <c r="E16">
        <v>550</v>
      </c>
      <c r="F16">
        <v>0</v>
      </c>
      <c r="G16" s="4">
        <f>(D16*E16)+F16</f>
        <v>8250</v>
      </c>
      <c r="H16" s="16"/>
      <c r="I16" s="4">
        <f>G16*H16+G16</f>
        <v>8250</v>
      </c>
    </row>
    <row r="18" spans="2:11" x14ac:dyDescent="0.3">
      <c r="B18" s="3" t="s">
        <v>2</v>
      </c>
      <c r="C18" s="20"/>
      <c r="D18" s="3"/>
      <c r="E18" s="3"/>
      <c r="F18" s="3"/>
      <c r="G18" s="5"/>
      <c r="H18" s="3"/>
      <c r="K18" s="5">
        <f>SUM(I19:I32)</f>
        <v>87000</v>
      </c>
    </row>
    <row r="19" spans="2:11" x14ac:dyDescent="0.3">
      <c r="B19" t="s">
        <v>14</v>
      </c>
      <c r="C19" s="19" t="s">
        <v>85</v>
      </c>
      <c r="G19" s="4">
        <v>18000</v>
      </c>
      <c r="I19" s="4">
        <v>18000</v>
      </c>
    </row>
    <row r="20" spans="2:11" x14ac:dyDescent="0.3">
      <c r="B20" t="s">
        <v>3</v>
      </c>
      <c r="C20" s="19" t="s">
        <v>85</v>
      </c>
      <c r="G20" s="4">
        <v>7000</v>
      </c>
      <c r="I20" s="4">
        <v>7000</v>
      </c>
    </row>
    <row r="21" spans="2:11" x14ac:dyDescent="0.3">
      <c r="B21" t="s">
        <v>87</v>
      </c>
      <c r="C21" s="19" t="s">
        <v>85</v>
      </c>
      <c r="G21" s="4">
        <v>4500</v>
      </c>
      <c r="I21" s="4">
        <v>4500</v>
      </c>
    </row>
    <row r="22" spans="2:11" x14ac:dyDescent="0.3">
      <c r="B22" t="s">
        <v>16</v>
      </c>
      <c r="C22" s="19" t="s">
        <v>85</v>
      </c>
      <c r="G22" s="4">
        <v>4500</v>
      </c>
      <c r="I22" s="4">
        <v>4500</v>
      </c>
    </row>
    <row r="23" spans="2:11" x14ac:dyDescent="0.3">
      <c r="B23" t="s">
        <v>11</v>
      </c>
      <c r="C23" s="19" t="s">
        <v>85</v>
      </c>
      <c r="G23" s="4">
        <v>2000</v>
      </c>
      <c r="I23" s="4">
        <v>2000</v>
      </c>
    </row>
    <row r="24" spans="2:11" x14ac:dyDescent="0.3">
      <c r="B24" t="s">
        <v>12</v>
      </c>
      <c r="C24" s="19" t="s">
        <v>85</v>
      </c>
      <c r="G24" s="4">
        <v>4000</v>
      </c>
      <c r="I24" s="4">
        <v>4000</v>
      </c>
    </row>
    <row r="25" spans="2:11" x14ac:dyDescent="0.3">
      <c r="B25" t="s">
        <v>13</v>
      </c>
      <c r="C25" s="19" t="s">
        <v>85</v>
      </c>
      <c r="G25" s="4">
        <v>2500</v>
      </c>
      <c r="I25" s="4">
        <v>2500</v>
      </c>
    </row>
    <row r="26" spans="2:11" x14ac:dyDescent="0.3">
      <c r="B26" t="s">
        <v>17</v>
      </c>
      <c r="C26" s="19" t="s">
        <v>85</v>
      </c>
      <c r="G26" s="4">
        <v>5000</v>
      </c>
      <c r="I26" s="4">
        <v>5000</v>
      </c>
    </row>
    <row r="27" spans="2:11" x14ac:dyDescent="0.3">
      <c r="B27" t="s">
        <v>19</v>
      </c>
      <c r="C27" s="19" t="s">
        <v>85</v>
      </c>
      <c r="G27" s="4">
        <v>10000</v>
      </c>
      <c r="I27" s="4">
        <v>10000</v>
      </c>
    </row>
    <row r="28" spans="2:11" x14ac:dyDescent="0.3">
      <c r="B28" t="s">
        <v>26</v>
      </c>
      <c r="C28" s="19" t="s">
        <v>85</v>
      </c>
      <c r="G28" s="4">
        <v>6000</v>
      </c>
      <c r="I28" s="4">
        <v>6000</v>
      </c>
    </row>
    <row r="29" spans="2:11" x14ac:dyDescent="0.3">
      <c r="B29" t="s">
        <v>27</v>
      </c>
      <c r="C29" s="19" t="s">
        <v>85</v>
      </c>
      <c r="G29" s="4">
        <v>9000</v>
      </c>
      <c r="I29" s="4">
        <v>9000</v>
      </c>
    </row>
    <row r="30" spans="2:11" x14ac:dyDescent="0.3">
      <c r="B30" t="s">
        <v>28</v>
      </c>
      <c r="C30" s="19" t="s">
        <v>85</v>
      </c>
      <c r="G30" s="4">
        <v>3500</v>
      </c>
      <c r="I30" s="4">
        <v>3500</v>
      </c>
    </row>
    <row r="31" spans="2:11" x14ac:dyDescent="0.3">
      <c r="B31" t="s">
        <v>88</v>
      </c>
      <c r="C31" s="19" t="s">
        <v>85</v>
      </c>
      <c r="G31" s="4">
        <v>7000</v>
      </c>
      <c r="I31" s="4">
        <v>7000</v>
      </c>
    </row>
    <row r="32" spans="2:11" x14ac:dyDescent="0.3">
      <c r="B32" t="s">
        <v>37</v>
      </c>
      <c r="C32" s="19" t="s">
        <v>85</v>
      </c>
      <c r="G32" s="4">
        <v>4000</v>
      </c>
      <c r="I32" s="4">
        <v>4000</v>
      </c>
    </row>
    <row r="34" spans="2:13" x14ac:dyDescent="0.3">
      <c r="B34" s="3" t="s">
        <v>22</v>
      </c>
      <c r="C34" s="20"/>
      <c r="D34" s="3"/>
      <c r="E34" s="3"/>
      <c r="F34" s="3"/>
      <c r="G34" s="5"/>
      <c r="H34" s="3"/>
      <c r="K34" s="5">
        <f>SUM(I35:I42)</f>
        <v>29411.25</v>
      </c>
      <c r="M34" s="27" t="s">
        <v>115</v>
      </c>
    </row>
    <row r="35" spans="2:13" x14ac:dyDescent="0.3">
      <c r="B35" t="s">
        <v>89</v>
      </c>
      <c r="C35" s="19" t="s">
        <v>114</v>
      </c>
      <c r="D35" s="3"/>
      <c r="E35" s="3"/>
      <c r="F35" s="3"/>
      <c r="G35" s="4">
        <v>2730</v>
      </c>
      <c r="H35" s="16">
        <v>0.15</v>
      </c>
      <c r="I35" s="4">
        <f>G35*H35+G35</f>
        <v>3139.5</v>
      </c>
    </row>
    <row r="36" spans="2:13" x14ac:dyDescent="0.3">
      <c r="B36" t="s">
        <v>90</v>
      </c>
      <c r="C36" s="19" t="s">
        <v>114</v>
      </c>
      <c r="D36" s="3"/>
      <c r="E36" s="3"/>
      <c r="F36" s="3"/>
      <c r="G36" s="4">
        <v>6090</v>
      </c>
      <c r="H36" s="16">
        <v>0.15</v>
      </c>
      <c r="I36" s="4">
        <f>G36*H36+G36</f>
        <v>7003.5</v>
      </c>
    </row>
    <row r="37" spans="2:13" x14ac:dyDescent="0.3">
      <c r="B37" t="s">
        <v>91</v>
      </c>
      <c r="C37" s="19" t="s">
        <v>114</v>
      </c>
    </row>
    <row r="38" spans="2:13" x14ac:dyDescent="0.3">
      <c r="B38" t="s">
        <v>92</v>
      </c>
      <c r="C38" s="19" t="s">
        <v>114</v>
      </c>
      <c r="G38" s="4">
        <v>3575</v>
      </c>
      <c r="H38" s="16">
        <v>0.15</v>
      </c>
      <c r="I38" s="4">
        <f>G38*H38+G38</f>
        <v>4111.25</v>
      </c>
    </row>
    <row r="39" spans="2:13" x14ac:dyDescent="0.3">
      <c r="H39" s="16"/>
    </row>
    <row r="40" spans="2:13" x14ac:dyDescent="0.3">
      <c r="B40" t="s">
        <v>93</v>
      </c>
      <c r="C40" s="19" t="s">
        <v>114</v>
      </c>
      <c r="G40" s="4">
        <v>8680</v>
      </c>
      <c r="H40" s="16">
        <v>0.15</v>
      </c>
      <c r="I40" s="4">
        <f>G40*H40+G40</f>
        <v>9982</v>
      </c>
    </row>
    <row r="41" spans="2:13" x14ac:dyDescent="0.3">
      <c r="B41" t="s">
        <v>94</v>
      </c>
      <c r="C41" s="19" t="s">
        <v>114</v>
      </c>
      <c r="G41" s="4">
        <v>2625</v>
      </c>
      <c r="H41" s="16">
        <v>0.15</v>
      </c>
      <c r="I41" s="4">
        <f>G41*H41+G41</f>
        <v>3018.75</v>
      </c>
    </row>
    <row r="42" spans="2:13" x14ac:dyDescent="0.3">
      <c r="B42" t="s">
        <v>95</v>
      </c>
      <c r="C42" s="19" t="s">
        <v>114</v>
      </c>
      <c r="G42" s="4">
        <v>1875</v>
      </c>
      <c r="H42" s="16">
        <v>0.15</v>
      </c>
      <c r="I42" s="4">
        <f>G42*H42+G42</f>
        <v>2156.25</v>
      </c>
    </row>
    <row r="44" spans="2:13" x14ac:dyDescent="0.3">
      <c r="B44" s="3" t="s">
        <v>18</v>
      </c>
      <c r="C44" s="20"/>
      <c r="D44" s="3"/>
      <c r="F44" s="3"/>
      <c r="G44" s="5"/>
      <c r="H44" s="3"/>
      <c r="K44" s="5">
        <f>SUM(I45:I48)</f>
        <v>13225</v>
      </c>
    </row>
    <row r="45" spans="2:13" x14ac:dyDescent="0.3">
      <c r="B45" s="10" t="s">
        <v>39</v>
      </c>
      <c r="G45" s="4">
        <v>0</v>
      </c>
      <c r="I45" s="29">
        <v>0</v>
      </c>
    </row>
    <row r="46" spans="2:13" x14ac:dyDescent="0.3">
      <c r="B46" t="s">
        <v>126</v>
      </c>
      <c r="C46" s="19" t="s">
        <v>85</v>
      </c>
      <c r="G46" s="4">
        <v>10000</v>
      </c>
      <c r="H46" s="16">
        <v>0.15</v>
      </c>
      <c r="I46" s="4">
        <f>G46*H46+G46</f>
        <v>11500</v>
      </c>
    </row>
    <row r="47" spans="2:13" x14ac:dyDescent="0.3">
      <c r="B47" t="s">
        <v>127</v>
      </c>
      <c r="C47" s="19" t="s">
        <v>85</v>
      </c>
      <c r="G47" s="4">
        <v>1500</v>
      </c>
      <c r="H47" s="16">
        <v>0.15</v>
      </c>
      <c r="I47" s="4">
        <f>G47*H47+G47</f>
        <v>1725</v>
      </c>
    </row>
    <row r="48" spans="2:13" x14ac:dyDescent="0.3">
      <c r="B48" s="10" t="s">
        <v>123</v>
      </c>
      <c r="G48" s="4">
        <v>8000</v>
      </c>
      <c r="H48" s="16">
        <v>0.15</v>
      </c>
      <c r="I48" s="29">
        <v>0</v>
      </c>
    </row>
    <row r="50" spans="2:11" x14ac:dyDescent="0.3">
      <c r="B50" s="3" t="s">
        <v>96</v>
      </c>
      <c r="C50" s="20"/>
      <c r="D50" s="3"/>
      <c r="E50" s="3"/>
      <c r="F50" s="3"/>
      <c r="G50" s="5"/>
      <c r="H50" s="3"/>
      <c r="K50" s="5">
        <f>SUM(I51:I55)</f>
        <v>143750</v>
      </c>
    </row>
    <row r="51" spans="2:11" x14ac:dyDescent="0.3">
      <c r="B51" t="s">
        <v>128</v>
      </c>
      <c r="G51" s="4">
        <v>15000</v>
      </c>
      <c r="H51" s="16">
        <v>0.15</v>
      </c>
      <c r="I51" s="4">
        <f>G51*H51+G51</f>
        <v>17250</v>
      </c>
    </row>
    <row r="52" spans="2:11" x14ac:dyDescent="0.3">
      <c r="B52" t="s">
        <v>97</v>
      </c>
      <c r="G52" s="4">
        <v>45000</v>
      </c>
      <c r="H52" s="16">
        <v>0.15</v>
      </c>
      <c r="I52" s="4">
        <f t="shared" ref="I52:I54" si="0">G52*H52+G52</f>
        <v>51750</v>
      </c>
    </row>
    <row r="53" spans="2:11" x14ac:dyDescent="0.3">
      <c r="B53" t="s">
        <v>98</v>
      </c>
      <c r="G53" s="4">
        <v>25000</v>
      </c>
      <c r="H53" s="16">
        <v>0.15</v>
      </c>
      <c r="I53" s="4">
        <f t="shared" si="0"/>
        <v>28750</v>
      </c>
    </row>
    <row r="54" spans="2:11" x14ac:dyDescent="0.3">
      <c r="B54" t="s">
        <v>99</v>
      </c>
      <c r="G54" s="4">
        <v>20000</v>
      </c>
      <c r="H54" s="16">
        <v>0.15</v>
      </c>
      <c r="I54" s="4">
        <f t="shared" si="0"/>
        <v>23000</v>
      </c>
    </row>
    <row r="55" spans="2:11" x14ac:dyDescent="0.3">
      <c r="B55" t="s">
        <v>100</v>
      </c>
      <c r="G55" s="4">
        <v>20000</v>
      </c>
      <c r="H55" s="16">
        <v>0.15</v>
      </c>
      <c r="I55" s="4">
        <f>G55*H55+G55</f>
        <v>23000</v>
      </c>
    </row>
    <row r="57" spans="2:11" x14ac:dyDescent="0.3">
      <c r="B57" s="3" t="s">
        <v>41</v>
      </c>
      <c r="C57" s="20"/>
      <c r="D57" s="3"/>
      <c r="E57" s="3"/>
      <c r="F57" s="3"/>
      <c r="G57" s="5"/>
      <c r="H57" s="3"/>
      <c r="K57" s="5">
        <f>SUM(I58:I67)</f>
        <v>52535</v>
      </c>
    </row>
    <row r="58" spans="2:11" x14ac:dyDescent="0.3">
      <c r="B58" t="s">
        <v>101</v>
      </c>
      <c r="C58" s="19" t="s">
        <v>85</v>
      </c>
      <c r="D58">
        <v>6</v>
      </c>
      <c r="E58">
        <v>550</v>
      </c>
      <c r="F58">
        <v>1500</v>
      </c>
      <c r="G58" s="4">
        <f t="shared" ref="G58:G63" si="1">(D58*E58)+F58</f>
        <v>4800</v>
      </c>
      <c r="H58" s="16"/>
      <c r="I58" s="4">
        <f>G58*H58+G58</f>
        <v>4800</v>
      </c>
      <c r="K58" s="5"/>
    </row>
    <row r="59" spans="2:11" x14ac:dyDescent="0.3">
      <c r="B59" t="s">
        <v>102</v>
      </c>
      <c r="C59" s="19" t="s">
        <v>85</v>
      </c>
      <c r="D59">
        <v>4</v>
      </c>
      <c r="E59">
        <v>550</v>
      </c>
      <c r="F59">
        <v>400</v>
      </c>
      <c r="G59" s="4">
        <f t="shared" si="1"/>
        <v>2600</v>
      </c>
      <c r="H59" s="16"/>
      <c r="I59" s="4">
        <f t="shared" ref="I59:I63" si="2">G59*H59+G59</f>
        <v>2600</v>
      </c>
      <c r="K59" s="5"/>
    </row>
    <row r="60" spans="2:11" x14ac:dyDescent="0.3">
      <c r="B60" t="s">
        <v>42</v>
      </c>
      <c r="C60" s="19" t="s">
        <v>85</v>
      </c>
      <c r="D60">
        <v>8</v>
      </c>
      <c r="E60">
        <v>550</v>
      </c>
      <c r="F60">
        <v>2400</v>
      </c>
      <c r="G60" s="4">
        <f t="shared" si="1"/>
        <v>6800</v>
      </c>
      <c r="H60" s="16"/>
      <c r="I60" s="4">
        <f t="shared" si="2"/>
        <v>6800</v>
      </c>
    </row>
    <row r="61" spans="2:11" x14ac:dyDescent="0.3">
      <c r="B61" t="s">
        <v>104</v>
      </c>
      <c r="C61" s="19" t="s">
        <v>85</v>
      </c>
      <c r="D61">
        <v>15</v>
      </c>
      <c r="E61">
        <v>550</v>
      </c>
      <c r="F61">
        <v>800</v>
      </c>
      <c r="G61" s="4">
        <f t="shared" si="1"/>
        <v>9050</v>
      </c>
      <c r="H61" s="16"/>
      <c r="I61" s="4">
        <f t="shared" si="2"/>
        <v>9050</v>
      </c>
    </row>
    <row r="62" spans="2:11" x14ac:dyDescent="0.3">
      <c r="B62" t="s">
        <v>105</v>
      </c>
      <c r="C62" s="19" t="s">
        <v>85</v>
      </c>
      <c r="D62">
        <v>21</v>
      </c>
      <c r="E62">
        <v>550</v>
      </c>
      <c r="F62">
        <v>800</v>
      </c>
      <c r="G62" s="4">
        <f t="shared" si="1"/>
        <v>12350</v>
      </c>
      <c r="H62" s="16"/>
      <c r="I62" s="4">
        <f t="shared" si="2"/>
        <v>12350</v>
      </c>
    </row>
    <row r="63" spans="2:11" x14ac:dyDescent="0.3">
      <c r="B63" t="s">
        <v>106</v>
      </c>
      <c r="D63">
        <f>10+8+5</f>
        <v>23</v>
      </c>
      <c r="E63">
        <v>300</v>
      </c>
      <c r="G63" s="4">
        <f t="shared" si="1"/>
        <v>6900</v>
      </c>
      <c r="H63" s="16">
        <v>0.15</v>
      </c>
      <c r="I63" s="4">
        <f t="shared" si="2"/>
        <v>7935</v>
      </c>
    </row>
    <row r="64" spans="2:11" x14ac:dyDescent="0.3">
      <c r="B64" t="s">
        <v>103</v>
      </c>
      <c r="G64" s="4">
        <v>3000</v>
      </c>
      <c r="I64" s="4">
        <v>3000</v>
      </c>
    </row>
    <row r="66" spans="2:11" x14ac:dyDescent="0.3">
      <c r="B66" t="s">
        <v>43</v>
      </c>
      <c r="C66" s="19" t="s">
        <v>85</v>
      </c>
      <c r="D66">
        <v>8</v>
      </c>
      <c r="E66">
        <v>550</v>
      </c>
      <c r="F66">
        <v>0</v>
      </c>
      <c r="G66" s="4">
        <f>(D66*E66)+F66</f>
        <v>4400</v>
      </c>
      <c r="I66" s="4">
        <v>3000</v>
      </c>
    </row>
    <row r="67" spans="2:11" x14ac:dyDescent="0.3">
      <c r="B67" t="s">
        <v>44</v>
      </c>
      <c r="C67" s="19" t="s">
        <v>85</v>
      </c>
      <c r="D67">
        <v>8</v>
      </c>
      <c r="E67">
        <v>550</v>
      </c>
      <c r="F67">
        <v>0</v>
      </c>
      <c r="G67" s="4">
        <f>(D67*E67)+F67</f>
        <v>4400</v>
      </c>
      <c r="I67" s="4">
        <v>3000</v>
      </c>
    </row>
    <row r="69" spans="2:11" x14ac:dyDescent="0.3">
      <c r="B69" s="3" t="s">
        <v>20</v>
      </c>
      <c r="C69" s="20"/>
      <c r="D69" s="3"/>
      <c r="E69" s="3"/>
      <c r="F69" s="3"/>
      <c r="G69" s="5"/>
      <c r="H69" s="3"/>
      <c r="K69" s="5">
        <f>SUM(I70:I75)</f>
        <v>82914</v>
      </c>
    </row>
    <row r="70" spans="2:11" x14ac:dyDescent="0.3">
      <c r="B70" t="s">
        <v>73</v>
      </c>
      <c r="C70" s="20"/>
      <c r="D70" s="5"/>
      <c r="G70" s="24">
        <f>7.5*600</f>
        <v>4500</v>
      </c>
      <c r="I70" s="24">
        <f>7.5*600</f>
        <v>4500</v>
      </c>
    </row>
    <row r="71" spans="2:11" x14ac:dyDescent="0.3">
      <c r="B71" t="s">
        <v>21</v>
      </c>
      <c r="C71" s="20"/>
      <c r="D71" s="4"/>
      <c r="G71" s="24">
        <v>6500</v>
      </c>
      <c r="I71" s="24">
        <v>6500</v>
      </c>
    </row>
    <row r="72" spans="2:11" x14ac:dyDescent="0.3">
      <c r="B72" t="s">
        <v>107</v>
      </c>
      <c r="C72" s="20"/>
      <c r="D72" s="4"/>
      <c r="G72" s="24">
        <f>400+200+50+50+(2345*1.2)+(15*600)+(4000)</f>
        <v>16514</v>
      </c>
      <c r="I72" s="24">
        <f>400+200+50+50+(2345*1.2)+(15*600)+(4000)</f>
        <v>16514</v>
      </c>
    </row>
    <row r="73" spans="2:11" x14ac:dyDescent="0.3">
      <c r="B73" t="s">
        <v>54</v>
      </c>
      <c r="C73" s="20"/>
      <c r="D73" s="4"/>
      <c r="G73" s="24">
        <v>1900</v>
      </c>
      <c r="I73" s="24">
        <v>1900</v>
      </c>
    </row>
    <row r="74" spans="2:11" x14ac:dyDescent="0.3">
      <c r="B74" t="s">
        <v>55</v>
      </c>
      <c r="C74" s="20"/>
      <c r="D74" s="4"/>
      <c r="G74" s="24">
        <f>+(7.5*7*600)+10000</f>
        <v>41500</v>
      </c>
      <c r="I74" s="24">
        <f>+(7.5*7*600)+10000</f>
        <v>41500</v>
      </c>
    </row>
    <row r="75" spans="2:11" x14ac:dyDescent="0.3">
      <c r="B75" t="s">
        <v>76</v>
      </c>
      <c r="C75" s="4"/>
      <c r="D75" s="4"/>
      <c r="G75" s="24">
        <f>9000+3000</f>
        <v>12000</v>
      </c>
      <c r="I75" s="24">
        <f>9000+3000</f>
        <v>12000</v>
      </c>
    </row>
    <row r="76" spans="2:11" x14ac:dyDescent="0.3">
      <c r="C76" s="4"/>
      <c r="D76" s="4"/>
      <c r="E76" s="9"/>
    </row>
    <row r="77" spans="2:11" x14ac:dyDescent="0.3">
      <c r="B77" s="3" t="s">
        <v>35</v>
      </c>
      <c r="C77" s="20"/>
      <c r="D77" s="3"/>
      <c r="E77" s="3"/>
      <c r="F77" s="3"/>
      <c r="G77" s="5"/>
      <c r="H77" s="3"/>
      <c r="K77" s="5">
        <f>SUM(I78:I83)</f>
        <v>39905</v>
      </c>
    </row>
    <row r="78" spans="2:11" x14ac:dyDescent="0.3">
      <c r="B78" t="s">
        <v>108</v>
      </c>
      <c r="G78" s="24">
        <v>27500</v>
      </c>
      <c r="H78" s="16">
        <v>0.15</v>
      </c>
      <c r="I78" s="4">
        <f>G78*H78+G78</f>
        <v>31625</v>
      </c>
    </row>
    <row r="79" spans="2:11" x14ac:dyDescent="0.3">
      <c r="B79" s="10" t="s">
        <v>113</v>
      </c>
      <c r="C79" s="26"/>
      <c r="G79" s="24"/>
      <c r="H79" s="16"/>
      <c r="I79" s="29">
        <v>0</v>
      </c>
    </row>
    <row r="80" spans="2:11" x14ac:dyDescent="0.3">
      <c r="B80" t="s">
        <v>109</v>
      </c>
      <c r="G80" s="24">
        <v>2400</v>
      </c>
      <c r="H80" s="16">
        <v>0.15</v>
      </c>
      <c r="I80" s="4">
        <f>G80*H80+G80</f>
        <v>2760</v>
      </c>
    </row>
    <row r="81" spans="2:13" x14ac:dyDescent="0.3">
      <c r="B81" t="s">
        <v>110</v>
      </c>
      <c r="G81" s="24">
        <v>1000</v>
      </c>
      <c r="H81" s="16">
        <v>0.15</v>
      </c>
      <c r="I81" s="4">
        <f>G81*H81+G81</f>
        <v>1150</v>
      </c>
    </row>
    <row r="82" spans="2:13" x14ac:dyDescent="0.3">
      <c r="B82" t="s">
        <v>111</v>
      </c>
      <c r="G82" s="24">
        <v>800</v>
      </c>
      <c r="H82" s="16">
        <v>0.15</v>
      </c>
      <c r="I82" s="4">
        <f>G82*H82+G82</f>
        <v>920</v>
      </c>
    </row>
    <row r="83" spans="2:13" x14ac:dyDescent="0.3">
      <c r="B83" t="s">
        <v>112</v>
      </c>
      <c r="G83" s="24">
        <v>3000</v>
      </c>
      <c r="H83" s="16">
        <v>0.15</v>
      </c>
      <c r="I83" s="4">
        <f>G83*H83+G83</f>
        <v>3450</v>
      </c>
    </row>
    <row r="84" spans="2:13" x14ac:dyDescent="0.3">
      <c r="G84" s="25"/>
    </row>
    <row r="85" spans="2:13" x14ac:dyDescent="0.3">
      <c r="B85" s="3" t="s">
        <v>63</v>
      </c>
      <c r="C85" s="20"/>
      <c r="D85" s="3"/>
      <c r="E85" s="3"/>
      <c r="F85" s="3"/>
      <c r="G85" s="4">
        <v>71000</v>
      </c>
      <c r="H85" s="16">
        <v>0.15</v>
      </c>
      <c r="I85" s="4">
        <f>G85*H85+G85</f>
        <v>81650</v>
      </c>
      <c r="K85" s="5">
        <f>SUM(I85:I89)</f>
        <v>81650</v>
      </c>
      <c r="M85" s="27" t="s">
        <v>117</v>
      </c>
    </row>
    <row r="86" spans="2:13" x14ac:dyDescent="0.3">
      <c r="B86" t="s">
        <v>57</v>
      </c>
    </row>
    <row r="87" spans="2:13" x14ac:dyDescent="0.3">
      <c r="B87" t="s">
        <v>58</v>
      </c>
    </row>
    <row r="88" spans="2:13" x14ac:dyDescent="0.3">
      <c r="B88" t="s">
        <v>120</v>
      </c>
    </row>
    <row r="89" spans="2:13" x14ac:dyDescent="0.3">
      <c r="B89" t="s">
        <v>60</v>
      </c>
    </row>
    <row r="90" spans="2:13" x14ac:dyDescent="0.3">
      <c r="B90" t="s">
        <v>61</v>
      </c>
    </row>
    <row r="91" spans="2:13" x14ac:dyDescent="0.3">
      <c r="B91" t="s">
        <v>62</v>
      </c>
    </row>
    <row r="92" spans="2:13" x14ac:dyDescent="0.3">
      <c r="B92" t="s">
        <v>121</v>
      </c>
    </row>
    <row r="94" spans="2:13" x14ac:dyDescent="0.3">
      <c r="B94" s="3" t="s">
        <v>64</v>
      </c>
      <c r="C94" s="20"/>
      <c r="D94" s="3"/>
      <c r="E94" s="3"/>
      <c r="F94" s="3"/>
      <c r="G94" s="4">
        <v>76000</v>
      </c>
      <c r="H94" s="16">
        <v>0.15</v>
      </c>
      <c r="I94" s="4">
        <f>G94*H94+G94</f>
        <v>87400</v>
      </c>
      <c r="K94" s="5">
        <f>SUM(I94:I98)</f>
        <v>87400</v>
      </c>
      <c r="M94" s="27" t="s">
        <v>116</v>
      </c>
    </row>
    <row r="95" spans="2:13" x14ac:dyDescent="0.3">
      <c r="B95" t="s">
        <v>124</v>
      </c>
    </row>
    <row r="96" spans="2:13" x14ac:dyDescent="0.3">
      <c r="B96" t="s">
        <v>66</v>
      </c>
    </row>
    <row r="97" spans="2:13" x14ac:dyDescent="0.3">
      <c r="B97" t="s">
        <v>125</v>
      </c>
    </row>
    <row r="99" spans="2:13" ht="12.6" customHeight="1" x14ac:dyDescent="0.3">
      <c r="J99" s="6" t="s">
        <v>70</v>
      </c>
      <c r="K99" s="4">
        <f>SUM(K7:K98)</f>
        <v>655240.25</v>
      </c>
    </row>
    <row r="100" spans="2:13" x14ac:dyDescent="0.3">
      <c r="J100" s="6" t="s">
        <v>71</v>
      </c>
      <c r="K100" s="4">
        <f>K99/100*25</f>
        <v>163810.0625</v>
      </c>
    </row>
    <row r="101" spans="2:13" ht="14.25" customHeight="1" x14ac:dyDescent="0.3">
      <c r="J101" s="28" t="s">
        <v>118</v>
      </c>
      <c r="K101" s="29">
        <v>-25000</v>
      </c>
    </row>
    <row r="102" spans="2:13" ht="15" thickBot="1" x14ac:dyDescent="0.35">
      <c r="C102" s="30"/>
      <c r="D102" s="31"/>
      <c r="E102" s="31"/>
      <c r="F102" s="31"/>
      <c r="G102" s="32"/>
      <c r="H102" s="31"/>
      <c r="I102" s="32"/>
      <c r="J102" s="33" t="s">
        <v>72</v>
      </c>
      <c r="K102" s="34">
        <f>SUM(K99:K101)</f>
        <v>794050.3125</v>
      </c>
      <c r="M102" t="s">
        <v>122</v>
      </c>
    </row>
    <row r="103" spans="2:13" ht="15" thickTop="1" x14ac:dyDescent="0.3"/>
  </sheetData>
  <pageMargins left="0.7" right="0.7" top="0.75" bottom="0.75" header="0.3" footer="0.3"/>
  <pageSetup paperSize="9" scale="4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D791-A892-494F-8CC1-F013528FCDC2}">
  <dimension ref="B5:F92"/>
  <sheetViews>
    <sheetView topLeftCell="A21" zoomScale="120" zoomScaleNormal="120" workbookViewId="0">
      <selection activeCell="C10" sqref="C10:D92"/>
    </sheetView>
  </sheetViews>
  <sheetFormatPr defaultRowHeight="14.4" x14ac:dyDescent="0.3"/>
  <cols>
    <col min="2" max="2" width="53.33203125" customWidth="1"/>
    <col min="3" max="4" width="8.88671875" style="4"/>
  </cols>
  <sheetData>
    <row r="5" spans="2:4" ht="18" x14ac:dyDescent="0.35">
      <c r="B5" s="1" t="s">
        <v>0</v>
      </c>
    </row>
    <row r="6" spans="2:4" ht="21" x14ac:dyDescent="0.4">
      <c r="B6" s="2" t="s">
        <v>1</v>
      </c>
    </row>
    <row r="8" spans="2:4" x14ac:dyDescent="0.3">
      <c r="B8" t="s">
        <v>74</v>
      </c>
    </row>
    <row r="10" spans="2:4" x14ac:dyDescent="0.3">
      <c r="B10" s="3" t="s">
        <v>6</v>
      </c>
      <c r="D10" s="5">
        <f>SUM(C11:C13)</f>
        <v>19500</v>
      </c>
    </row>
    <row r="11" spans="2:4" x14ac:dyDescent="0.3">
      <c r="B11" t="s">
        <v>7</v>
      </c>
      <c r="C11" s="4">
        <v>8000</v>
      </c>
    </row>
    <row r="12" spans="2:4" x14ac:dyDescent="0.3">
      <c r="B12" t="s">
        <v>8</v>
      </c>
      <c r="C12" s="4">
        <v>3500</v>
      </c>
    </row>
    <row r="13" spans="2:4" x14ac:dyDescent="0.3">
      <c r="B13" t="s">
        <v>9</v>
      </c>
      <c r="C13" s="4">
        <v>8000</v>
      </c>
    </row>
    <row r="15" spans="2:4" x14ac:dyDescent="0.3">
      <c r="B15" s="3" t="s">
        <v>4</v>
      </c>
      <c r="D15" s="5">
        <f>SUM(C16:C19)</f>
        <v>20500</v>
      </c>
    </row>
    <row r="16" spans="2:4" x14ac:dyDescent="0.3">
      <c r="B16" t="s">
        <v>5</v>
      </c>
      <c r="C16" s="4">
        <v>5000</v>
      </c>
    </row>
    <row r="17" spans="2:4" x14ac:dyDescent="0.3">
      <c r="B17" t="s">
        <v>10</v>
      </c>
      <c r="C17" s="4">
        <v>8000</v>
      </c>
    </row>
    <row r="18" spans="2:4" x14ac:dyDescent="0.3">
      <c r="B18" t="s">
        <v>25</v>
      </c>
      <c r="C18" s="4">
        <v>3000</v>
      </c>
    </row>
    <row r="19" spans="2:4" x14ac:dyDescent="0.3">
      <c r="B19" t="s">
        <v>34</v>
      </c>
      <c r="C19" s="4">
        <v>4500</v>
      </c>
    </row>
    <row r="21" spans="2:4" x14ac:dyDescent="0.3">
      <c r="B21" s="3" t="s">
        <v>2</v>
      </c>
      <c r="D21" s="5">
        <f>SUM(C22:C35)</f>
        <v>87500</v>
      </c>
    </row>
    <row r="22" spans="2:4" x14ac:dyDescent="0.3">
      <c r="B22" t="s">
        <v>14</v>
      </c>
      <c r="C22" s="4">
        <v>18000</v>
      </c>
    </row>
    <row r="23" spans="2:4" x14ac:dyDescent="0.3">
      <c r="B23" t="s">
        <v>3</v>
      </c>
      <c r="C23" s="4">
        <v>7000</v>
      </c>
    </row>
    <row r="24" spans="2:4" x14ac:dyDescent="0.3">
      <c r="B24" t="s">
        <v>15</v>
      </c>
      <c r="C24" s="4">
        <v>4500</v>
      </c>
    </row>
    <row r="25" spans="2:4" x14ac:dyDescent="0.3">
      <c r="B25" t="s">
        <v>16</v>
      </c>
      <c r="C25" s="4">
        <v>4500</v>
      </c>
    </row>
    <row r="26" spans="2:4" x14ac:dyDescent="0.3">
      <c r="B26" t="s">
        <v>11</v>
      </c>
      <c r="C26" s="4">
        <v>2000</v>
      </c>
    </row>
    <row r="27" spans="2:4" x14ac:dyDescent="0.3">
      <c r="B27" t="s">
        <v>12</v>
      </c>
      <c r="C27" s="4">
        <v>4000</v>
      </c>
    </row>
    <row r="28" spans="2:4" x14ac:dyDescent="0.3">
      <c r="B28" t="s">
        <v>13</v>
      </c>
      <c r="C28" s="4">
        <v>2500</v>
      </c>
    </row>
    <row r="29" spans="2:4" x14ac:dyDescent="0.3">
      <c r="B29" t="s">
        <v>17</v>
      </c>
      <c r="C29" s="4">
        <v>5000</v>
      </c>
    </row>
    <row r="30" spans="2:4" x14ac:dyDescent="0.3">
      <c r="B30" t="s">
        <v>19</v>
      </c>
      <c r="C30" s="4">
        <v>10000</v>
      </c>
    </row>
    <row r="31" spans="2:4" x14ac:dyDescent="0.3">
      <c r="B31" t="s">
        <v>26</v>
      </c>
      <c r="C31" s="4">
        <v>6000</v>
      </c>
    </row>
    <row r="32" spans="2:4" x14ac:dyDescent="0.3">
      <c r="B32" t="s">
        <v>27</v>
      </c>
      <c r="C32" s="4">
        <v>9000</v>
      </c>
    </row>
    <row r="33" spans="2:4" x14ac:dyDescent="0.3">
      <c r="B33" t="s">
        <v>28</v>
      </c>
      <c r="C33" s="4">
        <v>3500</v>
      </c>
    </row>
    <row r="34" spans="2:4" x14ac:dyDescent="0.3">
      <c r="B34" t="s">
        <v>31</v>
      </c>
      <c r="C34" s="4">
        <v>3500</v>
      </c>
    </row>
    <row r="35" spans="2:4" x14ac:dyDescent="0.3">
      <c r="B35" t="s">
        <v>37</v>
      </c>
      <c r="C35" s="4">
        <v>8000</v>
      </c>
    </row>
    <row r="37" spans="2:4" x14ac:dyDescent="0.3">
      <c r="B37" s="3" t="s">
        <v>22</v>
      </c>
      <c r="D37" s="5">
        <v>25000</v>
      </c>
    </row>
    <row r="38" spans="2:4" x14ac:dyDescent="0.3">
      <c r="B38" t="s">
        <v>23</v>
      </c>
    </row>
    <row r="39" spans="2:4" x14ac:dyDescent="0.3">
      <c r="B39" t="s">
        <v>24</v>
      </c>
    </row>
    <row r="40" spans="2:4" x14ac:dyDescent="0.3">
      <c r="B40" t="s">
        <v>38</v>
      </c>
    </row>
    <row r="42" spans="2:4" x14ac:dyDescent="0.3">
      <c r="B42" s="3" t="s">
        <v>18</v>
      </c>
      <c r="D42" s="5">
        <f>SUM(C43:C46)</f>
        <v>27000</v>
      </c>
    </row>
    <row r="43" spans="2:4" x14ac:dyDescent="0.3">
      <c r="B43" t="s">
        <v>39</v>
      </c>
      <c r="C43" s="4">
        <v>0</v>
      </c>
    </row>
    <row r="44" spans="2:4" x14ac:dyDescent="0.3">
      <c r="B44" t="s">
        <v>29</v>
      </c>
      <c r="C44" s="4">
        <v>12000</v>
      </c>
    </row>
    <row r="45" spans="2:4" x14ac:dyDescent="0.3">
      <c r="B45" t="s">
        <v>30</v>
      </c>
      <c r="C45" s="4">
        <v>3000</v>
      </c>
    </row>
    <row r="46" spans="2:4" x14ac:dyDescent="0.3">
      <c r="B46" t="s">
        <v>32</v>
      </c>
      <c r="C46" s="4">
        <v>12000</v>
      </c>
    </row>
    <row r="48" spans="2:4" x14ac:dyDescent="0.3">
      <c r="B48" s="3" t="s">
        <v>33</v>
      </c>
      <c r="D48" s="5">
        <f>SUM(C49:C53)</f>
        <v>145000</v>
      </c>
    </row>
    <row r="49" spans="2:4" x14ac:dyDescent="0.3">
      <c r="B49" t="s">
        <v>69</v>
      </c>
      <c r="C49" s="4">
        <v>25000</v>
      </c>
    </row>
    <row r="50" spans="2:4" x14ac:dyDescent="0.3">
      <c r="B50" t="s">
        <v>40</v>
      </c>
      <c r="C50" s="4">
        <v>50000</v>
      </c>
    </row>
    <row r="51" spans="2:4" x14ac:dyDescent="0.3">
      <c r="B51" t="s">
        <v>36</v>
      </c>
      <c r="C51" s="4">
        <v>25000</v>
      </c>
    </row>
    <row r="52" spans="2:4" x14ac:dyDescent="0.3">
      <c r="B52" t="s">
        <v>51</v>
      </c>
      <c r="C52" s="4">
        <v>22000</v>
      </c>
    </row>
    <row r="53" spans="2:4" x14ac:dyDescent="0.3">
      <c r="B53" t="s">
        <v>68</v>
      </c>
      <c r="C53" s="4">
        <v>23000</v>
      </c>
    </row>
    <row r="55" spans="2:4" x14ac:dyDescent="0.3">
      <c r="B55" s="3" t="s">
        <v>41</v>
      </c>
      <c r="D55" s="5">
        <f>SUM(C56:C61)</f>
        <v>57500</v>
      </c>
    </row>
    <row r="56" spans="2:4" x14ac:dyDescent="0.3">
      <c r="B56" t="s">
        <v>42</v>
      </c>
      <c r="C56" s="4">
        <v>4000</v>
      </c>
    </row>
    <row r="57" spans="2:4" x14ac:dyDescent="0.3">
      <c r="B57" t="s">
        <v>43</v>
      </c>
      <c r="C57" s="4">
        <v>7500</v>
      </c>
    </row>
    <row r="58" spans="2:4" x14ac:dyDescent="0.3">
      <c r="B58" t="s">
        <v>44</v>
      </c>
      <c r="C58" s="4">
        <v>8000</v>
      </c>
    </row>
    <row r="59" spans="2:4" x14ac:dyDescent="0.3">
      <c r="B59" t="s">
        <v>45</v>
      </c>
      <c r="C59" s="4">
        <v>10000</v>
      </c>
    </row>
    <row r="60" spans="2:4" x14ac:dyDescent="0.3">
      <c r="B60" t="s">
        <v>46</v>
      </c>
      <c r="C60" s="4">
        <v>25000</v>
      </c>
    </row>
    <row r="61" spans="2:4" x14ac:dyDescent="0.3">
      <c r="B61" t="s">
        <v>47</v>
      </c>
      <c r="C61" s="4">
        <v>3000</v>
      </c>
    </row>
    <row r="63" spans="2:4" x14ac:dyDescent="0.3">
      <c r="B63" s="3" t="s">
        <v>20</v>
      </c>
      <c r="D63" s="5">
        <f>SUM(C64:C68)</f>
        <v>61900</v>
      </c>
    </row>
    <row r="64" spans="2:4" x14ac:dyDescent="0.3">
      <c r="B64" t="s">
        <v>73</v>
      </c>
      <c r="C64" s="4">
        <v>3500</v>
      </c>
      <c r="D64" s="5"/>
    </row>
    <row r="65" spans="2:4" x14ac:dyDescent="0.3">
      <c r="B65" t="s">
        <v>21</v>
      </c>
      <c r="C65" s="4">
        <v>6500</v>
      </c>
    </row>
    <row r="66" spans="2:4" x14ac:dyDescent="0.3">
      <c r="B66" t="s">
        <v>56</v>
      </c>
      <c r="C66" s="4">
        <v>10000</v>
      </c>
    </row>
    <row r="67" spans="2:4" x14ac:dyDescent="0.3">
      <c r="B67" t="s">
        <v>54</v>
      </c>
      <c r="C67" s="4">
        <v>1900</v>
      </c>
    </row>
    <row r="68" spans="2:4" x14ac:dyDescent="0.3">
      <c r="B68" t="s">
        <v>55</v>
      </c>
      <c r="C68" s="4">
        <v>40000</v>
      </c>
    </row>
    <row r="70" spans="2:4" x14ac:dyDescent="0.3">
      <c r="B70" s="3" t="s">
        <v>35</v>
      </c>
      <c r="D70" s="5">
        <f>SUM(C71:C75)</f>
        <v>53200</v>
      </c>
    </row>
    <row r="71" spans="2:4" x14ac:dyDescent="0.3">
      <c r="B71" t="s">
        <v>48</v>
      </c>
      <c r="C71" s="4">
        <v>40000</v>
      </c>
    </row>
    <row r="72" spans="2:4" x14ac:dyDescent="0.3">
      <c r="B72" t="s">
        <v>49</v>
      </c>
      <c r="C72" s="4">
        <v>8000</v>
      </c>
    </row>
    <row r="73" spans="2:4" x14ac:dyDescent="0.3">
      <c r="B73" t="s">
        <v>50</v>
      </c>
      <c r="C73" s="4">
        <v>3000</v>
      </c>
    </row>
    <row r="74" spans="2:4" x14ac:dyDescent="0.3">
      <c r="B74" t="s">
        <v>52</v>
      </c>
      <c r="C74" s="4">
        <v>1200</v>
      </c>
    </row>
    <row r="75" spans="2:4" x14ac:dyDescent="0.3">
      <c r="B75" t="s">
        <v>53</v>
      </c>
      <c r="C75" s="4">
        <v>1000</v>
      </c>
    </row>
    <row r="77" spans="2:4" x14ac:dyDescent="0.3">
      <c r="B77" s="3" t="s">
        <v>63</v>
      </c>
      <c r="D77" s="5">
        <f>SUM(C78:C83)</f>
        <v>39700</v>
      </c>
    </row>
    <row r="78" spans="2:4" x14ac:dyDescent="0.3">
      <c r="B78" t="s">
        <v>57</v>
      </c>
      <c r="C78" s="4">
        <v>1500</v>
      </c>
    </row>
    <row r="79" spans="2:4" x14ac:dyDescent="0.3">
      <c r="B79" t="s">
        <v>58</v>
      </c>
      <c r="C79" s="4">
        <v>1200</v>
      </c>
    </row>
    <row r="80" spans="2:4" x14ac:dyDescent="0.3">
      <c r="B80" t="s">
        <v>59</v>
      </c>
      <c r="C80" s="4">
        <v>8000</v>
      </c>
    </row>
    <row r="81" spans="2:6" x14ac:dyDescent="0.3">
      <c r="B81" t="s">
        <v>60</v>
      </c>
      <c r="C81" s="4">
        <v>6000</v>
      </c>
    </row>
    <row r="82" spans="2:6" x14ac:dyDescent="0.3">
      <c r="B82" t="s">
        <v>61</v>
      </c>
      <c r="C82" s="4">
        <v>3000</v>
      </c>
    </row>
    <row r="83" spans="2:6" x14ac:dyDescent="0.3">
      <c r="B83" t="s">
        <v>62</v>
      </c>
      <c r="C83" s="4">
        <v>20000</v>
      </c>
    </row>
    <row r="85" spans="2:6" x14ac:dyDescent="0.3">
      <c r="B85" s="3" t="s">
        <v>64</v>
      </c>
      <c r="D85" s="5">
        <f>SUM(C86:C89)</f>
        <v>95000</v>
      </c>
      <c r="F85">
        <f>D85*0.85</f>
        <v>80750</v>
      </c>
    </row>
    <row r="86" spans="2:6" x14ac:dyDescent="0.3">
      <c r="B86" t="s">
        <v>65</v>
      </c>
      <c r="C86" s="4">
        <v>55000</v>
      </c>
    </row>
    <row r="87" spans="2:6" x14ac:dyDescent="0.3">
      <c r="B87" t="s">
        <v>66</v>
      </c>
      <c r="C87" s="4">
        <v>15000</v>
      </c>
    </row>
    <row r="88" spans="2:6" x14ac:dyDescent="0.3">
      <c r="B88" t="s">
        <v>67</v>
      </c>
      <c r="C88" s="4">
        <v>25000</v>
      </c>
    </row>
    <row r="90" spans="2:6" ht="12.6" customHeight="1" x14ac:dyDescent="0.3">
      <c r="C90" s="6" t="s">
        <v>70</v>
      </c>
      <c r="D90" s="4">
        <f>SUM(D10:D89)</f>
        <v>631800</v>
      </c>
    </row>
    <row r="91" spans="2:6" x14ac:dyDescent="0.3">
      <c r="C91" s="6" t="s">
        <v>71</v>
      </c>
      <c r="D91" s="4">
        <f>D90/100*25</f>
        <v>157950</v>
      </c>
    </row>
    <row r="92" spans="2:6" x14ac:dyDescent="0.3">
      <c r="C92" s="7" t="s">
        <v>72</v>
      </c>
      <c r="D92" s="5">
        <f>SUM(D90:D91)</f>
        <v>789750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4421-2E35-4503-B349-A31A92C5FFBB}">
  <dimension ref="A2:M20"/>
  <sheetViews>
    <sheetView workbookViewId="0">
      <selection activeCell="B44" sqref="B44"/>
    </sheetView>
  </sheetViews>
  <sheetFormatPr defaultRowHeight="14.4" x14ac:dyDescent="0.3"/>
  <cols>
    <col min="1" max="1" width="53.33203125" customWidth="1"/>
    <col min="4" max="4" width="10.33203125" bestFit="1" customWidth="1"/>
  </cols>
  <sheetData>
    <row r="2" spans="1:7" x14ac:dyDescent="0.3">
      <c r="A2" s="3" t="s">
        <v>20</v>
      </c>
      <c r="B2" s="4"/>
      <c r="C2" s="5">
        <f>SUM(B3:B7)</f>
        <v>61900</v>
      </c>
      <c r="E2" s="11">
        <f>SUM(D3:D8)</f>
        <v>82914</v>
      </c>
    </row>
    <row r="3" spans="1:7" x14ac:dyDescent="0.3">
      <c r="A3" t="s">
        <v>73</v>
      </c>
      <c r="B3" s="4">
        <v>3500</v>
      </c>
      <c r="C3" s="5"/>
      <c r="D3" s="9">
        <f>7.5*600</f>
        <v>4500</v>
      </c>
      <c r="E3" s="12"/>
    </row>
    <row r="4" spans="1:7" x14ac:dyDescent="0.3">
      <c r="A4" t="s">
        <v>21</v>
      </c>
      <c r="B4" s="4">
        <v>6500</v>
      </c>
      <c r="C4" s="4"/>
      <c r="D4" s="9">
        <v>6500</v>
      </c>
      <c r="E4" s="12"/>
    </row>
    <row r="5" spans="1:7" x14ac:dyDescent="0.3">
      <c r="A5" t="s">
        <v>56</v>
      </c>
      <c r="B5" s="4">
        <v>10000</v>
      </c>
      <c r="C5" s="4"/>
      <c r="D5" s="9">
        <f>400+200+50+50+(2345*1.2)+(15*600)+(4000)</f>
        <v>16514</v>
      </c>
      <c r="E5" s="12"/>
      <c r="G5" t="s">
        <v>77</v>
      </c>
    </row>
    <row r="6" spans="1:7" x14ac:dyDescent="0.3">
      <c r="A6" t="s">
        <v>54</v>
      </c>
      <c r="B6" s="4">
        <v>1900</v>
      </c>
      <c r="C6" s="4"/>
      <c r="D6" s="9">
        <v>1900</v>
      </c>
      <c r="E6" s="12"/>
    </row>
    <row r="7" spans="1:7" x14ac:dyDescent="0.3">
      <c r="A7" t="s">
        <v>55</v>
      </c>
      <c r="B7" s="4">
        <v>40000</v>
      </c>
      <c r="C7" s="4"/>
      <c r="D7" s="9">
        <f>+(7.5*7*600)+10000</f>
        <v>41500</v>
      </c>
      <c r="E7" s="12"/>
    </row>
    <row r="8" spans="1:7" x14ac:dyDescent="0.3">
      <c r="A8" t="s">
        <v>76</v>
      </c>
      <c r="B8" s="4"/>
      <c r="C8" s="4"/>
      <c r="D8" s="9">
        <f>9000+3000</f>
        <v>12000</v>
      </c>
      <c r="E8" s="12"/>
    </row>
    <row r="9" spans="1:7" x14ac:dyDescent="0.3">
      <c r="B9" s="4"/>
      <c r="C9" s="4"/>
      <c r="D9" s="9"/>
      <c r="E9" s="12"/>
    </row>
    <row r="10" spans="1:7" x14ac:dyDescent="0.3">
      <c r="A10" s="3" t="s">
        <v>35</v>
      </c>
      <c r="B10" s="4"/>
      <c r="C10" s="5">
        <f>SUM(B11:B15)</f>
        <v>53200</v>
      </c>
      <c r="D10" s="9"/>
      <c r="E10" s="11">
        <f>SUM(D11:D15)</f>
        <v>52900</v>
      </c>
    </row>
    <row r="11" spans="1:7" x14ac:dyDescent="0.3">
      <c r="A11" t="s">
        <v>48</v>
      </c>
      <c r="B11" s="4">
        <v>40000</v>
      </c>
      <c r="C11" s="4"/>
      <c r="D11" s="9">
        <v>37500</v>
      </c>
      <c r="E11" s="10"/>
    </row>
    <row r="12" spans="1:7" x14ac:dyDescent="0.3">
      <c r="A12" t="s">
        <v>49</v>
      </c>
      <c r="B12" s="4">
        <v>8000</v>
      </c>
      <c r="C12" s="4"/>
      <c r="D12" s="9">
        <v>8000</v>
      </c>
      <c r="E12" s="10"/>
    </row>
    <row r="13" spans="1:7" x14ac:dyDescent="0.3">
      <c r="A13" t="s">
        <v>50</v>
      </c>
      <c r="B13" s="4">
        <v>3000</v>
      </c>
      <c r="C13" s="4"/>
      <c r="D13" s="9">
        <v>5200</v>
      </c>
    </row>
    <row r="14" spans="1:7" x14ac:dyDescent="0.3">
      <c r="A14" t="s">
        <v>52</v>
      </c>
      <c r="B14" s="4">
        <v>1200</v>
      </c>
      <c r="C14" s="4"/>
      <c r="D14" s="9">
        <v>1200</v>
      </c>
    </row>
    <row r="15" spans="1:7" x14ac:dyDescent="0.3">
      <c r="A15" t="s">
        <v>53</v>
      </c>
      <c r="B15" s="4">
        <v>1000</v>
      </c>
      <c r="C15" s="4"/>
      <c r="D15" s="9">
        <v>1000</v>
      </c>
    </row>
    <row r="17" spans="3:13" x14ac:dyDescent="0.3">
      <c r="C17" s="4">
        <f>SUM(C2:C16)</f>
        <v>115100</v>
      </c>
      <c r="E17" s="4">
        <f>SUM(E2:E16)</f>
        <v>135814</v>
      </c>
      <c r="F17" s="8" t="s">
        <v>75</v>
      </c>
      <c r="G17" s="4">
        <f>+E17-C17</f>
        <v>20714</v>
      </c>
    </row>
    <row r="19" spans="3:13" ht="30" x14ac:dyDescent="0.3">
      <c r="M19" s="75" t="s">
        <v>181</v>
      </c>
    </row>
    <row r="20" spans="3:13" x14ac:dyDescent="0.3">
      <c r="M20" s="76" t="s">
        <v>182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FCA1-9CDE-4F88-B716-725346710B31}">
  <dimension ref="D2:G29"/>
  <sheetViews>
    <sheetView workbookViewId="0">
      <selection activeCell="G18" sqref="G16:G18"/>
    </sheetView>
  </sheetViews>
  <sheetFormatPr defaultRowHeight="14.4" x14ac:dyDescent="0.3"/>
  <cols>
    <col min="4" max="4" width="35" customWidth="1"/>
    <col min="5" max="5" width="15.5546875" customWidth="1"/>
    <col min="7" max="7" width="12.44140625" customWidth="1"/>
  </cols>
  <sheetData>
    <row r="2" spans="4:7" x14ac:dyDescent="0.3">
      <c r="D2" t="s">
        <v>191</v>
      </c>
    </row>
    <row r="4" spans="4:7" x14ac:dyDescent="0.3">
      <c r="D4" t="s">
        <v>190</v>
      </c>
      <c r="G4" s="78">
        <v>2073</v>
      </c>
    </row>
    <row r="5" spans="4:7" x14ac:dyDescent="0.3">
      <c r="D5" t="s">
        <v>193</v>
      </c>
      <c r="G5" s="78">
        <f>118015*0.8</f>
        <v>94412</v>
      </c>
    </row>
    <row r="6" spans="4:7" x14ac:dyDescent="0.3">
      <c r="D6" t="s">
        <v>194</v>
      </c>
      <c r="G6" s="78">
        <v>18810</v>
      </c>
    </row>
    <row r="7" spans="4:7" x14ac:dyDescent="0.3">
      <c r="G7" s="79">
        <f>SUM(G4:G6)</f>
        <v>115295</v>
      </c>
    </row>
    <row r="8" spans="4:7" x14ac:dyDescent="0.3">
      <c r="G8" s="78"/>
    </row>
    <row r="9" spans="4:7" x14ac:dyDescent="0.3">
      <c r="G9" s="78"/>
    </row>
    <row r="10" spans="4:7" x14ac:dyDescent="0.3">
      <c r="D10" t="s">
        <v>192</v>
      </c>
      <c r="G10" s="78"/>
    </row>
    <row r="11" spans="4:7" x14ac:dyDescent="0.3">
      <c r="G11" s="78"/>
    </row>
    <row r="12" spans="4:7" x14ac:dyDescent="0.3">
      <c r="D12" s="3" t="s">
        <v>195</v>
      </c>
      <c r="E12">
        <v>40250</v>
      </c>
      <c r="F12">
        <v>71000</v>
      </c>
      <c r="G12" s="78">
        <f>F12-E12</f>
        <v>30750</v>
      </c>
    </row>
    <row r="13" spans="4:7" x14ac:dyDescent="0.3">
      <c r="D13" t="s">
        <v>196</v>
      </c>
      <c r="G13" s="78">
        <v>9500</v>
      </c>
    </row>
    <row r="14" spans="4:7" x14ac:dyDescent="0.3">
      <c r="D14" t="s">
        <v>197</v>
      </c>
      <c r="G14">
        <v>3300</v>
      </c>
    </row>
    <row r="16" spans="4:7" x14ac:dyDescent="0.3">
      <c r="D16" s="3" t="s">
        <v>198</v>
      </c>
      <c r="E16">
        <v>45000</v>
      </c>
      <c r="F16">
        <v>72000</v>
      </c>
      <c r="G16" s="78">
        <f>F16-E16</f>
        <v>27000</v>
      </c>
    </row>
    <row r="17" spans="4:7" x14ac:dyDescent="0.3">
      <c r="D17" t="s">
        <v>199</v>
      </c>
      <c r="G17" s="78">
        <f>11500/100*89</f>
        <v>10235</v>
      </c>
    </row>
    <row r="18" spans="4:7" x14ac:dyDescent="0.3">
      <c r="D18" t="s">
        <v>200</v>
      </c>
      <c r="G18" s="78">
        <v>-2000</v>
      </c>
    </row>
    <row r="19" spans="4:7" x14ac:dyDescent="0.3">
      <c r="G19" s="78"/>
    </row>
    <row r="20" spans="4:7" x14ac:dyDescent="0.3">
      <c r="D20" t="s">
        <v>132</v>
      </c>
      <c r="E20">
        <v>40000</v>
      </c>
      <c r="F20">
        <v>70440</v>
      </c>
      <c r="G20" s="78">
        <f>F20-E20</f>
        <v>30440</v>
      </c>
    </row>
    <row r="21" spans="4:7" x14ac:dyDescent="0.3">
      <c r="D21" t="s">
        <v>201</v>
      </c>
      <c r="G21" s="78">
        <f>8834/100*89</f>
        <v>7862.26</v>
      </c>
    </row>
    <row r="23" spans="4:7" x14ac:dyDescent="0.3">
      <c r="D23" t="s">
        <v>203</v>
      </c>
      <c r="G23" s="78">
        <v>15000</v>
      </c>
    </row>
    <row r="27" spans="4:7" x14ac:dyDescent="0.3">
      <c r="G27" s="78">
        <f>SUM(G12:G23)</f>
        <v>132087.26</v>
      </c>
    </row>
    <row r="29" spans="4:7" x14ac:dyDescent="0.3">
      <c r="F29" s="10" t="s">
        <v>202</v>
      </c>
      <c r="G29" s="80">
        <f>G7-G27</f>
        <v>-16792.260000000009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lacering xmlns="938a5ba8-a2de-49f6-b885-4b123066ec6f" xsi:nil="true"/>
    <TaxCatchAll xmlns="19205e70-9770-44fc-a5b3-72b4caaab09a" xsi:nil="true"/>
    <lcf76f155ced4ddcb4097134ff3c332f xmlns="938a5ba8-a2de-49f6-b885-4b123066ec6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2DED09EA814A04AA67D21CE1BFB72BA" ma:contentTypeVersion="28" ma:contentTypeDescription="Opret et nyt dokument." ma:contentTypeScope="" ma:versionID="14d0c3fe0f2d66b6e7d68860b761c4a7">
  <xsd:schema xmlns:xsd="http://www.w3.org/2001/XMLSchema" xmlns:xs="http://www.w3.org/2001/XMLSchema" xmlns:p="http://schemas.microsoft.com/office/2006/metadata/properties" xmlns:ns2="938a5ba8-a2de-49f6-b885-4b123066ec6f" xmlns:ns3="19205e70-9770-44fc-a5b3-72b4caaab09a" targetNamespace="http://schemas.microsoft.com/office/2006/metadata/properties" ma:root="true" ma:fieldsID="a75d620c3b60ca538953e21cc33c3a9a" ns2:_="" ns3:_="">
    <xsd:import namespace="938a5ba8-a2de-49f6-b885-4b123066ec6f"/>
    <xsd:import namespace="19205e70-9770-44fc-a5b3-72b4caaab0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Placering" minOccurs="0"/>
                <xsd:element ref="ns2:e5d13b3b-7d87-48b2-a732-17d34f76a21bCountryOrRegion" minOccurs="0"/>
                <xsd:element ref="ns2:e5d13b3b-7d87-48b2-a732-17d34f76a21bState" minOccurs="0"/>
                <xsd:element ref="ns2:e5d13b3b-7d87-48b2-a732-17d34f76a21bCity" minOccurs="0"/>
                <xsd:element ref="ns2:e5d13b3b-7d87-48b2-a732-17d34f76a21bPostalCode" minOccurs="0"/>
                <xsd:element ref="ns2:e5d13b3b-7d87-48b2-a732-17d34f76a21bStreet" minOccurs="0"/>
                <xsd:element ref="ns2:e5d13b3b-7d87-48b2-a732-17d34f76a21bGeoLoc" minOccurs="0"/>
                <xsd:element ref="ns2:e5d13b3b-7d87-48b2-a732-17d34f76a21bDispName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a5ba8-a2de-49f6-b885-4b123066e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Placering" ma:index="16" nillable="true" ma:displayName="Placering" ma:format="Dropdown" ma:internalName="Placering">
      <xsd:simpleType>
        <xsd:restriction base="dms:Unknown"/>
      </xsd:simpleType>
    </xsd:element>
    <xsd:element name="e5d13b3b-7d87-48b2-a732-17d34f76a21bCountryOrRegion" ma:index="17" nillable="true" ma:displayName="Placering: Land/område" ma:internalName="CountryOrRegion" ma:readOnly="true">
      <xsd:simpleType>
        <xsd:restriction base="dms:Text"/>
      </xsd:simpleType>
    </xsd:element>
    <xsd:element name="e5d13b3b-7d87-48b2-a732-17d34f76a21bState" ma:index="18" nillable="true" ma:displayName="Placering: Delstat" ma:internalName="State" ma:readOnly="true">
      <xsd:simpleType>
        <xsd:restriction base="dms:Text"/>
      </xsd:simpleType>
    </xsd:element>
    <xsd:element name="e5d13b3b-7d87-48b2-a732-17d34f76a21bCity" ma:index="19" nillable="true" ma:displayName="Placering: By" ma:internalName="City" ma:readOnly="true">
      <xsd:simpleType>
        <xsd:restriction base="dms:Text"/>
      </xsd:simpleType>
    </xsd:element>
    <xsd:element name="e5d13b3b-7d87-48b2-a732-17d34f76a21bPostalCode" ma:index="20" nillable="true" ma:displayName="Placering: Postnummer" ma:internalName="PostalCode" ma:readOnly="true">
      <xsd:simpleType>
        <xsd:restriction base="dms:Text"/>
      </xsd:simpleType>
    </xsd:element>
    <xsd:element name="e5d13b3b-7d87-48b2-a732-17d34f76a21bStreet" ma:index="21" nillable="true" ma:displayName="Placering: Gade" ma:internalName="Street" ma:readOnly="true">
      <xsd:simpleType>
        <xsd:restriction base="dms:Text"/>
      </xsd:simpleType>
    </xsd:element>
    <xsd:element name="e5d13b3b-7d87-48b2-a732-17d34f76a21bGeoLoc" ma:index="22" nillable="true" ma:displayName="Placering: Koordinater" ma:internalName="GeoLoc" ma:readOnly="true">
      <xsd:simpleType>
        <xsd:restriction base="dms:Unknown"/>
      </xsd:simpleType>
    </xsd:element>
    <xsd:element name="e5d13b3b-7d87-48b2-a732-17d34f76a21bDispName" ma:index="23" nillable="true" ma:displayName="Placering: Navn" ma:internalName="DispName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1" nillable="true" ma:taxonomy="true" ma:internalName="lcf76f155ced4ddcb4097134ff3c332f" ma:taxonomyFieldName="MediaServiceImageTags" ma:displayName="Billedmærker" ma:readOnly="false" ma:fieldId="{5cf76f15-5ced-4ddc-b409-7134ff3c332f}" ma:taxonomyMulti="true" ma:sspId="cd9d3e45-4d42-40fe-b6c0-42e381ab4c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05e70-9770-44fc-a5b3-72b4caaab09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9" nillable="true" ma:displayName="Taxonomy Catch All Column" ma:hidden="true" ma:list="{2fd65098-851f-4145-804d-10d71047d329}" ma:internalName="TaxCatchAll" ma:showField="CatchAllData" ma:web="19205e70-9770-44fc-a5b3-72b4caaab0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0CA5C7-6F20-438C-9919-E4CD2E691B0F}">
  <ds:schemaRefs>
    <ds:schemaRef ds:uri="http://schemas.microsoft.com/office/2006/metadata/properties"/>
    <ds:schemaRef ds:uri="http://schemas.microsoft.com/office/infopath/2007/PartnerControls"/>
    <ds:schemaRef ds:uri="938a5ba8-a2de-49f6-b885-4b123066ec6f"/>
    <ds:schemaRef ds:uri="19205e70-9770-44fc-a5b3-72b4caaab09a"/>
  </ds:schemaRefs>
</ds:datastoreItem>
</file>

<file path=customXml/itemProps2.xml><?xml version="1.0" encoding="utf-8"?>
<ds:datastoreItem xmlns:ds="http://schemas.openxmlformats.org/officeDocument/2006/customXml" ds:itemID="{0C69426D-8425-40F3-90D1-9F76C3257A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A2E2CD-BFAB-4D8D-B965-BE75879C3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a5ba8-a2de-49f6-b885-4b123066ec6f"/>
    <ds:schemaRef ds:uri="19205e70-9770-44fc-a5b3-72b4caaab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Budget 2023.10.21</vt:lpstr>
      <vt:lpstr>Ekstra arbejde</vt:lpstr>
      <vt:lpstr>Budget 2023.10.17</vt:lpstr>
      <vt:lpstr>Budget 2023.10.03</vt:lpstr>
      <vt:lpstr>VVS</vt:lpstr>
      <vt:lpstr>Fremskrivning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Blankholm</dc:creator>
  <cp:lastModifiedBy>Rune Rindholm</cp:lastModifiedBy>
  <cp:lastPrinted>2024-02-20T08:13:17Z</cp:lastPrinted>
  <dcterms:created xsi:type="dcterms:W3CDTF">2023-09-27T10:17:50Z</dcterms:created>
  <dcterms:modified xsi:type="dcterms:W3CDTF">2024-04-09T11:17:04Z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0x01010092DED09EA814A04AA67D21CE1BFB72BA</vt:lpwstr>
  </property>
  <property fmtid="{D5CDD505-2E9C-101B-9397-08002B2CF9AE}" pid="3" name="MediaServiceImageTags">
    <vt:lpwstr/>
  </property>
</Properties>
</file>