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snord.sharepoint.com/sites/bnord/Delte dokumenter/0  SAGER/1 Igangværende sager/1840 Frederiksstadsgade 1, 4. Th/KALK/"/>
    </mc:Choice>
  </mc:AlternateContent>
  <xr:revisionPtr revIDLastSave="2059" documentId="8_{74B5389C-8AED-408B-B07C-DA9DFDE2F1A9}" xr6:coauthVersionLast="47" xr6:coauthVersionMax="47" xr10:uidLastSave="{C8DD4424-F27E-4A22-81C8-AF8F510875EF}"/>
  <bookViews>
    <workbookView xWindow="-110" yWindow="-110" windowWidth="25820" windowHeight="14020" activeTab="2" xr2:uid="{F80D58CE-AD21-4A97-ADAC-14F8CA4AA29C}"/>
  </bookViews>
  <sheets>
    <sheet name="Tilbud" sheetId="1" r:id="rId1"/>
    <sheet name="Fremskrivning" sheetId="6" r:id="rId2"/>
    <sheet name="Ekstraarbejder" sheetId="3" r:id="rId3"/>
    <sheet name="Ekstra Køkken" sheetId="4" r:id="rId4"/>
    <sheet name="Noter" sheetId="2" r:id="rId5"/>
    <sheet name="skab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48" i="1" l="1"/>
  <c r="X145" i="1"/>
  <c r="X146" i="1" s="1"/>
  <c r="X143" i="1"/>
  <c r="X144" i="1"/>
  <c r="U137" i="1"/>
  <c r="X142" i="1"/>
  <c r="X141" i="1"/>
  <c r="X138" i="1"/>
  <c r="X140" i="1" s="1"/>
  <c r="X137" i="1"/>
  <c r="X122" i="1"/>
  <c r="X113" i="1"/>
  <c r="X96" i="1"/>
  <c r="X90" i="1"/>
  <c r="X82" i="1"/>
  <c r="X79" i="1"/>
  <c r="X77" i="1"/>
  <c r="X75" i="1"/>
  <c r="X73" i="1"/>
  <c r="X69" i="1"/>
  <c r="X63" i="1"/>
  <c r="X49" i="1"/>
  <c r="X32" i="1"/>
  <c r="X24" i="1"/>
  <c r="X14" i="1"/>
  <c r="X5" i="1"/>
  <c r="J24" i="3"/>
  <c r="J60" i="3"/>
  <c r="J48" i="3"/>
  <c r="J40" i="3"/>
  <c r="J38" i="3"/>
  <c r="J36" i="3"/>
  <c r="J34" i="3"/>
  <c r="D62" i="3"/>
  <c r="J62" i="3" s="1"/>
  <c r="D58" i="3" l="1"/>
  <c r="J58" i="3" s="1"/>
  <c r="D52" i="3" l="1"/>
  <c r="J52" i="3" s="1"/>
  <c r="D46" i="3"/>
  <c r="J46" i="3" s="1"/>
  <c r="D56" i="3"/>
  <c r="J56" i="3" s="1"/>
  <c r="D54" i="3"/>
  <c r="J54" i="3" s="1"/>
  <c r="D44" i="3" l="1"/>
  <c r="J44" i="3" s="1"/>
  <c r="D50" i="3"/>
  <c r="J50" i="3" s="1"/>
  <c r="C22" i="6"/>
  <c r="C30" i="6"/>
  <c r="C14" i="6"/>
  <c r="C16" i="6"/>
  <c r="C9" i="6"/>
  <c r="C24" i="6" s="1"/>
  <c r="D32" i="3"/>
  <c r="J32" i="3" s="1"/>
  <c r="D42" i="3"/>
  <c r="J42" i="3" s="1"/>
  <c r="H28" i="3"/>
  <c r="H16" i="3"/>
  <c r="H10" i="3"/>
  <c r="H9" i="3"/>
  <c r="H8" i="3"/>
  <c r="H7" i="3"/>
  <c r="U138" i="1"/>
  <c r="C31" i="6" l="1"/>
  <c r="H9" i="5"/>
  <c r="D9" i="5"/>
  <c r="E9" i="5" s="1"/>
  <c r="F9" i="5" s="1"/>
  <c r="G9" i="5" s="1"/>
  <c r="H13" i="5"/>
  <c r="E13" i="5"/>
  <c r="F13" i="5" s="1"/>
  <c r="G13" i="5" s="1"/>
  <c r="D13" i="5"/>
  <c r="G17" i="5"/>
  <c r="G14" i="5"/>
  <c r="D15" i="5"/>
  <c r="G15" i="5" s="1"/>
  <c r="D14" i="5"/>
  <c r="F14" i="5" s="1"/>
  <c r="G16" i="5"/>
  <c r="G10" i="5"/>
  <c r="R138" i="1" l="1"/>
  <c r="D30" i="3" l="1"/>
  <c r="J30" i="3" s="1"/>
  <c r="D26" i="3" l="1"/>
  <c r="H26" i="3" s="1"/>
  <c r="O138" i="1" l="1"/>
  <c r="D69" i="3"/>
  <c r="D18" i="3"/>
  <c r="H18" i="3" s="1"/>
  <c r="D22" i="3" l="1"/>
  <c r="H22" i="3" s="1"/>
  <c r="H35" i="4"/>
  <c r="H41" i="4" s="1"/>
  <c r="Q33" i="4"/>
  <c r="O33" i="4"/>
  <c r="H33" i="4"/>
  <c r="O32" i="4"/>
  <c r="Q32" i="4" s="1"/>
  <c r="H28" i="4"/>
  <c r="F28" i="4"/>
  <c r="F33" i="4" s="1"/>
  <c r="F35" i="4" s="1"/>
  <c r="F41" i="4" s="1"/>
  <c r="C26" i="4"/>
  <c r="C31" i="4" s="1"/>
  <c r="H43" i="4" l="1"/>
  <c r="H45" i="4" l="1"/>
  <c r="H44" i="4"/>
  <c r="D12" i="3" l="1"/>
  <c r="D14" i="3"/>
  <c r="J14" i="3" s="1"/>
  <c r="J64" i="3" s="1"/>
  <c r="D65" i="3" l="1"/>
  <c r="H12" i="3"/>
  <c r="H64" i="3" s="1"/>
  <c r="L138" i="1"/>
  <c r="J110" i="1"/>
  <c r="H47" i="1"/>
  <c r="J47" i="1" s="1"/>
  <c r="J10" i="1"/>
  <c r="H54" i="1" l="1"/>
  <c r="J54" i="1" s="1"/>
  <c r="J22" i="1"/>
  <c r="H46" i="1"/>
  <c r="J46" i="1" s="1"/>
  <c r="J108" i="1" l="1"/>
  <c r="J97" i="1"/>
  <c r="J123" i="1"/>
  <c r="L113" i="1"/>
  <c r="U113" i="1" s="1"/>
  <c r="O113" i="1" l="1"/>
  <c r="R113" i="1"/>
  <c r="L96" i="1"/>
  <c r="U96" i="1" s="1"/>
  <c r="J9" i="1"/>
  <c r="J8" i="1"/>
  <c r="J86" i="1"/>
  <c r="H85" i="1"/>
  <c r="J85" i="1" s="1"/>
  <c r="J84" i="1"/>
  <c r="J83" i="1"/>
  <c r="J80" i="1"/>
  <c r="L79" i="1" s="1"/>
  <c r="U79" i="1" s="1"/>
  <c r="J78" i="1"/>
  <c r="L77" i="1" s="1"/>
  <c r="U77" i="1" s="1"/>
  <c r="J76" i="1"/>
  <c r="L75" i="1" s="1"/>
  <c r="U75" i="1" s="1"/>
  <c r="J74" i="1"/>
  <c r="L73" i="1" s="1"/>
  <c r="U73" i="1" s="1"/>
  <c r="J69" i="1"/>
  <c r="L69" i="1" s="1"/>
  <c r="U69" i="1" s="1"/>
  <c r="J67" i="1"/>
  <c r="J66" i="1"/>
  <c r="J65" i="1"/>
  <c r="J60" i="1"/>
  <c r="H55" i="1"/>
  <c r="J55" i="1" s="1"/>
  <c r="H56" i="1"/>
  <c r="J56" i="1" s="1"/>
  <c r="H57" i="1"/>
  <c r="J57" i="1" s="1"/>
  <c r="H58" i="1"/>
  <c r="J58" i="1" s="1"/>
  <c r="H59" i="1"/>
  <c r="J59" i="1" s="1"/>
  <c r="H61" i="1"/>
  <c r="J61" i="1" s="1"/>
  <c r="H53" i="1"/>
  <c r="J53" i="1" s="1"/>
  <c r="H50" i="1"/>
  <c r="J50" i="1" s="1"/>
  <c r="H45" i="1"/>
  <c r="J45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J44" i="1"/>
  <c r="H21" i="1"/>
  <c r="J21" i="1" s="1"/>
  <c r="G33" i="1"/>
  <c r="H33" i="1" s="1"/>
  <c r="J33" i="1" s="1"/>
  <c r="H35" i="1"/>
  <c r="J35" i="1" s="1"/>
  <c r="H34" i="1"/>
  <c r="J34" i="1" s="1"/>
  <c r="O69" i="1" l="1"/>
  <c r="R69" i="1"/>
  <c r="O73" i="1"/>
  <c r="R73" i="1"/>
  <c r="O75" i="1"/>
  <c r="R75" i="1"/>
  <c r="O77" i="1"/>
  <c r="R77" i="1"/>
  <c r="O96" i="1"/>
  <c r="R96" i="1"/>
  <c r="O79" i="1"/>
  <c r="R79" i="1"/>
  <c r="L82" i="1"/>
  <c r="O82" i="1" s="1"/>
  <c r="R82" i="1" s="1"/>
  <c r="U82" i="1" s="1"/>
  <c r="L32" i="1"/>
  <c r="U32" i="1" s="1"/>
  <c r="L63" i="1"/>
  <c r="U63" i="1" s="1"/>
  <c r="J25" i="1"/>
  <c r="L24" i="1" s="1"/>
  <c r="U24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J7" i="1"/>
  <c r="J6" i="1"/>
  <c r="H52" i="1"/>
  <c r="J52" i="1" s="1"/>
  <c r="H51" i="1"/>
  <c r="J51" i="1" s="1"/>
  <c r="O32" i="1" l="1"/>
  <c r="R32" i="1"/>
  <c r="O63" i="1"/>
  <c r="R63" i="1"/>
  <c r="O24" i="1"/>
  <c r="R24" i="1"/>
  <c r="L5" i="1"/>
  <c r="U5" i="1" s="1"/>
  <c r="L14" i="1"/>
  <c r="U14" i="1" s="1"/>
  <c r="L49" i="1"/>
  <c r="U49" i="1" s="1"/>
  <c r="O5" i="1" l="1"/>
  <c r="R5" i="1"/>
  <c r="O49" i="1"/>
  <c r="R49" i="1"/>
  <c r="O14" i="1"/>
  <c r="R14" i="1"/>
  <c r="L122" i="1"/>
  <c r="O122" i="1" l="1"/>
  <c r="R122" i="1" s="1"/>
  <c r="U122" i="1"/>
  <c r="J91" i="1"/>
  <c r="L90" i="1" s="1"/>
  <c r="U90" i="1" s="1"/>
  <c r="U140" i="1" s="1"/>
  <c r="U143" i="1" s="1"/>
  <c r="O90" i="1" l="1"/>
  <c r="O137" i="1" s="1"/>
  <c r="O140" i="1" s="1"/>
  <c r="R90" i="1"/>
  <c r="R137" i="1" s="1"/>
  <c r="R140" i="1" s="1"/>
  <c r="L137" i="1"/>
  <c r="L140" i="1" s="1"/>
  <c r="U147" i="1" s="1"/>
  <c r="R141" i="1" l="1"/>
  <c r="R142" i="1" s="1"/>
  <c r="U141" i="1"/>
  <c r="O144" i="1"/>
  <c r="R146" i="1"/>
  <c r="O141" i="1"/>
  <c r="O142" i="1" s="1"/>
  <c r="L141" i="1"/>
  <c r="L142" i="1" s="1"/>
  <c r="R143" i="1" l="1"/>
  <c r="R144" i="1" s="1"/>
  <c r="U142" i="1"/>
  <c r="U144" i="1" s="1"/>
  <c r="U145" i="1" s="1"/>
</calcChain>
</file>

<file path=xl/sharedStrings.xml><?xml version="1.0" encoding="utf-8"?>
<sst xmlns="http://schemas.openxmlformats.org/spreadsheetml/2006/main" count="521" uniqueCount="311">
  <si>
    <t>FAG</t>
  </si>
  <si>
    <t>Timer/Antal</t>
  </si>
  <si>
    <t>Takst</t>
  </si>
  <si>
    <t>Materialer</t>
  </si>
  <si>
    <t>Kostpris</t>
  </si>
  <si>
    <t>Påslag</t>
  </si>
  <si>
    <t>Tilbud</t>
  </si>
  <si>
    <t>Projektledelse, Dokumentation og Administration</t>
  </si>
  <si>
    <t>Affald</t>
  </si>
  <si>
    <t>Nedrivning</t>
  </si>
  <si>
    <t>Bnord</t>
  </si>
  <si>
    <t>VVS</t>
  </si>
  <si>
    <t>EL</t>
  </si>
  <si>
    <t>Murer</t>
  </si>
  <si>
    <t>Maler</t>
  </si>
  <si>
    <t>Sanitet:</t>
  </si>
  <si>
    <t>Pris ekskl. moms =</t>
  </si>
  <si>
    <t>Moms =</t>
  </si>
  <si>
    <t>Pris inkl. moms =</t>
  </si>
  <si>
    <t>Tømrer</t>
  </si>
  <si>
    <t>Nedhængt loft i gang</t>
  </si>
  <si>
    <t>Projektledelse og administration</t>
  </si>
  <si>
    <t>Pris fra EL-Ent.</t>
  </si>
  <si>
    <t>El-Ent.</t>
  </si>
  <si>
    <t>Pris fra Rune</t>
  </si>
  <si>
    <t>Frederiksstadsgade 1. 4. th.</t>
  </si>
  <si>
    <t>Gulve</t>
  </si>
  <si>
    <t>Gulve efterskrues</t>
  </si>
  <si>
    <t>Nedrivning af væg mellem badeværelse og køkken</t>
  </si>
  <si>
    <t>Nedrivning af alle fodpaneler</t>
  </si>
  <si>
    <t>Dørtrin afmonteres ca. 7 stk.</t>
  </si>
  <si>
    <t>Lister mod trappe, badeværelse og køkkentrappe</t>
  </si>
  <si>
    <t>Gulve spartles ca. 115 m2</t>
  </si>
  <si>
    <t>Gulv afdækkes med 500 g. gulvpap ca. 115 m2</t>
  </si>
  <si>
    <t>Nedtagning af fliser og klinker i badeværelse</t>
  </si>
  <si>
    <t>Nedrivning af køkken og fliser på køkkenvæggen</t>
  </si>
  <si>
    <t>Nedivning af rørkasser i køkken (loft og væg)</t>
  </si>
  <si>
    <t>Ravn</t>
  </si>
  <si>
    <t>Opsætning og leje af skurvogn, råden over vej gebyr</t>
  </si>
  <si>
    <t>Parkerings afgifter</t>
  </si>
  <si>
    <t>Pris fra Ravn Gulve 145.935</t>
  </si>
  <si>
    <t>Spartling, filtning og maling af vægge</t>
  </si>
  <si>
    <t>Spartling og maling af lofter</t>
  </si>
  <si>
    <t>Maling af alt træværk (ikke vinduer) Maling af rør</t>
  </si>
  <si>
    <t>MR_Rasmus.</t>
  </si>
  <si>
    <t>Pris fra MR-Rasmussen</t>
  </si>
  <si>
    <t>Udførsel af nye høje paneler i hele lejligheden (skal passe til resterende el-placering) 115 lbm</t>
  </si>
  <si>
    <t>Gennemgang og tilpasning af 8 døre</t>
  </si>
  <si>
    <t>Montering af nye dørhåndtag (Bygherre indkøber håndtag)</t>
  </si>
  <si>
    <t>Ny rørkasse i loft i køkken</t>
  </si>
  <si>
    <t>Ny rørkasse ved faldstamme i køkken</t>
  </si>
  <si>
    <t>Pris KBH. Listefabrik</t>
  </si>
  <si>
    <t>Ny væg mellem badeværelse og køkken</t>
  </si>
  <si>
    <t>Brusevinge og shampoo hylde og hylder til håndklæder</t>
  </si>
  <si>
    <t>Halv forsatsvæg til toilet cisterne og Orbital Unit inkl. topplade</t>
  </si>
  <si>
    <t>Vinge ved vaskesøjle + forlængelse af "ventilationsvæggen"</t>
  </si>
  <si>
    <t>Nedhængt loft i badeværelse</t>
  </si>
  <si>
    <t>Nedrivning af badeværelse og badeværelsesgulv</t>
  </si>
  <si>
    <t>Nedrivning af skabe i værelse 3</t>
  </si>
  <si>
    <t>Udførsel af gulvkonstruktion til udviddelse af badeværelse (Brandkrav / Vægtkrav)</t>
  </si>
  <si>
    <t>Montering af sildebens parketgulv ca. 115 m2 Urban Hald Eg Avantgarde matlak 11x70x490</t>
  </si>
  <si>
    <t>Gulv opbygning med fald</t>
  </si>
  <si>
    <t>Opretning af vægge i badeværelse efter nedtagning af fliser</t>
  </si>
  <si>
    <t>Reparation af vægge efter nedtagning af fodpaneler</t>
  </si>
  <si>
    <t>Opretning af vægge i køkken efter nedrivningsarbejder</t>
  </si>
  <si>
    <t>Der males vægge,lofter og træværki hvide farver</t>
  </si>
  <si>
    <t>Spartling af gulvvarme</t>
  </si>
  <si>
    <t>Udførsel af vådrum</t>
  </si>
  <si>
    <t>Opsætning af sokkelklinker og klinker på gulv i badeværelse</t>
  </si>
  <si>
    <t>Hårde og bløde fuger</t>
  </si>
  <si>
    <t>Indkøb af Klinker, Fliser og Sokkelklinker (afsat beløb 8.000 kr.)</t>
  </si>
  <si>
    <t>Støbning af fald i nische</t>
  </si>
  <si>
    <t>Opsætning af fliser i bruseniche og shampoo hylde</t>
  </si>
  <si>
    <t>Køkken</t>
  </si>
  <si>
    <t>Snedker / Glarmester</t>
  </si>
  <si>
    <t>Hvidevarer</t>
  </si>
  <si>
    <t>Hvidevarer, kogeplade og emfang</t>
  </si>
  <si>
    <t>Overflade behandling</t>
  </si>
  <si>
    <t xml:space="preserve">   Indkøb af køkken fra Heimwood jf. tilbud</t>
  </si>
  <si>
    <t xml:space="preserve">   Heimwood køkkenelementer, underskabe (Fingertappet)</t>
  </si>
  <si>
    <t xml:space="preserve">   Heimwood køkkenelementer, højskabe (Forramme)</t>
  </si>
  <si>
    <t xml:space="preserve">   Køkkenbordplade i marmor, underskabe og i dobbelt højskab inkl. vask</t>
  </si>
  <si>
    <t xml:space="preserve">   Backsplash ikke indeholdt i tilbud</t>
  </si>
  <si>
    <t xml:space="preserve">   Miele G 5355 SCVi XXL, Opvaskemaskine</t>
  </si>
  <si>
    <t xml:space="preserve">   Miele DGC 7250, Obsidiansort, Dampovn, med ovnfunktion, 60 niche,</t>
  </si>
  <si>
    <t xml:space="preserve">   Miele KFN 7734 C, Indbyg, køle-/fryseskab, 178</t>
  </si>
  <si>
    <t xml:space="preserve">   BORA M Pure bordemfang, med kulfilter, induktion/flexinduktion</t>
  </si>
  <si>
    <t xml:space="preserve">   Overfladebehandling i valgfri jotunfarve</t>
  </si>
  <si>
    <t>Diverse</t>
  </si>
  <si>
    <t xml:space="preserve">   Bestikindstats, Knivindsats og affaldsløsning</t>
  </si>
  <si>
    <t>Fragt og montering</t>
  </si>
  <si>
    <t xml:space="preserve">   Fragt og montering</t>
  </si>
  <si>
    <t>Badeværelsesmøbel (afsat beløb 12.000 kr.)</t>
  </si>
  <si>
    <t>Skabsvæg i soveværelset (Værelse 3)er ikke inkluderet i tilbud</t>
  </si>
  <si>
    <t>Montage af badeværelsesmøbel og låger ved vaskesøjle</t>
  </si>
  <si>
    <t>Låger foran vaskesøjle (afsat beløb 12.000 kr.) inkl. beslag og sider</t>
  </si>
  <si>
    <t>Brusedør i glas fra glarmester (Afsat beløb 8.000)</t>
  </si>
  <si>
    <t>Pris fra Heimwood</t>
  </si>
  <si>
    <t>Demontering af køkken og badeværelse med sanitet.</t>
  </si>
  <si>
    <t>Omlæggning af brugsvandsstige rør I køkken fra loft underbo til loft I bolig. Inkls rør til køkken vask</t>
  </si>
  <si>
    <t>Omlæggning af faldstamme I køkken fra loft underbo til loft I bolig. Inkls afløb til køkken vask</t>
  </si>
  <si>
    <t>Ændringer på faldstammen I badeværelset til wc, håndvask, vaskemasine og gulvafløb I brusezone,</t>
  </si>
  <si>
    <t>Ny afløbinstalltion til wc, håndvask, vaskemasine og gulvafløb I brusezone,</t>
  </si>
  <si>
    <t>Toilet + skylleknap (Afsat beløb 2.400)</t>
  </si>
  <si>
    <t>Handvask batteri (Afsat beløb 1.000)</t>
  </si>
  <si>
    <t>Kroge + diverse (Afsat beløb 800)</t>
  </si>
  <si>
    <t>Spejl med lys (Afsat beløb 1.500 kr)</t>
  </si>
  <si>
    <t>Vaskemaskine + Tørretumbler (Ikke inkluderet i prisen)</t>
  </si>
  <si>
    <t>Nye el insallationer i køkken og bad</t>
  </si>
  <si>
    <t>Ny ventilator i badeværelse</t>
  </si>
  <si>
    <t>Tilslutning af skurvogn</t>
  </si>
  <si>
    <t>Kontrol af eksisterende installationer</t>
  </si>
  <si>
    <t>Udskiftning tangenter på eksisterende stikkontakter</t>
  </si>
  <si>
    <t>Nedlægning af antennestik</t>
  </si>
  <si>
    <t>Spots i badeværelse</t>
  </si>
  <si>
    <t>gulvvarme i badeværelse</t>
  </si>
  <si>
    <t>lys bag spejl</t>
  </si>
  <si>
    <t>lys i shamppoohylde</t>
  </si>
  <si>
    <t>Installation af Orbital shower</t>
  </si>
  <si>
    <t>Installation af HHV og stik til vaskesøjle</t>
  </si>
  <si>
    <t>Demontage af gamle elinstallationer i køkken og gang</t>
  </si>
  <si>
    <t>Demontering og nedlægning af gas installation, samt afmelding af måler.</t>
  </si>
  <si>
    <t xml:space="preserve">Indskæring af Tstykker på stigestrenge I badeværelse. </t>
  </si>
  <si>
    <t>Brugsvandsstigestrengende I badeværelset skiftes ikke</t>
  </si>
  <si>
    <t>Pris fra Nord VVS = 67.935</t>
  </si>
  <si>
    <t>Nedhængt loft i entré</t>
  </si>
  <si>
    <t>Assistance til nedbæring</t>
  </si>
  <si>
    <t>STS</t>
  </si>
  <si>
    <t>Generel gennemgang af indfatninger (afsat beløb 5.000 kr.)</t>
  </si>
  <si>
    <t>Lukning af el-riller</t>
  </si>
  <si>
    <t>Omlæggning centralvarme rør til eksisterende radaiator I køkken</t>
  </si>
  <si>
    <t>Montering af køkkenbatteri, opvaskemaskine og afløb til køkken vask</t>
  </si>
  <si>
    <t>Skift af to stk radiator i stuen</t>
  </si>
  <si>
    <t>Montering af Orbitalshower</t>
  </si>
  <si>
    <t>Montering af toilet, trykplade, Blandingsbatteri I håndvask, knager og spejl</t>
  </si>
  <si>
    <t>Køkken blandingsbatteri (afsat 1.500 kr)</t>
  </si>
  <si>
    <t>Ingeniørnotat om nedtagning af væg mellem badeværelse og køkken</t>
  </si>
  <si>
    <t>Bygherre varsler beboere og ejerforening i fornødent omfang om lukning af vand mv.</t>
  </si>
  <si>
    <t>Blænding af dørhul I master bedroom</t>
  </si>
  <si>
    <t>Orbital shower, Hvid, Hatch</t>
  </si>
  <si>
    <t>Udskiftning af 2 stk radiatorer I stuen</t>
  </si>
  <si>
    <t>Projekt rabat =</t>
  </si>
  <si>
    <t>Dato: 2024.05.27 - Byggeselskabet Nord ApS</t>
  </si>
  <si>
    <t>Det skal koste 10.000 kr. Mindre</t>
  </si>
  <si>
    <t>Dekort 50% af pris på byggeprogam =</t>
  </si>
  <si>
    <t xml:space="preserve">Tilbud forudsætter at ingeniørnotat viser, at vægge kan nedrives uden yderligere tiltag </t>
  </si>
  <si>
    <t>Nye låger til skab I entré er ikke Indeholdt I tilbuddet</t>
  </si>
  <si>
    <t>Aktivitet</t>
  </si>
  <si>
    <t>Pris</t>
  </si>
  <si>
    <t>Note</t>
  </si>
  <si>
    <t>Demontering og bortskaffelse af stort garderopeskab, 4 timer</t>
  </si>
  <si>
    <t>Demontering og bortskaffelse af seng i børneværelse, 2 timer</t>
  </si>
  <si>
    <t>Nedbæring og bortkørsel af køleskab, 1 time</t>
  </si>
  <si>
    <t>Demontering og bortskaffelse af stor reol i børneværelse, 2 timer</t>
  </si>
  <si>
    <t>07.08 - Aftalt på opstartsmøde</t>
  </si>
  <si>
    <t>Indkøb af lamper til køkken via Heimwood = 8.539 + 15%</t>
  </si>
  <si>
    <t>15.08 Accept mail</t>
  </si>
  <si>
    <t>Indkøb af Køkken, Bordplader, Hårdehvidevarer og Quooker hos Heimwood</t>
  </si>
  <si>
    <t xml:space="preserve"> + Moms</t>
  </si>
  <si>
    <t>Tilkøb og fravalg af el-installationer = 1.500 + 15%</t>
  </si>
  <si>
    <t>Sanitet 2</t>
  </si>
  <si>
    <t>Hvidevarer (2), kogeplade og emfang</t>
  </si>
  <si>
    <t>Leverance af køkken og HHV</t>
  </si>
  <si>
    <t>Quooker (Fravalgt) 10.057 Kr.</t>
  </si>
  <si>
    <t>Køkken: Afsat i tilbud</t>
  </si>
  <si>
    <t xml:space="preserve">Køkken: Efter tilretninger </t>
  </si>
  <si>
    <t>Ny</t>
  </si>
  <si>
    <t>Rabat Gl.</t>
  </si>
  <si>
    <t>Rabat Ny.</t>
  </si>
  <si>
    <t>Ikke større rabbat?</t>
  </si>
  <si>
    <t>Ingen Rabbat</t>
  </si>
  <si>
    <t>Tilbehør</t>
  </si>
  <si>
    <t>Møbelknop - Bruneret</t>
  </si>
  <si>
    <t>Ikke med</t>
  </si>
  <si>
    <t>Rabat OK</t>
  </si>
  <si>
    <t>Montage af Quooker, VVS</t>
  </si>
  <si>
    <t>Blaningsbatteri i køkken</t>
  </si>
  <si>
    <t>Ekstra stømtilførsel til Quooker, og stikkontaktEL</t>
  </si>
  <si>
    <t>Påslag 15%</t>
  </si>
  <si>
    <t>Samlet meromkostning</t>
  </si>
  <si>
    <t>Moms 25%</t>
  </si>
  <si>
    <t>Afsat</t>
  </si>
  <si>
    <t>Rabat OK (Alt. 21.273)</t>
  </si>
  <si>
    <t>Kostpris total=</t>
  </si>
  <si>
    <t>OBS Siemens OVN i stedet for Miele</t>
  </si>
  <si>
    <t>Badeværelsesmøbel</t>
  </si>
  <si>
    <t>Fliser på badeværelse</t>
  </si>
  <si>
    <t>Planlagt bredde 120 cm</t>
  </si>
  <si>
    <t>Vi skal besutte et badeværelsesmøbel</t>
  </si>
  <si>
    <t>Vi skal beslutte fliser på gulv</t>
  </si>
  <si>
    <t>Sokkelklinker</t>
  </si>
  <si>
    <t>Vi skal beslutte fliser på vægge, omfang?</t>
  </si>
  <si>
    <t>Har i fundet en lågetype hos Refor eller &amp;Shufl?</t>
  </si>
  <si>
    <t>Skabslåger i soveværelse og entré</t>
  </si>
  <si>
    <t>Farve vælges efter flisevalg</t>
  </si>
  <si>
    <t>Orbital shower</t>
  </si>
  <si>
    <t>Gas hos overbo</t>
  </si>
  <si>
    <t>Bruger de gas hos overbo?, eller kan det demonteres?</t>
  </si>
  <si>
    <t>Beslutninger</t>
  </si>
  <si>
    <t>Gamle høje paneler er 27 cm</t>
  </si>
  <si>
    <t>Forslag nye paneler 22 cm</t>
  </si>
  <si>
    <t>Højde på fodpaneler, HASTER</t>
  </si>
  <si>
    <t>Stikkontankt placeret ca. 5 cm over fodpaneler</t>
  </si>
  <si>
    <t>Ovn</t>
  </si>
  <si>
    <t>Køle</t>
  </si>
  <si>
    <t>Heimwood</t>
  </si>
  <si>
    <t>El-Gigant</t>
  </si>
  <si>
    <t>Opv.</t>
  </si>
  <si>
    <t>Tillægs- og fradragsarbejder</t>
  </si>
  <si>
    <t>Omføring af rør i entre areal</t>
  </si>
  <si>
    <t>Skift af stigestrenge i badeværelse</t>
  </si>
  <si>
    <t>Oppudsning af ødelagt murværk bag gamle nedtaget paneler</t>
  </si>
  <si>
    <t>Nedlægning af gas stigestreng fra T stykke hos underbo til under loft i bolig</t>
  </si>
  <si>
    <t>20.08 Accept telefonisk med Morten</t>
  </si>
  <si>
    <t>Ny vandinstallation I badeværelset til håndvask, wc, vaskemaskine og orbital shower.</t>
  </si>
  <si>
    <t>Orbital shower i fuld rustfrit stål</t>
  </si>
  <si>
    <t>Accept ved møde på pladsen med Sofie</t>
  </si>
  <si>
    <t>Indeholdt i tilbud</t>
  </si>
  <si>
    <t>22.08 Accept pr. telefon med Morten</t>
  </si>
  <si>
    <t>Accepteret 23/8 af bestyrelsen</t>
  </si>
  <si>
    <t>Pris fra nord 4.300</t>
  </si>
  <si>
    <t>Skift af vandret faldstamme over loft i køkken</t>
  </si>
  <si>
    <t>Mure 3 timer</t>
  </si>
  <si>
    <t>Foreningens udgifter</t>
  </si>
  <si>
    <t>Pris fra Nord 16.000</t>
  </si>
  <si>
    <t>Aconto 1</t>
  </si>
  <si>
    <t>Stade %</t>
  </si>
  <si>
    <t>Aconto 1 =</t>
  </si>
  <si>
    <t>Stade d.d =</t>
  </si>
  <si>
    <t>Rest =</t>
  </si>
  <si>
    <t>Udgår</t>
  </si>
  <si>
    <t>Merpris for Indkøb af fliser. Afsat i tilbud 8.000 Kr. Valgte fliser 11.114 kr. + 15%</t>
  </si>
  <si>
    <t>10.</t>
  </si>
  <si>
    <t xml:space="preserve">Godkendt af Sofie d. 02.09 pr. telefon </t>
  </si>
  <si>
    <t>Ekstra høj fliseramme til gulvfliser ved gulvafløb</t>
  </si>
  <si>
    <t>Udgår, fravalgt af bygherre</t>
  </si>
  <si>
    <t>A</t>
  </si>
  <si>
    <t>B</t>
  </si>
  <si>
    <t>Bestilling af badeværelsesmøbel (afsat i tilbud 12.000 Kr.) Pris</t>
  </si>
  <si>
    <t xml:space="preserve">Godkendt af Morten d. 27.09 pr. telefon </t>
  </si>
  <si>
    <t>16.08 Accepteret i mødekald pr. tlf</t>
  </si>
  <si>
    <t>Aconto 2</t>
  </si>
  <si>
    <t>Aconto 2 =</t>
  </si>
  <si>
    <t>Er faktureret</t>
  </si>
  <si>
    <t>Pris fra nord 14.600</t>
  </si>
  <si>
    <t>Levering og montering af vola dele til badeværelse</t>
  </si>
  <si>
    <t xml:space="preserve">Godkendt af Morten d. 30.9 pr. mail </t>
  </si>
  <si>
    <t>Pris for gardarobeskab i soveværelse samt gipsskørt og låger</t>
  </si>
  <si>
    <t>Pris for låge til skab i entre</t>
  </si>
  <si>
    <t>Låge til Gardarobe i entre</t>
  </si>
  <si>
    <t>10% Rabat</t>
  </si>
  <si>
    <t>15% Påslag</t>
  </si>
  <si>
    <t>Montage 2 timer</t>
  </si>
  <si>
    <t>Skabe til soveværelse</t>
  </si>
  <si>
    <t>Indkøb &amp;Shufl</t>
  </si>
  <si>
    <t>Indkøb IKEA (Kun kabinetter, ingen indretning)</t>
  </si>
  <si>
    <t>I alt</t>
  </si>
  <si>
    <t>Montage og samling af skabe 12 timer</t>
  </si>
  <si>
    <t>Afhentning IKEA og opbæring af kabinetter og låger</t>
  </si>
  <si>
    <t>Sum</t>
  </si>
  <si>
    <t>Etablering af gipdsørt over skabe 6 timer + materialer</t>
  </si>
  <si>
    <t>Tilkøb af skabe</t>
  </si>
  <si>
    <t>Godkendt mail 09.10.2024</t>
  </si>
  <si>
    <t>Ny dør til toilet</t>
  </si>
  <si>
    <t>Aconto 3</t>
  </si>
  <si>
    <t>Aconto 3 =</t>
  </si>
  <si>
    <t>Ekstra aconto 1</t>
  </si>
  <si>
    <t>Bruse dør til toilet  ekstra pris 800 kr + 15%. Tilvalg af af antikalk 860 kr + 15%</t>
  </si>
  <si>
    <t>Indkøb af dørgreb Bakelit sort</t>
  </si>
  <si>
    <t>Roset i loftet, indkøb 1.200, montage 1 time, maling 2x1 time</t>
  </si>
  <si>
    <t>Aftalt med BH pr. tlf</t>
  </si>
  <si>
    <t>IND</t>
  </si>
  <si>
    <t>EC</t>
  </si>
  <si>
    <t>Ekstra arb</t>
  </si>
  <si>
    <t>Rest</t>
  </si>
  <si>
    <t>UD</t>
  </si>
  <si>
    <t>IKEA</t>
  </si>
  <si>
    <t>Skurvogn</t>
  </si>
  <si>
    <t>Montage Heimwood 10%</t>
  </si>
  <si>
    <t>Tømrer tid</t>
  </si>
  <si>
    <t>Rest VVS</t>
  </si>
  <si>
    <t>Rest EL</t>
  </si>
  <si>
    <t>Rest Maler</t>
  </si>
  <si>
    <t>EL Ekstra</t>
  </si>
  <si>
    <t>Ekstra</t>
  </si>
  <si>
    <t>Kontrakt</t>
  </si>
  <si>
    <t>Dækningsgrad</t>
  </si>
  <si>
    <t>Dækning</t>
  </si>
  <si>
    <t>Ekstra VVS og div</t>
  </si>
  <si>
    <t>Fragt af bademøbel 1.200 + 15%</t>
  </si>
  <si>
    <t>Godkendt i telefon søn. 27.10 af Morten</t>
  </si>
  <si>
    <t>Aftalt med bygherre</t>
  </si>
  <si>
    <t>Pris fra nord 2.900</t>
  </si>
  <si>
    <t>Tilskæring og montage af 2 hylder på badeværelse 3 timer + materialer</t>
  </si>
  <si>
    <t>Godkendt i telefon søn. 19.10 af Morten</t>
  </si>
  <si>
    <t xml:space="preserve"> Tilskæring af dør pal til dørgreb, 3,5 timer</t>
  </si>
  <si>
    <t>Indkøb afhængsler til Gardaropeskab, Entreskab og Skab i bad - 11 pakker a 150 kr. + 15%</t>
  </si>
  <si>
    <t>Kompliceret løsning ved vaskeskab med låger, 4 timer</t>
  </si>
  <si>
    <t>Køb af greb til skabe tl soveværelse, gang og entré. Køb og afhentning</t>
  </si>
  <si>
    <t>Godkendt tlf.. 20.22</t>
  </si>
  <si>
    <t>Godkendt tlf.. 20.11</t>
  </si>
  <si>
    <t>Vinduesplade i køkken, tømrer og Maler</t>
  </si>
  <si>
    <t>Tilslutning af vaskemaskine og tørretumbler</t>
  </si>
  <si>
    <t>Aftalt ifm. indkøb af VM og TT</t>
  </si>
  <si>
    <t>Opsætning af 3 stk. lamper i køkken, 2 timer inkl. materialer</t>
  </si>
  <si>
    <t>Aftalt over tlf. 26.11</t>
  </si>
  <si>
    <t>Tilkøb og fradrag i alt =</t>
  </si>
  <si>
    <t>Ekstra aconto 2</t>
  </si>
  <si>
    <t>Aconto 4</t>
  </si>
  <si>
    <t>Aconto 4 =</t>
  </si>
  <si>
    <t>Godkendt mail 28.11.2024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</si>
</sst>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2" fillId="0" borderId="2" xfId="0" applyNumberFormat="1" applyFont="1" applyBorder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center"/>
    </xf>
    <xf numFmtId="0" fontId="0" fillId="2" borderId="0" xfId="0" applyFill="1"/>
    <xf numFmtId="0" fontId="5" fillId="0" borderId="0" xfId="0" applyFont="1"/>
    <xf numFmtId="0" fontId="6" fillId="0" borderId="0" xfId="0" applyFont="1"/>
    <xf numFmtId="0" fontId="4" fillId="2" borderId="0" xfId="0" applyFont="1" applyFill="1"/>
    <xf numFmtId="9" fontId="4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0" fillId="3" borderId="0" xfId="0" applyFill="1"/>
    <xf numFmtId="3" fontId="6" fillId="0" borderId="0" xfId="0" applyNumberFormat="1" applyFont="1" applyAlignment="1">
      <alignment horizontal="center"/>
    </xf>
    <xf numFmtId="3" fontId="0" fillId="0" borderId="0" xfId="0" applyNumberFormat="1"/>
    <xf numFmtId="4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3" fontId="1" fillId="0" borderId="3" xfId="0" applyNumberFormat="1" applyFont="1" applyBorder="1"/>
    <xf numFmtId="0" fontId="0" fillId="4" borderId="0" xfId="0" applyFill="1"/>
    <xf numFmtId="3" fontId="1" fillId="0" borderId="0" xfId="0" applyNumberFormat="1" applyFont="1"/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left"/>
    </xf>
    <xf numFmtId="3" fontId="2" fillId="0" borderId="0" xfId="0" applyNumberFormat="1" applyFont="1"/>
    <xf numFmtId="3" fontId="2" fillId="0" borderId="2" xfId="0" applyNumberFormat="1" applyFont="1" applyBorder="1" applyAlignment="1">
      <alignment horizontal="center"/>
    </xf>
    <xf numFmtId="0" fontId="1" fillId="4" borderId="0" xfId="0" applyFont="1" applyFill="1"/>
    <xf numFmtId="3" fontId="1" fillId="4" borderId="0" xfId="0" applyNumberFormat="1" applyFont="1" applyFill="1" applyAlignment="1">
      <alignment horizontal="center"/>
    </xf>
    <xf numFmtId="0" fontId="7" fillId="0" borderId="0" xfId="0" applyFont="1"/>
    <xf numFmtId="164" fontId="1" fillId="0" borderId="0" xfId="0" applyNumberFormat="1" applyFont="1"/>
    <xf numFmtId="3" fontId="0" fillId="5" borderId="0" xfId="0" applyNumberFormat="1" applyFill="1" applyAlignment="1">
      <alignment horizontal="center"/>
    </xf>
    <xf numFmtId="0" fontId="0" fillId="5" borderId="0" xfId="0" applyFill="1"/>
    <xf numFmtId="3" fontId="2" fillId="5" borderId="0" xfId="0" applyNumberFormat="1" applyFont="1" applyFill="1"/>
    <xf numFmtId="0" fontId="0" fillId="5" borderId="0" xfId="0" applyFill="1" applyAlignment="1">
      <alignment horizontal="center"/>
    </xf>
    <xf numFmtId="3" fontId="2" fillId="5" borderId="2" xfId="0" applyNumberFormat="1" applyFont="1" applyFill="1" applyBorder="1"/>
    <xf numFmtId="3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3" fontId="2" fillId="6" borderId="0" xfId="0" applyNumberFormat="1" applyFont="1" applyFill="1"/>
    <xf numFmtId="3" fontId="2" fillId="6" borderId="2" xfId="0" applyNumberFormat="1" applyFont="1" applyFill="1" applyBorder="1"/>
    <xf numFmtId="3" fontId="0" fillId="5" borderId="0" xfId="0" applyNumberFormat="1" applyFill="1"/>
    <xf numFmtId="3" fontId="0" fillId="6" borderId="0" xfId="0" applyNumberFormat="1" applyFill="1"/>
    <xf numFmtId="3" fontId="2" fillId="2" borderId="2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7" borderId="0" xfId="0" applyFill="1"/>
    <xf numFmtId="0" fontId="2" fillId="7" borderId="0" xfId="0" applyFont="1" applyFill="1"/>
    <xf numFmtId="0" fontId="8" fillId="0" borderId="0" xfId="0" applyFont="1"/>
    <xf numFmtId="3" fontId="0" fillId="7" borderId="0" xfId="0" applyNumberFormat="1" applyFill="1" applyAlignment="1">
      <alignment horizontal="center"/>
    </xf>
    <xf numFmtId="3" fontId="0" fillId="8" borderId="0" xfId="0" applyNumberFormat="1" applyFill="1" applyAlignment="1">
      <alignment horizontal="center"/>
    </xf>
    <xf numFmtId="3" fontId="2" fillId="9" borderId="1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3" fontId="0" fillId="9" borderId="0" xfId="0" applyNumberFormat="1" applyFill="1" applyAlignment="1">
      <alignment horizontal="center"/>
    </xf>
    <xf numFmtId="9" fontId="0" fillId="9" borderId="0" xfId="0" applyNumberFormat="1" applyFill="1" applyAlignment="1">
      <alignment horizontal="center"/>
    </xf>
    <xf numFmtId="0" fontId="1" fillId="9" borderId="0" xfId="0" applyFont="1" applyFill="1" applyAlignment="1">
      <alignment horizontal="center"/>
    </xf>
    <xf numFmtId="3" fontId="1" fillId="9" borderId="0" xfId="0" applyNumberFormat="1" applyFont="1" applyFill="1" applyAlignment="1">
      <alignment horizontal="center"/>
    </xf>
    <xf numFmtId="3" fontId="1" fillId="9" borderId="3" xfId="0" applyNumberFormat="1" applyFont="1" applyFill="1" applyBorder="1" applyAlignment="1">
      <alignment horizontal="center"/>
    </xf>
    <xf numFmtId="0" fontId="0" fillId="9" borderId="0" xfId="0" applyFill="1" applyAlignment="1">
      <alignment horizontal="right"/>
    </xf>
    <xf numFmtId="3" fontId="2" fillId="9" borderId="2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3" fontId="2" fillId="10" borderId="1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3" fontId="0" fillId="10" borderId="0" xfId="0" applyNumberFormat="1" applyFill="1" applyAlignment="1">
      <alignment horizontal="center"/>
    </xf>
    <xf numFmtId="9" fontId="0" fillId="10" borderId="0" xfId="0" applyNumberFormat="1" applyFill="1" applyAlignment="1">
      <alignment horizontal="center"/>
    </xf>
    <xf numFmtId="0" fontId="1" fillId="10" borderId="0" xfId="0" applyFont="1" applyFill="1" applyAlignment="1">
      <alignment horizontal="center"/>
    </xf>
    <xf numFmtId="3" fontId="1" fillId="10" borderId="0" xfId="0" applyNumberFormat="1" applyFont="1" applyFill="1" applyAlignment="1">
      <alignment horizontal="center"/>
    </xf>
    <xf numFmtId="3" fontId="1" fillId="10" borderId="3" xfId="0" applyNumberFormat="1" applyFont="1" applyFill="1" applyBorder="1" applyAlignment="1">
      <alignment horizontal="center"/>
    </xf>
    <xf numFmtId="0" fontId="0" fillId="10" borderId="0" xfId="0" applyFill="1" applyAlignment="1">
      <alignment horizontal="right"/>
    </xf>
    <xf numFmtId="3" fontId="2" fillId="10" borderId="2" xfId="0" applyNumberFormat="1" applyFont="1" applyFill="1" applyBorder="1" applyAlignment="1">
      <alignment horizontal="center"/>
    </xf>
    <xf numFmtId="3" fontId="0" fillId="10" borderId="3" xfId="0" applyNumberFormat="1" applyFill="1" applyBorder="1" applyAlignment="1">
      <alignment horizontal="center"/>
    </xf>
    <xf numFmtId="3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left"/>
    </xf>
    <xf numFmtId="3" fontId="2" fillId="7" borderId="1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1" fillId="7" borderId="0" xfId="0" applyFont="1" applyFill="1" applyAlignment="1">
      <alignment horizontal="center"/>
    </xf>
    <xf numFmtId="3" fontId="1" fillId="7" borderId="0" xfId="0" applyNumberFormat="1" applyFont="1" applyFill="1" applyAlignment="1">
      <alignment horizontal="center"/>
    </xf>
    <xf numFmtId="3" fontId="1" fillId="7" borderId="3" xfId="0" applyNumberFormat="1" applyFont="1" applyFill="1" applyBorder="1" applyAlignment="1">
      <alignment horizontal="center"/>
    </xf>
    <xf numFmtId="0" fontId="0" fillId="7" borderId="0" xfId="0" applyFill="1" applyAlignment="1">
      <alignment horizontal="right"/>
    </xf>
    <xf numFmtId="3" fontId="0" fillId="7" borderId="3" xfId="0" applyNumberFormat="1" applyFill="1" applyBorder="1" applyAlignment="1">
      <alignment horizontal="center"/>
    </xf>
    <xf numFmtId="3" fontId="2" fillId="7" borderId="2" xfId="0" applyNumberFormat="1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3" fontId="0" fillId="12" borderId="0" xfId="0" applyNumberFormat="1" applyFill="1" applyAlignment="1">
      <alignment horizontal="center"/>
    </xf>
    <xf numFmtId="4" fontId="2" fillId="13" borderId="0" xfId="0" applyNumberFormat="1" applyFont="1" applyFill="1"/>
    <xf numFmtId="3" fontId="0" fillId="0" borderId="2" xfId="0" applyNumberFormat="1" applyBorder="1"/>
    <xf numFmtId="3" fontId="2" fillId="8" borderId="1" xfId="0" applyNumberFormat="1" applyFont="1" applyFill="1" applyBorder="1" applyAlignment="1">
      <alignment horizontal="center" vertical="center"/>
    </xf>
    <xf numFmtId="9" fontId="0" fillId="8" borderId="0" xfId="0" applyNumberFormat="1" applyFill="1" applyAlignment="1">
      <alignment horizontal="center"/>
    </xf>
    <xf numFmtId="3" fontId="1" fillId="8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3" fontId="1" fillId="8" borderId="3" xfId="0" applyNumberFormat="1" applyFont="1" applyFill="1" applyBorder="1" applyAlignment="1">
      <alignment horizontal="center"/>
    </xf>
    <xf numFmtId="0" fontId="0" fillId="8" borderId="0" xfId="0" applyFill="1" applyAlignment="1">
      <alignment horizontal="right"/>
    </xf>
    <xf numFmtId="3" fontId="2" fillId="8" borderId="2" xfId="0" applyNumberFormat="1" applyFont="1" applyFill="1" applyBorder="1" applyAlignment="1">
      <alignment horizontal="center"/>
    </xf>
    <xf numFmtId="3" fontId="2" fillId="12" borderId="0" xfId="0" applyNumberFormat="1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3" fontId="0" fillId="14" borderId="0" xfId="0" applyNumberFormat="1" applyFill="1" applyAlignment="1">
      <alignment horizontal="center"/>
    </xf>
    <xf numFmtId="3" fontId="2" fillId="1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693A-F2B2-4552-9F0F-66E8016E050E}">
  <sheetPr>
    <pageSetUpPr fitToPage="1"/>
  </sheetPr>
  <dimension ref="B2:Z148"/>
  <sheetViews>
    <sheetView zoomScale="80" zoomScaleNormal="80" workbookViewId="0">
      <selection activeCell="Q158" sqref="Q158"/>
    </sheetView>
  </sheetViews>
  <sheetFormatPr defaultRowHeight="14.5" x14ac:dyDescent="0.35"/>
  <cols>
    <col min="1" max="1" width="3.453125" customWidth="1"/>
    <col min="2" max="2" width="82.90625" customWidth="1"/>
    <col min="3" max="3" width="2.7265625" customWidth="1"/>
    <col min="4" max="4" width="11.7265625" style="11" customWidth="1"/>
    <col min="5" max="10" width="10.54296875" style="11" customWidth="1"/>
    <col min="11" max="11" width="2.7265625" customWidth="1"/>
    <col min="12" max="12" width="11.54296875" customWidth="1"/>
    <col min="13" max="13" width="2.54296875" customWidth="1"/>
    <col min="14" max="14" width="10.26953125" style="11" customWidth="1"/>
    <col min="15" max="15" width="10.54296875" style="12" customWidth="1"/>
    <col min="16" max="16" width="2.54296875" style="12" customWidth="1"/>
    <col min="17" max="17" width="10.26953125" style="11" customWidth="1"/>
    <col min="18" max="18" width="10.54296875" style="12" customWidth="1"/>
    <col min="19" max="19" width="2.54296875" customWidth="1"/>
    <col min="20" max="20" width="10.26953125" style="11" customWidth="1"/>
    <col min="21" max="21" width="10.54296875" style="12" customWidth="1"/>
    <col min="22" max="22" width="2.453125" style="12" customWidth="1"/>
    <col min="23" max="24" width="10.54296875" style="12" customWidth="1"/>
    <col min="25" max="25" width="3.26953125" customWidth="1"/>
    <col min="26" max="26" width="28.1796875" customWidth="1"/>
    <col min="32" max="32" width="10" bestFit="1" customWidth="1"/>
  </cols>
  <sheetData>
    <row r="2" spans="2:24" ht="21.5" thickBot="1" x14ac:dyDescent="0.55000000000000004">
      <c r="B2" s="1" t="s">
        <v>25</v>
      </c>
      <c r="D2" s="2"/>
      <c r="E2" s="2"/>
      <c r="F2" s="2"/>
      <c r="G2" s="3"/>
      <c r="H2" s="3"/>
      <c r="I2" s="4"/>
      <c r="J2" s="3"/>
      <c r="L2" s="3"/>
      <c r="N2" s="3"/>
      <c r="O2" s="3"/>
      <c r="Q2" s="3"/>
      <c r="R2" s="3"/>
      <c r="T2" s="3"/>
      <c r="U2" s="3"/>
      <c r="W2" s="3"/>
      <c r="X2" s="3"/>
    </row>
    <row r="3" spans="2:24" ht="15" thickBot="1" x14ac:dyDescent="0.4">
      <c r="B3" s="5" t="s">
        <v>142</v>
      </c>
      <c r="D3" s="6" t="s">
        <v>0</v>
      </c>
      <c r="E3" s="6" t="s">
        <v>1</v>
      </c>
      <c r="F3" s="6" t="s">
        <v>2</v>
      </c>
      <c r="G3" s="7" t="s">
        <v>3</v>
      </c>
      <c r="H3" s="7" t="s">
        <v>4</v>
      </c>
      <c r="I3" s="8" t="s">
        <v>5</v>
      </c>
      <c r="J3" s="7" t="s">
        <v>6</v>
      </c>
      <c r="L3" s="7" t="s">
        <v>6</v>
      </c>
      <c r="N3" s="62" t="s">
        <v>226</v>
      </c>
      <c r="O3" s="62" t="s">
        <v>225</v>
      </c>
      <c r="P3" s="71"/>
      <c r="Q3" s="72" t="s">
        <v>226</v>
      </c>
      <c r="R3" s="72" t="s">
        <v>241</v>
      </c>
      <c r="T3" s="84" t="s">
        <v>226</v>
      </c>
      <c r="U3" s="84" t="s">
        <v>264</v>
      </c>
      <c r="V3" s="71"/>
      <c r="W3" s="98" t="s">
        <v>226</v>
      </c>
      <c r="X3" s="98" t="s">
        <v>308</v>
      </c>
    </row>
    <row r="4" spans="2:24" x14ac:dyDescent="0.35">
      <c r="N4" s="63"/>
      <c r="O4" s="64"/>
      <c r="Q4" s="73"/>
      <c r="R4" s="74"/>
      <c r="T4" s="85"/>
      <c r="U4" s="60"/>
      <c r="W4" s="61"/>
      <c r="X4" s="61"/>
    </row>
    <row r="5" spans="2:24" x14ac:dyDescent="0.35">
      <c r="B5" s="9" t="s">
        <v>7</v>
      </c>
      <c r="L5" s="18">
        <f>SUM(J6:J10)</f>
        <v>82125</v>
      </c>
      <c r="N5" s="65">
        <v>0.5</v>
      </c>
      <c r="O5" s="64">
        <f>L5*N5</f>
        <v>41062.5</v>
      </c>
      <c r="Q5" s="75">
        <v>0.8</v>
      </c>
      <c r="R5" s="74">
        <f>L5*Q5</f>
        <v>65700</v>
      </c>
      <c r="T5" s="86">
        <v>0.9</v>
      </c>
      <c r="U5" s="60">
        <f>L5*T5</f>
        <v>73912.5</v>
      </c>
      <c r="W5" s="99">
        <v>1</v>
      </c>
      <c r="X5" s="61">
        <f>L5*W5</f>
        <v>82125</v>
      </c>
    </row>
    <row r="6" spans="2:24" x14ac:dyDescent="0.35">
      <c r="B6" t="s">
        <v>21</v>
      </c>
      <c r="D6" s="11" t="s">
        <v>10</v>
      </c>
      <c r="H6" s="12">
        <v>20000</v>
      </c>
      <c r="I6" s="13"/>
      <c r="J6" s="12">
        <f t="shared" ref="J6:J10" si="0">(H6*I6)+H6</f>
        <v>20000</v>
      </c>
      <c r="L6" s="18"/>
      <c r="N6" s="65"/>
      <c r="O6" s="64"/>
      <c r="Q6" s="75"/>
      <c r="R6" s="74"/>
      <c r="T6" s="86"/>
      <c r="U6" s="60"/>
      <c r="W6" s="61"/>
      <c r="X6" s="61"/>
    </row>
    <row r="7" spans="2:24" x14ac:dyDescent="0.35">
      <c r="B7" s="5" t="s">
        <v>8</v>
      </c>
      <c r="D7" s="11" t="s">
        <v>10</v>
      </c>
      <c r="H7" s="14">
        <v>15000</v>
      </c>
      <c r="I7" s="15"/>
      <c r="J7" s="12">
        <f t="shared" si="0"/>
        <v>15000</v>
      </c>
      <c r="L7" s="9"/>
      <c r="N7" s="63"/>
      <c r="O7" s="64"/>
      <c r="Q7" s="73"/>
      <c r="R7" s="74"/>
      <c r="T7" s="85"/>
      <c r="U7" s="60"/>
      <c r="W7" s="61"/>
      <c r="X7" s="61"/>
    </row>
    <row r="8" spans="2:24" x14ac:dyDescent="0.35">
      <c r="B8" s="5" t="s">
        <v>38</v>
      </c>
      <c r="D8" s="11" t="s">
        <v>10</v>
      </c>
      <c r="H8" s="14">
        <v>34000</v>
      </c>
      <c r="I8" s="23">
        <v>0.15</v>
      </c>
      <c r="J8" s="14">
        <f t="shared" si="0"/>
        <v>39100</v>
      </c>
      <c r="L8" s="9"/>
      <c r="N8" s="63"/>
      <c r="O8" s="64"/>
      <c r="Q8" s="73"/>
      <c r="R8" s="74"/>
      <c r="T8" s="85"/>
      <c r="U8" s="60"/>
      <c r="W8" s="61"/>
      <c r="X8" s="61"/>
    </row>
    <row r="9" spans="2:24" x14ac:dyDescent="0.35">
      <c r="B9" s="5" t="s">
        <v>39</v>
      </c>
      <c r="D9" s="11" t="s">
        <v>10</v>
      </c>
      <c r="H9" s="14">
        <v>4000</v>
      </c>
      <c r="I9" s="15"/>
      <c r="J9" s="14">
        <f t="shared" si="0"/>
        <v>4000</v>
      </c>
      <c r="L9" s="9"/>
      <c r="N9" s="63"/>
      <c r="O9" s="64"/>
      <c r="Q9" s="73"/>
      <c r="R9" s="74"/>
      <c r="T9" s="85"/>
      <c r="U9" s="60"/>
      <c r="W9" s="61"/>
      <c r="X9" s="61"/>
    </row>
    <row r="10" spans="2:24" x14ac:dyDescent="0.35">
      <c r="B10" s="5" t="s">
        <v>136</v>
      </c>
      <c r="D10" s="11" t="s">
        <v>10</v>
      </c>
      <c r="H10" s="14">
        <v>3500</v>
      </c>
      <c r="I10" s="23">
        <v>0.15</v>
      </c>
      <c r="J10" s="14">
        <f t="shared" si="0"/>
        <v>4025</v>
      </c>
      <c r="L10" s="9"/>
      <c r="N10" s="63"/>
      <c r="O10" s="64"/>
      <c r="Q10" s="73"/>
      <c r="R10" s="74"/>
      <c r="T10" s="85"/>
      <c r="U10" s="60"/>
      <c r="W10" s="61"/>
      <c r="X10" s="61"/>
    </row>
    <row r="11" spans="2:24" x14ac:dyDescent="0.35">
      <c r="B11" s="10" t="s">
        <v>145</v>
      </c>
      <c r="H11" s="14"/>
      <c r="I11" s="23"/>
      <c r="J11" s="14"/>
      <c r="L11" s="9"/>
      <c r="N11" s="63"/>
      <c r="O11" s="64"/>
      <c r="Q11" s="73"/>
      <c r="R11" s="74"/>
      <c r="T11" s="85"/>
      <c r="U11" s="60"/>
      <c r="W11" s="61"/>
      <c r="X11" s="61"/>
    </row>
    <row r="12" spans="2:24" x14ac:dyDescent="0.35">
      <c r="B12" s="10" t="s">
        <v>137</v>
      </c>
      <c r="H12" s="12"/>
      <c r="J12" s="12"/>
      <c r="L12" s="9"/>
      <c r="N12" s="63"/>
      <c r="O12" s="64"/>
      <c r="Q12" s="73"/>
      <c r="R12" s="74"/>
      <c r="T12" s="85"/>
      <c r="U12" s="60"/>
      <c r="W12" s="61"/>
      <c r="X12" s="61"/>
    </row>
    <row r="13" spans="2:24" x14ac:dyDescent="0.35">
      <c r="B13" s="10"/>
      <c r="H13" s="12"/>
      <c r="J13" s="12"/>
      <c r="L13" s="9"/>
      <c r="N13" s="63"/>
      <c r="O13" s="64"/>
      <c r="Q13" s="73"/>
      <c r="R13" s="74"/>
      <c r="T13" s="85"/>
      <c r="U13" s="60"/>
      <c r="W13" s="61"/>
      <c r="X13" s="61"/>
    </row>
    <row r="14" spans="2:24" x14ac:dyDescent="0.35">
      <c r="B14" s="9" t="s">
        <v>9</v>
      </c>
      <c r="H14" s="12"/>
      <c r="J14" s="12"/>
      <c r="L14" s="18">
        <f>SUM(J15:J22)</f>
        <v>58550</v>
      </c>
      <c r="N14" s="65">
        <v>1</v>
      </c>
      <c r="O14" s="64">
        <f>L14*N14</f>
        <v>58550</v>
      </c>
      <c r="Q14" s="75">
        <v>1</v>
      </c>
      <c r="R14" s="74">
        <f>L14*Q14</f>
        <v>58550</v>
      </c>
      <c r="T14" s="86">
        <v>1</v>
      </c>
      <c r="U14" s="60">
        <f>L14*T14</f>
        <v>58550</v>
      </c>
      <c r="W14" s="99">
        <v>1</v>
      </c>
      <c r="X14" s="61">
        <f>L14*W14</f>
        <v>58550</v>
      </c>
    </row>
    <row r="15" spans="2:24" x14ac:dyDescent="0.35">
      <c r="B15" s="5" t="s">
        <v>28</v>
      </c>
      <c r="D15" s="11" t="s">
        <v>10</v>
      </c>
      <c r="E15" s="11">
        <v>30</v>
      </c>
      <c r="F15" s="11">
        <v>550</v>
      </c>
      <c r="H15" s="12">
        <f t="shared" ref="H15" si="1">(E15*F15)+G15</f>
        <v>16500</v>
      </c>
      <c r="I15" s="13"/>
      <c r="J15" s="12">
        <f t="shared" ref="J15" si="2">(H15*I15)+H15</f>
        <v>16500</v>
      </c>
      <c r="L15" s="9"/>
      <c r="N15" s="63"/>
      <c r="O15" s="64"/>
      <c r="Q15" s="73"/>
      <c r="R15" s="74"/>
      <c r="T15" s="85"/>
      <c r="U15" s="60"/>
      <c r="W15" s="61"/>
      <c r="X15" s="61"/>
    </row>
    <row r="16" spans="2:24" x14ac:dyDescent="0.35">
      <c r="B16" s="5" t="s">
        <v>29</v>
      </c>
      <c r="D16" s="11" t="s">
        <v>10</v>
      </c>
      <c r="E16" s="11">
        <v>7</v>
      </c>
      <c r="F16" s="11">
        <v>550</v>
      </c>
      <c r="H16" s="12">
        <f t="shared" ref="H16" si="3">(E16*F16)+G16</f>
        <v>3850</v>
      </c>
      <c r="I16" s="13"/>
      <c r="J16" s="12">
        <f t="shared" ref="J16" si="4">(H16*I16)+H16</f>
        <v>3850</v>
      </c>
      <c r="L16" s="9"/>
      <c r="N16" s="63"/>
      <c r="O16" s="64"/>
      <c r="Q16" s="73"/>
      <c r="R16" s="74"/>
      <c r="T16" s="85"/>
      <c r="U16" s="60"/>
      <c r="W16" s="61"/>
      <c r="X16" s="61"/>
    </row>
    <row r="17" spans="2:26" x14ac:dyDescent="0.35">
      <c r="B17" s="5" t="s">
        <v>57</v>
      </c>
      <c r="D17" s="11" t="s">
        <v>10</v>
      </c>
      <c r="E17" s="11">
        <v>15</v>
      </c>
      <c r="F17" s="11">
        <v>550</v>
      </c>
      <c r="H17" s="12">
        <f t="shared" ref="H17:H20" si="5">(E17*F17)+G17</f>
        <v>8250</v>
      </c>
      <c r="I17" s="13"/>
      <c r="J17" s="12">
        <f t="shared" ref="J17:J20" si="6">(H17*I17)+H17</f>
        <v>8250</v>
      </c>
      <c r="L17" s="9"/>
      <c r="N17" s="63"/>
      <c r="O17" s="64"/>
      <c r="Q17" s="73"/>
      <c r="R17" s="74"/>
      <c r="T17" s="85"/>
      <c r="U17" s="60"/>
      <c r="W17" s="61"/>
      <c r="X17" s="61"/>
    </row>
    <row r="18" spans="2:26" x14ac:dyDescent="0.35">
      <c r="B18" s="5" t="s">
        <v>34</v>
      </c>
      <c r="D18" s="11" t="s">
        <v>10</v>
      </c>
      <c r="E18" s="11">
        <v>20</v>
      </c>
      <c r="F18" s="11">
        <v>550</v>
      </c>
      <c r="H18" s="12">
        <f t="shared" si="5"/>
        <v>11000</v>
      </c>
      <c r="I18" s="13"/>
      <c r="J18" s="12">
        <f t="shared" si="6"/>
        <v>11000</v>
      </c>
      <c r="L18" s="9"/>
      <c r="N18" s="63"/>
      <c r="O18" s="64"/>
      <c r="Q18" s="73"/>
      <c r="R18" s="74"/>
      <c r="T18" s="85"/>
      <c r="U18" s="60"/>
      <c r="W18" s="61"/>
      <c r="X18" s="61"/>
    </row>
    <row r="19" spans="2:26" x14ac:dyDescent="0.35">
      <c r="B19" s="5" t="s">
        <v>35</v>
      </c>
      <c r="D19" s="11" t="s">
        <v>10</v>
      </c>
      <c r="E19" s="11">
        <v>15</v>
      </c>
      <c r="F19" s="11">
        <v>550</v>
      </c>
      <c r="H19" s="12">
        <f t="shared" si="5"/>
        <v>8250</v>
      </c>
      <c r="I19" s="13"/>
      <c r="J19" s="12">
        <f t="shared" si="6"/>
        <v>8250</v>
      </c>
      <c r="L19" s="9"/>
      <c r="N19" s="63"/>
      <c r="O19" s="64"/>
      <c r="Q19" s="73"/>
      <c r="R19" s="74"/>
      <c r="T19" s="85"/>
      <c r="U19" s="60"/>
      <c r="W19" s="61"/>
      <c r="X19" s="61"/>
    </row>
    <row r="20" spans="2:26" x14ac:dyDescent="0.35">
      <c r="B20" s="5" t="s">
        <v>36</v>
      </c>
      <c r="D20" s="11" t="s">
        <v>10</v>
      </c>
      <c r="E20" s="11">
        <v>5</v>
      </c>
      <c r="F20" s="11">
        <v>550</v>
      </c>
      <c r="H20" s="12">
        <f t="shared" si="5"/>
        <v>2750</v>
      </c>
      <c r="I20" s="13"/>
      <c r="J20" s="12">
        <f t="shared" si="6"/>
        <v>2750</v>
      </c>
      <c r="L20" s="9"/>
      <c r="N20" s="63"/>
      <c r="O20" s="64"/>
      <c r="Q20" s="73"/>
      <c r="R20" s="74"/>
      <c r="T20" s="85"/>
      <c r="U20" s="60"/>
      <c r="W20" s="61"/>
      <c r="X20" s="61"/>
    </row>
    <row r="21" spans="2:26" x14ac:dyDescent="0.35">
      <c r="B21" s="5" t="s">
        <v>58</v>
      </c>
      <c r="D21" s="11" t="s">
        <v>10</v>
      </c>
      <c r="E21" s="11">
        <v>4</v>
      </c>
      <c r="F21" s="11">
        <v>550</v>
      </c>
      <c r="H21" s="12">
        <f t="shared" ref="H21" si="7">(E21*F21)+G21</f>
        <v>2200</v>
      </c>
      <c r="I21" s="13"/>
      <c r="J21" s="12">
        <f t="shared" ref="J21:J22" si="8">(H21*I21)+H21</f>
        <v>2200</v>
      </c>
      <c r="L21" s="9"/>
      <c r="N21" s="63"/>
      <c r="O21" s="64"/>
      <c r="Q21" s="73"/>
      <c r="R21" s="74"/>
      <c r="T21" s="85"/>
      <c r="U21" s="60"/>
      <c r="W21" s="61"/>
      <c r="X21" s="61"/>
    </row>
    <row r="22" spans="2:26" x14ac:dyDescent="0.35">
      <c r="B22" s="5" t="s">
        <v>126</v>
      </c>
      <c r="D22" s="11" t="s">
        <v>127</v>
      </c>
      <c r="H22" s="12">
        <v>5000</v>
      </c>
      <c r="I22" s="23">
        <v>0.15</v>
      </c>
      <c r="J22" s="12">
        <f t="shared" si="8"/>
        <v>5750</v>
      </c>
      <c r="L22" s="9"/>
      <c r="N22" s="63"/>
      <c r="O22" s="64"/>
      <c r="Q22" s="73"/>
      <c r="R22" s="74"/>
      <c r="T22" s="85"/>
      <c r="U22" s="60"/>
      <c r="W22" s="61"/>
      <c r="X22" s="61"/>
    </row>
    <row r="23" spans="2:26" x14ac:dyDescent="0.35">
      <c r="B23" s="10"/>
      <c r="H23" s="12"/>
      <c r="J23" s="12"/>
      <c r="L23" s="9"/>
      <c r="N23" s="63"/>
      <c r="O23" s="64"/>
      <c r="Q23" s="73"/>
      <c r="R23" s="74"/>
      <c r="T23" s="85"/>
      <c r="U23" s="60"/>
      <c r="W23" s="61"/>
      <c r="X23" s="61"/>
    </row>
    <row r="24" spans="2:26" x14ac:dyDescent="0.35">
      <c r="B24" s="9" t="s">
        <v>26</v>
      </c>
      <c r="H24" s="12"/>
      <c r="J24" s="12"/>
      <c r="L24" s="18">
        <f>SUM(J25:J30)</f>
        <v>167825.25</v>
      </c>
      <c r="N24" s="65">
        <v>0</v>
      </c>
      <c r="O24" s="64">
        <f>L24*N24</f>
        <v>0</v>
      </c>
      <c r="Q24" s="75">
        <v>0.15</v>
      </c>
      <c r="R24" s="74">
        <f>L24*Q24</f>
        <v>25173.787499999999</v>
      </c>
      <c r="T24" s="86">
        <v>1</v>
      </c>
      <c r="U24" s="60">
        <f>L24*T24</f>
        <v>167825.25</v>
      </c>
      <c r="W24" s="99">
        <v>1</v>
      </c>
      <c r="X24" s="61">
        <f>L24*W24</f>
        <v>167825.25</v>
      </c>
    </row>
    <row r="25" spans="2:26" x14ac:dyDescent="0.35">
      <c r="B25" s="5" t="s">
        <v>30</v>
      </c>
      <c r="D25" s="11" t="s">
        <v>37</v>
      </c>
      <c r="H25" s="14">
        <v>145935</v>
      </c>
      <c r="I25" s="23">
        <v>0.15</v>
      </c>
      <c r="J25" s="14">
        <f t="shared" ref="J25" si="9">(H25*I25)+H25</f>
        <v>167825.25</v>
      </c>
      <c r="K25" s="10"/>
      <c r="L25" s="20"/>
      <c r="M25" s="10"/>
      <c r="N25" s="66"/>
      <c r="O25" s="67"/>
      <c r="P25" s="55"/>
      <c r="Q25" s="76"/>
      <c r="R25" s="77"/>
      <c r="S25" s="10"/>
      <c r="T25" s="87"/>
      <c r="U25" s="88"/>
      <c r="V25" s="55"/>
      <c r="W25" s="100"/>
      <c r="X25" s="100"/>
      <c r="Y25" s="10"/>
      <c r="Z25" s="22" t="s">
        <v>40</v>
      </c>
    </row>
    <row r="26" spans="2:26" x14ac:dyDescent="0.35">
      <c r="B26" s="5" t="s">
        <v>27</v>
      </c>
      <c r="D26" s="11" t="s">
        <v>37</v>
      </c>
      <c r="H26" s="12"/>
      <c r="J26" s="12"/>
      <c r="L26" s="9"/>
      <c r="N26" s="63"/>
      <c r="O26" s="64"/>
      <c r="Q26" s="73"/>
      <c r="R26" s="74"/>
      <c r="T26" s="85"/>
      <c r="U26" s="60"/>
      <c r="W26" s="61"/>
      <c r="X26" s="61"/>
    </row>
    <row r="27" spans="2:26" x14ac:dyDescent="0.35">
      <c r="B27" s="5" t="s">
        <v>32</v>
      </c>
      <c r="D27" s="11" t="s">
        <v>37</v>
      </c>
      <c r="H27" s="12"/>
      <c r="J27" s="12"/>
      <c r="L27" s="9"/>
      <c r="N27" s="63"/>
      <c r="O27" s="64"/>
      <c r="Q27" s="73"/>
      <c r="R27" s="74"/>
      <c r="T27" s="85"/>
      <c r="U27" s="60"/>
      <c r="W27" s="61"/>
      <c r="X27" s="61"/>
    </row>
    <row r="28" spans="2:26" x14ac:dyDescent="0.35">
      <c r="B28" s="24" t="s">
        <v>60</v>
      </c>
      <c r="D28" s="11" t="s">
        <v>37</v>
      </c>
      <c r="H28" s="12"/>
      <c r="J28" s="12"/>
      <c r="L28" s="9"/>
      <c r="N28" s="63"/>
      <c r="O28" s="64"/>
      <c r="Q28" s="73"/>
      <c r="R28" s="74"/>
      <c r="T28" s="85"/>
      <c r="U28" s="60"/>
      <c r="W28" s="61"/>
      <c r="X28" s="61"/>
    </row>
    <row r="29" spans="2:26" x14ac:dyDescent="0.35">
      <c r="B29" s="5" t="s">
        <v>33</v>
      </c>
      <c r="D29" s="11" t="s">
        <v>37</v>
      </c>
      <c r="H29" s="12"/>
      <c r="J29" s="12"/>
      <c r="L29" s="9"/>
      <c r="N29" s="63"/>
      <c r="O29" s="64"/>
      <c r="Q29" s="73"/>
      <c r="R29" s="74"/>
      <c r="T29" s="85"/>
      <c r="U29" s="60"/>
      <c r="W29" s="61"/>
      <c r="X29" s="61"/>
    </row>
    <row r="30" spans="2:26" x14ac:dyDescent="0.35">
      <c r="B30" s="5" t="s">
        <v>31</v>
      </c>
      <c r="D30" s="11" t="s">
        <v>37</v>
      </c>
      <c r="H30" s="12"/>
      <c r="J30" s="12"/>
      <c r="L30" s="9"/>
      <c r="N30" s="63"/>
      <c r="O30" s="64"/>
      <c r="Q30" s="73"/>
      <c r="R30" s="74"/>
      <c r="T30" s="85"/>
      <c r="U30" s="60"/>
      <c r="W30" s="61"/>
      <c r="X30" s="61"/>
    </row>
    <row r="31" spans="2:26" x14ac:dyDescent="0.35">
      <c r="B31" s="10"/>
      <c r="H31" s="12"/>
      <c r="J31" s="12"/>
      <c r="L31" s="9"/>
      <c r="N31" s="63"/>
      <c r="O31" s="64"/>
      <c r="Q31" s="73"/>
      <c r="R31" s="74"/>
      <c r="T31" s="85"/>
      <c r="U31" s="60"/>
      <c r="W31" s="61"/>
      <c r="X31" s="61"/>
    </row>
    <row r="32" spans="2:26" x14ac:dyDescent="0.35">
      <c r="B32" s="21" t="s">
        <v>19</v>
      </c>
      <c r="L32" s="18">
        <f>SUM(J33:J48)</f>
        <v>154403.5</v>
      </c>
      <c r="N32" s="65">
        <v>0.15</v>
      </c>
      <c r="O32" s="64">
        <f>L32*N32</f>
        <v>23160.524999999998</v>
      </c>
      <c r="Q32" s="75">
        <v>0.65</v>
      </c>
      <c r="R32" s="74">
        <f>L32*Q32</f>
        <v>100362.27500000001</v>
      </c>
      <c r="T32" s="86">
        <v>0.95</v>
      </c>
      <c r="U32" s="60">
        <f>L32*T32</f>
        <v>146683.32499999998</v>
      </c>
      <c r="W32" s="99">
        <v>1</v>
      </c>
      <c r="X32" s="61">
        <f>L32*W32</f>
        <v>154403.5</v>
      </c>
    </row>
    <row r="33" spans="2:26" x14ac:dyDescent="0.35">
      <c r="B33" s="5" t="s">
        <v>46</v>
      </c>
      <c r="D33" s="11" t="s">
        <v>10</v>
      </c>
      <c r="E33" s="11">
        <v>52</v>
      </c>
      <c r="F33" s="11">
        <v>550</v>
      </c>
      <c r="G33" s="12">
        <f>(12290+1000+800)*1.15</f>
        <v>16203.499999999998</v>
      </c>
      <c r="H33" s="12">
        <f t="shared" ref="H33" si="10">(E33*F33)+G33</f>
        <v>44803.5</v>
      </c>
      <c r="I33" s="13"/>
      <c r="J33" s="12">
        <f t="shared" ref="J33" si="11">(H33*I33)+H33</f>
        <v>44803.5</v>
      </c>
      <c r="L33" s="9"/>
      <c r="N33" s="63"/>
      <c r="O33" s="64"/>
      <c r="Q33" s="73"/>
      <c r="R33" s="74"/>
      <c r="T33" s="85"/>
      <c r="U33" s="60"/>
      <c r="W33" s="61"/>
      <c r="X33" s="61"/>
      <c r="Z33" s="19" t="s">
        <v>51</v>
      </c>
    </row>
    <row r="34" spans="2:26" x14ac:dyDescent="0.35">
      <c r="B34" s="5" t="s">
        <v>47</v>
      </c>
      <c r="D34" s="11" t="s">
        <v>10</v>
      </c>
      <c r="E34" s="11">
        <v>17</v>
      </c>
      <c r="F34" s="11">
        <v>550</v>
      </c>
      <c r="G34" s="11">
        <v>600</v>
      </c>
      <c r="H34" s="12">
        <f t="shared" ref="H34" si="12">(E34*F34)+G34</f>
        <v>9950</v>
      </c>
      <c r="I34" s="13"/>
      <c r="J34" s="12">
        <f t="shared" ref="J34" si="13">(H34*I34)+H34</f>
        <v>9950</v>
      </c>
      <c r="L34" s="9"/>
      <c r="N34" s="63"/>
      <c r="O34" s="64"/>
      <c r="Q34" s="73"/>
      <c r="R34" s="74"/>
      <c r="T34" s="85"/>
      <c r="U34" s="60"/>
      <c r="W34" s="61"/>
      <c r="X34" s="61"/>
    </row>
    <row r="35" spans="2:26" x14ac:dyDescent="0.35">
      <c r="B35" s="5" t="s">
        <v>48</v>
      </c>
      <c r="D35" s="11" t="s">
        <v>10</v>
      </c>
      <c r="E35" s="11">
        <v>5</v>
      </c>
      <c r="F35" s="11">
        <v>550</v>
      </c>
      <c r="G35" s="11">
        <v>400</v>
      </c>
      <c r="H35" s="12">
        <f t="shared" ref="H35" si="14">(E35*F35)+G35</f>
        <v>3150</v>
      </c>
      <c r="I35" s="13"/>
      <c r="J35" s="12">
        <f t="shared" ref="J35:J43" si="15">(H35*I35)+H35</f>
        <v>3150</v>
      </c>
      <c r="L35" s="9"/>
      <c r="N35" s="63"/>
      <c r="O35" s="64"/>
      <c r="Q35" s="73"/>
      <c r="R35" s="74"/>
      <c r="T35" s="85"/>
      <c r="U35" s="60"/>
      <c r="W35" s="61"/>
      <c r="X35" s="61"/>
    </row>
    <row r="36" spans="2:26" x14ac:dyDescent="0.35">
      <c r="B36" s="5" t="s">
        <v>59</v>
      </c>
      <c r="D36" s="11" t="s">
        <v>10</v>
      </c>
      <c r="E36" s="11">
        <v>15</v>
      </c>
      <c r="F36" s="11">
        <v>550</v>
      </c>
      <c r="G36" s="11">
        <v>1500</v>
      </c>
      <c r="H36" s="12">
        <f t="shared" ref="H36" si="16">(E36*F36)+G36</f>
        <v>9750</v>
      </c>
      <c r="J36" s="12">
        <f t="shared" si="15"/>
        <v>9750</v>
      </c>
      <c r="L36" s="9"/>
      <c r="N36" s="63"/>
      <c r="O36" s="64"/>
      <c r="Q36" s="73"/>
      <c r="R36" s="74"/>
      <c r="T36" s="85"/>
      <c r="U36" s="60"/>
      <c r="W36" s="61"/>
      <c r="X36" s="61"/>
    </row>
    <row r="37" spans="2:26" x14ac:dyDescent="0.35">
      <c r="B37" s="5" t="s">
        <v>52</v>
      </c>
      <c r="D37" s="11" t="s">
        <v>10</v>
      </c>
      <c r="E37" s="11">
        <v>18</v>
      </c>
      <c r="F37" s="11">
        <v>550</v>
      </c>
      <c r="G37" s="11">
        <v>1000</v>
      </c>
      <c r="H37" s="12">
        <f t="shared" ref="H37" si="17">(E37*F37)+G37</f>
        <v>10900</v>
      </c>
      <c r="J37" s="12">
        <f t="shared" si="15"/>
        <v>10900</v>
      </c>
      <c r="L37" s="9"/>
      <c r="N37" s="63"/>
      <c r="O37" s="64"/>
      <c r="Q37" s="73"/>
      <c r="R37" s="74"/>
      <c r="T37" s="85"/>
      <c r="U37" s="60"/>
      <c r="W37" s="61"/>
      <c r="X37" s="61"/>
    </row>
    <row r="38" spans="2:26" x14ac:dyDescent="0.35">
      <c r="B38" s="5" t="s">
        <v>53</v>
      </c>
      <c r="D38" s="11" t="s">
        <v>10</v>
      </c>
      <c r="E38" s="11">
        <v>30</v>
      </c>
      <c r="F38" s="11">
        <v>550</v>
      </c>
      <c r="G38" s="11">
        <v>1000</v>
      </c>
      <c r="H38" s="12">
        <f t="shared" ref="H38" si="18">(E38*F38)+G38</f>
        <v>17500</v>
      </c>
      <c r="J38" s="12">
        <f t="shared" si="15"/>
        <v>17500</v>
      </c>
      <c r="L38" s="9"/>
      <c r="N38" s="63"/>
      <c r="O38" s="64"/>
      <c r="Q38" s="73"/>
      <c r="R38" s="74"/>
      <c r="T38" s="85"/>
      <c r="U38" s="60"/>
      <c r="W38" s="61"/>
      <c r="X38" s="61"/>
    </row>
    <row r="39" spans="2:26" x14ac:dyDescent="0.35">
      <c r="B39" s="5" t="s">
        <v>55</v>
      </c>
      <c r="D39" s="11" t="s">
        <v>10</v>
      </c>
      <c r="E39" s="11">
        <v>8</v>
      </c>
      <c r="F39" s="11">
        <v>550</v>
      </c>
      <c r="G39" s="11">
        <v>500</v>
      </c>
      <c r="H39" s="12">
        <f t="shared" ref="H39" si="19">(E39*F39)+G39</f>
        <v>4900</v>
      </c>
      <c r="J39" s="12">
        <f t="shared" si="15"/>
        <v>4900</v>
      </c>
      <c r="L39" s="9"/>
      <c r="N39" s="63"/>
      <c r="O39" s="64"/>
      <c r="Q39" s="73"/>
      <c r="R39" s="74"/>
      <c r="T39" s="85"/>
      <c r="U39" s="60"/>
      <c r="W39" s="61"/>
      <c r="X39" s="61"/>
    </row>
    <row r="40" spans="2:26" x14ac:dyDescent="0.35">
      <c r="B40" s="5" t="s">
        <v>54</v>
      </c>
      <c r="D40" s="11" t="s">
        <v>10</v>
      </c>
      <c r="E40" s="11">
        <v>8</v>
      </c>
      <c r="F40" s="11">
        <v>550</v>
      </c>
      <c r="G40" s="11">
        <v>1800</v>
      </c>
      <c r="H40" s="12">
        <f t="shared" ref="H40" si="20">(E40*F40)+G40</f>
        <v>6200</v>
      </c>
      <c r="J40" s="12">
        <f t="shared" si="15"/>
        <v>6200</v>
      </c>
      <c r="L40" s="9"/>
      <c r="N40" s="63"/>
      <c r="O40" s="64"/>
      <c r="Q40" s="73"/>
      <c r="R40" s="74"/>
      <c r="T40" s="85"/>
      <c r="U40" s="60"/>
      <c r="W40" s="61"/>
      <c r="X40" s="61"/>
    </row>
    <row r="41" spans="2:26" x14ac:dyDescent="0.35">
      <c r="B41" s="5" t="s">
        <v>56</v>
      </c>
      <c r="D41" s="11" t="s">
        <v>10</v>
      </c>
      <c r="E41" s="11">
        <v>15</v>
      </c>
      <c r="F41" s="11">
        <v>550</v>
      </c>
      <c r="G41" s="11">
        <v>1200</v>
      </c>
      <c r="H41" s="12">
        <f t="shared" ref="H41" si="21">(E41*F41)+G41</f>
        <v>9450</v>
      </c>
      <c r="J41" s="12">
        <f t="shared" si="15"/>
        <v>9450</v>
      </c>
      <c r="L41" s="9"/>
      <c r="N41" s="63"/>
      <c r="O41" s="64"/>
      <c r="Q41" s="73"/>
      <c r="R41" s="74"/>
      <c r="T41" s="85"/>
      <c r="U41" s="60"/>
      <c r="W41" s="61"/>
      <c r="X41" s="61"/>
    </row>
    <row r="42" spans="2:26" x14ac:dyDescent="0.35">
      <c r="B42" s="5" t="s">
        <v>49</v>
      </c>
      <c r="D42" s="11" t="s">
        <v>10</v>
      </c>
      <c r="E42" s="11">
        <v>7</v>
      </c>
      <c r="F42" s="11">
        <v>550</v>
      </c>
      <c r="G42" s="11">
        <v>800</v>
      </c>
      <c r="H42" s="12">
        <f t="shared" ref="H42" si="22">(E42*F42)+G42</f>
        <v>4650</v>
      </c>
      <c r="J42" s="12">
        <f t="shared" si="15"/>
        <v>4650</v>
      </c>
      <c r="L42" s="9"/>
      <c r="N42" s="63"/>
      <c r="O42" s="64"/>
      <c r="Q42" s="73"/>
      <c r="R42" s="74"/>
      <c r="T42" s="85"/>
      <c r="U42" s="60"/>
      <c r="W42" s="61"/>
      <c r="X42" s="61"/>
    </row>
    <row r="43" spans="2:26" x14ac:dyDescent="0.35">
      <c r="B43" s="5" t="s">
        <v>50</v>
      </c>
      <c r="D43" s="11" t="s">
        <v>10</v>
      </c>
      <c r="E43" s="11">
        <v>6</v>
      </c>
      <c r="F43" s="11">
        <v>550</v>
      </c>
      <c r="G43" s="11">
        <v>800</v>
      </c>
      <c r="H43" s="12">
        <f t="shared" ref="H43" si="23">(E43*F43)+G43</f>
        <v>4100</v>
      </c>
      <c r="J43" s="12">
        <f t="shared" si="15"/>
        <v>4100</v>
      </c>
      <c r="L43" s="9"/>
      <c r="N43" s="63"/>
      <c r="O43" s="64"/>
      <c r="Q43" s="73"/>
      <c r="R43" s="74"/>
      <c r="T43" s="85"/>
      <c r="U43" s="60"/>
      <c r="W43" s="61"/>
      <c r="X43" s="61"/>
    </row>
    <row r="44" spans="2:26" x14ac:dyDescent="0.35">
      <c r="B44" s="5" t="s">
        <v>128</v>
      </c>
      <c r="D44" s="11" t="s">
        <v>10</v>
      </c>
      <c r="H44" s="11">
        <v>5000</v>
      </c>
      <c r="J44" s="14">
        <f t="shared" ref="J44:J45" si="24">(H44*I44)+H44</f>
        <v>5000</v>
      </c>
      <c r="L44" s="9"/>
      <c r="N44" s="63"/>
      <c r="O44" s="64"/>
      <c r="Q44" s="73"/>
      <c r="R44" s="74"/>
      <c r="T44" s="85"/>
      <c r="U44" s="60"/>
      <c r="W44" s="61"/>
      <c r="X44" s="61"/>
    </row>
    <row r="45" spans="2:26" x14ac:dyDescent="0.35">
      <c r="B45" s="5" t="s">
        <v>20</v>
      </c>
      <c r="D45" s="11" t="s">
        <v>10</v>
      </c>
      <c r="E45" s="11">
        <v>25</v>
      </c>
      <c r="F45" s="11">
        <v>550</v>
      </c>
      <c r="G45" s="11">
        <v>1200</v>
      </c>
      <c r="H45" s="12">
        <f t="shared" ref="H45" si="25">(E45*F45)+G45</f>
        <v>14950</v>
      </c>
      <c r="J45" s="12">
        <f t="shared" si="24"/>
        <v>14950</v>
      </c>
      <c r="L45" s="9"/>
      <c r="N45" s="63"/>
      <c r="O45" s="64"/>
      <c r="Q45" s="73"/>
      <c r="R45" s="74"/>
      <c r="T45" s="85"/>
      <c r="U45" s="60"/>
      <c r="W45" s="61"/>
      <c r="X45" s="61"/>
    </row>
    <row r="46" spans="2:26" x14ac:dyDescent="0.35">
      <c r="B46" s="5" t="s">
        <v>125</v>
      </c>
      <c r="D46" s="11" t="s">
        <v>10</v>
      </c>
      <c r="E46" s="11">
        <v>10</v>
      </c>
      <c r="F46" s="11">
        <v>550</v>
      </c>
      <c r="G46" s="11">
        <v>800</v>
      </c>
      <c r="H46" s="12">
        <f t="shared" ref="H46" si="26">(E46*F46)+G46</f>
        <v>6300</v>
      </c>
      <c r="J46" s="12">
        <f t="shared" ref="J46" si="27">(H46*I46)+H46</f>
        <v>6300</v>
      </c>
      <c r="L46" s="9"/>
      <c r="N46" s="63"/>
      <c r="O46" s="64"/>
      <c r="Q46" s="73"/>
      <c r="R46" s="74"/>
      <c r="T46" s="85"/>
      <c r="U46" s="60"/>
      <c r="W46" s="61"/>
      <c r="X46" s="61"/>
    </row>
    <row r="47" spans="2:26" x14ac:dyDescent="0.35">
      <c r="B47" s="5" t="s">
        <v>138</v>
      </c>
      <c r="D47" s="11" t="s">
        <v>10</v>
      </c>
      <c r="E47" s="11">
        <v>4</v>
      </c>
      <c r="F47" s="11">
        <v>550</v>
      </c>
      <c r="G47" s="11">
        <v>600</v>
      </c>
      <c r="H47" s="12">
        <f t="shared" ref="H47" si="28">(E47*F47)+G47</f>
        <v>2800</v>
      </c>
      <c r="J47" s="12">
        <f t="shared" ref="J47" si="29">(H47*I47)+H47</f>
        <v>2800</v>
      </c>
      <c r="L47" s="9"/>
      <c r="N47" s="63"/>
      <c r="O47" s="64"/>
      <c r="Q47" s="73"/>
      <c r="R47" s="74"/>
      <c r="T47" s="85"/>
      <c r="U47" s="60"/>
      <c r="W47" s="61"/>
      <c r="X47" s="61"/>
    </row>
    <row r="48" spans="2:26" x14ac:dyDescent="0.35">
      <c r="B48" s="5"/>
      <c r="J48" s="14"/>
      <c r="L48" s="9"/>
      <c r="N48" s="63"/>
      <c r="O48" s="64"/>
      <c r="Q48" s="73"/>
      <c r="R48" s="74"/>
      <c r="T48" s="85"/>
      <c r="U48" s="60"/>
      <c r="W48" s="61"/>
      <c r="X48" s="61"/>
    </row>
    <row r="49" spans="2:26" x14ac:dyDescent="0.35">
      <c r="B49" s="9" t="s">
        <v>13</v>
      </c>
      <c r="L49" s="18">
        <f>SUM(J50:J61)</f>
        <v>94800</v>
      </c>
      <c r="N49" s="65">
        <v>0</v>
      </c>
      <c r="O49" s="64">
        <f>L49*N49</f>
        <v>0</v>
      </c>
      <c r="Q49" s="75">
        <v>0.6</v>
      </c>
      <c r="R49" s="74">
        <f>L49*Q49</f>
        <v>56880</v>
      </c>
      <c r="T49" s="86">
        <v>1</v>
      </c>
      <c r="U49" s="60">
        <f>L49*T49</f>
        <v>94800</v>
      </c>
      <c r="W49" s="99">
        <v>1</v>
      </c>
      <c r="X49" s="61">
        <f>L49*W49</f>
        <v>94800</v>
      </c>
    </row>
    <row r="50" spans="2:26" x14ac:dyDescent="0.35">
      <c r="B50" t="s">
        <v>61</v>
      </c>
      <c r="D50" s="11" t="s">
        <v>10</v>
      </c>
      <c r="E50" s="11">
        <v>29</v>
      </c>
      <c r="F50" s="11">
        <v>550</v>
      </c>
      <c r="G50" s="11">
        <v>3500</v>
      </c>
      <c r="H50" s="12">
        <f t="shared" ref="H50" si="30">(E50*F50)+G50</f>
        <v>19450</v>
      </c>
      <c r="I50" s="13"/>
      <c r="J50" s="12">
        <f t="shared" ref="J50" si="31">(H50*I50)+H50</f>
        <v>19450</v>
      </c>
      <c r="L50" s="18"/>
      <c r="N50" s="63"/>
      <c r="O50" s="64"/>
      <c r="Q50" s="73"/>
      <c r="R50" s="74"/>
      <c r="T50" s="85"/>
      <c r="U50" s="60"/>
      <c r="W50" s="61"/>
      <c r="X50" s="61"/>
    </row>
    <row r="51" spans="2:26" x14ac:dyDescent="0.35">
      <c r="B51" s="5" t="s">
        <v>62</v>
      </c>
      <c r="D51" s="11" t="s">
        <v>10</v>
      </c>
      <c r="E51" s="11">
        <v>14</v>
      </c>
      <c r="F51" s="11">
        <v>550</v>
      </c>
      <c r="G51" s="11">
        <v>800</v>
      </c>
      <c r="H51" s="12">
        <f t="shared" ref="H51" si="32">(E51*F51)+G51</f>
        <v>8500</v>
      </c>
      <c r="I51" s="13"/>
      <c r="J51" s="12">
        <f t="shared" ref="J51" si="33">(H51*I51)+H51</f>
        <v>8500</v>
      </c>
      <c r="L51" s="9"/>
      <c r="N51" s="63"/>
      <c r="O51" s="64"/>
      <c r="Q51" s="73"/>
      <c r="R51" s="74"/>
      <c r="T51" s="85"/>
      <c r="U51" s="60"/>
      <c r="W51" s="61"/>
      <c r="X51" s="61"/>
    </row>
    <row r="52" spans="2:26" x14ac:dyDescent="0.35">
      <c r="B52" s="5" t="s">
        <v>64</v>
      </c>
      <c r="D52" s="11" t="s">
        <v>10</v>
      </c>
      <c r="E52" s="11">
        <v>7</v>
      </c>
      <c r="F52" s="11">
        <v>550</v>
      </c>
      <c r="G52" s="11">
        <v>600</v>
      </c>
      <c r="H52" s="12">
        <f t="shared" ref="H52" si="34">(E52*F52)+G52</f>
        <v>4450</v>
      </c>
      <c r="I52" s="13"/>
      <c r="J52" s="12">
        <f t="shared" ref="J52" si="35">(H52*I52)+H52</f>
        <v>4450</v>
      </c>
      <c r="L52" s="9"/>
      <c r="N52" s="63"/>
      <c r="O52" s="64"/>
      <c r="Q52" s="73"/>
      <c r="R52" s="74"/>
      <c r="T52" s="85"/>
      <c r="U52" s="60"/>
      <c r="W52" s="61"/>
      <c r="X52" s="61"/>
    </row>
    <row r="53" spans="2:26" x14ac:dyDescent="0.35">
      <c r="B53" s="5" t="s">
        <v>63</v>
      </c>
      <c r="D53" s="11" t="s">
        <v>10</v>
      </c>
      <c r="E53" s="11">
        <v>10</v>
      </c>
      <c r="F53" s="11">
        <v>550</v>
      </c>
      <c r="G53" s="11">
        <v>600</v>
      </c>
      <c r="H53" s="12">
        <f t="shared" ref="H53" si="36">(E53*F53)+G53</f>
        <v>6100</v>
      </c>
      <c r="I53" s="13"/>
      <c r="J53" s="12">
        <f t="shared" ref="J53" si="37">(H53*I53)+H53</f>
        <v>6100</v>
      </c>
      <c r="L53" s="9"/>
      <c r="N53" s="63"/>
      <c r="O53" s="64"/>
      <c r="Q53" s="73"/>
      <c r="R53" s="74"/>
      <c r="T53" s="85"/>
      <c r="U53" s="60"/>
      <c r="W53" s="61"/>
      <c r="X53" s="61"/>
    </row>
    <row r="54" spans="2:26" x14ac:dyDescent="0.35">
      <c r="B54" s="5" t="s">
        <v>129</v>
      </c>
      <c r="D54" s="11" t="s">
        <v>10</v>
      </c>
      <c r="E54" s="11">
        <v>10</v>
      </c>
      <c r="F54" s="11">
        <v>550</v>
      </c>
      <c r="G54" s="11">
        <v>600</v>
      </c>
      <c r="H54" s="12">
        <f t="shared" ref="H54" si="38">(E54*F54)+G54</f>
        <v>6100</v>
      </c>
      <c r="I54" s="13"/>
      <c r="J54" s="12">
        <f t="shared" ref="J54" si="39">(H54*I54)+H54</f>
        <v>6100</v>
      </c>
      <c r="L54" s="9"/>
      <c r="N54" s="63"/>
      <c r="O54" s="64"/>
      <c r="Q54" s="73"/>
      <c r="R54" s="74"/>
      <c r="T54" s="85"/>
      <c r="U54" s="60"/>
      <c r="W54" s="61"/>
      <c r="X54" s="61"/>
    </row>
    <row r="55" spans="2:26" x14ac:dyDescent="0.35">
      <c r="B55" s="5" t="s">
        <v>71</v>
      </c>
      <c r="D55" s="11" t="s">
        <v>10</v>
      </c>
      <c r="E55" s="11">
        <v>4</v>
      </c>
      <c r="F55" s="11">
        <v>550</v>
      </c>
      <c r="G55" s="11">
        <v>600</v>
      </c>
      <c r="H55" s="12">
        <f t="shared" ref="H55:H61" si="40">(E55*F55)+G55</f>
        <v>2800</v>
      </c>
      <c r="I55" s="13"/>
      <c r="J55" s="12">
        <f t="shared" ref="J55:J61" si="41">(H55*I55)+H55</f>
        <v>2800</v>
      </c>
      <c r="L55" s="9"/>
      <c r="N55" s="63"/>
      <c r="O55" s="64"/>
      <c r="Q55" s="73"/>
      <c r="R55" s="74"/>
      <c r="T55" s="85"/>
      <c r="U55" s="60"/>
      <c r="W55" s="61"/>
      <c r="X55" s="61"/>
    </row>
    <row r="56" spans="2:26" x14ac:dyDescent="0.35">
      <c r="B56" s="5" t="s">
        <v>66</v>
      </c>
      <c r="D56" s="11" t="s">
        <v>10</v>
      </c>
      <c r="E56" s="11">
        <v>6</v>
      </c>
      <c r="F56" s="11">
        <v>550</v>
      </c>
      <c r="G56" s="11">
        <v>1800</v>
      </c>
      <c r="H56" s="12">
        <f t="shared" si="40"/>
        <v>5100</v>
      </c>
      <c r="I56" s="13"/>
      <c r="J56" s="12">
        <f t="shared" si="41"/>
        <v>5100</v>
      </c>
      <c r="L56" s="9"/>
      <c r="N56" s="63"/>
      <c r="O56" s="64"/>
      <c r="Q56" s="73"/>
      <c r="R56" s="74"/>
      <c r="T56" s="85"/>
      <c r="U56" s="60"/>
      <c r="W56" s="61"/>
      <c r="X56" s="61"/>
    </row>
    <row r="57" spans="2:26" x14ac:dyDescent="0.35">
      <c r="B57" s="5" t="s">
        <v>67</v>
      </c>
      <c r="D57" s="11" t="s">
        <v>10</v>
      </c>
      <c r="E57" s="11">
        <v>8</v>
      </c>
      <c r="F57" s="11">
        <v>550</v>
      </c>
      <c r="G57" s="11">
        <v>2400</v>
      </c>
      <c r="H57" s="12">
        <f t="shared" si="40"/>
        <v>6800</v>
      </c>
      <c r="I57" s="13"/>
      <c r="J57" s="12">
        <f t="shared" si="41"/>
        <v>6800</v>
      </c>
      <c r="L57" s="9"/>
      <c r="N57" s="63"/>
      <c r="O57" s="64"/>
      <c r="Q57" s="73"/>
      <c r="R57" s="74"/>
      <c r="T57" s="85"/>
      <c r="U57" s="60"/>
      <c r="W57" s="61"/>
      <c r="X57" s="61"/>
    </row>
    <row r="58" spans="2:26" x14ac:dyDescent="0.35">
      <c r="B58" s="5" t="s">
        <v>72</v>
      </c>
      <c r="D58" s="11" t="s">
        <v>10</v>
      </c>
      <c r="E58" s="11">
        <v>21</v>
      </c>
      <c r="F58" s="11">
        <v>550</v>
      </c>
      <c r="G58" s="11">
        <v>600</v>
      </c>
      <c r="H58" s="12">
        <f t="shared" si="40"/>
        <v>12150</v>
      </c>
      <c r="I58" s="13"/>
      <c r="J58" s="12">
        <f t="shared" si="41"/>
        <v>12150</v>
      </c>
      <c r="L58" s="9"/>
      <c r="N58" s="63"/>
      <c r="O58" s="64"/>
      <c r="Q58" s="73"/>
      <c r="R58" s="74"/>
      <c r="T58" s="85"/>
      <c r="U58" s="60"/>
      <c r="W58" s="61"/>
      <c r="X58" s="61"/>
    </row>
    <row r="59" spans="2:26" x14ac:dyDescent="0.35">
      <c r="B59" s="5" t="s">
        <v>68</v>
      </c>
      <c r="D59" s="11" t="s">
        <v>10</v>
      </c>
      <c r="E59" s="11">
        <v>14</v>
      </c>
      <c r="F59" s="11">
        <v>550</v>
      </c>
      <c r="G59" s="11">
        <v>1000</v>
      </c>
      <c r="H59" s="12">
        <f t="shared" si="40"/>
        <v>8700</v>
      </c>
      <c r="I59" s="13"/>
      <c r="J59" s="12">
        <f t="shared" si="41"/>
        <v>8700</v>
      </c>
      <c r="L59" s="9"/>
      <c r="N59" s="63"/>
      <c r="O59" s="64"/>
      <c r="Q59" s="73"/>
      <c r="R59" s="74"/>
      <c r="T59" s="85"/>
      <c r="U59" s="60"/>
      <c r="W59" s="61"/>
      <c r="X59" s="61"/>
    </row>
    <row r="60" spans="2:26" x14ac:dyDescent="0.35">
      <c r="B60" s="5" t="s">
        <v>70</v>
      </c>
      <c r="D60" s="11" t="s">
        <v>10</v>
      </c>
      <c r="H60" s="11">
        <v>8000</v>
      </c>
      <c r="I60" s="13">
        <v>0.15</v>
      </c>
      <c r="J60" s="12">
        <f t="shared" si="41"/>
        <v>9200</v>
      </c>
      <c r="N60" s="63"/>
      <c r="O60" s="64"/>
      <c r="Q60" s="73"/>
      <c r="R60" s="74"/>
      <c r="T60" s="85"/>
      <c r="U60" s="60"/>
      <c r="W60" s="61"/>
      <c r="X60" s="61"/>
    </row>
    <row r="61" spans="2:26" x14ac:dyDescent="0.35">
      <c r="B61" s="5" t="s">
        <v>69</v>
      </c>
      <c r="D61" s="11" t="s">
        <v>10</v>
      </c>
      <c r="E61" s="11">
        <v>7</v>
      </c>
      <c r="F61" s="11">
        <v>550</v>
      </c>
      <c r="G61" s="11">
        <v>1600</v>
      </c>
      <c r="H61" s="12">
        <f t="shared" si="40"/>
        <v>5450</v>
      </c>
      <c r="I61" s="13"/>
      <c r="J61" s="12">
        <f t="shared" si="41"/>
        <v>5450</v>
      </c>
      <c r="N61" s="63"/>
      <c r="O61" s="64"/>
      <c r="Q61" s="73"/>
      <c r="R61" s="74"/>
      <c r="T61" s="85"/>
      <c r="U61" s="60"/>
      <c r="W61" s="61"/>
      <c r="X61" s="61"/>
    </row>
    <row r="62" spans="2:26" x14ac:dyDescent="0.35">
      <c r="N62" s="63"/>
      <c r="O62" s="64"/>
      <c r="Q62" s="73"/>
      <c r="R62" s="74"/>
      <c r="T62" s="85"/>
      <c r="U62" s="60"/>
      <c r="W62" s="61"/>
      <c r="X62" s="61"/>
    </row>
    <row r="63" spans="2:26" x14ac:dyDescent="0.35">
      <c r="B63" s="9" t="s">
        <v>73</v>
      </c>
      <c r="L63" s="18">
        <f>SUM(J64:J67)</f>
        <v>130397.34999999999</v>
      </c>
      <c r="N63" s="65">
        <v>0.5</v>
      </c>
      <c r="O63" s="64">
        <f>L63*N63</f>
        <v>65198.674999999996</v>
      </c>
      <c r="Q63" s="75">
        <v>0.5</v>
      </c>
      <c r="R63" s="74">
        <f>L63*Q63</f>
        <v>65198.674999999996</v>
      </c>
      <c r="T63" s="86">
        <v>0.8</v>
      </c>
      <c r="U63" s="60">
        <f>L63*T63</f>
        <v>104317.88</v>
      </c>
      <c r="W63" s="99">
        <v>0.8</v>
      </c>
      <c r="X63" s="61">
        <f>L63*W63</f>
        <v>104317.88</v>
      </c>
      <c r="Z63" s="19" t="s">
        <v>97</v>
      </c>
    </row>
    <row r="64" spans="2:26" x14ac:dyDescent="0.35">
      <c r="B64" t="s">
        <v>78</v>
      </c>
      <c r="I64" s="13"/>
      <c r="J64" s="12"/>
      <c r="L64" s="9"/>
      <c r="N64" s="63"/>
      <c r="O64" s="64"/>
      <c r="Q64" s="73"/>
      <c r="R64" s="74"/>
      <c r="T64" s="85"/>
      <c r="U64" s="60"/>
      <c r="W64" s="61"/>
      <c r="X64" s="61"/>
    </row>
    <row r="65" spans="2:26" x14ac:dyDescent="0.35">
      <c r="B65" t="s">
        <v>79</v>
      </c>
      <c r="D65" s="11" t="s">
        <v>10</v>
      </c>
      <c r="H65" s="12">
        <v>42375</v>
      </c>
      <c r="I65" s="13">
        <v>0.15</v>
      </c>
      <c r="J65" s="12">
        <f t="shared" ref="J65" si="42">(H65*I65)+H65</f>
        <v>48731.25</v>
      </c>
      <c r="L65" s="9"/>
      <c r="N65" s="63"/>
      <c r="O65" s="64"/>
      <c r="Q65" s="73"/>
      <c r="R65" s="74"/>
      <c r="T65" s="85"/>
      <c r="U65" s="60"/>
      <c r="W65" s="61"/>
      <c r="X65" s="61"/>
    </row>
    <row r="66" spans="2:26" x14ac:dyDescent="0.35">
      <c r="B66" t="s">
        <v>80</v>
      </c>
      <c r="D66" s="11" t="s">
        <v>10</v>
      </c>
      <c r="H66" s="12">
        <v>32531</v>
      </c>
      <c r="I66" s="13">
        <v>0.15</v>
      </c>
      <c r="J66" s="12">
        <f t="shared" ref="J66" si="43">(H66*I66)+H66</f>
        <v>37410.65</v>
      </c>
      <c r="L66" s="9"/>
      <c r="N66" s="63"/>
      <c r="O66" s="64"/>
      <c r="Q66" s="73"/>
      <c r="R66" s="74"/>
      <c r="T66" s="85"/>
      <c r="U66" s="60"/>
      <c r="W66" s="61"/>
      <c r="X66" s="61"/>
    </row>
    <row r="67" spans="2:26" x14ac:dyDescent="0.35">
      <c r="B67" t="s">
        <v>81</v>
      </c>
      <c r="D67" s="11" t="s">
        <v>10</v>
      </c>
      <c r="H67" s="12">
        <v>38483</v>
      </c>
      <c r="I67" s="13">
        <v>0.15</v>
      </c>
      <c r="J67" s="12">
        <f t="shared" ref="J67" si="44">(H67*I67)+H67</f>
        <v>44255.45</v>
      </c>
      <c r="L67" s="9"/>
      <c r="N67" s="63"/>
      <c r="O67" s="64"/>
      <c r="Q67" s="73"/>
      <c r="R67" s="74"/>
      <c r="T67" s="85"/>
      <c r="U67" s="60"/>
      <c r="W67" s="61"/>
      <c r="X67" s="61"/>
    </row>
    <row r="68" spans="2:26" x14ac:dyDescent="0.35">
      <c r="B68" s="10" t="s">
        <v>82</v>
      </c>
      <c r="H68" s="12"/>
      <c r="I68" s="13"/>
      <c r="J68" s="12"/>
      <c r="L68" s="9"/>
      <c r="N68" s="63"/>
      <c r="O68" s="64"/>
      <c r="Q68" s="73"/>
      <c r="R68" s="74"/>
      <c r="T68" s="85"/>
      <c r="U68" s="60"/>
      <c r="W68" s="61"/>
      <c r="X68" s="61"/>
    </row>
    <row r="69" spans="2:26" x14ac:dyDescent="0.35">
      <c r="B69" s="9" t="s">
        <v>75</v>
      </c>
      <c r="H69" s="12">
        <v>31052</v>
      </c>
      <c r="I69" s="13">
        <v>0.15</v>
      </c>
      <c r="J69" s="12">
        <f t="shared" ref="J69" si="45">(H69*I69)+H69</f>
        <v>35709.800000000003</v>
      </c>
      <c r="L69" s="18">
        <f>SUM(J69:J72)</f>
        <v>35709.800000000003</v>
      </c>
      <c r="N69" s="65">
        <v>0.5</v>
      </c>
      <c r="O69" s="64">
        <f>L69*N69</f>
        <v>17854.900000000001</v>
      </c>
      <c r="Q69" s="75">
        <v>0.5</v>
      </c>
      <c r="R69" s="74">
        <f>L69*Q69</f>
        <v>17854.900000000001</v>
      </c>
      <c r="T69" s="86">
        <v>0.9</v>
      </c>
      <c r="U69" s="60">
        <f>L69*T69</f>
        <v>32138.820000000003</v>
      </c>
      <c r="W69" s="99">
        <v>1</v>
      </c>
      <c r="X69" s="61">
        <f>L69*W69</f>
        <v>35709.800000000003</v>
      </c>
      <c r="Z69" s="19" t="s">
        <v>97</v>
      </c>
    </row>
    <row r="70" spans="2:26" x14ac:dyDescent="0.35">
      <c r="B70" t="s">
        <v>83</v>
      </c>
      <c r="D70" s="11" t="s">
        <v>10</v>
      </c>
      <c r="H70" s="12"/>
      <c r="I70" s="13"/>
      <c r="J70" s="12"/>
      <c r="L70" s="9"/>
      <c r="N70" s="63"/>
      <c r="O70" s="64"/>
      <c r="Q70" s="73"/>
      <c r="R70" s="74"/>
      <c r="T70" s="85"/>
      <c r="U70" s="60"/>
      <c r="W70" s="61"/>
      <c r="X70" s="61"/>
    </row>
    <row r="71" spans="2:26" x14ac:dyDescent="0.35">
      <c r="B71" t="s">
        <v>84</v>
      </c>
      <c r="D71" s="11" t="s">
        <v>10</v>
      </c>
      <c r="H71" s="12"/>
      <c r="I71" s="13"/>
      <c r="J71" s="12"/>
      <c r="L71" s="9"/>
      <c r="N71" s="63"/>
      <c r="O71" s="64"/>
      <c r="Q71" s="73"/>
      <c r="R71" s="74"/>
      <c r="T71" s="85"/>
      <c r="U71" s="60"/>
      <c r="W71" s="61"/>
      <c r="X71" s="61"/>
    </row>
    <row r="72" spans="2:26" x14ac:dyDescent="0.35">
      <c r="B72" t="s">
        <v>85</v>
      </c>
      <c r="D72" s="11" t="s">
        <v>10</v>
      </c>
      <c r="H72" s="12"/>
      <c r="I72" s="13"/>
      <c r="J72" s="12"/>
      <c r="L72" s="9"/>
      <c r="N72" s="63"/>
      <c r="O72" s="64"/>
      <c r="Q72" s="73"/>
      <c r="R72" s="74"/>
      <c r="T72" s="85"/>
      <c r="U72" s="60"/>
      <c r="W72" s="61"/>
      <c r="X72" s="61"/>
    </row>
    <row r="73" spans="2:26" x14ac:dyDescent="0.35">
      <c r="B73" s="9" t="s">
        <v>76</v>
      </c>
      <c r="L73" s="18">
        <f>SUM(J73:J74)</f>
        <v>25797.95</v>
      </c>
      <c r="N73" s="65">
        <v>0.5</v>
      </c>
      <c r="O73" s="64">
        <f>L73*N73</f>
        <v>12898.975</v>
      </c>
      <c r="Q73" s="75">
        <v>0.5</v>
      </c>
      <c r="R73" s="74">
        <f>L73*Q73</f>
        <v>12898.975</v>
      </c>
      <c r="T73" s="86">
        <v>0.9</v>
      </c>
      <c r="U73" s="60">
        <f>L73*T73</f>
        <v>23218.155000000002</v>
      </c>
      <c r="W73" s="99">
        <v>1</v>
      </c>
      <c r="X73" s="61">
        <f>L73*W73</f>
        <v>25797.95</v>
      </c>
      <c r="Z73" s="19" t="s">
        <v>97</v>
      </c>
    </row>
    <row r="74" spans="2:26" x14ac:dyDescent="0.35">
      <c r="B74" t="s">
        <v>86</v>
      </c>
      <c r="D74" s="11" t="s">
        <v>10</v>
      </c>
      <c r="H74" s="12">
        <v>22433</v>
      </c>
      <c r="I74" s="13">
        <v>0.15</v>
      </c>
      <c r="J74" s="12">
        <f t="shared" ref="J74" si="46">(H74*I74)+H74</f>
        <v>25797.95</v>
      </c>
      <c r="L74" s="9"/>
      <c r="N74" s="63"/>
      <c r="O74" s="64"/>
      <c r="Q74" s="73"/>
      <c r="R74" s="74"/>
      <c r="T74" s="85"/>
      <c r="U74" s="60"/>
      <c r="W74" s="61"/>
      <c r="X74" s="61"/>
    </row>
    <row r="75" spans="2:26" x14ac:dyDescent="0.35">
      <c r="B75" s="9" t="s">
        <v>77</v>
      </c>
      <c r="L75" s="18">
        <f>SUM(J75:J76)</f>
        <v>7013.85</v>
      </c>
      <c r="N75" s="65">
        <v>0.5</v>
      </c>
      <c r="O75" s="64">
        <f>L75*N75</f>
        <v>3506.9250000000002</v>
      </c>
      <c r="Q75" s="75">
        <v>0.5</v>
      </c>
      <c r="R75" s="74">
        <f>L75*Q75</f>
        <v>3506.9250000000002</v>
      </c>
      <c r="T75" s="86">
        <v>0.9</v>
      </c>
      <c r="U75" s="60">
        <f>L75*T75</f>
        <v>6312.4650000000001</v>
      </c>
      <c r="W75" s="99">
        <v>1</v>
      </c>
      <c r="X75" s="61">
        <f>L75*W75</f>
        <v>7013.85</v>
      </c>
      <c r="Z75" s="19" t="s">
        <v>97</v>
      </c>
    </row>
    <row r="76" spans="2:26" x14ac:dyDescent="0.35">
      <c r="B76" t="s">
        <v>87</v>
      </c>
      <c r="D76" s="11" t="s">
        <v>10</v>
      </c>
      <c r="H76" s="12">
        <v>6099</v>
      </c>
      <c r="I76" s="13">
        <v>0.15</v>
      </c>
      <c r="J76" s="12">
        <f t="shared" ref="J76" si="47">(H76*I76)+H76</f>
        <v>7013.85</v>
      </c>
      <c r="N76" s="63"/>
      <c r="O76" s="64"/>
      <c r="Q76" s="73"/>
      <c r="R76" s="74"/>
      <c r="T76" s="85"/>
      <c r="U76" s="60"/>
      <c r="W76" s="61"/>
      <c r="X76" s="61"/>
    </row>
    <row r="77" spans="2:26" x14ac:dyDescent="0.35">
      <c r="B77" s="9" t="s">
        <v>88</v>
      </c>
      <c r="L77" s="18">
        <f>SUM(J77:J78)</f>
        <v>4582.75</v>
      </c>
      <c r="N77" s="65">
        <v>0.5</v>
      </c>
      <c r="O77" s="64">
        <f>L77*N77</f>
        <v>2291.375</v>
      </c>
      <c r="Q77" s="75">
        <v>0.5</v>
      </c>
      <c r="R77" s="74">
        <f>L77*Q77</f>
        <v>2291.375</v>
      </c>
      <c r="T77" s="86">
        <v>0.9</v>
      </c>
      <c r="U77" s="60">
        <f>L77*T77</f>
        <v>4124.4750000000004</v>
      </c>
      <c r="W77" s="99">
        <v>1</v>
      </c>
      <c r="X77" s="61">
        <f>L77*W77</f>
        <v>4582.75</v>
      </c>
      <c r="Z77" s="19" t="s">
        <v>97</v>
      </c>
    </row>
    <row r="78" spans="2:26" x14ac:dyDescent="0.35">
      <c r="B78" t="s">
        <v>89</v>
      </c>
      <c r="D78" s="11" t="s">
        <v>10</v>
      </c>
      <c r="H78" s="12">
        <v>3985</v>
      </c>
      <c r="I78" s="13">
        <v>0.15</v>
      </c>
      <c r="J78" s="12">
        <f t="shared" ref="J78" si="48">(H78*I78)+H78</f>
        <v>4582.75</v>
      </c>
      <c r="L78" s="9"/>
      <c r="N78" s="63"/>
      <c r="O78" s="64"/>
      <c r="Q78" s="73"/>
      <c r="R78" s="74"/>
      <c r="T78" s="85"/>
      <c r="U78" s="60"/>
      <c r="W78" s="61"/>
      <c r="X78" s="61"/>
    </row>
    <row r="79" spans="2:26" x14ac:dyDescent="0.35">
      <c r="B79" s="9" t="s">
        <v>90</v>
      </c>
      <c r="I79" s="13"/>
      <c r="J79" s="12"/>
      <c r="L79" s="18">
        <f>SUM(J79:J80)</f>
        <v>36570</v>
      </c>
      <c r="N79" s="65">
        <v>0.5</v>
      </c>
      <c r="O79" s="64">
        <f>L79*N79</f>
        <v>18285</v>
      </c>
      <c r="Q79" s="75">
        <v>0.5</v>
      </c>
      <c r="R79" s="74">
        <f>L79*Q79</f>
        <v>18285</v>
      </c>
      <c r="T79" s="86">
        <v>0.5</v>
      </c>
      <c r="U79" s="60">
        <f>L79*T79</f>
        <v>18285</v>
      </c>
      <c r="W79" s="99">
        <v>0.9</v>
      </c>
      <c r="X79" s="61">
        <f>L79*W79</f>
        <v>32913</v>
      </c>
      <c r="Z79" s="19" t="s">
        <v>97</v>
      </c>
    </row>
    <row r="80" spans="2:26" x14ac:dyDescent="0.35">
      <c r="B80" t="s">
        <v>91</v>
      </c>
      <c r="D80" s="11" t="s">
        <v>10</v>
      </c>
      <c r="H80" s="12">
        <v>31800</v>
      </c>
      <c r="I80" s="13">
        <v>0.15</v>
      </c>
      <c r="J80" s="12">
        <f t="shared" ref="J80" si="49">(H80*I80)+H80</f>
        <v>36570</v>
      </c>
      <c r="L80" s="9"/>
      <c r="N80" s="63"/>
      <c r="O80" s="64"/>
      <c r="Q80" s="73"/>
      <c r="R80" s="74"/>
      <c r="T80" s="85"/>
      <c r="U80" s="60"/>
      <c r="W80" s="61"/>
      <c r="X80" s="61"/>
    </row>
    <row r="81" spans="2:26" x14ac:dyDescent="0.35">
      <c r="N81" s="63"/>
      <c r="O81" s="64"/>
      <c r="Q81" s="73"/>
      <c r="R81" s="74"/>
      <c r="T81" s="85"/>
      <c r="U81" s="60"/>
      <c r="W81" s="61"/>
      <c r="X81" s="61"/>
    </row>
    <row r="82" spans="2:26" x14ac:dyDescent="0.35">
      <c r="B82" s="9" t="s">
        <v>74</v>
      </c>
      <c r="L82" s="18">
        <f>SUM(J83:J86)</f>
        <v>47550</v>
      </c>
      <c r="N82" s="65">
        <v>0</v>
      </c>
      <c r="O82" s="64">
        <f>L82*N82</f>
        <v>0</v>
      </c>
      <c r="Q82" s="75">
        <v>0</v>
      </c>
      <c r="R82" s="74">
        <f>O82*Q82</f>
        <v>0</v>
      </c>
      <c r="T82" s="86">
        <v>0</v>
      </c>
      <c r="U82" s="60">
        <f>R82*T82</f>
        <v>0</v>
      </c>
      <c r="W82" s="99">
        <v>1</v>
      </c>
      <c r="X82" s="61">
        <f>L82*W82</f>
        <v>47550</v>
      </c>
      <c r="Z82" s="19" t="s">
        <v>97</v>
      </c>
    </row>
    <row r="83" spans="2:26" x14ac:dyDescent="0.35">
      <c r="B83" t="s">
        <v>92</v>
      </c>
      <c r="D83" s="11" t="s">
        <v>10</v>
      </c>
      <c r="H83" s="11">
        <v>12000</v>
      </c>
      <c r="I83" s="13">
        <v>0.15</v>
      </c>
      <c r="J83" s="12">
        <f t="shared" ref="J83" si="50">(H83*I83)+H83</f>
        <v>13800</v>
      </c>
      <c r="N83" s="63"/>
      <c r="O83" s="64"/>
      <c r="Q83" s="73"/>
      <c r="R83" s="74"/>
      <c r="T83" s="85"/>
      <c r="U83" s="60"/>
      <c r="W83" s="61"/>
      <c r="X83" s="61"/>
    </row>
    <row r="84" spans="2:26" x14ac:dyDescent="0.35">
      <c r="B84" t="s">
        <v>95</v>
      </c>
      <c r="D84" s="11" t="s">
        <v>10</v>
      </c>
      <c r="H84" s="11">
        <v>12000</v>
      </c>
      <c r="I84" s="13">
        <v>0.15</v>
      </c>
      <c r="J84" s="12">
        <f t="shared" ref="J84:J85" si="51">(H84*I84)+H84</f>
        <v>13800</v>
      </c>
      <c r="N84" s="63"/>
      <c r="O84" s="64"/>
      <c r="Q84" s="73"/>
      <c r="R84" s="74"/>
      <c r="T84" s="85"/>
      <c r="U84" s="60"/>
      <c r="W84" s="61"/>
      <c r="X84" s="61"/>
    </row>
    <row r="85" spans="2:26" x14ac:dyDescent="0.35">
      <c r="B85" t="s">
        <v>94</v>
      </c>
      <c r="D85" s="11" t="s">
        <v>10</v>
      </c>
      <c r="E85" s="11">
        <v>15</v>
      </c>
      <c r="F85" s="11">
        <v>550</v>
      </c>
      <c r="G85" s="12">
        <v>2500</v>
      </c>
      <c r="H85" s="12">
        <f t="shared" ref="H85" si="52">(E85*F85)+G85</f>
        <v>10750</v>
      </c>
      <c r="J85" s="12">
        <f t="shared" si="51"/>
        <v>10750</v>
      </c>
      <c r="N85" s="63"/>
      <c r="O85" s="64"/>
      <c r="Q85" s="73"/>
      <c r="R85" s="74"/>
      <c r="T85" s="85"/>
      <c r="U85" s="60"/>
      <c r="W85" s="61"/>
      <c r="X85" s="61"/>
    </row>
    <row r="86" spans="2:26" x14ac:dyDescent="0.35">
      <c r="B86" t="s">
        <v>96</v>
      </c>
      <c r="D86" s="11" t="s">
        <v>10</v>
      </c>
      <c r="G86" s="12"/>
      <c r="H86" s="12">
        <v>8000</v>
      </c>
      <c r="I86" s="13">
        <v>0.15</v>
      </c>
      <c r="J86" s="12">
        <f t="shared" ref="J86" si="53">(H86*I86)+H86</f>
        <v>9200</v>
      </c>
      <c r="N86" s="63"/>
      <c r="O86" s="64"/>
      <c r="Q86" s="73"/>
      <c r="R86" s="74"/>
      <c r="T86" s="85"/>
      <c r="U86" s="60"/>
      <c r="W86" s="61"/>
      <c r="X86" s="61"/>
    </row>
    <row r="87" spans="2:26" x14ac:dyDescent="0.35">
      <c r="B87" s="10" t="s">
        <v>93</v>
      </c>
      <c r="L87" s="9"/>
      <c r="N87" s="63"/>
      <c r="O87" s="64"/>
      <c r="Q87" s="73"/>
      <c r="R87" s="74"/>
      <c r="T87" s="85"/>
      <c r="U87" s="60"/>
      <c r="W87" s="61"/>
      <c r="X87" s="61"/>
    </row>
    <row r="88" spans="2:26" x14ac:dyDescent="0.35">
      <c r="B88" s="10" t="s">
        <v>146</v>
      </c>
      <c r="L88" s="9"/>
      <c r="N88" s="63"/>
      <c r="O88" s="64"/>
      <c r="Q88" s="73"/>
      <c r="R88" s="74"/>
      <c r="T88" s="85"/>
      <c r="U88" s="60"/>
      <c r="W88" s="61"/>
      <c r="X88" s="61"/>
    </row>
    <row r="89" spans="2:26" x14ac:dyDescent="0.35">
      <c r="N89" s="63"/>
      <c r="O89" s="64"/>
      <c r="Q89" s="73"/>
      <c r="R89" s="74"/>
      <c r="T89" s="85"/>
      <c r="U89" s="60"/>
      <c r="W89" s="61"/>
      <c r="X89" s="61"/>
    </row>
    <row r="90" spans="2:26" x14ac:dyDescent="0.35">
      <c r="B90" s="9" t="s">
        <v>14</v>
      </c>
      <c r="L90" s="18">
        <f>SUM(J91:J93)</f>
        <v>129720</v>
      </c>
      <c r="N90" s="65">
        <v>0</v>
      </c>
      <c r="O90" s="64">
        <f>L90*N90</f>
        <v>0</v>
      </c>
      <c r="Q90" s="75">
        <v>0.5</v>
      </c>
      <c r="R90" s="74">
        <f>L90*Q90</f>
        <v>64860</v>
      </c>
      <c r="T90" s="86">
        <v>0.8</v>
      </c>
      <c r="U90" s="60">
        <f>L90*T90</f>
        <v>103776</v>
      </c>
      <c r="W90" s="99">
        <v>1</v>
      </c>
      <c r="X90" s="61">
        <f>L90*W90</f>
        <v>129720</v>
      </c>
      <c r="Z90" s="19" t="s">
        <v>45</v>
      </c>
    </row>
    <row r="91" spans="2:26" x14ac:dyDescent="0.35">
      <c r="B91" t="s">
        <v>41</v>
      </c>
      <c r="D91" s="11" t="s">
        <v>44</v>
      </c>
      <c r="H91" s="12">
        <v>112800</v>
      </c>
      <c r="I91" s="13">
        <v>0.15</v>
      </c>
      <c r="J91" s="12">
        <f>(H91*I91)+H91</f>
        <v>129720</v>
      </c>
      <c r="L91" s="9"/>
      <c r="N91" s="63"/>
      <c r="O91" s="64"/>
      <c r="Q91" s="73"/>
      <c r="R91" s="74"/>
      <c r="T91" s="85"/>
      <c r="U91" s="60"/>
      <c r="W91" s="61"/>
      <c r="X91" s="61"/>
      <c r="Z91" s="33" t="s">
        <v>143</v>
      </c>
    </row>
    <row r="92" spans="2:26" x14ac:dyDescent="0.35">
      <c r="B92" t="s">
        <v>42</v>
      </c>
      <c r="D92" s="11" t="s">
        <v>44</v>
      </c>
      <c r="I92" s="13"/>
      <c r="J92" s="12"/>
      <c r="L92" s="9"/>
      <c r="N92" s="63"/>
      <c r="O92" s="64"/>
      <c r="Q92" s="73"/>
      <c r="R92" s="74"/>
      <c r="T92" s="85"/>
      <c r="U92" s="60"/>
      <c r="W92" s="61"/>
      <c r="X92" s="61"/>
    </row>
    <row r="93" spans="2:26" x14ac:dyDescent="0.35">
      <c r="B93" t="s">
        <v>43</v>
      </c>
      <c r="D93" s="11" t="s">
        <v>44</v>
      </c>
      <c r="N93" s="63"/>
      <c r="O93" s="64"/>
      <c r="Q93" s="73"/>
      <c r="R93" s="74"/>
      <c r="T93" s="85"/>
      <c r="U93" s="60"/>
      <c r="W93" s="61"/>
      <c r="X93" s="61"/>
    </row>
    <row r="94" spans="2:26" x14ac:dyDescent="0.35">
      <c r="B94" s="10" t="s">
        <v>65</v>
      </c>
      <c r="N94" s="63"/>
      <c r="O94" s="64"/>
      <c r="Q94" s="73"/>
      <c r="R94" s="74"/>
      <c r="T94" s="85"/>
      <c r="U94" s="60"/>
      <c r="W94" s="61"/>
      <c r="X94" s="61"/>
    </row>
    <row r="95" spans="2:26" x14ac:dyDescent="0.35">
      <c r="N95" s="63"/>
      <c r="O95" s="64"/>
      <c r="Q95" s="73"/>
      <c r="R95" s="74"/>
      <c r="T95" s="85"/>
      <c r="U95" s="60"/>
      <c r="W95" s="61"/>
      <c r="X95" s="61"/>
    </row>
    <row r="96" spans="2:26" x14ac:dyDescent="0.35">
      <c r="B96" s="9" t="s">
        <v>11</v>
      </c>
      <c r="L96" s="18">
        <f>SUM(J97:J110)</f>
        <v>97445.25</v>
      </c>
      <c r="N96" s="65">
        <v>0</v>
      </c>
      <c r="O96" s="64">
        <f>L96*N96</f>
        <v>0</v>
      </c>
      <c r="Q96" s="75">
        <v>0.6</v>
      </c>
      <c r="R96" s="74">
        <f>L96*Q96</f>
        <v>58467.15</v>
      </c>
      <c r="T96" s="86">
        <v>0.8</v>
      </c>
      <c r="U96" s="60">
        <f>L96*T96</f>
        <v>77956.2</v>
      </c>
      <c r="W96" s="99">
        <v>1</v>
      </c>
      <c r="X96" s="61">
        <f>L96*W96</f>
        <v>97445.25</v>
      </c>
      <c r="Z96" s="25" t="s">
        <v>124</v>
      </c>
    </row>
    <row r="97" spans="2:26" x14ac:dyDescent="0.35">
      <c r="B97" s="5" t="s">
        <v>98</v>
      </c>
      <c r="D97" s="11" t="s">
        <v>10</v>
      </c>
      <c r="H97" s="12">
        <v>67935</v>
      </c>
      <c r="I97" s="13">
        <v>0.15</v>
      </c>
      <c r="J97" s="12">
        <f>(H97*I97)+H97</f>
        <v>78125.25</v>
      </c>
      <c r="N97" s="63"/>
      <c r="O97" s="64"/>
      <c r="Q97" s="73"/>
      <c r="R97" s="74"/>
      <c r="T97" s="85"/>
      <c r="U97" s="60"/>
      <c r="W97" s="61"/>
      <c r="X97" s="61"/>
    </row>
    <row r="98" spans="2:26" x14ac:dyDescent="0.35">
      <c r="B98" s="5" t="s">
        <v>121</v>
      </c>
      <c r="D98" s="11" t="s">
        <v>10</v>
      </c>
      <c r="H98" s="12"/>
      <c r="N98" s="63"/>
      <c r="O98" s="64"/>
      <c r="Q98" s="73"/>
      <c r="R98" s="74"/>
      <c r="T98" s="85"/>
      <c r="U98" s="60"/>
      <c r="W98" s="61"/>
      <c r="X98" s="61"/>
    </row>
    <row r="99" spans="2:26" x14ac:dyDescent="0.35">
      <c r="B99" s="5" t="s">
        <v>130</v>
      </c>
      <c r="D99" s="11" t="s">
        <v>10</v>
      </c>
      <c r="H99" s="12"/>
      <c r="N99" s="63"/>
      <c r="O99" s="64"/>
      <c r="Q99" s="73"/>
      <c r="R99" s="74"/>
      <c r="T99" s="85"/>
      <c r="U99" s="60"/>
      <c r="W99" s="61"/>
      <c r="X99" s="61"/>
    </row>
    <row r="100" spans="2:26" x14ac:dyDescent="0.35">
      <c r="B100" s="5" t="s">
        <v>99</v>
      </c>
      <c r="D100" s="11" t="s">
        <v>10</v>
      </c>
      <c r="H100" s="12"/>
      <c r="N100" s="63"/>
      <c r="O100" s="64"/>
      <c r="Q100" s="73"/>
      <c r="R100" s="74"/>
      <c r="T100" s="85"/>
      <c r="U100" s="60"/>
      <c r="W100" s="61"/>
      <c r="X100" s="61"/>
    </row>
    <row r="101" spans="2:26" x14ac:dyDescent="0.35">
      <c r="B101" s="5" t="s">
        <v>100</v>
      </c>
      <c r="D101" s="11" t="s">
        <v>10</v>
      </c>
      <c r="H101" s="12"/>
      <c r="N101" s="63"/>
      <c r="O101" s="64"/>
      <c r="Q101" s="73"/>
      <c r="R101" s="74"/>
      <c r="T101" s="85"/>
      <c r="U101" s="60"/>
      <c r="W101" s="61"/>
      <c r="X101" s="61"/>
    </row>
    <row r="102" spans="2:26" x14ac:dyDescent="0.35">
      <c r="B102" s="5" t="s">
        <v>131</v>
      </c>
      <c r="D102" s="11" t="s">
        <v>10</v>
      </c>
      <c r="H102" s="12"/>
      <c r="N102" s="63"/>
      <c r="O102" s="64"/>
      <c r="Q102" s="73"/>
      <c r="R102" s="74"/>
      <c r="T102" s="85"/>
      <c r="U102" s="60"/>
      <c r="W102" s="61"/>
      <c r="X102" s="61"/>
    </row>
    <row r="103" spans="2:26" x14ac:dyDescent="0.35">
      <c r="B103" s="5" t="s">
        <v>132</v>
      </c>
      <c r="D103" s="11" t="s">
        <v>10</v>
      </c>
      <c r="H103" s="12"/>
      <c r="N103" s="63"/>
      <c r="O103" s="64"/>
      <c r="Q103" s="73"/>
      <c r="R103" s="74"/>
      <c r="T103" s="85"/>
      <c r="U103" s="60"/>
      <c r="W103" s="61"/>
      <c r="X103" s="61"/>
    </row>
    <row r="104" spans="2:26" x14ac:dyDescent="0.35">
      <c r="B104" s="5" t="s">
        <v>122</v>
      </c>
      <c r="D104" s="11" t="s">
        <v>10</v>
      </c>
      <c r="H104" s="12"/>
      <c r="N104" s="63"/>
      <c r="O104" s="64"/>
      <c r="Q104" s="73"/>
      <c r="R104" s="74"/>
      <c r="T104" s="85"/>
      <c r="U104" s="60"/>
      <c r="W104" s="61"/>
      <c r="X104" s="61"/>
    </row>
    <row r="105" spans="2:26" x14ac:dyDescent="0.35">
      <c r="B105" s="5" t="s">
        <v>214</v>
      </c>
      <c r="D105" s="11" t="s">
        <v>10</v>
      </c>
      <c r="H105" s="12"/>
      <c r="N105" s="63"/>
      <c r="O105" s="64"/>
      <c r="Q105" s="73"/>
      <c r="R105" s="74"/>
      <c r="T105" s="85"/>
      <c r="U105" s="60"/>
      <c r="W105" s="61"/>
      <c r="X105" s="61"/>
    </row>
    <row r="106" spans="2:26" x14ac:dyDescent="0.35">
      <c r="B106" s="5" t="s">
        <v>101</v>
      </c>
      <c r="D106" s="11" t="s">
        <v>10</v>
      </c>
      <c r="H106" s="12"/>
      <c r="N106" s="63"/>
      <c r="O106" s="64"/>
      <c r="Q106" s="73"/>
      <c r="R106" s="74"/>
      <c r="T106" s="85"/>
      <c r="U106" s="60"/>
      <c r="W106" s="61"/>
      <c r="X106" s="61"/>
    </row>
    <row r="107" spans="2:26" x14ac:dyDescent="0.35">
      <c r="B107" s="5" t="s">
        <v>102</v>
      </c>
      <c r="D107" s="11" t="s">
        <v>10</v>
      </c>
      <c r="H107" s="12"/>
      <c r="N107" s="63"/>
      <c r="O107" s="64"/>
      <c r="Q107" s="73"/>
      <c r="R107" s="74"/>
      <c r="T107" s="85"/>
      <c r="U107" s="60"/>
      <c r="W107" s="61"/>
      <c r="X107" s="61"/>
    </row>
    <row r="108" spans="2:26" x14ac:dyDescent="0.35">
      <c r="B108" s="5" t="s">
        <v>133</v>
      </c>
      <c r="D108" s="11" t="s">
        <v>10</v>
      </c>
      <c r="H108" s="12">
        <v>8000</v>
      </c>
      <c r="I108" s="13">
        <v>0.15</v>
      </c>
      <c r="J108" s="12">
        <f>(H108*I108)+H108</f>
        <v>9200</v>
      </c>
      <c r="N108" s="63"/>
      <c r="O108" s="64"/>
      <c r="Q108" s="73"/>
      <c r="R108" s="74"/>
      <c r="T108" s="85"/>
      <c r="U108" s="60"/>
      <c r="W108" s="61"/>
      <c r="X108" s="61"/>
    </row>
    <row r="109" spans="2:26" x14ac:dyDescent="0.35">
      <c r="B109" s="5" t="s">
        <v>134</v>
      </c>
      <c r="D109" s="11" t="s">
        <v>10</v>
      </c>
      <c r="J109" s="12"/>
      <c r="N109" s="63"/>
      <c r="O109" s="64"/>
      <c r="Q109" s="73"/>
      <c r="R109" s="74"/>
      <c r="T109" s="85"/>
      <c r="U109" s="60"/>
      <c r="W109" s="61"/>
      <c r="X109" s="61"/>
    </row>
    <row r="110" spans="2:26" x14ac:dyDescent="0.35">
      <c r="B110" s="5" t="s">
        <v>140</v>
      </c>
      <c r="D110" s="11" t="s">
        <v>10</v>
      </c>
      <c r="H110" s="12">
        <v>8800</v>
      </c>
      <c r="I110" s="13">
        <v>0.15</v>
      </c>
      <c r="J110" s="12">
        <f>(H110*I110)+H110</f>
        <v>10120</v>
      </c>
      <c r="N110" s="63"/>
      <c r="O110" s="64"/>
      <c r="Q110" s="73"/>
      <c r="R110" s="74"/>
      <c r="T110" s="85"/>
      <c r="U110" s="60"/>
      <c r="W110" s="61"/>
      <c r="X110" s="61"/>
      <c r="Z110" s="25" t="s">
        <v>124</v>
      </c>
    </row>
    <row r="111" spans="2:26" x14ac:dyDescent="0.35">
      <c r="B111" s="10" t="s">
        <v>123</v>
      </c>
      <c r="J111" s="12"/>
      <c r="N111" s="63"/>
      <c r="O111" s="64"/>
      <c r="Q111" s="73"/>
      <c r="R111" s="74"/>
      <c r="T111" s="85"/>
      <c r="U111" s="60"/>
      <c r="W111" s="61"/>
      <c r="X111" s="61"/>
    </row>
    <row r="112" spans="2:26" x14ac:dyDescent="0.35">
      <c r="B112" s="10"/>
      <c r="J112" s="12"/>
      <c r="N112" s="63"/>
      <c r="O112" s="64"/>
      <c r="Q112" s="73"/>
      <c r="R112" s="74"/>
      <c r="T112" s="85"/>
      <c r="U112" s="60"/>
      <c r="W112" s="61"/>
      <c r="X112" s="61"/>
    </row>
    <row r="113" spans="2:26" x14ac:dyDescent="0.35">
      <c r="B113" s="9" t="s">
        <v>15</v>
      </c>
      <c r="J113" s="12"/>
      <c r="L113" s="18">
        <f>SUM(J114:J120)</f>
        <v>35895</v>
      </c>
      <c r="N113" s="65">
        <v>0</v>
      </c>
      <c r="O113" s="64">
        <f>L113*N113</f>
        <v>0</v>
      </c>
      <c r="Q113" s="75">
        <v>0.15</v>
      </c>
      <c r="R113" s="74">
        <f>L113*Q113</f>
        <v>5384.25</v>
      </c>
      <c r="T113" s="86">
        <v>0.4</v>
      </c>
      <c r="U113" s="60">
        <f>L113*T113</f>
        <v>14358</v>
      </c>
      <c r="W113" s="99">
        <v>0.8</v>
      </c>
      <c r="X113" s="61">
        <f>L113*W113</f>
        <v>28716</v>
      </c>
      <c r="Z113" s="19" t="s">
        <v>24</v>
      </c>
    </row>
    <row r="114" spans="2:26" x14ac:dyDescent="0.35">
      <c r="B114" t="s">
        <v>139</v>
      </c>
      <c r="D114" s="11" t="s">
        <v>10</v>
      </c>
      <c r="J114" s="28">
        <v>27500</v>
      </c>
      <c r="N114" s="63"/>
      <c r="O114" s="64"/>
      <c r="Q114" s="73"/>
      <c r="R114" s="74"/>
      <c r="T114" s="85"/>
      <c r="U114" s="60"/>
      <c r="W114" s="61"/>
      <c r="X114" s="61"/>
    </row>
    <row r="115" spans="2:26" x14ac:dyDescent="0.35">
      <c r="B115" t="s">
        <v>103</v>
      </c>
      <c r="D115" s="11" t="s">
        <v>10</v>
      </c>
      <c r="J115" s="28">
        <v>2875</v>
      </c>
      <c r="N115" s="63"/>
      <c r="O115" s="64"/>
      <c r="Q115" s="73"/>
      <c r="R115" s="74"/>
      <c r="T115" s="85"/>
      <c r="U115" s="60"/>
      <c r="W115" s="61"/>
      <c r="X115" s="61"/>
    </row>
    <row r="116" spans="2:26" x14ac:dyDescent="0.35">
      <c r="B116" t="s">
        <v>104</v>
      </c>
      <c r="D116" s="11" t="s">
        <v>10</v>
      </c>
      <c r="J116" s="28">
        <v>1150</v>
      </c>
      <c r="N116" s="63"/>
      <c r="O116" s="64"/>
      <c r="Q116" s="73"/>
      <c r="R116" s="74"/>
      <c r="T116" s="85"/>
      <c r="U116" s="60"/>
      <c r="W116" s="61"/>
      <c r="X116" s="61"/>
    </row>
    <row r="117" spans="2:26" x14ac:dyDescent="0.35">
      <c r="B117" t="s">
        <v>105</v>
      </c>
      <c r="D117" s="11" t="s">
        <v>10</v>
      </c>
      <c r="J117" s="28">
        <v>920</v>
      </c>
      <c r="N117" s="63"/>
      <c r="O117" s="64"/>
      <c r="Q117" s="73"/>
      <c r="R117" s="74"/>
      <c r="T117" s="85"/>
      <c r="U117" s="60"/>
      <c r="W117" s="61"/>
      <c r="X117" s="61"/>
    </row>
    <row r="118" spans="2:26" x14ac:dyDescent="0.35">
      <c r="B118" t="s">
        <v>106</v>
      </c>
      <c r="D118" s="11" t="s">
        <v>10</v>
      </c>
      <c r="J118" s="28">
        <v>1725</v>
      </c>
      <c r="N118" s="63"/>
      <c r="O118" s="64"/>
      <c r="Q118" s="73"/>
      <c r="R118" s="74"/>
      <c r="T118" s="85"/>
      <c r="U118" s="60"/>
      <c r="W118" s="61"/>
      <c r="X118" s="61"/>
    </row>
    <row r="119" spans="2:26" x14ac:dyDescent="0.35">
      <c r="B119" t="s">
        <v>135</v>
      </c>
      <c r="D119" s="11" t="s">
        <v>10</v>
      </c>
      <c r="J119" s="28">
        <v>1725</v>
      </c>
      <c r="N119" s="63"/>
      <c r="O119" s="64"/>
      <c r="Q119" s="73"/>
      <c r="R119" s="74"/>
      <c r="T119" s="85"/>
      <c r="U119" s="60"/>
      <c r="W119" s="61"/>
      <c r="X119" s="61"/>
    </row>
    <row r="120" spans="2:26" x14ac:dyDescent="0.35">
      <c r="B120" s="10" t="s">
        <v>107</v>
      </c>
      <c r="N120" s="63"/>
      <c r="O120" s="64"/>
      <c r="Q120" s="73"/>
      <c r="R120" s="74"/>
      <c r="T120" s="85"/>
      <c r="U120" s="60"/>
      <c r="W120" s="61"/>
      <c r="X120" s="61"/>
    </row>
    <row r="121" spans="2:26" x14ac:dyDescent="0.35">
      <c r="N121" s="63"/>
      <c r="O121" s="64"/>
      <c r="Q121" s="73"/>
      <c r="R121" s="74"/>
      <c r="T121" s="85"/>
      <c r="U121" s="60"/>
      <c r="W121" s="61"/>
      <c r="X121" s="61"/>
    </row>
    <row r="122" spans="2:26" x14ac:dyDescent="0.35">
      <c r="B122" s="9" t="s">
        <v>12</v>
      </c>
      <c r="H122" s="15"/>
      <c r="I122" s="15"/>
      <c r="J122" s="15"/>
      <c r="K122" s="5"/>
      <c r="L122" s="26">
        <f>SUM(J123:J125)</f>
        <v>95335</v>
      </c>
      <c r="N122" s="65">
        <v>0.4</v>
      </c>
      <c r="O122" s="64">
        <f>L122*N122</f>
        <v>38134</v>
      </c>
      <c r="Q122" s="75">
        <v>0.6</v>
      </c>
      <c r="R122" s="74">
        <f>O122*Q122</f>
        <v>22880.399999999998</v>
      </c>
      <c r="T122" s="86">
        <v>0.75</v>
      </c>
      <c r="U122" s="60">
        <f>L122*T122</f>
        <v>71501.25</v>
      </c>
      <c r="W122" s="99">
        <v>1</v>
      </c>
      <c r="X122" s="61">
        <f>L122*W122</f>
        <v>95335</v>
      </c>
      <c r="Z122" s="19" t="s">
        <v>22</v>
      </c>
    </row>
    <row r="123" spans="2:26" x14ac:dyDescent="0.35">
      <c r="B123" t="s">
        <v>110</v>
      </c>
      <c r="D123" s="11" t="s">
        <v>23</v>
      </c>
      <c r="H123" s="14">
        <v>82900</v>
      </c>
      <c r="I123" s="23">
        <v>0.15</v>
      </c>
      <c r="J123" s="14">
        <f>(H123*I123)+H123</f>
        <v>95335</v>
      </c>
      <c r="K123" s="5"/>
      <c r="L123" s="5"/>
      <c r="N123" s="63"/>
      <c r="O123" s="64"/>
      <c r="Q123" s="73"/>
      <c r="R123" s="74"/>
      <c r="T123" s="85"/>
      <c r="U123" s="60"/>
      <c r="W123" s="61"/>
      <c r="X123" s="61"/>
    </row>
    <row r="124" spans="2:26" x14ac:dyDescent="0.35">
      <c r="B124" t="s">
        <v>120</v>
      </c>
      <c r="D124" s="11" t="s">
        <v>23</v>
      </c>
      <c r="N124" s="63"/>
      <c r="O124" s="64"/>
      <c r="Q124" s="73"/>
      <c r="R124" s="74"/>
      <c r="T124" s="85"/>
      <c r="U124" s="60"/>
      <c r="W124" s="61"/>
      <c r="X124" s="61"/>
    </row>
    <row r="125" spans="2:26" x14ac:dyDescent="0.35">
      <c r="B125" t="s">
        <v>111</v>
      </c>
      <c r="D125" s="11" t="s">
        <v>23</v>
      </c>
      <c r="N125" s="63"/>
      <c r="O125" s="64"/>
      <c r="Q125" s="73"/>
      <c r="R125" s="74"/>
      <c r="T125" s="85"/>
      <c r="U125" s="60"/>
      <c r="W125" s="61"/>
      <c r="X125" s="61"/>
    </row>
    <row r="126" spans="2:26" x14ac:dyDescent="0.35">
      <c r="B126" t="s">
        <v>112</v>
      </c>
      <c r="D126" s="11" t="s">
        <v>23</v>
      </c>
      <c r="N126" s="63"/>
      <c r="O126" s="64"/>
      <c r="Q126" s="73"/>
      <c r="R126" s="74"/>
      <c r="T126" s="85"/>
      <c r="U126" s="60"/>
      <c r="W126" s="61"/>
      <c r="X126" s="61"/>
    </row>
    <row r="127" spans="2:26" x14ac:dyDescent="0.35">
      <c r="B127" t="s">
        <v>113</v>
      </c>
      <c r="D127" s="11" t="s">
        <v>23</v>
      </c>
      <c r="N127" s="63"/>
      <c r="O127" s="64"/>
      <c r="Q127" s="73"/>
      <c r="R127" s="74"/>
      <c r="T127" s="85"/>
      <c r="U127" s="60"/>
      <c r="W127" s="61"/>
      <c r="X127" s="61"/>
    </row>
    <row r="128" spans="2:26" x14ac:dyDescent="0.35">
      <c r="B128" t="s">
        <v>108</v>
      </c>
      <c r="D128" s="11" t="s">
        <v>23</v>
      </c>
      <c r="N128" s="63"/>
      <c r="O128" s="64"/>
      <c r="Q128" s="73"/>
      <c r="R128" s="74"/>
      <c r="T128" s="85"/>
      <c r="U128" s="60"/>
      <c r="W128" s="61"/>
      <c r="X128" s="61"/>
    </row>
    <row r="129" spans="2:24" x14ac:dyDescent="0.35">
      <c r="B129" t="s">
        <v>109</v>
      </c>
      <c r="D129" s="11" t="s">
        <v>23</v>
      </c>
      <c r="N129" s="63"/>
      <c r="O129" s="64"/>
      <c r="Q129" s="73"/>
      <c r="R129" s="74"/>
      <c r="T129" s="85"/>
      <c r="U129" s="60"/>
      <c r="W129" s="61"/>
      <c r="X129" s="61"/>
    </row>
    <row r="130" spans="2:24" x14ac:dyDescent="0.35">
      <c r="B130" t="s">
        <v>114</v>
      </c>
      <c r="D130" s="11" t="s">
        <v>23</v>
      </c>
      <c r="N130" s="63"/>
      <c r="O130" s="64"/>
      <c r="Q130" s="73"/>
      <c r="R130" s="74"/>
      <c r="T130" s="85"/>
      <c r="U130" s="60"/>
      <c r="W130" s="61"/>
      <c r="X130" s="61"/>
    </row>
    <row r="131" spans="2:24" x14ac:dyDescent="0.35">
      <c r="B131" t="s">
        <v>115</v>
      </c>
      <c r="D131" s="11" t="s">
        <v>23</v>
      </c>
      <c r="N131" s="63"/>
      <c r="O131" s="64"/>
      <c r="Q131" s="73"/>
      <c r="R131" s="74"/>
      <c r="T131" s="85"/>
      <c r="U131" s="60"/>
      <c r="W131" s="61"/>
      <c r="X131" s="61"/>
    </row>
    <row r="132" spans="2:24" x14ac:dyDescent="0.35">
      <c r="B132" s="5" t="s">
        <v>116</v>
      </c>
      <c r="D132" s="11" t="s">
        <v>23</v>
      </c>
      <c r="J132" s="12"/>
      <c r="N132" s="63"/>
      <c r="O132" s="64"/>
      <c r="Q132" s="73"/>
      <c r="R132" s="74"/>
      <c r="T132" s="85"/>
      <c r="U132" s="60"/>
      <c r="W132" s="61"/>
      <c r="X132" s="61"/>
    </row>
    <row r="133" spans="2:24" x14ac:dyDescent="0.35">
      <c r="B133" s="5" t="s">
        <v>117</v>
      </c>
      <c r="D133" s="11" t="s">
        <v>23</v>
      </c>
      <c r="J133" s="12"/>
      <c r="N133" s="63"/>
      <c r="O133" s="64"/>
      <c r="Q133" s="73"/>
      <c r="R133" s="74"/>
      <c r="T133" s="85"/>
      <c r="U133" s="60"/>
      <c r="W133" s="61"/>
      <c r="X133" s="61"/>
    </row>
    <row r="134" spans="2:24" x14ac:dyDescent="0.35">
      <c r="B134" t="s">
        <v>118</v>
      </c>
      <c r="D134" s="11" t="s">
        <v>23</v>
      </c>
      <c r="N134" s="63"/>
      <c r="O134" s="64"/>
      <c r="Q134" s="73"/>
      <c r="R134" s="74"/>
      <c r="T134" s="85"/>
      <c r="U134" s="60"/>
      <c r="W134" s="61"/>
      <c r="X134" s="61"/>
    </row>
    <row r="135" spans="2:24" x14ac:dyDescent="0.35">
      <c r="B135" t="s">
        <v>119</v>
      </c>
      <c r="D135" s="11" t="s">
        <v>23</v>
      </c>
      <c r="N135" s="63"/>
      <c r="O135" s="64"/>
      <c r="Q135" s="73"/>
      <c r="R135" s="74"/>
      <c r="T135" s="85"/>
      <c r="U135" s="60"/>
      <c r="W135" s="61"/>
      <c r="X135" s="61"/>
    </row>
    <row r="136" spans="2:24" x14ac:dyDescent="0.35">
      <c r="N136" s="63"/>
      <c r="O136" s="64"/>
      <c r="Q136" s="73"/>
      <c r="R136" s="74"/>
      <c r="T136" s="85"/>
      <c r="U136" s="60"/>
      <c r="W136" s="61"/>
      <c r="X136" s="61"/>
    </row>
    <row r="137" spans="2:24" x14ac:dyDescent="0.35">
      <c r="K137" s="30" t="s">
        <v>16</v>
      </c>
      <c r="L137" s="27">
        <f>SUM(L5:L136)</f>
        <v>1203720.7</v>
      </c>
      <c r="N137" s="63"/>
      <c r="O137" s="64">
        <f>SUM(O5:O136)</f>
        <v>280942.875</v>
      </c>
      <c r="Q137" s="73"/>
      <c r="R137" s="74">
        <f>SUM(R5:R136)</f>
        <v>578293.71250000002</v>
      </c>
      <c r="T137" s="85"/>
      <c r="U137" s="60">
        <f>SUM(U5:U136)</f>
        <v>997759.31999999983</v>
      </c>
      <c r="W137" s="61"/>
      <c r="X137" s="61">
        <f>SUM(X5:X136)</f>
        <v>1166805.23</v>
      </c>
    </row>
    <row r="138" spans="2:24" x14ac:dyDescent="0.35">
      <c r="K138" s="31" t="s">
        <v>144</v>
      </c>
      <c r="L138" s="34">
        <f>-(9937.5)</f>
        <v>-9937.5</v>
      </c>
      <c r="N138" s="63"/>
      <c r="O138" s="67">
        <f>-(9937.5)</f>
        <v>-9937.5</v>
      </c>
      <c r="P138" s="55"/>
      <c r="Q138" s="73"/>
      <c r="R138" s="77">
        <f>-(9937.5)</f>
        <v>-9937.5</v>
      </c>
      <c r="T138" s="85"/>
      <c r="U138" s="88">
        <f>-(9937.5)</f>
        <v>-9937.5</v>
      </c>
      <c r="V138" s="55"/>
      <c r="W138" s="101"/>
      <c r="X138" s="100">
        <f>-(9937.5)</f>
        <v>-9937.5</v>
      </c>
    </row>
    <row r="139" spans="2:24" x14ac:dyDescent="0.35">
      <c r="J139" s="29"/>
      <c r="K139" s="31" t="s">
        <v>141</v>
      </c>
      <c r="L139" s="32">
        <v>-20000</v>
      </c>
      <c r="N139" s="63"/>
      <c r="O139" s="68">
        <v>-20000</v>
      </c>
      <c r="P139" s="55"/>
      <c r="Q139" s="73"/>
      <c r="R139" s="78">
        <v>-20000</v>
      </c>
      <c r="T139" s="85"/>
      <c r="U139" s="89">
        <v>-20000</v>
      </c>
      <c r="V139" s="55"/>
      <c r="W139" s="101"/>
      <c r="X139" s="102">
        <v>-20000</v>
      </c>
    </row>
    <row r="140" spans="2:24" x14ac:dyDescent="0.35">
      <c r="L140" s="27">
        <f>SUM(L137:L139)</f>
        <v>1173783.2</v>
      </c>
      <c r="N140" s="69" t="s">
        <v>228</v>
      </c>
      <c r="O140" s="64">
        <f>SUM(O137:O139)</f>
        <v>251005.375</v>
      </c>
      <c r="Q140" s="79" t="s">
        <v>228</v>
      </c>
      <c r="R140" s="74">
        <f>SUM(R137:R139)</f>
        <v>548356.21250000002</v>
      </c>
      <c r="T140" s="90" t="s">
        <v>228</v>
      </c>
      <c r="U140" s="60">
        <f>SUM(U137:U139)</f>
        <v>967821.81999999983</v>
      </c>
      <c r="W140" s="103" t="s">
        <v>228</v>
      </c>
      <c r="X140" s="61">
        <f>SUM(X137:X139)</f>
        <v>1136867.73</v>
      </c>
    </row>
    <row r="141" spans="2:24" x14ac:dyDescent="0.35">
      <c r="K141" s="30" t="s">
        <v>17</v>
      </c>
      <c r="L141" s="27">
        <f>L140/100*25</f>
        <v>293445.8</v>
      </c>
      <c r="N141" s="69" t="s">
        <v>17</v>
      </c>
      <c r="O141" s="64">
        <f>O140/100*25</f>
        <v>62751.34375</v>
      </c>
      <c r="Q141" s="79" t="s">
        <v>227</v>
      </c>
      <c r="R141" s="81">
        <f>-O140</f>
        <v>-251005.375</v>
      </c>
      <c r="T141" s="90" t="s">
        <v>227</v>
      </c>
      <c r="U141" s="60">
        <f>-O140</f>
        <v>-251005.375</v>
      </c>
      <c r="W141" s="103" t="s">
        <v>227</v>
      </c>
      <c r="X141" s="61">
        <f>U141</f>
        <v>-251005.375</v>
      </c>
    </row>
    <row r="142" spans="2:24" ht="15" thickBot="1" x14ac:dyDescent="0.4">
      <c r="K142" s="17" t="s">
        <v>18</v>
      </c>
      <c r="L142" s="16">
        <f>SUM(L140:L141)</f>
        <v>1467229</v>
      </c>
      <c r="N142" s="69" t="s">
        <v>227</v>
      </c>
      <c r="O142" s="70">
        <f>SUM(O140:O141)</f>
        <v>313756.71875</v>
      </c>
      <c r="P142" s="18"/>
      <c r="Q142" s="79" t="s">
        <v>242</v>
      </c>
      <c r="R142" s="74">
        <f>SUM(R140:R141)</f>
        <v>297350.83750000002</v>
      </c>
      <c r="T142" s="90" t="s">
        <v>242</v>
      </c>
      <c r="U142" s="91">
        <f>-R142</f>
        <v>-297350.83750000002</v>
      </c>
      <c r="W142" s="103" t="s">
        <v>242</v>
      </c>
      <c r="X142" s="61">
        <f>U142</f>
        <v>-297350.83750000002</v>
      </c>
    </row>
    <row r="143" spans="2:24" ht="15" thickTop="1" x14ac:dyDescent="0.35">
      <c r="Q143" s="79" t="s">
        <v>17</v>
      </c>
      <c r="R143" s="74">
        <f>R142/100*25</f>
        <v>74337.709375000006</v>
      </c>
      <c r="T143" s="90" t="s">
        <v>265</v>
      </c>
      <c r="U143" s="60">
        <f>SUM(U140:U142)</f>
        <v>419465.60749999981</v>
      </c>
      <c r="W143" s="103" t="s">
        <v>265</v>
      </c>
      <c r="X143" s="61">
        <f>-U143</f>
        <v>-419465.60749999981</v>
      </c>
    </row>
    <row r="144" spans="2:24" ht="15" thickBot="1" x14ac:dyDescent="0.4">
      <c r="N144" s="11" t="s">
        <v>229</v>
      </c>
      <c r="O144" s="12">
        <f>L140-O140</f>
        <v>922777.82499999995</v>
      </c>
      <c r="Q144" s="79" t="s">
        <v>242</v>
      </c>
      <c r="R144" s="80">
        <f>SUM(R142:R143)</f>
        <v>371688.546875</v>
      </c>
      <c r="T144" s="90" t="s">
        <v>17</v>
      </c>
      <c r="U144" s="60">
        <f>U143/100*25</f>
        <v>104866.40187499995</v>
      </c>
      <c r="W144" s="61" t="s">
        <v>309</v>
      </c>
      <c r="X144" s="61">
        <f>SUM(X140:X143)</f>
        <v>169045.91000000015</v>
      </c>
    </row>
    <row r="145" spans="17:24" ht="15.5" thickTop="1" thickBot="1" x14ac:dyDescent="0.4">
      <c r="T145" s="90" t="s">
        <v>265</v>
      </c>
      <c r="U145" s="92">
        <f>SUM(U143:U144)</f>
        <v>524332.00937499979</v>
      </c>
      <c r="V145" s="18"/>
      <c r="W145" s="103" t="s">
        <v>17</v>
      </c>
      <c r="X145" s="61">
        <f>X144/100*25</f>
        <v>42261.477500000037</v>
      </c>
    </row>
    <row r="146" spans="17:24" ht="15.5" thickTop="1" thickBot="1" x14ac:dyDescent="0.4">
      <c r="Q146" s="11" t="s">
        <v>229</v>
      </c>
      <c r="R146" s="12">
        <f>L140-R140</f>
        <v>625426.98749999993</v>
      </c>
      <c r="W146" s="103" t="s">
        <v>309</v>
      </c>
      <c r="X146" s="104">
        <f>SUM(X144:X145)</f>
        <v>211307.38750000019</v>
      </c>
    </row>
    <row r="147" spans="17:24" ht="15" thickTop="1" x14ac:dyDescent="0.35">
      <c r="T147" s="11" t="s">
        <v>229</v>
      </c>
      <c r="U147" s="12">
        <f>L140-U140</f>
        <v>205961.38000000012</v>
      </c>
    </row>
    <row r="148" spans="17:24" x14ac:dyDescent="0.35">
      <c r="W148" s="11" t="s">
        <v>229</v>
      </c>
      <c r="X148" s="12">
        <f>L140-X140</f>
        <v>36915.469999999972</v>
      </c>
    </row>
  </sheetData>
  <pageMargins left="0.7" right="0.7" top="0.75" bottom="0.75" header="0.3" footer="0.3"/>
  <pageSetup paperSize="8" scale="43" fitToHeight="0" orientation="portrait" r:id="rId1"/>
  <ignoredErrors>
    <ignoredError sqref="L14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C4376-7462-4ADE-BC9F-CCCE58C3B0C7}">
  <dimension ref="B5:C31"/>
  <sheetViews>
    <sheetView workbookViewId="0">
      <selection activeCell="C18" sqref="C18"/>
    </sheetView>
  </sheetViews>
  <sheetFormatPr defaultRowHeight="14.5" x14ac:dyDescent="0.35"/>
  <cols>
    <col min="2" max="2" width="29.26953125" customWidth="1"/>
    <col min="3" max="3" width="12" bestFit="1" customWidth="1"/>
  </cols>
  <sheetData>
    <row r="5" spans="2:3" x14ac:dyDescent="0.35">
      <c r="B5" s="9" t="s">
        <v>271</v>
      </c>
    </row>
    <row r="6" spans="2:3" x14ac:dyDescent="0.35">
      <c r="B6" t="s">
        <v>272</v>
      </c>
      <c r="C6" s="27">
        <v>135652</v>
      </c>
    </row>
    <row r="7" spans="2:3" x14ac:dyDescent="0.35">
      <c r="B7" t="s">
        <v>273</v>
      </c>
      <c r="C7" s="27">
        <v>97162</v>
      </c>
    </row>
    <row r="8" spans="2:3" x14ac:dyDescent="0.35">
      <c r="B8" t="s">
        <v>274</v>
      </c>
      <c r="C8" s="27">
        <v>205961.38000000012</v>
      </c>
    </row>
    <row r="9" spans="2:3" ht="15" thickBot="1" x14ac:dyDescent="0.4">
      <c r="C9" s="97">
        <f>SUM(C6:C8)</f>
        <v>438775.38000000012</v>
      </c>
    </row>
    <row r="10" spans="2:3" ht="15" thickTop="1" x14ac:dyDescent="0.35"/>
    <row r="12" spans="2:3" x14ac:dyDescent="0.35">
      <c r="B12" s="9" t="s">
        <v>275</v>
      </c>
      <c r="C12" s="27"/>
    </row>
    <row r="13" spans="2:3" x14ac:dyDescent="0.35">
      <c r="B13" t="s">
        <v>277</v>
      </c>
      <c r="C13" s="27">
        <v>3000</v>
      </c>
    </row>
    <row r="14" spans="2:3" x14ac:dyDescent="0.35">
      <c r="B14" t="s">
        <v>279</v>
      </c>
      <c r="C14" s="27">
        <f>25*450</f>
        <v>11250</v>
      </c>
    </row>
    <row r="15" spans="2:3" x14ac:dyDescent="0.35">
      <c r="B15" t="s">
        <v>276</v>
      </c>
      <c r="C15" s="27"/>
    </row>
    <row r="16" spans="2:3" x14ac:dyDescent="0.35">
      <c r="B16" t="s">
        <v>278</v>
      </c>
      <c r="C16" s="27">
        <f>108789/40*100*0.1</f>
        <v>27197.25</v>
      </c>
    </row>
    <row r="17" spans="2:3" x14ac:dyDescent="0.35">
      <c r="B17" t="s">
        <v>280</v>
      </c>
      <c r="C17" s="27">
        <v>22000</v>
      </c>
    </row>
    <row r="18" spans="2:3" x14ac:dyDescent="0.35">
      <c r="B18" t="s">
        <v>281</v>
      </c>
      <c r="C18" s="27">
        <v>82900</v>
      </c>
    </row>
    <row r="19" spans="2:3" x14ac:dyDescent="0.35">
      <c r="B19" t="s">
        <v>283</v>
      </c>
      <c r="C19" s="27">
        <v>2000</v>
      </c>
    </row>
    <row r="20" spans="2:3" x14ac:dyDescent="0.35">
      <c r="B20" t="s">
        <v>282</v>
      </c>
      <c r="C20" s="27">
        <v>52000</v>
      </c>
    </row>
    <row r="21" spans="2:3" x14ac:dyDescent="0.35">
      <c r="B21" t="s">
        <v>288</v>
      </c>
      <c r="C21" s="27">
        <v>8000</v>
      </c>
    </row>
    <row r="22" spans="2:3" ht="15" thickBot="1" x14ac:dyDescent="0.4">
      <c r="C22" s="97">
        <f>SUM(C13:C21)</f>
        <v>208347.25</v>
      </c>
    </row>
    <row r="23" spans="2:3" ht="15" thickTop="1" x14ac:dyDescent="0.35"/>
    <row r="24" spans="2:3" x14ac:dyDescent="0.35">
      <c r="B24" s="30" t="s">
        <v>287</v>
      </c>
      <c r="C24" s="37">
        <f>C9-C22</f>
        <v>230428.13000000012</v>
      </c>
    </row>
    <row r="28" spans="2:3" x14ac:dyDescent="0.35">
      <c r="B28" t="s">
        <v>285</v>
      </c>
      <c r="C28" s="27">
        <v>1173783.2</v>
      </c>
    </row>
    <row r="29" spans="2:3" x14ac:dyDescent="0.35">
      <c r="B29" t="s">
        <v>284</v>
      </c>
      <c r="C29" s="27">
        <v>172617.47500000003</v>
      </c>
    </row>
    <row r="30" spans="2:3" x14ac:dyDescent="0.35">
      <c r="C30" s="27">
        <f>SUM(C28:C29)</f>
        <v>1346400.675</v>
      </c>
    </row>
    <row r="31" spans="2:3" x14ac:dyDescent="0.35">
      <c r="B31" s="30" t="s">
        <v>286</v>
      </c>
      <c r="C31" s="96">
        <f>C24/C30*100</f>
        <v>17.114380160274365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CFDE-3C2E-4EF9-BCB1-644CD845A7AA}">
  <sheetPr>
    <pageSetUpPr fitToPage="1"/>
  </sheetPr>
  <dimension ref="B3:N71"/>
  <sheetViews>
    <sheetView tabSelected="1" zoomScale="90" zoomScaleNormal="90" workbookViewId="0">
      <selection activeCell="F65" sqref="F65"/>
    </sheetView>
  </sheetViews>
  <sheetFormatPr defaultRowHeight="14.5" x14ac:dyDescent="0.35"/>
  <cols>
    <col min="2" max="2" width="4.81640625" style="11" customWidth="1"/>
    <col min="3" max="3" width="77.81640625" customWidth="1"/>
    <col min="4" max="4" width="10.453125" style="12" customWidth="1"/>
    <col min="5" max="5" width="10.26953125" style="12" customWidth="1"/>
    <col min="6" max="6" width="41.26953125" customWidth="1"/>
    <col min="7" max="7" width="4.1796875" customWidth="1"/>
    <col min="8" max="8" width="14.54296875" style="11" customWidth="1"/>
    <col min="9" max="9" width="2.54296875" style="11" customWidth="1"/>
    <col min="10" max="10" width="14.54296875" style="11" customWidth="1"/>
    <col min="11" max="11" width="2.90625" customWidth="1"/>
    <col min="13" max="13" width="19.81640625" customWidth="1"/>
    <col min="14" max="14" width="14.453125" customWidth="1"/>
  </cols>
  <sheetData>
    <row r="3" spans="2:10" ht="21" x14ac:dyDescent="0.5">
      <c r="C3" s="1" t="s">
        <v>25</v>
      </c>
    </row>
    <row r="4" spans="2:10" x14ac:dyDescent="0.35">
      <c r="C4" t="s">
        <v>208</v>
      </c>
      <c r="H4" s="93" t="s">
        <v>266</v>
      </c>
      <c r="I4" s="35"/>
      <c r="J4" s="106" t="s">
        <v>307</v>
      </c>
    </row>
    <row r="5" spans="2:10" x14ac:dyDescent="0.35">
      <c r="H5" s="94"/>
      <c r="J5" s="107"/>
    </row>
    <row r="6" spans="2:10" x14ac:dyDescent="0.35">
      <c r="C6" s="9" t="s">
        <v>147</v>
      </c>
      <c r="D6" s="18" t="s">
        <v>148</v>
      </c>
      <c r="E6" s="18"/>
      <c r="F6" s="9" t="s">
        <v>149</v>
      </c>
      <c r="H6" s="94"/>
      <c r="J6" s="107"/>
    </row>
    <row r="7" spans="2:10" x14ac:dyDescent="0.35">
      <c r="B7" s="11">
        <v>1</v>
      </c>
      <c r="C7" t="s">
        <v>150</v>
      </c>
      <c r="D7" s="12">
        <v>0</v>
      </c>
      <c r="E7" s="36" t="s">
        <v>158</v>
      </c>
      <c r="F7" s="19" t="s">
        <v>217</v>
      </c>
      <c r="H7" s="95">
        <f>D7</f>
        <v>0</v>
      </c>
      <c r="I7" s="12"/>
      <c r="J7" s="108"/>
    </row>
    <row r="8" spans="2:10" x14ac:dyDescent="0.35">
      <c r="C8" t="s">
        <v>151</v>
      </c>
      <c r="D8" s="12">
        <v>1100</v>
      </c>
      <c r="E8" s="36" t="s">
        <v>158</v>
      </c>
      <c r="F8" s="19" t="s">
        <v>154</v>
      </c>
      <c r="H8" s="95">
        <f>D8</f>
        <v>1100</v>
      </c>
      <c r="I8" s="12"/>
      <c r="J8" s="108"/>
    </row>
    <row r="9" spans="2:10" x14ac:dyDescent="0.35">
      <c r="C9" t="s">
        <v>152</v>
      </c>
      <c r="D9" s="12">
        <v>550</v>
      </c>
      <c r="E9" s="36" t="s">
        <v>158</v>
      </c>
      <c r="F9" s="19" t="s">
        <v>154</v>
      </c>
      <c r="H9" s="95">
        <f>D9</f>
        <v>550</v>
      </c>
      <c r="I9" s="12"/>
      <c r="J9" s="108"/>
    </row>
    <row r="10" spans="2:10" x14ac:dyDescent="0.35">
      <c r="C10" t="s">
        <v>153</v>
      </c>
      <c r="D10" s="12">
        <v>1100</v>
      </c>
      <c r="E10" s="36" t="s">
        <v>158</v>
      </c>
      <c r="F10" s="19" t="s">
        <v>154</v>
      </c>
      <c r="H10" s="95">
        <f>D10</f>
        <v>1100</v>
      </c>
      <c r="I10" s="12"/>
      <c r="J10" s="108"/>
    </row>
    <row r="11" spans="2:10" x14ac:dyDescent="0.35">
      <c r="H11" s="94"/>
      <c r="J11" s="107"/>
    </row>
    <row r="12" spans="2:10" x14ac:dyDescent="0.35">
      <c r="B12" s="11">
        <v>2</v>
      </c>
      <c r="C12" t="s">
        <v>159</v>
      </c>
      <c r="D12" s="12">
        <f>(1500*15%)+1500</f>
        <v>1725</v>
      </c>
      <c r="E12" s="36" t="s">
        <v>158</v>
      </c>
      <c r="F12" s="19" t="s">
        <v>156</v>
      </c>
      <c r="H12" s="95">
        <f>D12</f>
        <v>1725</v>
      </c>
      <c r="I12" s="12"/>
      <c r="J12" s="108"/>
    </row>
    <row r="13" spans="2:10" x14ac:dyDescent="0.35">
      <c r="H13" s="94"/>
      <c r="J13" s="107"/>
    </row>
    <row r="14" spans="2:10" x14ac:dyDescent="0.35">
      <c r="B14" s="11">
        <v>3</v>
      </c>
      <c r="C14" t="s">
        <v>155</v>
      </c>
      <c r="D14" s="12">
        <f>(8539*15%)+8539</f>
        <v>9819.85</v>
      </c>
      <c r="E14" s="36" t="s">
        <v>158</v>
      </c>
      <c r="F14" s="19" t="s">
        <v>156</v>
      </c>
      <c r="H14" s="94"/>
      <c r="J14" s="108">
        <f>D14</f>
        <v>9819.85</v>
      </c>
    </row>
    <row r="15" spans="2:10" x14ac:dyDescent="0.35">
      <c r="H15" s="94"/>
      <c r="J15" s="107"/>
    </row>
    <row r="16" spans="2:10" x14ac:dyDescent="0.35">
      <c r="B16" s="11">
        <v>4</v>
      </c>
      <c r="C16" t="s">
        <v>157</v>
      </c>
      <c r="D16" s="12">
        <v>73771</v>
      </c>
      <c r="E16" s="36" t="s">
        <v>158</v>
      </c>
      <c r="F16" s="19" t="s">
        <v>240</v>
      </c>
      <c r="H16" s="95">
        <f>D16</f>
        <v>73771</v>
      </c>
      <c r="I16" s="12"/>
      <c r="J16" s="108"/>
    </row>
    <row r="17" spans="2:13" x14ac:dyDescent="0.35">
      <c r="H17" s="94"/>
      <c r="J17" s="107"/>
    </row>
    <row r="18" spans="2:13" x14ac:dyDescent="0.35">
      <c r="B18" s="11">
        <v>5</v>
      </c>
      <c r="C18" t="s">
        <v>209</v>
      </c>
      <c r="D18" s="12">
        <f>4300*1.15</f>
        <v>4945</v>
      </c>
      <c r="E18" s="36" t="s">
        <v>158</v>
      </c>
      <c r="F18" s="19" t="s">
        <v>218</v>
      </c>
      <c r="H18" s="95">
        <f>D18</f>
        <v>4945</v>
      </c>
      <c r="I18" s="12"/>
      <c r="J18" s="108"/>
      <c r="M18" t="s">
        <v>220</v>
      </c>
    </row>
    <row r="19" spans="2:13" x14ac:dyDescent="0.35">
      <c r="H19" s="94"/>
      <c r="J19" s="107"/>
    </row>
    <row r="20" spans="2:13" x14ac:dyDescent="0.35">
      <c r="B20" s="11">
        <v>6</v>
      </c>
      <c r="C20" t="s">
        <v>212</v>
      </c>
      <c r="E20" s="36"/>
      <c r="F20" t="s">
        <v>235</v>
      </c>
      <c r="H20" s="94"/>
      <c r="J20" s="107"/>
      <c r="M20" t="s">
        <v>292</v>
      </c>
    </row>
    <row r="21" spans="2:13" x14ac:dyDescent="0.35">
      <c r="H21" s="94"/>
      <c r="J21" s="107"/>
    </row>
    <row r="22" spans="2:13" x14ac:dyDescent="0.35">
      <c r="B22" s="11">
        <v>7</v>
      </c>
      <c r="C22" t="s">
        <v>211</v>
      </c>
      <c r="D22" s="12">
        <f>4400+800</f>
        <v>5200</v>
      </c>
      <c r="E22" s="36" t="s">
        <v>158</v>
      </c>
      <c r="F22" s="19" t="s">
        <v>213</v>
      </c>
      <c r="H22" s="95">
        <f>D22</f>
        <v>5200</v>
      </c>
      <c r="I22" s="12"/>
      <c r="J22" s="108"/>
    </row>
    <row r="23" spans="2:13" x14ac:dyDescent="0.35">
      <c r="H23" s="94"/>
      <c r="J23" s="107"/>
    </row>
    <row r="24" spans="2:13" x14ac:dyDescent="0.35">
      <c r="B24" s="11">
        <v>8</v>
      </c>
      <c r="C24" t="s">
        <v>215</v>
      </c>
      <c r="D24" s="12">
        <v>995</v>
      </c>
      <c r="E24" s="36" t="s">
        <v>158</v>
      </c>
      <c r="F24" s="19" t="s">
        <v>216</v>
      </c>
      <c r="H24" s="94"/>
      <c r="J24" s="108">
        <f>D24</f>
        <v>995</v>
      </c>
    </row>
    <row r="25" spans="2:13" x14ac:dyDescent="0.35">
      <c r="H25" s="94"/>
      <c r="J25" s="107"/>
    </row>
    <row r="26" spans="2:13" x14ac:dyDescent="0.35">
      <c r="B26" s="11">
        <v>9</v>
      </c>
      <c r="C26" t="s">
        <v>231</v>
      </c>
      <c r="D26" s="12">
        <f>(11114-8000)*1.15</f>
        <v>3581.1</v>
      </c>
      <c r="E26" s="36" t="s">
        <v>158</v>
      </c>
      <c r="F26" s="19" t="s">
        <v>233</v>
      </c>
      <c r="H26" s="95">
        <f>D26</f>
        <v>3581.1</v>
      </c>
      <c r="I26" s="12"/>
      <c r="J26" s="108"/>
    </row>
    <row r="27" spans="2:13" x14ac:dyDescent="0.35">
      <c r="H27" s="94"/>
      <c r="J27" s="107"/>
    </row>
    <row r="28" spans="2:13" x14ac:dyDescent="0.35">
      <c r="B28" s="11" t="s">
        <v>232</v>
      </c>
      <c r="C28" t="s">
        <v>234</v>
      </c>
      <c r="D28" s="12">
        <v>1450</v>
      </c>
      <c r="E28" s="36" t="s">
        <v>158</v>
      </c>
      <c r="F28" s="19" t="s">
        <v>233</v>
      </c>
      <c r="H28" s="95">
        <f>D28</f>
        <v>1450</v>
      </c>
      <c r="I28" s="12"/>
      <c r="J28" s="108"/>
    </row>
    <row r="29" spans="2:13" x14ac:dyDescent="0.35">
      <c r="H29" s="94"/>
      <c r="J29" s="107"/>
    </row>
    <row r="30" spans="2:13" x14ac:dyDescent="0.35">
      <c r="B30" s="11">
        <v>11</v>
      </c>
      <c r="C30" t="s">
        <v>238</v>
      </c>
      <c r="D30" s="12">
        <f>7660*1.15</f>
        <v>8809</v>
      </c>
      <c r="E30" s="36" t="s">
        <v>158</v>
      </c>
      <c r="F30" s="19" t="s">
        <v>239</v>
      </c>
      <c r="H30" s="94"/>
      <c r="J30" s="108">
        <f>D30</f>
        <v>8809</v>
      </c>
    </row>
    <row r="31" spans="2:13" x14ac:dyDescent="0.35">
      <c r="H31" s="94"/>
      <c r="J31" s="107"/>
    </row>
    <row r="32" spans="2:13" x14ac:dyDescent="0.35">
      <c r="B32" s="11">
        <v>12</v>
      </c>
      <c r="C32" t="s">
        <v>269</v>
      </c>
      <c r="D32" s="12">
        <f>1200+(3*570)</f>
        <v>2910</v>
      </c>
      <c r="E32" s="36" t="s">
        <v>158</v>
      </c>
      <c r="F32" s="19" t="s">
        <v>270</v>
      </c>
      <c r="H32" s="94"/>
      <c r="J32" s="108">
        <f>D32</f>
        <v>2910</v>
      </c>
    </row>
    <row r="33" spans="2:13" x14ac:dyDescent="0.35">
      <c r="H33" s="94"/>
      <c r="J33" s="107"/>
    </row>
    <row r="34" spans="2:13" x14ac:dyDescent="0.35">
      <c r="B34" s="11">
        <v>13</v>
      </c>
      <c r="C34" t="s">
        <v>245</v>
      </c>
      <c r="D34" s="12">
        <v>9608</v>
      </c>
      <c r="E34" s="36" t="s">
        <v>158</v>
      </c>
      <c r="F34" s="19" t="s">
        <v>246</v>
      </c>
      <c r="H34" s="94"/>
      <c r="J34" s="108">
        <f>D34</f>
        <v>9608</v>
      </c>
    </row>
    <row r="35" spans="2:13" x14ac:dyDescent="0.35">
      <c r="H35" s="94"/>
      <c r="J35" s="107"/>
    </row>
    <row r="36" spans="2:13" x14ac:dyDescent="0.35">
      <c r="B36" s="11">
        <v>14</v>
      </c>
      <c r="C36" t="s">
        <v>247</v>
      </c>
      <c r="D36" s="12">
        <v>31012.355</v>
      </c>
      <c r="E36" s="36" t="s">
        <v>158</v>
      </c>
      <c r="F36" s="19" t="s">
        <v>262</v>
      </c>
      <c r="H36" s="94"/>
      <c r="J36" s="108">
        <f>D36</f>
        <v>31012.355</v>
      </c>
    </row>
    <row r="37" spans="2:13" x14ac:dyDescent="0.35">
      <c r="H37" s="94"/>
      <c r="J37" s="107"/>
    </row>
    <row r="38" spans="2:13" x14ac:dyDescent="0.35">
      <c r="B38" s="11">
        <v>15</v>
      </c>
      <c r="C38" t="s">
        <v>248</v>
      </c>
      <c r="D38" s="12">
        <v>4526.17</v>
      </c>
      <c r="E38" s="36" t="s">
        <v>158</v>
      </c>
      <c r="F38" s="19" t="s">
        <v>262</v>
      </c>
      <c r="H38" s="94"/>
      <c r="J38" s="108">
        <f>D38</f>
        <v>4526.17</v>
      </c>
    </row>
    <row r="39" spans="2:13" x14ac:dyDescent="0.35">
      <c r="H39" s="94"/>
      <c r="J39" s="107"/>
    </row>
    <row r="40" spans="2:13" x14ac:dyDescent="0.35">
      <c r="B40" s="11">
        <v>16</v>
      </c>
      <c r="C40" t="s">
        <v>263</v>
      </c>
      <c r="D40" s="12">
        <v>7950</v>
      </c>
      <c r="E40" s="36" t="s">
        <v>158</v>
      </c>
      <c r="F40" s="19" t="s">
        <v>299</v>
      </c>
      <c r="H40" s="94"/>
      <c r="J40" s="108">
        <f>D40</f>
        <v>7950</v>
      </c>
    </row>
    <row r="41" spans="2:13" x14ac:dyDescent="0.35">
      <c r="H41" s="94"/>
      <c r="J41" s="107"/>
    </row>
    <row r="42" spans="2:13" x14ac:dyDescent="0.35">
      <c r="B42" s="11">
        <v>17</v>
      </c>
      <c r="C42" t="s">
        <v>267</v>
      </c>
      <c r="D42" s="12">
        <f>(800+860)*1.15</f>
        <v>1908.9999999999998</v>
      </c>
      <c r="E42" s="36" t="s">
        <v>158</v>
      </c>
      <c r="F42" s="19" t="s">
        <v>290</v>
      </c>
      <c r="H42" s="94"/>
      <c r="J42" s="108">
        <f>D42</f>
        <v>1908.9999999999998</v>
      </c>
    </row>
    <row r="43" spans="2:13" x14ac:dyDescent="0.35">
      <c r="H43" s="94"/>
      <c r="J43" s="107"/>
    </row>
    <row r="44" spans="2:13" x14ac:dyDescent="0.35">
      <c r="B44" s="11">
        <v>18</v>
      </c>
      <c r="C44" t="s">
        <v>268</v>
      </c>
      <c r="D44" s="12">
        <f>1864*1.15</f>
        <v>2143.6</v>
      </c>
      <c r="E44" s="36" t="s">
        <v>158</v>
      </c>
      <c r="F44" s="19" t="s">
        <v>291</v>
      </c>
      <c r="H44" s="94"/>
      <c r="J44" s="108">
        <f>D44</f>
        <v>2143.6</v>
      </c>
    </row>
    <row r="45" spans="2:13" x14ac:dyDescent="0.35">
      <c r="H45" s="94"/>
      <c r="J45" s="107"/>
    </row>
    <row r="46" spans="2:13" x14ac:dyDescent="0.35">
      <c r="B46" s="11">
        <v>19</v>
      </c>
      <c r="C46" t="s">
        <v>296</v>
      </c>
      <c r="D46" s="12">
        <f>(11*150)*1.15</f>
        <v>1897.4999999999998</v>
      </c>
      <c r="E46" s="36" t="s">
        <v>158</v>
      </c>
      <c r="F46" s="19" t="s">
        <v>310</v>
      </c>
      <c r="H46" s="94"/>
      <c r="J46" s="108">
        <f>D46</f>
        <v>1897.4999999999998</v>
      </c>
    </row>
    <row r="47" spans="2:13" x14ac:dyDescent="0.35">
      <c r="H47" s="94"/>
      <c r="J47" s="107"/>
    </row>
    <row r="48" spans="2:13" x14ac:dyDescent="0.35">
      <c r="B48" s="11">
        <v>20</v>
      </c>
      <c r="C48" t="s">
        <v>301</v>
      </c>
      <c r="D48" s="12">
        <v>3500</v>
      </c>
      <c r="E48" s="36" t="s">
        <v>158</v>
      </c>
      <c r="F48" s="19" t="s">
        <v>310</v>
      </c>
      <c r="H48" s="94"/>
      <c r="J48" s="108">
        <f>D48</f>
        <v>3500</v>
      </c>
      <c r="M48" s="27"/>
    </row>
    <row r="49" spans="2:13" x14ac:dyDescent="0.35">
      <c r="H49" s="94"/>
      <c r="J49" s="107"/>
      <c r="M49" s="27"/>
    </row>
    <row r="50" spans="2:13" x14ac:dyDescent="0.35">
      <c r="B50" s="11">
        <v>21</v>
      </c>
      <c r="C50" t="s">
        <v>289</v>
      </c>
      <c r="D50" s="12">
        <f>1200*1.15</f>
        <v>1380</v>
      </c>
      <c r="E50" s="36" t="s">
        <v>158</v>
      </c>
      <c r="F50" s="19" t="s">
        <v>310</v>
      </c>
      <c r="H50" s="94"/>
      <c r="J50" s="108">
        <f>D50</f>
        <v>1380</v>
      </c>
      <c r="M50" s="27"/>
    </row>
    <row r="51" spans="2:13" x14ac:dyDescent="0.35">
      <c r="H51" s="94"/>
      <c r="J51" s="107"/>
      <c r="M51" s="27"/>
    </row>
    <row r="52" spans="2:13" x14ac:dyDescent="0.35">
      <c r="B52" s="11">
        <v>22</v>
      </c>
      <c r="C52" t="s">
        <v>297</v>
      </c>
      <c r="D52" s="12">
        <f>4*575</f>
        <v>2300</v>
      </c>
      <c r="E52" s="36" t="s">
        <v>158</v>
      </c>
      <c r="F52" s="19" t="s">
        <v>310</v>
      </c>
      <c r="H52" s="94"/>
      <c r="J52" s="108">
        <f>D52</f>
        <v>2300</v>
      </c>
      <c r="M52" s="27"/>
    </row>
    <row r="53" spans="2:13" x14ac:dyDescent="0.35">
      <c r="H53" s="94"/>
      <c r="J53" s="107"/>
    </row>
    <row r="54" spans="2:13" x14ac:dyDescent="0.35">
      <c r="B54" s="11">
        <v>23</v>
      </c>
      <c r="C54" t="s">
        <v>293</v>
      </c>
      <c r="D54" s="12">
        <f>(3*575)+350</f>
        <v>2075</v>
      </c>
      <c r="E54" s="36" t="s">
        <v>158</v>
      </c>
      <c r="F54" s="19" t="s">
        <v>294</v>
      </c>
      <c r="H54" s="94"/>
      <c r="J54" s="108">
        <f>D54</f>
        <v>2075</v>
      </c>
    </row>
    <row r="55" spans="2:13" x14ac:dyDescent="0.35">
      <c r="H55" s="94"/>
      <c r="J55" s="107"/>
    </row>
    <row r="56" spans="2:13" x14ac:dyDescent="0.35">
      <c r="B56" s="11">
        <v>24</v>
      </c>
      <c r="C56" t="s">
        <v>295</v>
      </c>
      <c r="D56" s="12">
        <f>3.5*575</f>
        <v>2012.5</v>
      </c>
      <c r="E56" s="36" t="s">
        <v>158</v>
      </c>
      <c r="F56" s="19" t="s">
        <v>294</v>
      </c>
      <c r="H56" s="95"/>
      <c r="I56" s="12"/>
      <c r="J56" s="108">
        <f>D56</f>
        <v>2012.5</v>
      </c>
      <c r="K56" s="36"/>
    </row>
    <row r="57" spans="2:13" x14ac:dyDescent="0.35">
      <c r="H57" s="95"/>
      <c r="I57" s="12"/>
      <c r="J57" s="108"/>
      <c r="K57" s="36"/>
    </row>
    <row r="58" spans="2:13" x14ac:dyDescent="0.35">
      <c r="B58" s="11">
        <v>25</v>
      </c>
      <c r="C58" t="s">
        <v>298</v>
      </c>
      <c r="D58" s="12">
        <f>(425*1.15)+575</f>
        <v>1063.75</v>
      </c>
      <c r="E58" s="36" t="s">
        <v>158</v>
      </c>
      <c r="F58" s="19" t="s">
        <v>300</v>
      </c>
      <c r="H58" s="95"/>
      <c r="I58" s="12"/>
      <c r="J58" s="108">
        <f>D58</f>
        <v>1063.75</v>
      </c>
    </row>
    <row r="59" spans="2:13" x14ac:dyDescent="0.35">
      <c r="H59" s="95"/>
      <c r="I59" s="12"/>
      <c r="J59" s="108"/>
    </row>
    <row r="60" spans="2:13" x14ac:dyDescent="0.35">
      <c r="B60" s="11">
        <v>26</v>
      </c>
      <c r="C60" t="s">
        <v>302</v>
      </c>
      <c r="D60" s="12">
        <v>1900</v>
      </c>
      <c r="E60" s="36" t="s">
        <v>158</v>
      </c>
      <c r="F60" s="19" t="s">
        <v>303</v>
      </c>
      <c r="H60" s="95"/>
      <c r="I60" s="12"/>
      <c r="J60" s="108">
        <f>D60</f>
        <v>1900</v>
      </c>
    </row>
    <row r="61" spans="2:13" x14ac:dyDescent="0.35">
      <c r="H61" s="95"/>
      <c r="I61" s="12"/>
      <c r="J61" s="108"/>
    </row>
    <row r="62" spans="2:13" x14ac:dyDescent="0.35">
      <c r="B62" s="11">
        <v>27</v>
      </c>
      <c r="C62" t="s">
        <v>304</v>
      </c>
      <c r="D62" s="12">
        <f>1350</f>
        <v>1350</v>
      </c>
      <c r="E62" s="36" t="s">
        <v>158</v>
      </c>
      <c r="F62" s="19" t="s">
        <v>305</v>
      </c>
      <c r="H62" s="95"/>
      <c r="I62" s="12"/>
      <c r="J62" s="108">
        <f>D62</f>
        <v>1350</v>
      </c>
    </row>
    <row r="63" spans="2:13" x14ac:dyDescent="0.35">
      <c r="H63" s="95"/>
      <c r="J63" s="107"/>
    </row>
    <row r="64" spans="2:13" x14ac:dyDescent="0.35">
      <c r="H64" s="105">
        <f>SUM(H7:H62)</f>
        <v>93422.1</v>
      </c>
      <c r="J64" s="109">
        <f>SUM(J7:J63)</f>
        <v>97161.725000000006</v>
      </c>
      <c r="K64" s="36"/>
    </row>
    <row r="65" spans="2:14" x14ac:dyDescent="0.35">
      <c r="C65" s="30" t="s">
        <v>306</v>
      </c>
      <c r="D65" s="18">
        <f>SUM(D7:D64)</f>
        <v>190583.82500000004</v>
      </c>
      <c r="M65" t="s">
        <v>244</v>
      </c>
      <c r="N65" s="19" t="s">
        <v>243</v>
      </c>
    </row>
    <row r="66" spans="2:14" x14ac:dyDescent="0.35">
      <c r="H66" s="12"/>
      <c r="I66" s="12"/>
      <c r="J66" s="12"/>
    </row>
    <row r="67" spans="2:14" x14ac:dyDescent="0.35">
      <c r="C67" t="s">
        <v>223</v>
      </c>
      <c r="M67" t="s">
        <v>224</v>
      </c>
    </row>
    <row r="68" spans="2:14" x14ac:dyDescent="0.35">
      <c r="M68" t="s">
        <v>222</v>
      </c>
    </row>
    <row r="69" spans="2:14" x14ac:dyDescent="0.35">
      <c r="B69" s="11" t="s">
        <v>236</v>
      </c>
      <c r="C69" t="s">
        <v>210</v>
      </c>
      <c r="D69" s="12">
        <f>14600*1.15</f>
        <v>16790</v>
      </c>
      <c r="E69" s="36" t="s">
        <v>158</v>
      </c>
      <c r="F69" s="19" t="s">
        <v>219</v>
      </c>
    </row>
    <row r="71" spans="2:14" x14ac:dyDescent="0.35">
      <c r="B71" s="11" t="s">
        <v>237</v>
      </c>
      <c r="C71" t="s">
        <v>221</v>
      </c>
      <c r="D71" s="12">
        <v>0</v>
      </c>
      <c r="E71" s="36" t="s">
        <v>158</v>
      </c>
      <c r="F71" s="57" t="s">
        <v>230</v>
      </c>
    </row>
  </sheetData>
  <pageMargins left="0.7" right="0.7" top="0.75" bottom="0.75" header="0.3" footer="0.3"/>
  <pageSetup paperSize="8" scale="5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2E54-3FB6-4171-B9CE-814BAFB68005}">
  <dimension ref="B6:Q48"/>
  <sheetViews>
    <sheetView zoomScale="60" zoomScaleNormal="60" workbookViewId="0">
      <selection activeCell="E53" sqref="E53"/>
    </sheetView>
  </sheetViews>
  <sheetFormatPr defaultRowHeight="14.5" x14ac:dyDescent="0.35"/>
  <cols>
    <col min="2" max="2" width="59.26953125" customWidth="1"/>
    <col min="4" max="4" width="15.26953125" customWidth="1"/>
    <col min="5" max="5" width="60.7265625" customWidth="1"/>
    <col min="7" max="7" width="1.7265625" customWidth="1"/>
    <col min="8" max="8" width="8.7265625" style="11"/>
    <col min="9" max="9" width="11.453125" style="11" customWidth="1"/>
    <col min="10" max="10" width="10.26953125" style="11" customWidth="1"/>
  </cols>
  <sheetData>
    <row r="6" spans="2:12" ht="18.5" x14ac:dyDescent="0.45">
      <c r="B6" s="41" t="s">
        <v>164</v>
      </c>
      <c r="E6" s="41" t="s">
        <v>165</v>
      </c>
    </row>
    <row r="7" spans="2:12" x14ac:dyDescent="0.35">
      <c r="B7" s="9" t="s">
        <v>73</v>
      </c>
      <c r="C7" s="11"/>
      <c r="E7" s="9" t="s">
        <v>73</v>
      </c>
      <c r="F7" s="11"/>
      <c r="G7" s="11"/>
    </row>
    <row r="8" spans="2:12" x14ac:dyDescent="0.35">
      <c r="B8" t="s">
        <v>78</v>
      </c>
      <c r="C8" s="11"/>
      <c r="E8" t="s">
        <v>78</v>
      </c>
      <c r="F8" s="35" t="s">
        <v>181</v>
      </c>
      <c r="G8" s="35"/>
      <c r="H8" s="35" t="s">
        <v>166</v>
      </c>
      <c r="I8" s="56" t="s">
        <v>167</v>
      </c>
      <c r="J8" s="56" t="s">
        <v>168</v>
      </c>
    </row>
    <row r="9" spans="2:12" x14ac:dyDescent="0.35">
      <c r="B9" t="s">
        <v>79</v>
      </c>
      <c r="C9" s="12">
        <v>42375</v>
      </c>
      <c r="E9" t="s">
        <v>79</v>
      </c>
      <c r="F9" s="43">
        <v>42375</v>
      </c>
      <c r="G9" s="12"/>
      <c r="H9" s="48">
        <v>48455</v>
      </c>
      <c r="I9" s="55">
        <v>10593</v>
      </c>
      <c r="J9" s="55">
        <v>12113</v>
      </c>
      <c r="K9" s="42" t="s">
        <v>174</v>
      </c>
      <c r="L9" s="42"/>
    </row>
    <row r="10" spans="2:12" x14ac:dyDescent="0.35">
      <c r="B10" t="s">
        <v>80</v>
      </c>
      <c r="C10" s="12">
        <v>32531</v>
      </c>
      <c r="E10" t="s">
        <v>80</v>
      </c>
      <c r="F10" s="43">
        <v>32531</v>
      </c>
      <c r="G10" s="12"/>
      <c r="H10" s="48">
        <v>47308</v>
      </c>
      <c r="I10" s="55">
        <v>8132</v>
      </c>
      <c r="J10" s="55">
        <v>11827</v>
      </c>
      <c r="K10" s="42" t="s">
        <v>174</v>
      </c>
      <c r="L10" s="42"/>
    </row>
    <row r="11" spans="2:12" x14ac:dyDescent="0.35">
      <c r="B11" t="s">
        <v>81</v>
      </c>
      <c r="C11" s="12">
        <v>38483</v>
      </c>
      <c r="E11" t="s">
        <v>81</v>
      </c>
      <c r="F11" s="43">
        <v>38483</v>
      </c>
      <c r="G11" s="12"/>
      <c r="H11" s="48">
        <v>57661</v>
      </c>
      <c r="I11" s="55">
        <v>5000</v>
      </c>
      <c r="J11" s="55">
        <v>5000</v>
      </c>
      <c r="K11" s="10" t="s">
        <v>169</v>
      </c>
    </row>
    <row r="12" spans="2:12" x14ac:dyDescent="0.35">
      <c r="B12" s="10" t="s">
        <v>82</v>
      </c>
      <c r="C12" s="12"/>
      <c r="E12" s="10" t="s">
        <v>82</v>
      </c>
      <c r="F12" s="43"/>
      <c r="G12" s="12"/>
      <c r="H12" s="48"/>
      <c r="I12" s="55"/>
      <c r="J12" s="55"/>
    </row>
    <row r="13" spans="2:12" x14ac:dyDescent="0.35">
      <c r="B13" s="9" t="s">
        <v>75</v>
      </c>
      <c r="C13" s="12">
        <v>31052</v>
      </c>
      <c r="E13" s="9" t="s">
        <v>75</v>
      </c>
      <c r="F13" s="43">
        <v>31052</v>
      </c>
      <c r="G13" s="12"/>
      <c r="H13" s="48">
        <v>36345</v>
      </c>
      <c r="I13" s="55">
        <v>7095</v>
      </c>
      <c r="J13" s="55">
        <v>8304</v>
      </c>
      <c r="K13" s="42" t="s">
        <v>174</v>
      </c>
    </row>
    <row r="14" spans="2:12" x14ac:dyDescent="0.35">
      <c r="B14" t="s">
        <v>83</v>
      </c>
      <c r="C14" s="12"/>
      <c r="E14" t="s">
        <v>83</v>
      </c>
      <c r="F14" s="43"/>
      <c r="G14" s="12"/>
      <c r="H14" s="48"/>
      <c r="I14" s="55"/>
      <c r="J14" s="55"/>
    </row>
    <row r="15" spans="2:12" x14ac:dyDescent="0.35">
      <c r="B15" t="s">
        <v>84</v>
      </c>
      <c r="C15" s="12"/>
      <c r="E15" t="s">
        <v>84</v>
      </c>
      <c r="F15" s="43"/>
      <c r="G15" s="12"/>
      <c r="H15" s="48"/>
      <c r="I15" s="55"/>
      <c r="J15" s="55"/>
      <c r="K15" s="10" t="s">
        <v>184</v>
      </c>
    </row>
    <row r="16" spans="2:12" x14ac:dyDescent="0.35">
      <c r="B16" t="s">
        <v>85</v>
      </c>
      <c r="C16" s="12"/>
      <c r="E16" t="s">
        <v>85</v>
      </c>
      <c r="F16" s="43"/>
      <c r="G16" s="12"/>
      <c r="H16" s="48"/>
      <c r="I16" s="55"/>
      <c r="J16" s="55"/>
    </row>
    <row r="17" spans="2:17" x14ac:dyDescent="0.35">
      <c r="B17" s="9" t="s">
        <v>161</v>
      </c>
      <c r="C17" s="12"/>
      <c r="E17" s="9" t="s">
        <v>161</v>
      </c>
      <c r="F17" s="43"/>
      <c r="G17" s="12"/>
      <c r="H17" s="48"/>
      <c r="I17" s="55"/>
      <c r="J17" s="55"/>
    </row>
    <row r="18" spans="2:17" x14ac:dyDescent="0.35">
      <c r="B18" t="s">
        <v>86</v>
      </c>
      <c r="C18" s="12">
        <v>22433</v>
      </c>
      <c r="E18" t="s">
        <v>86</v>
      </c>
      <c r="F18" s="43">
        <v>22433</v>
      </c>
      <c r="G18" s="12"/>
      <c r="H18" s="48">
        <v>22433</v>
      </c>
      <c r="I18" s="55">
        <v>3958</v>
      </c>
      <c r="J18" s="55">
        <v>3958</v>
      </c>
      <c r="K18" s="42" t="s">
        <v>182</v>
      </c>
      <c r="L18" s="42"/>
    </row>
    <row r="19" spans="2:17" x14ac:dyDescent="0.35">
      <c r="B19" s="9" t="s">
        <v>160</v>
      </c>
      <c r="C19" s="12"/>
      <c r="E19" s="9" t="s">
        <v>160</v>
      </c>
      <c r="F19" s="12"/>
      <c r="G19" s="12"/>
      <c r="H19" s="48"/>
      <c r="I19" s="12"/>
      <c r="J19" s="12"/>
    </row>
    <row r="20" spans="2:17" x14ac:dyDescent="0.35">
      <c r="B20" s="39" t="s">
        <v>163</v>
      </c>
      <c r="C20" s="40">
        <v>0</v>
      </c>
      <c r="E20" s="39" t="s">
        <v>163</v>
      </c>
      <c r="F20" s="40">
        <v>0</v>
      </c>
      <c r="G20" s="55"/>
      <c r="H20" s="48">
        <v>10057</v>
      </c>
      <c r="I20" s="12"/>
      <c r="J20" s="12"/>
      <c r="K20" s="42" t="s">
        <v>174</v>
      </c>
    </row>
    <row r="21" spans="2:17" x14ac:dyDescent="0.35">
      <c r="B21" s="9" t="s">
        <v>77</v>
      </c>
      <c r="C21" s="12"/>
      <c r="E21" s="9" t="s">
        <v>77</v>
      </c>
      <c r="F21" s="12"/>
      <c r="G21" s="12"/>
      <c r="H21" s="48"/>
      <c r="I21" s="12"/>
      <c r="J21" s="12"/>
    </row>
    <row r="22" spans="2:17" x14ac:dyDescent="0.35">
      <c r="B22" t="s">
        <v>87</v>
      </c>
      <c r="C22" s="12">
        <v>6099</v>
      </c>
      <c r="E22" t="s">
        <v>87</v>
      </c>
      <c r="F22" s="43">
        <v>6099</v>
      </c>
      <c r="G22" s="12"/>
      <c r="H22" s="48">
        <v>9051</v>
      </c>
      <c r="I22" s="12"/>
      <c r="J22" s="12"/>
      <c r="K22" s="10" t="s">
        <v>170</v>
      </c>
    </row>
    <row r="23" spans="2:17" x14ac:dyDescent="0.35">
      <c r="B23" s="9" t="s">
        <v>88</v>
      </c>
      <c r="C23" s="12"/>
      <c r="E23" s="9" t="s">
        <v>171</v>
      </c>
      <c r="F23" s="44"/>
      <c r="H23" s="49"/>
      <c r="K23" s="10"/>
    </row>
    <row r="24" spans="2:17" x14ac:dyDescent="0.35">
      <c r="B24" t="s">
        <v>89</v>
      </c>
      <c r="C24" s="12">
        <v>3985</v>
      </c>
      <c r="E24" t="s">
        <v>172</v>
      </c>
      <c r="F24" s="44" t="s">
        <v>173</v>
      </c>
      <c r="H24" s="49">
        <v>1210</v>
      </c>
      <c r="K24" s="10" t="s">
        <v>170</v>
      </c>
    </row>
    <row r="25" spans="2:17" x14ac:dyDescent="0.35">
      <c r="E25" s="9" t="s">
        <v>88</v>
      </c>
      <c r="F25" s="43"/>
      <c r="G25" s="12"/>
      <c r="H25" s="48"/>
      <c r="I25" s="12"/>
      <c r="J25" s="12"/>
      <c r="K25" s="10"/>
    </row>
    <row r="26" spans="2:17" x14ac:dyDescent="0.35">
      <c r="B26" t="s">
        <v>162</v>
      </c>
      <c r="C26" s="37">
        <f>SUM(C9:C25)</f>
        <v>176958</v>
      </c>
      <c r="E26" t="s">
        <v>89</v>
      </c>
      <c r="F26" s="43">
        <v>3985</v>
      </c>
      <c r="G26" s="12"/>
      <c r="H26" s="48">
        <v>7627</v>
      </c>
      <c r="I26" s="12"/>
      <c r="J26" s="12"/>
      <c r="K26" s="10" t="s">
        <v>170</v>
      </c>
    </row>
    <row r="27" spans="2:17" x14ac:dyDescent="0.35">
      <c r="F27" s="44"/>
      <c r="H27" s="48"/>
      <c r="I27" s="12"/>
      <c r="J27" s="12"/>
    </row>
    <row r="28" spans="2:17" x14ac:dyDescent="0.35">
      <c r="B28" s="9" t="s">
        <v>90</v>
      </c>
      <c r="C28" s="11"/>
      <c r="E28" t="s">
        <v>162</v>
      </c>
      <c r="F28" s="45">
        <f>SUM(F9:F27)</f>
        <v>176958</v>
      </c>
      <c r="G28" s="37"/>
      <c r="H28" s="50">
        <f>SUM(H9:H27)</f>
        <v>240147</v>
      </c>
      <c r="I28" s="12"/>
      <c r="J28" s="12"/>
    </row>
    <row r="29" spans="2:17" x14ac:dyDescent="0.35">
      <c r="B29" t="s">
        <v>91</v>
      </c>
      <c r="C29" s="12">
        <v>31800</v>
      </c>
      <c r="F29" s="44"/>
      <c r="H29" s="49"/>
    </row>
    <row r="30" spans="2:17" x14ac:dyDescent="0.35">
      <c r="E30" s="9" t="s">
        <v>90</v>
      </c>
      <c r="F30" s="46"/>
      <c r="G30" s="11"/>
      <c r="H30" s="49"/>
    </row>
    <row r="31" spans="2:17" ht="15" thickBot="1" x14ac:dyDescent="0.4">
      <c r="C31" s="38">
        <f>SUM(C26:C30)</f>
        <v>208758</v>
      </c>
      <c r="E31" t="s">
        <v>91</v>
      </c>
      <c r="F31" s="43">
        <v>31800</v>
      </c>
      <c r="G31" s="12"/>
      <c r="H31" s="48">
        <v>31825</v>
      </c>
      <c r="J31" s="35" t="s">
        <v>75</v>
      </c>
      <c r="K31" s="9"/>
      <c r="L31" s="35" t="s">
        <v>203</v>
      </c>
      <c r="M31" s="35" t="s">
        <v>204</v>
      </c>
      <c r="N31" s="35" t="s">
        <v>207</v>
      </c>
    </row>
    <row r="32" spans="2:17" ht="15" thickTop="1" x14ac:dyDescent="0.35">
      <c r="J32" s="11" t="s">
        <v>205</v>
      </c>
      <c r="L32" s="12">
        <v>18075</v>
      </c>
      <c r="M32" s="12">
        <v>16895</v>
      </c>
      <c r="N32" s="12">
        <v>9676</v>
      </c>
      <c r="O32" s="27">
        <f>SUM(L32:N32)</f>
        <v>44646</v>
      </c>
      <c r="P32" s="34">
        <v>-8305</v>
      </c>
      <c r="Q32" s="27">
        <f>SUM(O32:P32)</f>
        <v>36341</v>
      </c>
    </row>
    <row r="33" spans="5:17" x14ac:dyDescent="0.35">
      <c r="E33" t="s">
        <v>183</v>
      </c>
      <c r="F33" s="52">
        <f>F28+F31</f>
        <v>208758</v>
      </c>
      <c r="G33" s="27"/>
      <c r="H33" s="53">
        <f>H28+H31</f>
        <v>271972</v>
      </c>
      <c r="J33" s="11" t="s">
        <v>206</v>
      </c>
      <c r="L33" s="60">
        <v>18075</v>
      </c>
      <c r="M33" s="61">
        <v>10000</v>
      </c>
      <c r="N33" s="61">
        <v>6640</v>
      </c>
      <c r="O33" s="27">
        <f>SUM(L33:N33)</f>
        <v>34715</v>
      </c>
      <c r="P33" s="27"/>
      <c r="Q33" s="27">
        <f>O33</f>
        <v>34715</v>
      </c>
    </row>
    <row r="34" spans="5:17" x14ac:dyDescent="0.35">
      <c r="G34" s="27"/>
    </row>
    <row r="35" spans="5:17" ht="15" thickBot="1" x14ac:dyDescent="0.4">
      <c r="E35" t="s">
        <v>178</v>
      </c>
      <c r="F35" s="47">
        <f>F33*15%+F33</f>
        <v>240071.7</v>
      </c>
      <c r="G35" s="27"/>
      <c r="H35" s="51">
        <f>H33*15%+H33</f>
        <v>312767.8</v>
      </c>
    </row>
    <row r="36" spans="5:17" ht="15" thickTop="1" x14ac:dyDescent="0.35"/>
    <row r="37" spans="5:17" x14ac:dyDescent="0.35">
      <c r="E37" t="s">
        <v>177</v>
      </c>
      <c r="H37" s="12">
        <v>1600</v>
      </c>
    </row>
    <row r="38" spans="5:17" x14ac:dyDescent="0.35">
      <c r="E38" t="s">
        <v>175</v>
      </c>
      <c r="H38" s="12">
        <v>1200</v>
      </c>
    </row>
    <row r="39" spans="5:17" x14ac:dyDescent="0.35">
      <c r="E39" t="s">
        <v>176</v>
      </c>
      <c r="H39" s="55">
        <v>-1725</v>
      </c>
    </row>
    <row r="41" spans="5:17" ht="15" thickBot="1" x14ac:dyDescent="0.4">
      <c r="F41" s="47">
        <f>F35</f>
        <v>240071.7</v>
      </c>
      <c r="G41" s="16"/>
      <c r="H41" s="51">
        <f>SUM(H35:H40)</f>
        <v>313842.8</v>
      </c>
    </row>
    <row r="42" spans="5:17" ht="15" thickTop="1" x14ac:dyDescent="0.35"/>
    <row r="43" spans="5:17" x14ac:dyDescent="0.35">
      <c r="E43" t="s">
        <v>179</v>
      </c>
      <c r="H43" s="12">
        <f>H41-F41</f>
        <v>73771.099999999977</v>
      </c>
    </row>
    <row r="44" spans="5:17" x14ac:dyDescent="0.35">
      <c r="E44" t="s">
        <v>180</v>
      </c>
      <c r="H44" s="12">
        <f>H43/100*25</f>
        <v>18442.774999999994</v>
      </c>
    </row>
    <row r="45" spans="5:17" ht="15" thickBot="1" x14ac:dyDescent="0.4">
      <c r="H45" s="54">
        <f>SUM(H43:H44)</f>
        <v>92213.874999999971</v>
      </c>
    </row>
    <row r="46" spans="5:17" ht="15" thickTop="1" x14ac:dyDescent="0.35"/>
    <row r="48" spans="5:17" x14ac:dyDescent="0.35">
      <c r="E48" s="11"/>
      <c r="F48" s="11"/>
      <c r="G4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6211-7ABC-4E00-BC56-90E1BCE2349A}">
  <dimension ref="B2:B25"/>
  <sheetViews>
    <sheetView topLeftCell="A3" zoomScale="110" zoomScaleNormal="110" workbookViewId="0">
      <selection activeCell="B25" sqref="B4:B25"/>
    </sheetView>
  </sheetViews>
  <sheetFormatPr defaultRowHeight="14.5" x14ac:dyDescent="0.35"/>
  <cols>
    <col min="2" max="2" width="46" customWidth="1"/>
  </cols>
  <sheetData>
    <row r="2" spans="2:2" ht="23.5" x14ac:dyDescent="0.55000000000000004">
      <c r="B2" s="59" t="s">
        <v>198</v>
      </c>
    </row>
    <row r="4" spans="2:2" x14ac:dyDescent="0.35">
      <c r="B4" s="9" t="s">
        <v>185</v>
      </c>
    </row>
    <row r="5" spans="2:2" x14ac:dyDescent="0.35">
      <c r="B5" t="s">
        <v>188</v>
      </c>
    </row>
    <row r="6" spans="2:2" x14ac:dyDescent="0.35">
      <c r="B6" t="s">
        <v>187</v>
      </c>
    </row>
    <row r="8" spans="2:2" x14ac:dyDescent="0.35">
      <c r="B8" s="58" t="s">
        <v>186</v>
      </c>
    </row>
    <row r="9" spans="2:2" x14ac:dyDescent="0.35">
      <c r="B9" s="57" t="s">
        <v>189</v>
      </c>
    </row>
    <row r="10" spans="2:2" x14ac:dyDescent="0.35">
      <c r="B10" s="57" t="s">
        <v>191</v>
      </c>
    </row>
    <row r="11" spans="2:2" x14ac:dyDescent="0.35">
      <c r="B11" s="57" t="s">
        <v>190</v>
      </c>
    </row>
    <row r="13" spans="2:2" x14ac:dyDescent="0.35">
      <c r="B13" s="9" t="s">
        <v>193</v>
      </c>
    </row>
    <row r="14" spans="2:2" x14ac:dyDescent="0.35">
      <c r="B14" t="s">
        <v>192</v>
      </c>
    </row>
    <row r="16" spans="2:2" x14ac:dyDescent="0.35">
      <c r="B16" s="9" t="s">
        <v>195</v>
      </c>
    </row>
    <row r="17" spans="2:2" x14ac:dyDescent="0.35">
      <c r="B17" t="s">
        <v>194</v>
      </c>
    </row>
    <row r="19" spans="2:2" x14ac:dyDescent="0.35">
      <c r="B19" s="9" t="s">
        <v>196</v>
      </c>
    </row>
    <row r="20" spans="2:2" x14ac:dyDescent="0.35">
      <c r="B20" t="s">
        <v>197</v>
      </c>
    </row>
    <row r="22" spans="2:2" x14ac:dyDescent="0.35">
      <c r="B22" s="58" t="s">
        <v>201</v>
      </c>
    </row>
    <row r="23" spans="2:2" x14ac:dyDescent="0.35">
      <c r="B23" t="s">
        <v>199</v>
      </c>
    </row>
    <row r="24" spans="2:2" x14ac:dyDescent="0.35">
      <c r="B24" t="s">
        <v>200</v>
      </c>
    </row>
    <row r="25" spans="2:2" x14ac:dyDescent="0.35">
      <c r="B25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561D-D824-47C3-9648-F4203641A033}">
  <dimension ref="C6:I23"/>
  <sheetViews>
    <sheetView zoomScale="150" zoomScaleNormal="150" workbookViewId="0">
      <selection activeCell="G15" sqref="C15:G15"/>
    </sheetView>
  </sheetViews>
  <sheetFormatPr defaultRowHeight="14.5" x14ac:dyDescent="0.35"/>
  <cols>
    <col min="3" max="3" width="51.26953125" customWidth="1"/>
    <col min="4" max="6" width="12.453125" style="11" customWidth="1"/>
    <col min="7" max="7" width="9.1796875" style="11"/>
    <col min="9" max="9" width="8.7265625" customWidth="1"/>
  </cols>
  <sheetData>
    <row r="6" spans="3:9" x14ac:dyDescent="0.35">
      <c r="C6" t="s">
        <v>261</v>
      </c>
    </row>
    <row r="8" spans="3:9" x14ac:dyDescent="0.35">
      <c r="C8" s="9" t="s">
        <v>249</v>
      </c>
      <c r="D8" s="35" t="s">
        <v>148</v>
      </c>
      <c r="E8" s="35" t="s">
        <v>250</v>
      </c>
      <c r="F8" s="35" t="s">
        <v>251</v>
      </c>
      <c r="G8" s="35" t="s">
        <v>259</v>
      </c>
      <c r="H8" s="35" t="s">
        <v>256</v>
      </c>
    </row>
    <row r="9" spans="3:9" x14ac:dyDescent="0.35">
      <c r="C9" t="s">
        <v>254</v>
      </c>
      <c r="D9" s="12">
        <f>3262</f>
        <v>3262</v>
      </c>
      <c r="E9" s="12">
        <f>(D9*-10%)+D9</f>
        <v>2935.8</v>
      </c>
      <c r="F9" s="12">
        <f>E9*1.15</f>
        <v>3376.17</v>
      </c>
      <c r="G9" s="12">
        <f>F9</f>
        <v>3376.17</v>
      </c>
      <c r="H9" s="82">
        <f>SUM(G9:G10)</f>
        <v>4526.17</v>
      </c>
      <c r="I9" s="83" t="s">
        <v>158</v>
      </c>
    </row>
    <row r="10" spans="3:9" x14ac:dyDescent="0.35">
      <c r="C10" t="s">
        <v>252</v>
      </c>
      <c r="E10" s="12"/>
      <c r="G10" s="12">
        <f>575*2</f>
        <v>1150</v>
      </c>
    </row>
    <row r="11" spans="3:9" x14ac:dyDescent="0.35">
      <c r="E11" s="12"/>
      <c r="F11" s="12"/>
    </row>
    <row r="12" spans="3:9" x14ac:dyDescent="0.35">
      <c r="C12" s="9" t="s">
        <v>253</v>
      </c>
      <c r="E12" s="12"/>
      <c r="F12" s="12"/>
      <c r="H12" s="35" t="s">
        <v>256</v>
      </c>
    </row>
    <row r="13" spans="3:9" x14ac:dyDescent="0.35">
      <c r="C13" t="s">
        <v>254</v>
      </c>
      <c r="D13" s="12">
        <f>19133-(2627+2953)</f>
        <v>13553</v>
      </c>
      <c r="E13" s="12">
        <f>(D13*-10%)+D13</f>
        <v>12197.7</v>
      </c>
      <c r="F13" s="12">
        <f>E13*1.15</f>
        <v>14027.355</v>
      </c>
      <c r="G13" s="12">
        <f>F13</f>
        <v>14027.355</v>
      </c>
      <c r="H13" s="82">
        <f>SUM(G13:G17)</f>
        <v>31012.355</v>
      </c>
      <c r="I13" s="83" t="s">
        <v>158</v>
      </c>
    </row>
    <row r="14" spans="3:9" x14ac:dyDescent="0.35">
      <c r="C14" t="s">
        <v>255</v>
      </c>
      <c r="D14" s="12">
        <f>800*3</f>
        <v>2400</v>
      </c>
      <c r="E14" s="12"/>
      <c r="F14" s="12">
        <f>D14*1.15</f>
        <v>2760</v>
      </c>
      <c r="G14" s="12">
        <f>F14</f>
        <v>2760</v>
      </c>
    </row>
    <row r="15" spans="3:9" x14ac:dyDescent="0.35">
      <c r="C15" t="s">
        <v>258</v>
      </c>
      <c r="D15" s="12">
        <f>5*575</f>
        <v>2875</v>
      </c>
      <c r="E15" s="12"/>
      <c r="G15" s="12">
        <f>D15</f>
        <v>2875</v>
      </c>
    </row>
    <row r="16" spans="3:9" x14ac:dyDescent="0.35">
      <c r="C16" t="s">
        <v>257</v>
      </c>
      <c r="D16" s="12"/>
      <c r="E16" s="12"/>
      <c r="G16" s="12">
        <f>12*575</f>
        <v>6900</v>
      </c>
    </row>
    <row r="17" spans="3:7" x14ac:dyDescent="0.35">
      <c r="C17" t="s">
        <v>260</v>
      </c>
      <c r="D17" s="12"/>
      <c r="E17" s="12"/>
      <c r="F17" s="12"/>
      <c r="G17" s="11">
        <f>6*575+1000</f>
        <v>4450</v>
      </c>
    </row>
    <row r="18" spans="3:7" x14ac:dyDescent="0.35">
      <c r="E18" s="12"/>
      <c r="F18" s="12"/>
    </row>
    <row r="19" spans="3:7" x14ac:dyDescent="0.35">
      <c r="F19" s="12"/>
    </row>
    <row r="20" spans="3:7" x14ac:dyDescent="0.35">
      <c r="E20" s="12"/>
      <c r="F20" s="12"/>
    </row>
    <row r="21" spans="3:7" x14ac:dyDescent="0.35">
      <c r="E21" s="12"/>
      <c r="F21" s="12"/>
    </row>
    <row r="22" spans="3:7" x14ac:dyDescent="0.35">
      <c r="E22" s="12"/>
      <c r="F22" s="12"/>
    </row>
    <row r="23" spans="3:7" x14ac:dyDescent="0.35">
      <c r="E23" s="12"/>
      <c r="F23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2DED09EA814A04AA67D21CE1BFB72BA" ma:contentTypeVersion="28" ma:contentTypeDescription="Opret et nyt dokument." ma:contentTypeScope="" ma:versionID="14d0c3fe0f2d66b6e7d68860b761c4a7">
  <xsd:schema xmlns:xsd="http://www.w3.org/2001/XMLSchema" xmlns:xs="http://www.w3.org/2001/XMLSchema" xmlns:p="http://schemas.microsoft.com/office/2006/metadata/properties" xmlns:ns2="938a5ba8-a2de-49f6-b885-4b123066ec6f" xmlns:ns3="19205e70-9770-44fc-a5b3-72b4caaab09a" targetNamespace="http://schemas.microsoft.com/office/2006/metadata/properties" ma:root="true" ma:fieldsID="a75d620c3b60ca538953e21cc33c3a9a" ns2:_="" ns3:_="">
    <xsd:import namespace="938a5ba8-a2de-49f6-b885-4b123066ec6f"/>
    <xsd:import namespace="19205e70-9770-44fc-a5b3-72b4caaab0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Placering" minOccurs="0"/>
                <xsd:element ref="ns2:e5d13b3b-7d87-48b2-a732-17d34f76a21bCountryOrRegion" minOccurs="0"/>
                <xsd:element ref="ns2:e5d13b3b-7d87-48b2-a732-17d34f76a21bState" minOccurs="0"/>
                <xsd:element ref="ns2:e5d13b3b-7d87-48b2-a732-17d34f76a21bCity" minOccurs="0"/>
                <xsd:element ref="ns2:e5d13b3b-7d87-48b2-a732-17d34f76a21bPostalCode" minOccurs="0"/>
                <xsd:element ref="ns2:e5d13b3b-7d87-48b2-a732-17d34f76a21bStreet" minOccurs="0"/>
                <xsd:element ref="ns2:e5d13b3b-7d87-48b2-a732-17d34f76a21bGeoLoc" minOccurs="0"/>
                <xsd:element ref="ns2:e5d13b3b-7d87-48b2-a732-17d34f76a21bDispName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a5ba8-a2de-49f6-b885-4b123066ec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Placering" ma:index="16" nillable="true" ma:displayName="Placering" ma:format="Dropdown" ma:internalName="Placering">
      <xsd:simpleType>
        <xsd:restriction base="dms:Unknown"/>
      </xsd:simpleType>
    </xsd:element>
    <xsd:element name="e5d13b3b-7d87-48b2-a732-17d34f76a21bCountryOrRegion" ma:index="17" nillable="true" ma:displayName="Placering: Land/område" ma:internalName="CountryOrRegion" ma:readOnly="true">
      <xsd:simpleType>
        <xsd:restriction base="dms:Text"/>
      </xsd:simpleType>
    </xsd:element>
    <xsd:element name="e5d13b3b-7d87-48b2-a732-17d34f76a21bState" ma:index="18" nillable="true" ma:displayName="Placering: Delstat" ma:internalName="State" ma:readOnly="true">
      <xsd:simpleType>
        <xsd:restriction base="dms:Text"/>
      </xsd:simpleType>
    </xsd:element>
    <xsd:element name="e5d13b3b-7d87-48b2-a732-17d34f76a21bCity" ma:index="19" nillable="true" ma:displayName="Placering: By" ma:internalName="City" ma:readOnly="true">
      <xsd:simpleType>
        <xsd:restriction base="dms:Text"/>
      </xsd:simpleType>
    </xsd:element>
    <xsd:element name="e5d13b3b-7d87-48b2-a732-17d34f76a21bPostalCode" ma:index="20" nillable="true" ma:displayName="Placering: Postnummer" ma:internalName="PostalCode" ma:readOnly="true">
      <xsd:simpleType>
        <xsd:restriction base="dms:Text"/>
      </xsd:simpleType>
    </xsd:element>
    <xsd:element name="e5d13b3b-7d87-48b2-a732-17d34f76a21bStreet" ma:index="21" nillable="true" ma:displayName="Placering: Gade" ma:internalName="Street" ma:readOnly="true">
      <xsd:simpleType>
        <xsd:restriction base="dms:Text"/>
      </xsd:simpleType>
    </xsd:element>
    <xsd:element name="e5d13b3b-7d87-48b2-a732-17d34f76a21bGeoLoc" ma:index="22" nillable="true" ma:displayName="Placering: Koordinater" ma:internalName="GeoLoc" ma:readOnly="true">
      <xsd:simpleType>
        <xsd:restriction base="dms:Unknown"/>
      </xsd:simpleType>
    </xsd:element>
    <xsd:element name="e5d13b3b-7d87-48b2-a732-17d34f76a21bDispName" ma:index="23" nillable="true" ma:displayName="Placering: Navn" ma:internalName="DispName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1" nillable="true" ma:taxonomy="true" ma:internalName="lcf76f155ced4ddcb4097134ff3c332f" ma:taxonomyFieldName="MediaServiceImageTags" ma:displayName="Billedmærker" ma:readOnly="false" ma:fieldId="{5cf76f15-5ced-4ddc-b409-7134ff3c332f}" ma:taxonomyMulti="true" ma:sspId="cd9d3e45-4d42-40fe-b6c0-42e381ab4c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205e70-9770-44fc-a5b3-72b4caaab0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2fd65098-851f-4145-804d-10d71047d329}" ma:internalName="TaxCatchAll" ma:showField="CatchAllData" ma:web="19205e70-9770-44fc-a5b3-72b4caaab0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lacering xmlns="938a5ba8-a2de-49f6-b885-4b123066ec6f" xsi:nil="true"/>
    <TaxCatchAll xmlns="19205e70-9770-44fc-a5b3-72b4caaab09a" xsi:nil="true"/>
    <lcf76f155ced4ddcb4097134ff3c332f xmlns="938a5ba8-a2de-49f6-b885-4b123066ec6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A0804A-AADE-4E0D-BFF9-987CC237BE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8a5ba8-a2de-49f6-b885-4b123066ec6f"/>
    <ds:schemaRef ds:uri="19205e70-9770-44fc-a5b3-72b4caaab0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D5E93A-2E6F-4C6F-9EFC-A3C7000DAF8E}">
  <ds:schemaRefs>
    <ds:schemaRef ds:uri="http://schemas.microsoft.com/office/2006/metadata/properties"/>
    <ds:schemaRef ds:uri="http://schemas.microsoft.com/office/infopath/2007/PartnerControls"/>
    <ds:schemaRef ds:uri="938a5ba8-a2de-49f6-b885-4b123066ec6f"/>
    <ds:schemaRef ds:uri="19205e70-9770-44fc-a5b3-72b4caaab09a"/>
  </ds:schemaRefs>
</ds:datastoreItem>
</file>

<file path=customXml/itemProps3.xml><?xml version="1.0" encoding="utf-8"?>
<ds:datastoreItem xmlns:ds="http://schemas.openxmlformats.org/officeDocument/2006/customXml" ds:itemID="{A8F572AD-2B44-444B-B5F5-854335B88F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Tilbud</vt:lpstr>
      <vt:lpstr>Fremskrivning</vt:lpstr>
      <vt:lpstr>Ekstraarbejder</vt:lpstr>
      <vt:lpstr>Ekstra Køkken</vt:lpstr>
      <vt:lpstr>Noter</vt:lpstr>
      <vt:lpstr>skabe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Blankholm</dc:creator>
  <cp:lastModifiedBy>Christian Blankholm</cp:lastModifiedBy>
  <cp:lastPrinted>2024-11-27T05:22:57Z</cp:lastPrinted>
  <dcterms:created xsi:type="dcterms:W3CDTF">2024-01-28T08:49:16Z</dcterms:created>
  <dcterms:modified xsi:type="dcterms:W3CDTF">2024-11-28T07:12:27Z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0x01010092DED09EA814A04AA67D21CE1BFB72BA</vt:lpwstr>
  </property>
  <property fmtid="{D5CDD505-2E9C-101B-9397-08002B2CF9AE}" pid="3" name="MediaServiceImageTags">
    <vt:lpwstr/>
  </property>
</Properties>
</file>