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nord.sharepoint.com/sites/bnord/Delte dokumenter/0  SAGER/1 Igangværende sager/1883 Kochsvej 6 2th/Kalkulation/"/>
    </mc:Choice>
  </mc:AlternateContent>
  <xr:revisionPtr revIDLastSave="3569" documentId="8_{2D07526B-F23C-432C-8B19-2E1DFDB9AC3B}" xr6:coauthVersionLast="47" xr6:coauthVersionMax="47" xr10:uidLastSave="{E24E7F6E-7F79-45C3-AF01-2AE351555505}"/>
  <bookViews>
    <workbookView xWindow="-108" yWindow="-108" windowWidth="23256" windowHeight="12576" tabRatio="771" xr2:uid="{B68B6A06-2BED-4C0A-B8DE-C05BFCFB300C}"/>
  </bookViews>
  <sheets>
    <sheet name="30.09.2024 KALK" sheetId="2" r:id="rId1"/>
    <sheet name="Tillæg- og fradragsarbejder" sheetId="4" r:id="rId2"/>
    <sheet name="Fremskrivning" sheetId="14" r:id="rId3"/>
    <sheet name="Badeværelses tilbehør" sheetId="13" r:id="rId4"/>
    <sheet name="Stillark fakturering" sheetId="12" r:id="rId5"/>
    <sheet name="Lister" sheetId="11" r:id="rId6"/>
    <sheet name="Pyntelister" sheetId="10" r:id="rId7"/>
    <sheet name="Ventilation" sheetId="7" r:id="rId8"/>
    <sheet name="Stillark tilbud" sheetId="6" r:id="rId9"/>
    <sheet name="STUK" sheetId="3" r:id="rId10"/>
    <sheet name="El Ekstra" sheetId="5" r:id="rId11"/>
    <sheet name="Ekstra Fliser" sheetId="9" r:id="rId12"/>
    <sheet name="Faktureringsforløb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4" l="1"/>
  <c r="K21" i="14"/>
  <c r="I21" i="14"/>
  <c r="F15" i="14" l="1"/>
  <c r="AA186" i="2"/>
  <c r="N87" i="4" l="1"/>
  <c r="N95" i="4"/>
  <c r="N89" i="4"/>
  <c r="C83" i="4"/>
  <c r="N83" i="4" s="1"/>
  <c r="H7" i="13" l="1"/>
  <c r="F31" i="14"/>
  <c r="F13" i="14"/>
  <c r="F22" i="14" s="1"/>
  <c r="F8" i="14"/>
  <c r="L118" i="6"/>
  <c r="C156" i="6"/>
  <c r="C149" i="6"/>
  <c r="B149" i="6"/>
  <c r="C148" i="6"/>
  <c r="C147" i="6"/>
  <c r="C145" i="6"/>
  <c r="D134" i="6"/>
  <c r="E134" i="6" s="1"/>
  <c r="G134" i="6" s="1"/>
  <c r="G140" i="6" s="1"/>
  <c r="D123" i="6"/>
  <c r="E123" i="6" s="1"/>
  <c r="G123" i="6" s="1"/>
  <c r="G130" i="6" s="1"/>
  <c r="C111" i="6"/>
  <c r="C108" i="6"/>
  <c r="C110" i="6" s="1"/>
  <c r="D102" i="6"/>
  <c r="E102" i="6" s="1"/>
  <c r="G102" i="6" s="1"/>
  <c r="C49" i="6"/>
  <c r="C112" i="6" l="1"/>
  <c r="C146" i="6" s="1"/>
  <c r="C150" i="6" s="1"/>
  <c r="C158" i="6" s="1"/>
  <c r="F27" i="14"/>
  <c r="F32" i="14" s="1"/>
  <c r="C116" i="6" l="1"/>
  <c r="D116" i="6" s="1"/>
  <c r="E116" i="6" s="1"/>
  <c r="G116" i="6" s="1"/>
  <c r="G117" i="6" s="1"/>
  <c r="G142" i="6" s="1"/>
  <c r="C31" i="14" l="1"/>
  <c r="C17" i="14"/>
  <c r="C8" i="14"/>
  <c r="C16" i="14"/>
  <c r="C15" i="14"/>
  <c r="C14" i="14"/>
  <c r="C13" i="14"/>
  <c r="C22" i="14" l="1"/>
  <c r="C27" i="14" s="1"/>
  <c r="C32" i="14" s="1"/>
  <c r="N79" i="4"/>
  <c r="N77" i="4"/>
  <c r="N8" i="4"/>
  <c r="L75" i="4"/>
  <c r="L57" i="4"/>
  <c r="L49" i="4"/>
  <c r="L41" i="4"/>
  <c r="L39" i="4"/>
  <c r="L37" i="4"/>
  <c r="L35" i="4"/>
  <c r="X186" i="2"/>
  <c r="C81" i="4"/>
  <c r="N81" i="4" s="1"/>
  <c r="J10" i="13"/>
  <c r="J11" i="13"/>
  <c r="J4" i="13"/>
  <c r="J5" i="13"/>
  <c r="J6" i="13"/>
  <c r="J7" i="13"/>
  <c r="J13" i="13" l="1"/>
  <c r="J14" i="13" s="1"/>
  <c r="J15" i="13" s="1"/>
  <c r="M7" i="12"/>
  <c r="E18" i="12"/>
  <c r="E15" i="12"/>
  <c r="I13" i="12"/>
  <c r="I11" i="12"/>
  <c r="I9" i="12"/>
  <c r="I7" i="12"/>
  <c r="I5" i="12"/>
  <c r="I15" i="12" l="1"/>
  <c r="F218" i="2"/>
  <c r="G218" i="2" s="1"/>
  <c r="H218" i="2" s="1"/>
  <c r="C71" i="4" l="1"/>
  <c r="N71" i="4" s="1"/>
  <c r="N91" i="4" s="1"/>
  <c r="C73" i="4"/>
  <c r="L73" i="4" s="1"/>
  <c r="Q18" i="3"/>
  <c r="Q19" i="3" s="1"/>
  <c r="N16" i="3"/>
  <c r="N19" i="3" s="1"/>
  <c r="L18" i="3"/>
  <c r="C63" i="4"/>
  <c r="L63" i="4" s="1"/>
  <c r="C69" i="4" l="1"/>
  <c r="L69" i="4" s="1"/>
  <c r="C67" i="4"/>
  <c r="L67" i="4" s="1"/>
  <c r="H15" i="11" l="1"/>
  <c r="H14" i="11"/>
  <c r="H10" i="11"/>
  <c r="H9" i="11"/>
  <c r="J35" i="4" l="1"/>
  <c r="J65" i="4" l="1"/>
  <c r="J61" i="4"/>
  <c r="J32" i="4"/>
  <c r="J30" i="4"/>
  <c r="J29" i="4"/>
  <c r="J27" i="4"/>
  <c r="J23" i="4"/>
  <c r="J22" i="4"/>
  <c r="U186" i="2" l="1"/>
  <c r="R186" i="2" l="1"/>
  <c r="H51" i="4"/>
  <c r="H45" i="4"/>
  <c r="H20" i="4"/>
  <c r="H18" i="4"/>
  <c r="H14" i="4"/>
  <c r="C55" i="4" l="1"/>
  <c r="L55" i="4" s="1"/>
  <c r="C43" i="4" l="1"/>
  <c r="L43" i="4" s="1"/>
  <c r="C12" i="4"/>
  <c r="H12" i="4" s="1"/>
  <c r="H91" i="4" s="1"/>
  <c r="G12" i="10" l="1"/>
  <c r="H12" i="10" s="1"/>
  <c r="H11" i="10"/>
  <c r="G10" i="10"/>
  <c r="H10" i="10" s="1"/>
  <c r="E9" i="10"/>
  <c r="D9" i="10"/>
  <c r="E8" i="10"/>
  <c r="F8" i="10" s="1"/>
  <c r="F9" i="10" l="1"/>
  <c r="G9" i="10" s="1"/>
  <c r="G8" i="10"/>
  <c r="H8" i="10" s="1"/>
  <c r="H9" i="10" l="1"/>
  <c r="H13" i="10" s="1"/>
  <c r="E29" i="3"/>
  <c r="E27" i="3"/>
  <c r="E24" i="3"/>
  <c r="E22" i="3"/>
  <c r="E19" i="3"/>
  <c r="E28" i="3"/>
  <c r="E26" i="3"/>
  <c r="E25" i="3"/>
  <c r="E23" i="3"/>
  <c r="E21" i="3"/>
  <c r="E20" i="3"/>
  <c r="E18" i="3"/>
  <c r="E31" i="3" l="1"/>
  <c r="E33" i="3" s="1"/>
  <c r="G17" i="3"/>
  <c r="I10" i="9" l="1"/>
  <c r="H9" i="9"/>
  <c r="I9" i="9" s="1"/>
  <c r="I12" i="9" l="1"/>
  <c r="I12" i="8"/>
  <c r="H11" i="8"/>
  <c r="H12" i="8" s="1"/>
  <c r="U207" i="2"/>
  <c r="T206" i="2"/>
  <c r="T207" i="2" s="1"/>
  <c r="C25" i="4" l="1"/>
  <c r="L25" i="4" s="1"/>
  <c r="C33" i="4"/>
  <c r="J33" i="4" s="1"/>
  <c r="J91" i="4" s="1"/>
  <c r="D37" i="6" l="1"/>
  <c r="E37" i="6" s="1"/>
  <c r="G37" i="6" s="1"/>
  <c r="G43" i="6" s="1"/>
  <c r="D26" i="6"/>
  <c r="E26" i="6" s="1"/>
  <c r="G26" i="6" s="1"/>
  <c r="G33" i="6" s="1"/>
  <c r="C14" i="6"/>
  <c r="C11" i="6"/>
  <c r="C13" i="6" s="1"/>
  <c r="D5" i="6"/>
  <c r="E5" i="6" s="1"/>
  <c r="G5" i="6" s="1"/>
  <c r="C15" i="6" l="1"/>
  <c r="C19" i="6" s="1"/>
  <c r="D19" i="6" s="1"/>
  <c r="E19" i="6" s="1"/>
  <c r="G19" i="6" s="1"/>
  <c r="G20" i="6" s="1"/>
  <c r="G45" i="6" s="1"/>
  <c r="F19" i="7" l="1"/>
  <c r="G19" i="7" s="1"/>
  <c r="E17" i="7"/>
  <c r="G17" i="7" s="1"/>
  <c r="F21" i="7"/>
  <c r="G21" i="7" s="1"/>
  <c r="F16" i="7"/>
  <c r="G16" i="7" s="1"/>
  <c r="F15" i="7"/>
  <c r="G15" i="7" s="1"/>
  <c r="F9" i="7"/>
  <c r="G9" i="7" s="1"/>
  <c r="F8" i="7"/>
  <c r="G8" i="7" s="1"/>
  <c r="G22" i="7" l="1"/>
  <c r="G11" i="7"/>
  <c r="G24" i="7" l="1"/>
  <c r="D87" i="6"/>
  <c r="E87" i="6" s="1"/>
  <c r="G87" i="6" s="1"/>
  <c r="G93" i="6" s="1"/>
  <c r="D76" i="6"/>
  <c r="E76" i="6" s="1"/>
  <c r="G76" i="6" s="1"/>
  <c r="G83" i="6" s="1"/>
  <c r="C65" i="6"/>
  <c r="C62" i="6"/>
  <c r="C64" i="6" s="1"/>
  <c r="D56" i="6"/>
  <c r="E56" i="6" s="1"/>
  <c r="G56" i="6" s="1"/>
  <c r="F55" i="2"/>
  <c r="C66" i="6" l="1"/>
  <c r="C70" i="6" s="1"/>
  <c r="D70" i="6" s="1"/>
  <c r="E70" i="6" s="1"/>
  <c r="G70" i="6" s="1"/>
  <c r="G71" i="6" s="1"/>
  <c r="G95" i="6" s="1"/>
  <c r="O186" i="2"/>
  <c r="C10" i="4"/>
  <c r="C91" i="4" s="1"/>
  <c r="L10" i="4" l="1"/>
  <c r="L91" i="4" s="1"/>
  <c r="F5" i="4"/>
  <c r="E13" i="3" l="1"/>
  <c r="E12" i="3"/>
  <c r="E11" i="3"/>
  <c r="E10" i="3"/>
  <c r="E9" i="3"/>
  <c r="E8" i="3"/>
  <c r="E7" i="3"/>
  <c r="E6" i="3"/>
  <c r="G5" i="3" l="1"/>
  <c r="H80" i="2"/>
  <c r="J80" i="2" s="1"/>
  <c r="J102" i="2"/>
  <c r="L186" i="2"/>
  <c r="H183" i="2"/>
  <c r="J183" i="2" s="1"/>
  <c r="J182" i="2"/>
  <c r="J181" i="2"/>
  <c r="J180" i="2"/>
  <c r="H179" i="2"/>
  <c r="J179" i="2" s="1"/>
  <c r="H178" i="2"/>
  <c r="J178" i="2" s="1"/>
  <c r="H177" i="2"/>
  <c r="J177" i="2" s="1"/>
  <c r="H176" i="2"/>
  <c r="J176" i="2" s="1"/>
  <c r="J173" i="2"/>
  <c r="J172" i="2"/>
  <c r="J171" i="2"/>
  <c r="J170" i="2"/>
  <c r="J169" i="2"/>
  <c r="J168" i="2"/>
  <c r="J163" i="2"/>
  <c r="J162" i="2"/>
  <c r="J161" i="2"/>
  <c r="J160" i="2"/>
  <c r="J159" i="2"/>
  <c r="J156" i="2"/>
  <c r="J154" i="2"/>
  <c r="J150" i="2"/>
  <c r="J149" i="2"/>
  <c r="J148" i="2"/>
  <c r="J147" i="2"/>
  <c r="J146" i="2"/>
  <c r="J145" i="2"/>
  <c r="H142" i="2"/>
  <c r="J142" i="2" s="1"/>
  <c r="H141" i="2"/>
  <c r="J141" i="2" s="1"/>
  <c r="H140" i="2"/>
  <c r="J140" i="2" s="1"/>
  <c r="H139" i="2"/>
  <c r="J139" i="2" s="1"/>
  <c r="H138" i="2"/>
  <c r="J138" i="2" s="1"/>
  <c r="G135" i="2"/>
  <c r="H135" i="2" s="1"/>
  <c r="J135" i="2" s="1"/>
  <c r="H134" i="2"/>
  <c r="J134" i="2" s="1"/>
  <c r="H133" i="2"/>
  <c r="J133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J119" i="2"/>
  <c r="J114" i="2"/>
  <c r="J108" i="2"/>
  <c r="J104" i="2"/>
  <c r="J103" i="2"/>
  <c r="J101" i="2"/>
  <c r="J100" i="2"/>
  <c r="J99" i="2"/>
  <c r="J98" i="2"/>
  <c r="J97" i="2"/>
  <c r="J94" i="2"/>
  <c r="J77" i="2"/>
  <c r="H76" i="2"/>
  <c r="J76" i="2" s="1"/>
  <c r="H75" i="2"/>
  <c r="J75" i="2" s="1"/>
  <c r="H74" i="2"/>
  <c r="J74" i="2" s="1"/>
  <c r="J73" i="2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J59" i="2"/>
  <c r="J52" i="2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G36" i="2"/>
  <c r="H36" i="2" s="1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J14" i="2"/>
  <c r="J13" i="2"/>
  <c r="J12" i="2"/>
  <c r="J11" i="2"/>
  <c r="J10" i="2"/>
  <c r="J9" i="2"/>
  <c r="J8" i="2"/>
  <c r="L117" i="2" l="1"/>
  <c r="L107" i="2"/>
  <c r="AA107" i="2" s="1"/>
  <c r="L153" i="2"/>
  <c r="AA153" i="2" s="1"/>
  <c r="L144" i="2"/>
  <c r="AA144" i="2" s="1"/>
  <c r="L167" i="2"/>
  <c r="AA167" i="2" s="1"/>
  <c r="L96" i="2"/>
  <c r="AA96" i="2" s="1"/>
  <c r="L79" i="2"/>
  <c r="AA79" i="2" s="1"/>
  <c r="L51" i="2"/>
  <c r="AA51" i="2" s="1"/>
  <c r="L7" i="2"/>
  <c r="AA7" i="2" s="1"/>
  <c r="L30" i="2"/>
  <c r="AA30" i="2" s="1"/>
  <c r="L61" i="2"/>
  <c r="AA61" i="2" s="1"/>
  <c r="L17" i="2"/>
  <c r="AA17" i="2" s="1"/>
  <c r="L175" i="2"/>
  <c r="X175" i="2" l="1"/>
  <c r="AA175" i="2"/>
  <c r="X117" i="2"/>
  <c r="AA117" i="2"/>
  <c r="AA185" i="2" s="1"/>
  <c r="U144" i="2"/>
  <c r="X144" i="2"/>
  <c r="U51" i="2"/>
  <c r="X51" i="2"/>
  <c r="U96" i="2"/>
  <c r="X96" i="2"/>
  <c r="U167" i="2"/>
  <c r="X167" i="2"/>
  <c r="U153" i="2"/>
  <c r="X153" i="2"/>
  <c r="U79" i="2"/>
  <c r="X79" i="2"/>
  <c r="U30" i="2"/>
  <c r="X30" i="2"/>
  <c r="U107" i="2"/>
  <c r="X107" i="2"/>
  <c r="U17" i="2"/>
  <c r="X17" i="2"/>
  <c r="U61" i="2"/>
  <c r="X61" i="2"/>
  <c r="U7" i="2"/>
  <c r="X7" i="2"/>
  <c r="R107" i="2"/>
  <c r="O107" i="2"/>
  <c r="R117" i="2"/>
  <c r="O117" i="2"/>
  <c r="U117" i="2" s="1"/>
  <c r="R17" i="2"/>
  <c r="O17" i="2"/>
  <c r="R61" i="2"/>
  <c r="O61" i="2"/>
  <c r="R144" i="2"/>
  <c r="O144" i="2"/>
  <c r="R79" i="2"/>
  <c r="O79" i="2"/>
  <c r="R167" i="2"/>
  <c r="O167" i="2"/>
  <c r="R153" i="2"/>
  <c r="O153" i="2"/>
  <c r="R96" i="2"/>
  <c r="O96" i="2"/>
  <c r="R7" i="2"/>
  <c r="O7" i="2"/>
  <c r="R175" i="2"/>
  <c r="O175" i="2"/>
  <c r="U175" i="2" s="1"/>
  <c r="R30" i="2"/>
  <c r="O30" i="2"/>
  <c r="R51" i="2"/>
  <c r="O51" i="2"/>
  <c r="L185" i="2"/>
  <c r="L188" i="2" s="1"/>
  <c r="X185" i="2" l="1"/>
  <c r="U185" i="2"/>
  <c r="O185" i="2"/>
  <c r="O188" i="2" s="1"/>
  <c r="R185" i="2"/>
  <c r="L189" i="2"/>
  <c r="L190" i="2" s="1"/>
  <c r="O192" i="2" l="1"/>
  <c r="R187" i="2"/>
  <c r="O189" i="2"/>
  <c r="O190" i="2" s="1"/>
  <c r="R188" i="2" l="1"/>
  <c r="R192" i="2" l="1"/>
  <c r="U187" i="2"/>
  <c r="U188" i="2" s="1"/>
  <c r="R189" i="2"/>
  <c r="R190" i="2" s="1"/>
  <c r="X187" i="2" l="1"/>
  <c r="X188" i="2" s="1"/>
  <c r="X189" i="2" s="1"/>
  <c r="X190" i="2" s="1"/>
  <c r="U189" i="2"/>
  <c r="U190" i="2" s="1"/>
  <c r="U192" i="2"/>
  <c r="AA187" i="2" l="1"/>
  <c r="AA188" i="2" s="1"/>
  <c r="AA190" i="2" s="1"/>
  <c r="AA194" i="2" s="1"/>
  <c r="X192" i="2"/>
  <c r="AA191" i="2" l="1"/>
  <c r="AA19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Blankholm</author>
  </authors>
  <commentList>
    <comment ref="C76" authorId="0" shapeId="0" xr:uid="{9A13CC6E-10E8-4BF9-B0C2-1582C4175AFD}">
      <text>
        <r>
          <rPr>
            <b/>
            <sz val="9"/>
            <color indexed="81"/>
            <rFont val="Tahoma"/>
            <family val="2"/>
          </rPr>
          <t>Denne pris er
53.784</t>
        </r>
      </text>
    </comment>
    <comment ref="C120" authorId="0" shapeId="0" xr:uid="{85A75368-13E9-4C55-8E30-6D9DBF9CDC5E}">
      <text>
        <r>
          <rPr>
            <b/>
            <sz val="9"/>
            <color indexed="81"/>
            <rFont val="Tahoma"/>
            <family val="2"/>
          </rPr>
          <t>Denne pris er
53.784</t>
        </r>
      </text>
    </comment>
    <comment ref="C123" authorId="0" shapeId="0" xr:uid="{7745A526-A2AC-49E2-8608-CE6BD72E4E4B}">
      <text>
        <r>
          <rPr>
            <b/>
            <sz val="9"/>
            <color indexed="81"/>
            <rFont val="Tahoma"/>
            <family val="2"/>
          </rPr>
          <t>Denne pris er
53.784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<sst xmlns="http://schemas.openxmlformats.org/spreadsheetml/2006/main" count="868" uniqueCount="468">
  <si>
    <t>FAG</t>
  </si>
  <si>
    <t>Timer/Antal</t>
  </si>
  <si>
    <t>Takst</t>
  </si>
  <si>
    <t>Materialer</t>
  </si>
  <si>
    <t>Kostpris</t>
  </si>
  <si>
    <t>Påslag</t>
  </si>
  <si>
    <t>Tilbud</t>
  </si>
  <si>
    <t>Projekt, Dokumentation og Administration</t>
  </si>
  <si>
    <t>Bnord</t>
  </si>
  <si>
    <t>Affald</t>
  </si>
  <si>
    <t>Parkering</t>
  </si>
  <si>
    <t>Optagning af dørtrin</t>
  </si>
  <si>
    <t>Efterskruning af gulve</t>
  </si>
  <si>
    <t>Lægning af gulv</t>
  </si>
  <si>
    <t>Gulve</t>
  </si>
  <si>
    <t>Liste/fuge til afslutning mod hoveddøre badeværelser og bagtrappe</t>
  </si>
  <si>
    <t>Håndværker rengøring til aflevering</t>
  </si>
  <si>
    <t>Opsætning og leje af skurvogn, råden over vej afgift</t>
  </si>
  <si>
    <t>Projektledelse og Administration</t>
  </si>
  <si>
    <t>Bygherre varsler beboere og ejerforening i fornødent omfang om lukning af vand mv.</t>
  </si>
  <si>
    <t>Bygherre</t>
  </si>
  <si>
    <t>Nedrivning og bortskaffelse af gammelt køkken og hårde hvidevarer</t>
  </si>
  <si>
    <t>Nedrivning og bortskaffelse af gulve, fliser og inventar i badeværelse</t>
  </si>
  <si>
    <t>Nedrivning af nedhængt loft i badeværelse</t>
  </si>
  <si>
    <t>Nedrivning af nedhængt loft i gammelt køkken</t>
  </si>
  <si>
    <t>Nedtagning af dør mellem gang og multirum</t>
  </si>
  <si>
    <t>Nedtagning af væg mellem nyt køkken og gang (50. cm skørt bibeholdes til stuk)</t>
  </si>
  <si>
    <t>Nedtagning af væg mellem gammelt  køkken og badeværelse</t>
  </si>
  <si>
    <t>Snedker</t>
  </si>
  <si>
    <t>EL</t>
  </si>
  <si>
    <t>Nedtagning af alle fodpaneler (Indfatninger ogomkring døre og vinduer bliver siddende)</t>
  </si>
  <si>
    <t>Nedtagning af nedængt loft i gang</t>
  </si>
  <si>
    <t>Installation til Vaskemaskine og Tørretumbler</t>
  </si>
  <si>
    <t>Ny el i hele boligen jvf. regelmentet</t>
  </si>
  <si>
    <t>Korresondance i 2 rum til loftlys</t>
  </si>
  <si>
    <t>4 stk. ekstra stikkontakter i køkken</t>
  </si>
  <si>
    <t>Lys i shampoohylde</t>
  </si>
  <si>
    <t>Lys til 2 spejle</t>
  </si>
  <si>
    <t>WC. 2 spots</t>
  </si>
  <si>
    <t>Bad 6 spots</t>
  </si>
  <si>
    <t>udtag til 5 væglamper i køkken</t>
  </si>
  <si>
    <t>Ny gruppe til Orbital</t>
  </si>
  <si>
    <t>Ny gruppe til BORA Emfang</t>
  </si>
  <si>
    <t>El gulvvarme i badeværelse og WC</t>
  </si>
  <si>
    <t>Installation af Hårde hvidevarer</t>
  </si>
  <si>
    <t>Trappevask 8 gange i byggeperioden</t>
  </si>
  <si>
    <t>MALER</t>
  </si>
  <si>
    <t>STUKTØR</t>
  </si>
  <si>
    <t>Radiatorskjulere 3 stk</t>
  </si>
  <si>
    <t>Ny vinduesplade ved karnap, 3 længder</t>
  </si>
  <si>
    <t>Nedrivning af brystninger, 4 stk.</t>
  </si>
  <si>
    <t>Nedrivning og Bortskaffelse</t>
  </si>
  <si>
    <t>VVS</t>
  </si>
  <si>
    <t>Sanitet</t>
  </si>
  <si>
    <t>Orbital shower, Hvid, Hatch</t>
  </si>
  <si>
    <t>Køkken blandingsbatteri (afsat 1.500 kr)</t>
  </si>
  <si>
    <t>Vaskemaskine + Tørretumbler (Ikke inkluderet i prisen)</t>
  </si>
  <si>
    <t>2 stk Toilet + skylleknap (Afsat beløb 4.800)</t>
  </si>
  <si>
    <t>2 stk Handvask batteri (Afsat beløb 2.000)</t>
  </si>
  <si>
    <t>2 stk Spejl med lys (Afsat beløb 3.000 kr)</t>
  </si>
  <si>
    <t>Bygherrer</t>
  </si>
  <si>
    <t>Demontering af køkken og badeværelse med sanitet.</t>
  </si>
  <si>
    <t>Skift af ventiler på brugsvandsstigestrenge</t>
  </si>
  <si>
    <t>Køkken gæste toilet og badeværelse</t>
  </si>
  <si>
    <t>Varme installationer</t>
  </si>
  <si>
    <t>Ny vandinstallation I gæste toilet til håndvask, wc og vaskemaskine.</t>
  </si>
  <si>
    <t>Ny vandinstallation I badeværelset til håndvask, wc og brusesystem</t>
  </si>
  <si>
    <t>Ny vandinstallation og afløb til køkken vask og opvaskemaskine</t>
  </si>
  <si>
    <t>Ny afløbinstallation I badeværelset til håndvask, wc og brusesystem</t>
  </si>
  <si>
    <t>Ny afløbinstallation I gæste toilet til håndvask, wc og vaskemaskine.</t>
  </si>
  <si>
    <t>Ny afløbinstallation og afløb til køkken vask og opvaskemaskine</t>
  </si>
  <si>
    <t>Montering af brusersystem, begge wc skåle, trykplader, vandhaner I håndvaske, knager og spejle</t>
  </si>
  <si>
    <t>Montering af køkken vask og batteri, opvaskemaskine og vaskemaskine</t>
  </si>
  <si>
    <t>Føring af nye centralvarme rør fra skorsten, gang og soveværelse under gulv til facade</t>
  </si>
  <si>
    <t>Montering af 5 stks radiatorer (gang, multi, spisestue, stue og sove vær.) 4 stk under vinduerne</t>
  </si>
  <si>
    <t>Demontering af 5 stks radiatorer og afsætte ventiler på stigestrenge</t>
  </si>
  <si>
    <t>Radiatorer</t>
  </si>
  <si>
    <t>Spisestue: Stelrad Planar Type 22 H600 x L1600</t>
  </si>
  <si>
    <t xml:space="preserve">Soveværelse: Stelrad Novello Type 22 H600 x L800 </t>
  </si>
  <si>
    <t xml:space="preserve">Gang: Stelrad Planar Type 22 H600 x L800 </t>
  </si>
  <si>
    <t>Stue: Stelrad Novello Type 22 H600 x L1200</t>
  </si>
  <si>
    <t>Multirum: Stelrad Novello Type 22 H600 x L1200</t>
  </si>
  <si>
    <t>Kroge + diverse til både gæste wc og badeværelse (Afsat beløb 1600)</t>
  </si>
  <si>
    <t>Det forudsættes at stigesrengene og faldstammers placering ikke ændres</t>
  </si>
  <si>
    <t>Tilslutning af skurvogn</t>
  </si>
  <si>
    <t>Tømrer</t>
  </si>
  <si>
    <t>Blænding af dør til multirum</t>
  </si>
  <si>
    <t>Ny garderopevæg ved hovedindgang</t>
  </si>
  <si>
    <t>Rep af skørt mellem gang og nyt køkken</t>
  </si>
  <si>
    <t>Nye vinduesplader, 4 stk.</t>
  </si>
  <si>
    <t>Blænding af dør fra nyt køkken til bad</t>
  </si>
  <si>
    <t>Påføring af væg ved skorsten</t>
  </si>
  <si>
    <t>Nye væg mellem WC og badeværelse med Shampoohylde og 2 x toiletstaviver</t>
  </si>
  <si>
    <t>Ny væg med dør til badeværelse, dør genbruges</t>
  </si>
  <si>
    <t>Nedhængt loft i WC</t>
  </si>
  <si>
    <t>Nedhængt loft i badeværelse</t>
  </si>
  <si>
    <t>Nedhængt loft i gang</t>
  </si>
  <si>
    <t>Snedkergennemgang af døre (afsat beløb), 3 stk. og en skydedør. 5 timer og 300 kr. materialer</t>
  </si>
  <si>
    <t>Ny væg med dør til WC, dør genbruges, nye indfatninger</t>
  </si>
  <si>
    <t>Opsætning af nye høje paneler i hele lejligheden (samles af 3 stykker) 85 m</t>
  </si>
  <si>
    <t>Murer</t>
  </si>
  <si>
    <t>Indkøb af gulv: lamelparket Urban Hald 11x70x490 mm Eg Standard</t>
  </si>
  <si>
    <t>Priming og spartling af gulve</t>
  </si>
  <si>
    <t>Afdækning af gulv med 500 g pap</t>
  </si>
  <si>
    <t>Tillæg for udførsel af bort</t>
  </si>
  <si>
    <t>Ravn</t>
  </si>
  <si>
    <t>Lukning af elriller</t>
  </si>
  <si>
    <t>Lukning af riller eftervarmeinstallationer</t>
  </si>
  <si>
    <t>Pudsrep. Efter nedrivning</t>
  </si>
  <si>
    <t>Rep efter nedtagning af fodpaneler</t>
  </si>
  <si>
    <t>Opretning af vægge i badeværelse</t>
  </si>
  <si>
    <t>Blænding af dør mellem gang og stuen</t>
  </si>
  <si>
    <t>Gulv i badeværelse</t>
  </si>
  <si>
    <t>Klinker og sokkelklinker på gulv i badeværelse</t>
  </si>
  <si>
    <t>Klinker og sokkelklinker på gulv i gæste toilet</t>
  </si>
  <si>
    <t>Vådrum på badeværelse</t>
  </si>
  <si>
    <t>Vådrum på gæstetoilet</t>
  </si>
  <si>
    <t>Indkøb af klinker og fliser (Afsat beløb 8.500 kr.)</t>
  </si>
  <si>
    <t>Fliser i bruseniche, inkl. shampoo hylde (Smigskåret)</t>
  </si>
  <si>
    <t>Nyt gulv i badeværelsesudviddelsen med brandsikring (5% reglen)</t>
  </si>
  <si>
    <t>Optagning af gulv, indskudsbrædder og indskudsler i badeværelses udviddelsen</t>
  </si>
  <si>
    <t>Gulv i toilet</t>
  </si>
  <si>
    <t>Tilpasning af dør/bundtrin  til toilet og badeværelse</t>
  </si>
  <si>
    <t>Hårde og bløde fuger på toilet og gæstetoilet</t>
  </si>
  <si>
    <t>Nedtagning af tapet hvor det er nødvendigt</t>
  </si>
  <si>
    <t>Fuldspartling af vægge og lofter</t>
  </si>
  <si>
    <t>Filt på vægge</t>
  </si>
  <si>
    <t>Maling af vægge og lofter i hvid farve</t>
  </si>
  <si>
    <t>Maling af synlige rør</t>
  </si>
  <si>
    <t>Maling af alt træværk inkl. døre (vinduer malers ikke)</t>
  </si>
  <si>
    <t>Stillark - Underskabe</t>
  </si>
  <si>
    <t>Stillark - Højskabe</t>
  </si>
  <si>
    <t>Stillark - Overskab/Topskab</t>
  </si>
  <si>
    <t>Stillark - Diverse</t>
  </si>
  <si>
    <t>Stillark</t>
  </si>
  <si>
    <t>Stillark - Levering og montering</t>
  </si>
  <si>
    <t>Stillark Bordplade - Silestone Coral clay - 20mm (inkl. opmåling og montering)</t>
  </si>
  <si>
    <t>Vask inkl. udskæring og underlimning</t>
  </si>
  <si>
    <t>Projektrabat</t>
  </si>
  <si>
    <t>Hårde Hvidevarer</t>
  </si>
  <si>
    <t>BORA PURE (PURA) 76 cm - Udsugning - Kogeplade med emfang</t>
  </si>
  <si>
    <t>Asko - OP8687A - Ovn</t>
  </si>
  <si>
    <t>Asko - FN31831I - Fryseskab</t>
  </si>
  <si>
    <t>Opvaskemaskine - Asko - DSD545KXXL</t>
  </si>
  <si>
    <t>Rørpakke</t>
  </si>
  <si>
    <t>Fragt</t>
  </si>
  <si>
    <t>Isolering af brystninger og ny frontplade, 4 stk.</t>
  </si>
  <si>
    <t>Håndvaskmøbel til badeværelse, Afsat beløb 6.000 kr.</t>
  </si>
  <si>
    <t xml:space="preserve">Moms = </t>
  </si>
  <si>
    <t>Kran til løft af bordplader 3.000 - 8.000 (burde ikke være nødvendigt)</t>
  </si>
  <si>
    <t>Håndvaskmøbel til toilet, Afsat beløb 20.000 kr.</t>
  </si>
  <si>
    <t>Glasdør til bruseniche, Afsat beløb 10.000 kr.</t>
  </si>
  <si>
    <t>Der er budgetteret med én gang nedhejsning af affald (kranleje samt 2 mand)</t>
  </si>
  <si>
    <t>Ny stuk i  Spisestue</t>
  </si>
  <si>
    <t>Ny stuk i Stuen</t>
  </si>
  <si>
    <t>Ny stuk i Multirum</t>
  </si>
  <si>
    <t>Ny stuk i Karnap i spisestuen</t>
  </si>
  <si>
    <t>Ny stuk i køkken</t>
  </si>
  <si>
    <t>Pris fra Malerfabrikken 97.000 kr.</t>
  </si>
  <si>
    <t>Tillæg for maling af alle vægge i farve</t>
  </si>
  <si>
    <t>Pris fra Malerfabrikken 15.000 kr.</t>
  </si>
  <si>
    <t>Pris El-entreprisen</t>
  </si>
  <si>
    <t>OHS Stuk pris + 10%</t>
  </si>
  <si>
    <t>Nedvaskning af vinduer</t>
  </si>
  <si>
    <t>Tillæg for lægning af fliser med bord</t>
  </si>
  <si>
    <t>Afrensning af beslag på skydedør</t>
  </si>
  <si>
    <t>2 stk. lampeudtag og 1 stikkontakt udv. På altan</t>
  </si>
  <si>
    <t xml:space="preserve">Total = </t>
  </si>
  <si>
    <t xml:space="preserve">Rabat ifbm. Prissat bygeeprogram= </t>
  </si>
  <si>
    <t>Tilbud Kochsvej 6. 2. sal. th.</t>
  </si>
  <si>
    <t xml:space="preserve">Tilbud ekskl. moms = </t>
  </si>
  <si>
    <t xml:space="preserve">Tilbud inkl. moms = </t>
  </si>
  <si>
    <t>Montage af håndvaskmøbel i toilet og badeværelse</t>
  </si>
  <si>
    <r>
      <t>Udboring i ydervæg til ventilator fra badeværelse</t>
    </r>
    <r>
      <rPr>
        <sz val="11"/>
        <color rgb="FFFF0000"/>
        <rFont val="Calibri"/>
        <family val="2"/>
      </rPr>
      <t xml:space="preserve"> (Bygherre søger byggetilladelse)</t>
    </r>
  </si>
  <si>
    <r>
      <t xml:space="preserve">Udboring til ventilation i ydervæg </t>
    </r>
    <r>
      <rPr>
        <sz val="11"/>
        <color rgb="FFFF0000"/>
        <rFont val="Aptos Narrow"/>
        <family val="2"/>
        <scheme val="minor"/>
      </rPr>
      <t xml:space="preserve"> (Bygherre søger byggetilladelse)</t>
    </r>
  </si>
  <si>
    <t>Nedrivning og bortskaffelse af  eksisterende parketgulve</t>
  </si>
  <si>
    <t>Nye gummilister på alle vinduer</t>
  </si>
  <si>
    <t>Dato: 2024.09.30 - Byggeselskabet Nord ApS</t>
  </si>
  <si>
    <t xml:space="preserve">Mekanisk ventilation fra begge badeværelser, </t>
  </si>
  <si>
    <t>Ny stuk i gang</t>
  </si>
  <si>
    <t xml:space="preserve">Der laves ikke stuk i soveværelset </t>
  </si>
  <si>
    <t>KØKKEN / Skabe</t>
  </si>
  <si>
    <t>Opbevaringsskabe i soveværelse og multirum er ikke inkl. Der pålægges 10% på leverancer</t>
  </si>
  <si>
    <t>Der udvælges en ny "standand" stuk fra Stuktøres udvalg som opsættes i Stuen</t>
  </si>
  <si>
    <t>Afrensning af rosetten i multirummet</t>
  </si>
  <si>
    <t>Glostrup den:</t>
  </si>
  <si>
    <t>Pos.</t>
  </si>
  <si>
    <t>Beskrivelse</t>
  </si>
  <si>
    <t>Pris</t>
  </si>
  <si>
    <t>Note</t>
  </si>
  <si>
    <t xml:space="preserve"> + Moms</t>
  </si>
  <si>
    <t>I alt</t>
  </si>
  <si>
    <t>Orbital shower messing Toni pakke</t>
  </si>
  <si>
    <t>Trykplader, wc skål og toiletsæde regulering</t>
  </si>
  <si>
    <t>BNord accept</t>
  </si>
  <si>
    <t>BH accept via tlf 28/10</t>
  </si>
  <si>
    <t>Stade%</t>
  </si>
  <si>
    <t>Aconto 1</t>
  </si>
  <si>
    <t>Aconto 1 =</t>
  </si>
  <si>
    <t>Stade d.d.</t>
  </si>
  <si>
    <t>Moms =</t>
  </si>
  <si>
    <t>Afventer pris</t>
  </si>
  <si>
    <t>Evt. bibeholdes radiator i soveværelset i stedet for at flytte den til under vindue</t>
  </si>
  <si>
    <t>Justering af pris fra stuktør, bl.a. tilkøb af stuk i soveværelse og fravalg af roset  afstøbning</t>
  </si>
  <si>
    <t>Rest =</t>
  </si>
  <si>
    <t>Tilvalg:</t>
  </si>
  <si>
    <t>Multirum:</t>
  </si>
  <si>
    <t>2 stk. stikkontakter.</t>
  </si>
  <si>
    <t>Spisestue:</t>
  </si>
  <si>
    <t>4 stk. stikkontakter.</t>
  </si>
  <si>
    <t>Stue:</t>
  </si>
  <si>
    <t>1 stk. stikkontakt.</t>
  </si>
  <si>
    <t>Soveværelse:</t>
  </si>
  <si>
    <t>Bad:</t>
  </si>
  <si>
    <t>1 stk. stikkontakt. </t>
  </si>
  <si>
    <t>WC:</t>
  </si>
  <si>
    <t>--------</t>
  </si>
  <si>
    <t>Udskiftning af dørtelefon.</t>
  </si>
  <si>
    <t>Trådløs ringeklokke.</t>
  </si>
  <si>
    <t>Antenne og datastik i stue rykkes op til 42 cm til underkant.</t>
  </si>
  <si>
    <t>Ledninger til opgangslys fræses ind i væg.</t>
  </si>
  <si>
    <t>Fravalg:</t>
  </si>
  <si>
    <t>3 stk. stikkontakter i i stuer.</t>
  </si>
  <si>
    <t>Fiberboks rykkes ind i “ovn” med en stikkontakt til boksen.</t>
  </si>
  <si>
    <t>1 stk. lampeudtag på wc.</t>
  </si>
  <si>
    <t>2 stk. lampeudtag på badeværelse.</t>
  </si>
  <si>
    <t>Lys i shampoo hylde.</t>
  </si>
  <si>
    <t>Ventilator på wc.</t>
  </si>
  <si>
    <t>2 stk. Spots</t>
  </si>
  <si>
    <t>6 stk. spots.</t>
  </si>
  <si>
    <t>Altan</t>
  </si>
  <si>
    <t>2 stk. Lampeudtag på altan.</t>
  </si>
  <si>
    <t>Evt. tillæg for el ifm. ventilatiosløsning er ikke med i denne opgørelse</t>
  </si>
  <si>
    <r>
      <t xml:space="preserve">Tillægspris = 11.200 kr. + 15% = </t>
    </r>
    <r>
      <rPr>
        <b/>
        <sz val="12"/>
        <color theme="1"/>
        <rFont val="Aptos"/>
        <family val="2"/>
      </rPr>
      <t>12.880 Kr. + Moms</t>
    </r>
  </si>
  <si>
    <t>Opgørelse : Tilretning af EL-installationer</t>
  </si>
  <si>
    <t>Byggeselskabet Nord d. 05.11.2024</t>
  </si>
  <si>
    <t>Tilkøb af el-installationer ifbm. udførsel af el-entreprisen</t>
  </si>
  <si>
    <t>Valg af fliser ift. tilbud</t>
  </si>
  <si>
    <t>Tillægs og fradragspriser på Kochsvej 6, 2. th.</t>
  </si>
  <si>
    <t>Tilretning af pris for køkken</t>
  </si>
  <si>
    <t>Tilretning af pris for badeværelsesmøbler</t>
  </si>
  <si>
    <t>Stillark pris</t>
  </si>
  <si>
    <t>Påslag 5%</t>
  </si>
  <si>
    <t>Afsat i tilbud</t>
  </si>
  <si>
    <t>Totalpris</t>
  </si>
  <si>
    <t>Tillægspris</t>
  </si>
  <si>
    <t>Garderobe (Soveværelse og Multirum)</t>
  </si>
  <si>
    <t>Køkken og Bordplade</t>
  </si>
  <si>
    <t>Køkkenskabe</t>
  </si>
  <si>
    <t>Diverse</t>
  </si>
  <si>
    <t>Levering og montering</t>
  </si>
  <si>
    <t>Ialt</t>
  </si>
  <si>
    <t>Rabat</t>
  </si>
  <si>
    <t>Pris efter rabat</t>
  </si>
  <si>
    <t>Bordplade</t>
  </si>
  <si>
    <t>Køkken I alt</t>
  </si>
  <si>
    <t>Påslag 10%</t>
  </si>
  <si>
    <t>Fradragspris</t>
  </si>
  <si>
    <t>Hårde Hvidevarer og armaturer</t>
  </si>
  <si>
    <t xml:space="preserve"> + moms</t>
  </si>
  <si>
    <t>Hårde Hvidevarer og rmaturer</t>
  </si>
  <si>
    <t>Køkken armatur</t>
  </si>
  <si>
    <t>Badeværelses armatur</t>
  </si>
  <si>
    <t>Hvidevarer skal leveres i lejligheden</t>
  </si>
  <si>
    <t>Afsat i tilbud Køkken armatur</t>
  </si>
  <si>
    <t>Afsat i tilbud 2 stk. badeKøkken armatur</t>
  </si>
  <si>
    <t>Badeværelsesmøbler</t>
  </si>
  <si>
    <t>Stillark bademøbler, leveret og monteret</t>
  </si>
  <si>
    <t>Fugning af badeværelsesmøbler (Tror ikke det er med)</t>
  </si>
  <si>
    <t>Tilkøb af garderopeskabe</t>
  </si>
  <si>
    <t>I alt tillægspris=</t>
  </si>
  <si>
    <t>Tilkøb/Fradrag hos Stillark _ REV2</t>
  </si>
  <si>
    <t>BH accept via mail 05/11</t>
  </si>
  <si>
    <t>BH accept via mail 06/11</t>
  </si>
  <si>
    <t>BNord accept 05.11</t>
  </si>
  <si>
    <t>Tilretning for Hårde Hvidevarer og sanitet</t>
  </si>
  <si>
    <t>Ventilation igennem skorsten</t>
  </si>
  <si>
    <t>Fradrag BORA pure (Stillark tilbud)</t>
  </si>
  <si>
    <t>Fradrag BORA rørpakke (Stillark tilbud)</t>
  </si>
  <si>
    <t>Fradrag hul i ydervæg</t>
  </si>
  <si>
    <t>Tilvalg Bora Classic Line 2.0</t>
  </si>
  <si>
    <t>Udgår</t>
  </si>
  <si>
    <t>Rørpakke Bora - Anslået</t>
  </si>
  <si>
    <t>Brandspjæld og Hjælpemoter</t>
  </si>
  <si>
    <t>Ekstra montage tid, Borarør og metalrør</t>
  </si>
  <si>
    <t>Merpris</t>
  </si>
  <si>
    <t>Spirorør Ø160 cm</t>
  </si>
  <si>
    <t>Ekstra El-arbejder</t>
  </si>
  <si>
    <t>Tilgår</t>
  </si>
  <si>
    <t>Tilkøb/Fradrag hos Stillark _ REV4</t>
  </si>
  <si>
    <t>Ventilation igennem skorsten. Pris Indeholder bl.a indkøb af Bora Emfang og rørpakke</t>
  </si>
  <si>
    <t xml:space="preserve">Tilretning af pris for gulve, Bord udgår, Avantgarde med ekstra slidlag tilkommer </t>
  </si>
  <si>
    <t xml:space="preserve">Avantgarde med ekstra slidlag : </t>
  </si>
  <si>
    <t>BH accept via mail 08/11</t>
  </si>
  <si>
    <t>Billigere glasbruseniche ift. den som var planlagt i tilbud (afsat 11.000 Kr.) Pris 6.550+15%</t>
  </si>
  <si>
    <t>BH accept via mail 07/11</t>
  </si>
  <si>
    <t>Ny stuk i Soveværelse</t>
  </si>
  <si>
    <t>Ekstra brystning og vinduesplade i soveværelse (Lille vindue)</t>
  </si>
  <si>
    <t>Aconto 2</t>
  </si>
  <si>
    <t>Aconto 2 =</t>
  </si>
  <si>
    <t>Stade</t>
  </si>
  <si>
    <t>Aconto 3</t>
  </si>
  <si>
    <t>November</t>
  </si>
  <si>
    <t>December</t>
  </si>
  <si>
    <t>Oktober</t>
  </si>
  <si>
    <t>Kontrakt</t>
  </si>
  <si>
    <t>Januar</t>
  </si>
  <si>
    <t>Februar</t>
  </si>
  <si>
    <t>Tillægsarbejder</t>
  </si>
  <si>
    <t>Kontraktsarbejder</t>
  </si>
  <si>
    <t>Forventet faktureringsoversigt Kochsvej 6</t>
  </si>
  <si>
    <t>OBS, Alle beløb er uden moms</t>
  </si>
  <si>
    <t>Låger foran VM og TT</t>
  </si>
  <si>
    <t>Flytning af tre stige strenge (Vand) hos underbo som var gemt i vægge ved besigigelse</t>
  </si>
  <si>
    <t>Arbejdet igangsat på BM d. 27.10</t>
  </si>
  <si>
    <t>Fliser som i tilbud fra flise universet</t>
  </si>
  <si>
    <t>Fekstra arbejdsløn pga. bord og sokkel 12 timer</t>
  </si>
  <si>
    <t>Flise pris afsat i tilbud</t>
  </si>
  <si>
    <t>Merpris for fliseløsning</t>
  </si>
  <si>
    <t xml:space="preserve">Valg af fliser på stort- og lille toilet </t>
  </si>
  <si>
    <t>8a</t>
  </si>
  <si>
    <t>12a</t>
  </si>
  <si>
    <t>Opbygning af rørkasse, tømrer og maler 3.500 Kr . Brandsikring af etagedæk 3.000 Kr.</t>
  </si>
  <si>
    <t>11a</t>
  </si>
  <si>
    <t>Ekstra pris for BORA hjælpemoter 4.350 kr.</t>
  </si>
  <si>
    <t>BH accept via mail 15/11</t>
  </si>
  <si>
    <t>Stik til Microbølge ovn</t>
  </si>
  <si>
    <t>Afrensning af roset i Spisestuen</t>
  </si>
  <si>
    <t>Afrensning af roset i Stuen</t>
  </si>
  <si>
    <t>Afrensning af roset i Multirum</t>
  </si>
  <si>
    <t>Demontering og afrensningsamt mantage af roset i soveværelse</t>
  </si>
  <si>
    <r>
      <t xml:space="preserve">Afrensning af roset i Køkken </t>
    </r>
    <r>
      <rPr>
        <sz val="11"/>
        <color rgb="FFFF0000"/>
        <rFont val="Aptos Narrow"/>
        <family val="2"/>
        <scheme val="minor"/>
      </rPr>
      <t>(OBS, Er der stue her?)</t>
    </r>
  </si>
  <si>
    <t>Accepteret pris for stukkatør =</t>
  </si>
  <si>
    <t>Meromkostning for stukkatør =</t>
  </si>
  <si>
    <t>STUKKATØR TILBUD REVIDERET Nr. 3</t>
  </si>
  <si>
    <t>BH accept via mail 17/11</t>
  </si>
  <si>
    <t>Leje af affugter for at sikre at vi kan lægge gulve som planlagt. Leje, opsætning og aflevering</t>
  </si>
  <si>
    <t>BH accept tlf. 21.11</t>
  </si>
  <si>
    <t>Pyntelister på væg i 3 stuer</t>
  </si>
  <si>
    <t>lbm/antal</t>
  </si>
  <si>
    <t>total</t>
  </si>
  <si>
    <t>Topliste</t>
  </si>
  <si>
    <t>Pynteliste</t>
  </si>
  <si>
    <t>Lim, fuge og dykkere</t>
  </si>
  <si>
    <t>Arbejdstid, 10 timer pr. stue</t>
  </si>
  <si>
    <t>Ekstra spartling og maling af paneler</t>
  </si>
  <si>
    <t>Pris for udførsel af pyntlister på væg =</t>
  </si>
  <si>
    <t>Bygherre ønsker at trin foran altandør fjernes så gulv går helt ud til altan dør</t>
  </si>
  <si>
    <t>Pyntelister på væg i de 3 stuer, samt udførsel af panel maling, (der er givet 10% dekort)</t>
  </si>
  <si>
    <t>Tapet i gang</t>
  </si>
  <si>
    <t>Kalk på loft overflader i 2 stuer, skal nedvaskes inden malerarbejde påbegyndes 7.000 kr. +15%</t>
  </si>
  <si>
    <t>BH accept via tlf 26/11</t>
  </si>
  <si>
    <t xml:space="preserve">Malerfabrikken </t>
  </si>
  <si>
    <t xml:space="preserve">Lille rørkasse i soveværelse til at skjule gasledning </t>
  </si>
  <si>
    <t>Dør til badeværelse genbruges. Dørbld og karm lorlænges 5-6 cm (Udføres uden beregning)</t>
  </si>
  <si>
    <t>Bnord accept tlf. 27.11</t>
  </si>
  <si>
    <t>U.B</t>
  </si>
  <si>
    <t>BH accept via mail 27/11</t>
  </si>
  <si>
    <t>Gulv føres ind i nichen</t>
  </si>
  <si>
    <t>BH accept via mail 28/11</t>
  </si>
  <si>
    <t>Aconto 1+2 =</t>
  </si>
  <si>
    <t>Aconto 3 =</t>
  </si>
  <si>
    <t>Flytning af faldstamme foran vindue så den kommer ind til væggen.</t>
  </si>
  <si>
    <t>PCI fugemørtel til fliser, Ekstra materiale pris, ekstra arbejdstide</t>
  </si>
  <si>
    <t>Besluttet hos Fliseuniverset</t>
  </si>
  <si>
    <t>tilbuds pris for stukkatør =</t>
  </si>
  <si>
    <t>Accept mail. 18.12 2024</t>
  </si>
  <si>
    <t>Adrian 12 * 420 - 800 kr = 4.120 Kr. (18.12.2024)</t>
  </si>
  <si>
    <t>Antal</t>
  </si>
  <si>
    <t>lbm</t>
  </si>
  <si>
    <t>No.</t>
  </si>
  <si>
    <t>10 x 21 mm vægliste, halv staff</t>
  </si>
  <si>
    <t>21 x 42 mm Asymetrisk vægliste</t>
  </si>
  <si>
    <t>21 x 36 mm Overliste fodpanel</t>
  </si>
  <si>
    <t>21 x 56 mm Bundliste fodpanel</t>
  </si>
  <si>
    <t>Mellemstykke Mdf T=10 mm H=180 mm</t>
  </si>
  <si>
    <t>Total</t>
  </si>
  <si>
    <t>29.11 via mail til stuktør</t>
  </si>
  <si>
    <t>Niche i bagvæg bag Vaskemaskine og tørre tumbler ( 4 timer tømrer + 2 timer VVS)</t>
  </si>
  <si>
    <t>Besluttet på byggemøde d. 07.01</t>
  </si>
  <si>
    <t>Nye lister på væg rundt om stor nisch ved Karnap 2 timer + materialer</t>
  </si>
  <si>
    <t>Stuklamper, Stuktør, Elektrikker og maler) = (2.960 + 500 kr + 500 + 15%)</t>
  </si>
  <si>
    <t>Udført, pga. bygherre indkøb af VM og TT</t>
  </si>
  <si>
    <t>Betalt</t>
  </si>
  <si>
    <t>I tilbud</t>
  </si>
  <si>
    <t>Radiatorskjuler i gang, inkl. topplade og maling</t>
  </si>
  <si>
    <t>Udskiftning af greb på altandør og vinduer i altandørs parti. Maling af hængsler i hvid farve (4 stk.)</t>
  </si>
  <si>
    <t>Godkendt mail 16.01.2025</t>
  </si>
  <si>
    <t>TILBUD GARDEROBE</t>
  </si>
  <si>
    <t>TILBUD SEKTIONSKØKKEN</t>
  </si>
  <si>
    <t>TILBUD BORDPLADE</t>
  </si>
  <si>
    <t>TILBUD HVIDEVARER &amp; Sanitet</t>
  </si>
  <si>
    <t>TILBUD BAD</t>
  </si>
  <si>
    <t>Faktura 1 50%</t>
  </si>
  <si>
    <t>Faktura 1 rest samt rabbat</t>
  </si>
  <si>
    <t>Maling af vinduer i soveværelset</t>
  </si>
  <si>
    <t>4.350 pris fra maler</t>
  </si>
  <si>
    <t>Greb på døre</t>
  </si>
  <si>
    <t>Godkendt mail 28.01.2025</t>
  </si>
  <si>
    <t>Badeværelses tilbehør</t>
  </si>
  <si>
    <t>Dansani You Moon spejl med lys, dæmpbar, 105x60 cm, messing</t>
  </si>
  <si>
    <t xml:space="preserve">VVS Nr </t>
  </si>
  <si>
    <t>påslag</t>
  </si>
  <si>
    <t xml:space="preserve">Cassøe spejl, 60x80 cm, messing | SBM6080 </t>
  </si>
  <si>
    <t>Kahytskrog, poleret messing | B295</t>
  </si>
  <si>
    <t>stk</t>
  </si>
  <si>
    <t>Moms</t>
  </si>
  <si>
    <t>Pris eskl moms</t>
  </si>
  <si>
    <t>Pris inkls moms</t>
  </si>
  <si>
    <t>Opsætning af lamper i køkken 1.300 + 15%</t>
  </si>
  <si>
    <t>Aconto 4</t>
  </si>
  <si>
    <t>Aconto 1+2+3 =</t>
  </si>
  <si>
    <t>Godkendt mail 31.01.2025</t>
  </si>
  <si>
    <t>IND</t>
  </si>
  <si>
    <t>EC</t>
  </si>
  <si>
    <t>Rest</t>
  </si>
  <si>
    <t>Ekstra</t>
  </si>
  <si>
    <t>UD</t>
  </si>
  <si>
    <t>Glasvinge</t>
  </si>
  <si>
    <t>Hjælp VVS</t>
  </si>
  <si>
    <t>Rest timer</t>
  </si>
  <si>
    <t>EL - AC 2</t>
  </si>
  <si>
    <t>Maler</t>
  </si>
  <si>
    <t>Maler ekstra</t>
  </si>
  <si>
    <t>EL-Ekstra</t>
  </si>
  <si>
    <t>Dækning</t>
  </si>
  <si>
    <t>Ekstar</t>
  </si>
  <si>
    <t>DG%</t>
  </si>
  <si>
    <t>Ommaling af rum i stuen</t>
  </si>
  <si>
    <t>Godkendt mail 04.02.2025</t>
  </si>
  <si>
    <t>Bordplade med vask</t>
  </si>
  <si>
    <t>OK</t>
  </si>
  <si>
    <t>Stillark faktureret 1</t>
  </si>
  <si>
    <t>Stillark faktureret 2</t>
  </si>
  <si>
    <t>Stillark faktureret 3</t>
  </si>
  <si>
    <t>FAKTURERET</t>
  </si>
  <si>
    <t>STILLARK TILBUD SAMLET</t>
  </si>
  <si>
    <t>Forskel</t>
  </si>
  <si>
    <t>Accepteret tilbud =</t>
  </si>
  <si>
    <t>Stillark fakturering samlet =</t>
  </si>
  <si>
    <t>Tilkøb/Fradrag hos Stillark _ REV3</t>
  </si>
  <si>
    <t>Bordplade stillark</t>
  </si>
  <si>
    <t>Reparation af loft i stort badeværelse efter rørskade</t>
  </si>
  <si>
    <t>05.02.2025 OK i tlf. Så vi ikke bliver forsinket</t>
  </si>
  <si>
    <t>House Doctor Knage - Hook , Messing, inkls fragt</t>
  </si>
  <si>
    <t>Rensning af altan 1.500 Kr. + 15%</t>
  </si>
  <si>
    <t>11.02.2025 Aftalt i telefonen</t>
  </si>
  <si>
    <t>Accepteret CB 12.02.2025</t>
  </si>
  <si>
    <t>Udskiftning af beslåning af skydedør, rensning er forsøgt</t>
  </si>
  <si>
    <t>Bestilt d. 06.02.2025</t>
  </si>
  <si>
    <t>Aflevering af tapet 3.300 - 600 aflevering</t>
  </si>
  <si>
    <t>Tilbehør til badeværelse og gæstetoilet jf mail af 30/1</t>
  </si>
  <si>
    <t>Godkendt mail 07.02.2025</t>
  </si>
  <si>
    <t>1.500 pris Adrian</t>
  </si>
  <si>
    <t>UDFØRES PÅ SELVSTÆNDIG FAKTURE</t>
  </si>
  <si>
    <t>Aconto 5</t>
  </si>
  <si>
    <t>Aconto 1+2+3+4 =</t>
  </si>
  <si>
    <t>Tilbagehold mangler</t>
  </si>
  <si>
    <t>Aconto 4 =</t>
  </si>
  <si>
    <t>Aconto 5 =</t>
  </si>
  <si>
    <t>Ny farve i stuen</t>
  </si>
  <si>
    <t>Vinduer</t>
  </si>
  <si>
    <t>Loft rep</t>
  </si>
  <si>
    <t>Tapet</t>
  </si>
  <si>
    <t>Rest tilbud</t>
  </si>
  <si>
    <t>Adrian</t>
  </si>
  <si>
    <t>Aftalt</t>
  </si>
  <si>
    <t>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</si>
</sst>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kr.&quot;;[Red]\-#,##0\ &quot;kr.&quot;"/>
    <numFmt numFmtId="43" formatCode="_-* #,##0.00_-;\-* #,##0.00_-;_-* &quot;-&quot;??_-;_-@_-"/>
    <numFmt numFmtId="164" formatCode="[$-F800]dddd\,\ mmmm\ dd\,\ yyyy"/>
    <numFmt numFmtId="165" formatCode="_-* #,##0_-;\-* #,##0_-;_-* &quot;-&quot;??_-;_-@_-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  <font>
      <b/>
      <i/>
      <sz val="11"/>
      <name val="Aptos Narrow"/>
      <family val="2"/>
      <scheme val="minor"/>
    </font>
    <font>
      <sz val="11"/>
      <color rgb="FFFF0000"/>
      <name val="Calibri"/>
      <family val="2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4"/>
      <color theme="1"/>
      <name val="Aptos Narrow"/>
      <family val="2"/>
      <scheme val="minor"/>
    </font>
    <font>
      <sz val="12"/>
      <color rgb="FFFF0000"/>
      <name val="Aptos"/>
      <family val="2"/>
    </font>
    <font>
      <i/>
      <sz val="12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0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9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 applyFill="1" applyAlignment="1">
      <alignment horizontal="center"/>
    </xf>
    <xf numFmtId="9" fontId="2" fillId="0" borderId="0" xfId="1" applyFont="1" applyFill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3" fontId="3" fillId="0" borderId="2" xfId="0" applyNumberFormat="1" applyFont="1" applyBorder="1"/>
    <xf numFmtId="0" fontId="0" fillId="2" borderId="0" xfId="0" applyFill="1"/>
    <xf numFmtId="0" fontId="2" fillId="0" borderId="0" xfId="0" applyFont="1" applyAlignment="1">
      <alignment horizontal="right"/>
    </xf>
    <xf numFmtId="3" fontId="2" fillId="0" borderId="3" xfId="0" applyNumberFormat="1" applyFont="1" applyBorder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center" vertical="center"/>
    </xf>
    <xf numFmtId="3" fontId="2" fillId="0" borderId="0" xfId="0" applyNumberFormat="1" applyFont="1"/>
    <xf numFmtId="3" fontId="3" fillId="0" borderId="0" xfId="0" applyNumberFormat="1" applyFont="1"/>
    <xf numFmtId="3" fontId="3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3" borderId="0" xfId="0" applyNumberFormat="1" applyFont="1" applyFill="1" applyAlignment="1">
      <alignment horizontal="center"/>
    </xf>
    <xf numFmtId="9" fontId="2" fillId="3" borderId="0" xfId="0" applyNumberFormat="1" applyFont="1" applyFill="1"/>
    <xf numFmtId="9" fontId="3" fillId="0" borderId="0" xfId="0" applyNumberFormat="1" applyFont="1"/>
    <xf numFmtId="9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9" fontId="0" fillId="3" borderId="0" xfId="0" applyNumberFormat="1" applyFill="1"/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2" xfId="0" applyNumberFormat="1" applyFill="1" applyBorder="1" applyAlignment="1">
      <alignment horizontal="right"/>
    </xf>
    <xf numFmtId="3" fontId="0" fillId="3" borderId="2" xfId="0" applyNumberFormat="1" applyFill="1" applyBorder="1"/>
    <xf numFmtId="0" fontId="0" fillId="4" borderId="0" xfId="0" applyFill="1"/>
    <xf numFmtId="0" fontId="10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/>
    <xf numFmtId="3" fontId="6" fillId="0" borderId="0" xfId="0" applyNumberFormat="1" applyFont="1"/>
    <xf numFmtId="0" fontId="0" fillId="5" borderId="0" xfId="0" applyFill="1"/>
    <xf numFmtId="3" fontId="3" fillId="5" borderId="0" xfId="0" applyNumberFormat="1" applyFont="1" applyFill="1" applyAlignment="1">
      <alignment horizontal="center"/>
    </xf>
    <xf numFmtId="0" fontId="3" fillId="5" borderId="0" xfId="0" applyFont="1" applyFill="1"/>
    <xf numFmtId="3" fontId="0" fillId="5" borderId="0" xfId="0" applyNumberFormat="1" applyFill="1" applyAlignment="1">
      <alignment horizontal="center"/>
    </xf>
    <xf numFmtId="3" fontId="0" fillId="5" borderId="3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2" fillId="5" borderId="0" xfId="0" applyNumberFormat="1" applyFont="1" applyFill="1" applyAlignment="1">
      <alignment horizontal="center"/>
    </xf>
    <xf numFmtId="3" fontId="15" fillId="6" borderId="2" xfId="0" applyNumberFormat="1" applyFont="1" applyFill="1" applyBorder="1" applyAlignment="1">
      <alignment horizontal="center"/>
    </xf>
    <xf numFmtId="3" fontId="5" fillId="5" borderId="0" xfId="0" applyNumberFormat="1" applyFont="1" applyFill="1" applyAlignment="1">
      <alignment horizontal="center"/>
    </xf>
    <xf numFmtId="0" fontId="2" fillId="5" borderId="0" xfId="0" applyFont="1" applyFill="1"/>
    <xf numFmtId="3" fontId="3" fillId="6" borderId="2" xfId="0" applyNumberFormat="1" applyFont="1" applyFill="1" applyBorder="1" applyAlignment="1">
      <alignment horizontal="center"/>
    </xf>
    <xf numFmtId="3" fontId="3" fillId="6" borderId="0" xfId="0" applyNumberFormat="1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" fontId="0" fillId="0" borderId="2" xfId="0" applyNumberForma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0" fontId="17" fillId="0" borderId="1" xfId="0" applyFont="1" applyBorder="1"/>
    <xf numFmtId="9" fontId="3" fillId="7" borderId="1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0" fontId="0" fillId="7" borderId="0" xfId="0" applyFill="1"/>
    <xf numFmtId="9" fontId="0" fillId="7" borderId="0" xfId="0" applyNumberFormat="1" applyFill="1" applyAlignment="1">
      <alignment horizontal="center"/>
    </xf>
    <xf numFmtId="3" fontId="0" fillId="7" borderId="0" xfId="0" applyNumberFormat="1" applyFill="1" applyAlignment="1">
      <alignment horizontal="center"/>
    </xf>
    <xf numFmtId="3" fontId="0" fillId="7" borderId="0" xfId="0" applyNumberFormat="1" applyFill="1"/>
    <xf numFmtId="9" fontId="0" fillId="7" borderId="0" xfId="0" applyNumberFormat="1" applyFill="1" applyAlignment="1">
      <alignment horizontal="right"/>
    </xf>
    <xf numFmtId="9" fontId="0" fillId="7" borderId="2" xfId="0" applyNumberFormat="1" applyFill="1" applyBorder="1" applyAlignment="1">
      <alignment horizontal="right"/>
    </xf>
    <xf numFmtId="3" fontId="0" fillId="7" borderId="2" xfId="0" applyNumberFormat="1" applyFill="1" applyBorder="1"/>
    <xf numFmtId="0" fontId="0" fillId="5" borderId="0" xfId="0" applyFill="1" applyAlignment="1">
      <alignment horizontal="center"/>
    </xf>
    <xf numFmtId="0" fontId="18" fillId="0" borderId="0" xfId="0" applyFont="1"/>
    <xf numFmtId="0" fontId="0" fillId="8" borderId="0" xfId="0" applyFill="1"/>
    <xf numFmtId="3" fontId="3" fillId="0" borderId="2" xfId="0" applyNumberFormat="1" applyFont="1" applyBorder="1" applyAlignment="1">
      <alignment horizontal="center"/>
    </xf>
    <xf numFmtId="0" fontId="0" fillId="0" borderId="2" xfId="0" applyBorder="1"/>
    <xf numFmtId="3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/>
    </xf>
    <xf numFmtId="3" fontId="0" fillId="9" borderId="0" xfId="0" applyNumberFormat="1" applyFill="1" applyAlignment="1">
      <alignment horizontal="center"/>
    </xf>
    <xf numFmtId="0" fontId="3" fillId="9" borderId="1" xfId="0" applyFont="1" applyFill="1" applyBorder="1" applyAlignment="1">
      <alignment horizontal="center"/>
    </xf>
    <xf numFmtId="3" fontId="3" fillId="9" borderId="2" xfId="0" applyNumberFormat="1" applyFont="1" applyFill="1" applyBorder="1" applyAlignment="1">
      <alignment horizontal="center"/>
    </xf>
    <xf numFmtId="3" fontId="2" fillId="7" borderId="0" xfId="0" applyNumberFormat="1" applyFont="1" applyFill="1"/>
    <xf numFmtId="3" fontId="0" fillId="7" borderId="3" xfId="0" applyNumberFormat="1" applyFill="1" applyBorder="1"/>
    <xf numFmtId="9" fontId="3" fillId="3" borderId="0" xfId="0" applyNumberFormat="1" applyFont="1" applyFill="1"/>
    <xf numFmtId="3" fontId="2" fillId="3" borderId="0" xfId="0" applyNumberFormat="1" applyFont="1" applyFill="1"/>
    <xf numFmtId="0" fontId="3" fillId="3" borderId="3" xfId="0" applyFont="1" applyFill="1" applyBorder="1"/>
    <xf numFmtId="3" fontId="0" fillId="10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0" fillId="11" borderId="0" xfId="0" applyNumberFormat="1" applyFill="1" applyAlignment="1">
      <alignment horizontal="center"/>
    </xf>
    <xf numFmtId="3" fontId="3" fillId="11" borderId="2" xfId="0" applyNumberFormat="1" applyFont="1" applyFill="1" applyBorder="1" applyAlignment="1">
      <alignment horizontal="center"/>
    </xf>
    <xf numFmtId="0" fontId="0" fillId="0" borderId="1" xfId="0" applyBorder="1"/>
    <xf numFmtId="9" fontId="3" fillId="6" borderId="1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0" fontId="0" fillId="6" borderId="0" xfId="0" applyFill="1"/>
    <xf numFmtId="9" fontId="0" fillId="6" borderId="0" xfId="0" applyNumberFormat="1" applyFill="1" applyAlignment="1">
      <alignment horizontal="center"/>
    </xf>
    <xf numFmtId="3" fontId="0" fillId="6" borderId="0" xfId="0" applyNumberFormat="1" applyFill="1"/>
    <xf numFmtId="3" fontId="2" fillId="6" borderId="0" xfId="0" applyNumberFormat="1" applyFont="1" applyFill="1"/>
    <xf numFmtId="9" fontId="0" fillId="6" borderId="0" xfId="0" applyNumberFormat="1" applyFill="1" applyAlignment="1">
      <alignment horizontal="right"/>
    </xf>
    <xf numFmtId="9" fontId="0" fillId="6" borderId="2" xfId="0" applyNumberFormat="1" applyFill="1" applyBorder="1" applyAlignment="1">
      <alignment horizontal="right"/>
    </xf>
    <xf numFmtId="3" fontId="0" fillId="6" borderId="2" xfId="0" applyNumberFormat="1" applyFill="1" applyBorder="1"/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5" fillId="2" borderId="0" xfId="0" applyFont="1" applyFill="1"/>
    <xf numFmtId="4" fontId="6" fillId="0" borderId="0" xfId="0" applyNumberFormat="1" applyFont="1"/>
    <xf numFmtId="6" fontId="0" fillId="0" borderId="0" xfId="0" applyNumberFormat="1"/>
    <xf numFmtId="4" fontId="0" fillId="0" borderId="0" xfId="0" applyNumberFormat="1"/>
    <xf numFmtId="6" fontId="0" fillId="3" borderId="0" xfId="0" applyNumberFormat="1" applyFill="1"/>
    <xf numFmtId="0" fontId="6" fillId="0" borderId="0" xfId="0" applyFont="1"/>
    <xf numFmtId="0" fontId="0" fillId="12" borderId="0" xfId="0" applyFill="1"/>
    <xf numFmtId="0" fontId="3" fillId="12" borderId="0" xfId="0" applyFont="1" applyFill="1"/>
    <xf numFmtId="0" fontId="3" fillId="12" borderId="0" xfId="0" applyFont="1" applyFill="1" applyAlignment="1">
      <alignment horizontal="center"/>
    </xf>
    <xf numFmtId="0" fontId="3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9" fontId="0" fillId="12" borderId="0" xfId="1" applyFont="1" applyFill="1"/>
    <xf numFmtId="165" fontId="0" fillId="12" borderId="0" xfId="2" applyNumberFormat="1" applyFont="1" applyFill="1"/>
    <xf numFmtId="0" fontId="0" fillId="12" borderId="3" xfId="0" applyFill="1" applyBorder="1"/>
    <xf numFmtId="165" fontId="0" fillId="12" borderId="0" xfId="2" applyNumberFormat="1" applyFont="1" applyFill="1" applyAlignment="1">
      <alignment horizontal="right"/>
    </xf>
    <xf numFmtId="0" fontId="3" fillId="12" borderId="0" xfId="0" applyFont="1" applyFill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3" fontId="3" fillId="13" borderId="1" xfId="0" applyNumberFormat="1" applyFont="1" applyFill="1" applyBorder="1" applyAlignment="1">
      <alignment horizontal="center" vertical="center"/>
    </xf>
    <xf numFmtId="0" fontId="0" fillId="13" borderId="0" xfId="0" applyFill="1"/>
    <xf numFmtId="9" fontId="0" fillId="13" borderId="0" xfId="0" applyNumberFormat="1" applyFill="1" applyAlignment="1">
      <alignment horizontal="center"/>
    </xf>
    <xf numFmtId="3" fontId="0" fillId="13" borderId="0" xfId="0" applyNumberFormat="1" applyFill="1" applyAlignment="1">
      <alignment horizontal="center"/>
    </xf>
    <xf numFmtId="3" fontId="0" fillId="13" borderId="0" xfId="0" applyNumberFormat="1" applyFill="1"/>
    <xf numFmtId="3" fontId="2" fillId="13" borderId="0" xfId="0" applyNumberFormat="1" applyFont="1" applyFill="1"/>
    <xf numFmtId="9" fontId="0" fillId="13" borderId="0" xfId="0" applyNumberFormat="1" applyFill="1" applyAlignment="1">
      <alignment horizontal="right"/>
    </xf>
    <xf numFmtId="9" fontId="0" fillId="13" borderId="2" xfId="0" applyNumberFormat="1" applyFill="1" applyBorder="1" applyAlignment="1">
      <alignment horizontal="right"/>
    </xf>
    <xf numFmtId="3" fontId="0" fillId="13" borderId="2" xfId="0" applyNumberFormat="1" applyFill="1" applyBorder="1"/>
    <xf numFmtId="0" fontId="3" fillId="14" borderId="1" xfId="0" applyFont="1" applyFill="1" applyBorder="1" applyAlignment="1">
      <alignment horizontal="center"/>
    </xf>
    <xf numFmtId="0" fontId="0" fillId="14" borderId="0" xfId="0" applyFill="1"/>
    <xf numFmtId="3" fontId="0" fillId="14" borderId="0" xfId="0" applyNumberFormat="1" applyFill="1"/>
    <xf numFmtId="3" fontId="3" fillId="14" borderId="2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0" fillId="15" borderId="0" xfId="0" applyFill="1"/>
    <xf numFmtId="3" fontId="0" fillId="15" borderId="0" xfId="0" applyNumberFormat="1" applyFill="1"/>
    <xf numFmtId="0" fontId="0" fillId="15" borderId="0" xfId="0" applyFill="1" applyAlignment="1">
      <alignment horizontal="center"/>
    </xf>
    <xf numFmtId="3" fontId="3" fillId="15" borderId="2" xfId="0" applyNumberFormat="1" applyFont="1" applyFill="1" applyBorder="1" applyAlignment="1">
      <alignment horizontal="center"/>
    </xf>
    <xf numFmtId="10" fontId="0" fillId="4" borderId="0" xfId="0" applyNumberFormat="1" applyFill="1"/>
    <xf numFmtId="3" fontId="3" fillId="4" borderId="0" xfId="0" applyNumberFormat="1" applyFont="1" applyFill="1"/>
    <xf numFmtId="3" fontId="0" fillId="4" borderId="0" xfId="0" applyNumberFormat="1" applyFill="1"/>
    <xf numFmtId="3" fontId="20" fillId="16" borderId="0" xfId="0" applyNumberFormat="1" applyFont="1" applyFill="1" applyAlignment="1">
      <alignment horizontal="center"/>
    </xf>
    <xf numFmtId="3" fontId="19" fillId="17" borderId="0" xfId="0" applyNumberFormat="1" applyFont="1" applyFill="1" applyAlignment="1">
      <alignment horizontal="center"/>
    </xf>
    <xf numFmtId="3" fontId="3" fillId="15" borderId="0" xfId="0" applyNumberFormat="1" applyFont="1" applyFill="1" applyAlignment="1">
      <alignment horizontal="center"/>
    </xf>
    <xf numFmtId="3" fontId="2" fillId="15" borderId="0" xfId="0" applyNumberFormat="1" applyFont="1" applyFill="1"/>
    <xf numFmtId="3" fontId="5" fillId="15" borderId="0" xfId="0" applyNumberFormat="1" applyFont="1" applyFill="1"/>
    <xf numFmtId="9" fontId="3" fillId="18" borderId="1" xfId="0" applyNumberFormat="1" applyFont="1" applyFill="1" applyBorder="1" applyAlignment="1">
      <alignment horizontal="center" vertical="center"/>
    </xf>
    <xf numFmtId="3" fontId="3" fillId="18" borderId="1" xfId="0" applyNumberFormat="1" applyFont="1" applyFill="1" applyBorder="1" applyAlignment="1">
      <alignment horizontal="center" vertical="center"/>
    </xf>
    <xf numFmtId="0" fontId="0" fillId="18" borderId="0" xfId="0" applyFill="1"/>
    <xf numFmtId="9" fontId="0" fillId="18" borderId="0" xfId="0" applyNumberFormat="1" applyFill="1" applyAlignment="1">
      <alignment horizontal="center"/>
    </xf>
    <xf numFmtId="3" fontId="0" fillId="18" borderId="0" xfId="0" applyNumberFormat="1" applyFill="1" applyAlignment="1">
      <alignment horizontal="center"/>
    </xf>
    <xf numFmtId="3" fontId="0" fillId="18" borderId="0" xfId="0" applyNumberFormat="1" applyFill="1"/>
    <xf numFmtId="3" fontId="2" fillId="18" borderId="0" xfId="0" applyNumberFormat="1" applyFont="1" applyFill="1"/>
    <xf numFmtId="3" fontId="0" fillId="18" borderId="3" xfId="0" applyNumberFormat="1" applyFill="1" applyBorder="1"/>
    <xf numFmtId="3" fontId="2" fillId="18" borderId="3" xfId="0" applyNumberFormat="1" applyFont="1" applyFill="1" applyBorder="1"/>
    <xf numFmtId="9" fontId="0" fillId="18" borderId="0" xfId="0" applyNumberFormat="1" applyFill="1" applyAlignment="1">
      <alignment horizontal="right"/>
    </xf>
    <xf numFmtId="9" fontId="0" fillId="18" borderId="2" xfId="0" applyNumberFormat="1" applyFill="1" applyBorder="1" applyAlignment="1">
      <alignment horizontal="right"/>
    </xf>
    <xf numFmtId="3" fontId="0" fillId="18" borderId="2" xfId="0" applyNumberFormat="1" applyFill="1" applyBorder="1"/>
    <xf numFmtId="0" fontId="0" fillId="0" borderId="0" xfId="0" applyAlignment="1">
      <alignment horizontal="left"/>
    </xf>
  </cellXfs>
  <cellStyles count="3">
    <cellStyle name="Komma" xfId="2" builtinId="3"/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B238-B7EA-4F38-B81F-6A679CE2106F}">
  <sheetPr>
    <pageSetUpPr fitToPage="1"/>
  </sheetPr>
  <dimension ref="B4:AF218"/>
  <sheetViews>
    <sheetView tabSelected="1" topLeftCell="A158" zoomScale="70" zoomScaleNormal="70" workbookViewId="0">
      <selection activeCell="J194" sqref="J194"/>
    </sheetView>
  </sheetViews>
  <sheetFormatPr defaultRowHeight="14.4" x14ac:dyDescent="0.3"/>
  <cols>
    <col min="1" max="1" width="4.77734375" customWidth="1"/>
    <col min="2" max="2" width="78.77734375" bestFit="1" customWidth="1"/>
    <col min="3" max="3" width="3.5546875" customWidth="1"/>
    <col min="4" max="4" width="9.21875" customWidth="1"/>
    <col min="5" max="5" width="10.44140625" style="9" customWidth="1"/>
    <col min="6" max="6" width="8.77734375" style="9" customWidth="1"/>
    <col min="7" max="7" width="9.21875" style="9" customWidth="1"/>
    <col min="8" max="8" width="8.77734375" style="10" customWidth="1"/>
    <col min="9" max="9" width="8.77734375" style="9" customWidth="1"/>
    <col min="11" max="11" width="2.5546875" customWidth="1"/>
    <col min="12" max="12" width="10" style="11" customWidth="1"/>
    <col min="13" max="13" width="3.21875" style="11" customWidth="1"/>
    <col min="14" max="14" width="10" style="47" customWidth="1"/>
    <col min="15" max="15" width="10" style="11" customWidth="1"/>
    <col min="16" max="16" width="3.5546875" customWidth="1"/>
    <col min="17" max="17" width="9.44140625" customWidth="1"/>
    <col min="19" max="19" width="3.5546875" customWidth="1"/>
    <col min="20" max="20" width="10.44140625" customWidth="1"/>
    <col min="21" max="21" width="9.44140625" customWidth="1"/>
    <col min="22" max="22" width="3.5546875" customWidth="1"/>
    <col min="23" max="24" width="12" customWidth="1"/>
    <col min="25" max="25" width="4.109375" customWidth="1"/>
    <col min="26" max="26" width="14.109375" customWidth="1"/>
    <col min="27" max="27" width="12" customWidth="1"/>
    <col min="28" max="28" width="5.21875" customWidth="1"/>
    <col min="31" max="31" width="10.5546875" customWidth="1"/>
  </cols>
  <sheetData>
    <row r="4" spans="2:28" ht="21.6" thickBot="1" x14ac:dyDescent="0.45">
      <c r="B4" s="1" t="s">
        <v>169</v>
      </c>
      <c r="D4" s="2"/>
      <c r="E4" s="2"/>
      <c r="F4" s="2"/>
      <c r="G4" s="3"/>
      <c r="H4" s="3"/>
      <c r="I4" s="4"/>
      <c r="J4" s="3"/>
      <c r="L4" s="19"/>
      <c r="M4" s="20"/>
      <c r="N4" s="82" t="s">
        <v>304</v>
      </c>
      <c r="O4" s="81"/>
      <c r="Q4" s="114" t="s">
        <v>302</v>
      </c>
      <c r="R4" s="82"/>
      <c r="T4" s="114" t="s">
        <v>303</v>
      </c>
      <c r="U4" s="114"/>
      <c r="W4" s="114" t="s">
        <v>306</v>
      </c>
      <c r="X4" s="114"/>
      <c r="Z4" s="114" t="s">
        <v>307</v>
      </c>
      <c r="AA4" s="114"/>
    </row>
    <row r="5" spans="2:28" ht="15" thickBot="1" x14ac:dyDescent="0.35">
      <c r="B5" s="5" t="s">
        <v>177</v>
      </c>
      <c r="D5" s="6" t="s">
        <v>0</v>
      </c>
      <c r="E5" s="6" t="s">
        <v>1</v>
      </c>
      <c r="F5" s="6" t="s">
        <v>2</v>
      </c>
      <c r="G5" s="7" t="s">
        <v>3</v>
      </c>
      <c r="H5" s="7" t="s">
        <v>4</v>
      </c>
      <c r="I5" s="8" t="s">
        <v>5</v>
      </c>
      <c r="J5" s="7" t="s">
        <v>6</v>
      </c>
      <c r="L5" s="7" t="s">
        <v>6</v>
      </c>
      <c r="M5" s="38"/>
      <c r="N5" s="44" t="s">
        <v>196</v>
      </c>
      <c r="O5" s="43" t="s">
        <v>197</v>
      </c>
      <c r="Q5" s="83" t="s">
        <v>196</v>
      </c>
      <c r="R5" s="84" t="s">
        <v>298</v>
      </c>
      <c r="T5" s="115" t="s">
        <v>196</v>
      </c>
      <c r="U5" s="116" t="s">
        <v>301</v>
      </c>
      <c r="W5" s="143" t="s">
        <v>196</v>
      </c>
      <c r="X5" s="144" t="s">
        <v>410</v>
      </c>
      <c r="Y5" s="38"/>
      <c r="Z5" s="170" t="s">
        <v>196</v>
      </c>
      <c r="AA5" s="171" t="s">
        <v>455</v>
      </c>
      <c r="AB5" s="38"/>
    </row>
    <row r="6" spans="2:28" ht="12" customHeight="1" x14ac:dyDescent="0.3">
      <c r="D6" s="9"/>
      <c r="J6" s="10"/>
      <c r="L6" s="20"/>
      <c r="M6" s="20"/>
      <c r="N6" s="45"/>
      <c r="O6" s="41"/>
      <c r="Q6" s="85"/>
      <c r="R6" s="85"/>
      <c r="T6" s="117"/>
      <c r="U6" s="117"/>
      <c r="W6" s="145"/>
      <c r="X6" s="145"/>
      <c r="Z6" s="172"/>
      <c r="AA6" s="172"/>
    </row>
    <row r="7" spans="2:28" x14ac:dyDescent="0.3">
      <c r="B7" s="11" t="s">
        <v>7</v>
      </c>
      <c r="D7" s="9"/>
      <c r="J7" s="10"/>
      <c r="L7" s="20">
        <f>SUM(J8:J14)</f>
        <v>103200</v>
      </c>
      <c r="M7" s="20"/>
      <c r="N7" s="48">
        <v>0.3</v>
      </c>
      <c r="O7" s="49">
        <f>N7*L7</f>
        <v>30960</v>
      </c>
      <c r="Q7" s="86">
        <v>0.6</v>
      </c>
      <c r="R7" s="87">
        <f>Q7*L7</f>
        <v>61920</v>
      </c>
      <c r="T7" s="118">
        <v>0.85</v>
      </c>
      <c r="U7" s="109">
        <f>T7*L7</f>
        <v>87720</v>
      </c>
      <c r="W7" s="146">
        <v>0.95</v>
      </c>
      <c r="X7" s="147">
        <f>W7*L7</f>
        <v>98040</v>
      </c>
      <c r="Y7" s="10"/>
      <c r="Z7" s="173">
        <v>1</v>
      </c>
      <c r="AA7" s="174">
        <f>Z7*L7</f>
        <v>103200</v>
      </c>
      <c r="AB7" s="10"/>
    </row>
    <row r="8" spans="2:28" x14ac:dyDescent="0.3">
      <c r="B8" t="s">
        <v>18</v>
      </c>
      <c r="D8" s="9" t="s">
        <v>8</v>
      </c>
      <c r="H8" s="10">
        <v>25000</v>
      </c>
      <c r="I8" s="12"/>
      <c r="J8" s="10">
        <f>H8*I8+H8</f>
        <v>25000</v>
      </c>
      <c r="L8" s="20"/>
      <c r="M8" s="20"/>
      <c r="N8" s="48"/>
      <c r="O8" s="49"/>
      <c r="Q8" s="85"/>
      <c r="R8" s="85"/>
      <c r="T8" s="117"/>
      <c r="U8" s="117"/>
      <c r="W8" s="145"/>
      <c r="X8" s="145"/>
      <c r="Z8" s="172"/>
      <c r="AA8" s="172"/>
    </row>
    <row r="9" spans="2:28" x14ac:dyDescent="0.3">
      <c r="B9" t="s">
        <v>9</v>
      </c>
      <c r="D9" s="9" t="s">
        <v>8</v>
      </c>
      <c r="E9" s="10"/>
      <c r="F9" s="10"/>
      <c r="G9" s="10"/>
      <c r="H9" s="10">
        <v>13500</v>
      </c>
      <c r="J9" s="10">
        <f>H9*I9+H9</f>
        <v>13500</v>
      </c>
      <c r="N9" s="50"/>
      <c r="O9" s="51"/>
      <c r="Q9" s="85"/>
      <c r="R9" s="85"/>
      <c r="T9" s="117"/>
      <c r="U9" s="117"/>
      <c r="W9" s="145"/>
      <c r="X9" s="145"/>
      <c r="Z9" s="172"/>
      <c r="AA9" s="172"/>
    </row>
    <row r="10" spans="2:28" x14ac:dyDescent="0.3">
      <c r="B10" t="s">
        <v>10</v>
      </c>
      <c r="D10" s="9" t="s">
        <v>8</v>
      </c>
      <c r="E10" s="10"/>
      <c r="F10" s="10"/>
      <c r="G10" s="10"/>
      <c r="H10" s="10">
        <v>6000</v>
      </c>
      <c r="J10" s="10">
        <f t="shared" ref="J10:J14" si="0">H10*I10+H10</f>
        <v>6000</v>
      </c>
      <c r="N10" s="50"/>
      <c r="O10" s="51"/>
      <c r="Q10" s="85"/>
      <c r="R10" s="85"/>
      <c r="T10" s="117"/>
      <c r="U10" s="117"/>
      <c r="W10" s="145"/>
      <c r="X10" s="145"/>
      <c r="Z10" s="172"/>
      <c r="AA10" s="172"/>
    </row>
    <row r="11" spans="2:28" x14ac:dyDescent="0.3">
      <c r="B11" t="s">
        <v>16</v>
      </c>
      <c r="C11" s="13"/>
      <c r="D11" s="9" t="s">
        <v>8</v>
      </c>
      <c r="E11" s="10"/>
      <c r="F11" s="10"/>
      <c r="G11" s="10"/>
      <c r="H11" s="10">
        <v>4800</v>
      </c>
      <c r="J11" s="10">
        <f t="shared" si="0"/>
        <v>4800</v>
      </c>
      <c r="N11" s="50"/>
      <c r="O11" s="51"/>
      <c r="Q11" s="85"/>
      <c r="R11" s="85"/>
      <c r="T11" s="117"/>
      <c r="U11" s="117"/>
      <c r="W11" s="145"/>
      <c r="X11" s="145"/>
      <c r="Z11" s="172"/>
      <c r="AA11" s="172"/>
    </row>
    <row r="12" spans="2:28" x14ac:dyDescent="0.3">
      <c r="B12" t="s">
        <v>17</v>
      </c>
      <c r="D12" s="9" t="s">
        <v>8</v>
      </c>
      <c r="E12" s="10"/>
      <c r="F12" s="10"/>
      <c r="G12" s="10"/>
      <c r="H12" s="10">
        <v>38000</v>
      </c>
      <c r="J12" s="10">
        <f t="shared" si="0"/>
        <v>38000</v>
      </c>
      <c r="N12" s="50"/>
      <c r="O12" s="51"/>
      <c r="Q12" s="85"/>
      <c r="R12" s="85"/>
      <c r="T12" s="117"/>
      <c r="U12" s="117"/>
      <c r="W12" s="145"/>
      <c r="X12" s="145"/>
      <c r="Z12" s="172"/>
      <c r="AA12" s="172"/>
    </row>
    <row r="13" spans="2:28" x14ac:dyDescent="0.3">
      <c r="B13" t="s">
        <v>45</v>
      </c>
      <c r="D13" s="9" t="s">
        <v>8</v>
      </c>
      <c r="E13" s="10"/>
      <c r="F13" s="10"/>
      <c r="G13" s="10"/>
      <c r="H13" s="10">
        <v>6400</v>
      </c>
      <c r="J13" s="10">
        <f t="shared" si="0"/>
        <v>6400</v>
      </c>
      <c r="N13" s="50"/>
      <c r="O13" s="51"/>
      <c r="Q13" s="85"/>
      <c r="R13" s="85"/>
      <c r="T13" s="117"/>
      <c r="U13" s="117"/>
      <c r="W13" s="145"/>
      <c r="X13" s="145"/>
      <c r="Z13" s="172"/>
      <c r="AA13" s="172"/>
    </row>
    <row r="14" spans="2:28" x14ac:dyDescent="0.3">
      <c r="B14" t="s">
        <v>152</v>
      </c>
      <c r="D14" s="9" t="s">
        <v>8</v>
      </c>
      <c r="E14" s="10"/>
      <c r="F14" s="10"/>
      <c r="G14" s="10"/>
      <c r="H14" s="10">
        <v>9500</v>
      </c>
      <c r="J14" s="10">
        <f t="shared" si="0"/>
        <v>9500</v>
      </c>
      <c r="N14" s="50"/>
      <c r="O14" s="51"/>
      <c r="Q14" s="85"/>
      <c r="R14" s="85"/>
      <c r="T14" s="117"/>
      <c r="U14" s="117"/>
      <c r="W14" s="145"/>
      <c r="X14" s="145"/>
      <c r="Z14" s="172"/>
      <c r="AA14" s="172"/>
    </row>
    <row r="15" spans="2:28" x14ac:dyDescent="0.3">
      <c r="B15" s="13" t="s">
        <v>19</v>
      </c>
      <c r="D15" s="14" t="s">
        <v>20</v>
      </c>
      <c r="E15" s="10"/>
      <c r="F15" s="10"/>
      <c r="G15" s="10"/>
      <c r="J15" s="9"/>
      <c r="N15" s="50"/>
      <c r="O15" s="51"/>
      <c r="Q15" s="85"/>
      <c r="R15" s="85"/>
      <c r="T15" s="117"/>
      <c r="U15" s="117"/>
      <c r="W15" s="145"/>
      <c r="X15" s="145"/>
      <c r="Z15" s="172"/>
      <c r="AA15" s="172"/>
    </row>
    <row r="16" spans="2:28" x14ac:dyDescent="0.3">
      <c r="N16" s="50"/>
      <c r="O16" s="51"/>
      <c r="Q16" s="85"/>
      <c r="R16" s="85"/>
      <c r="T16" s="117"/>
      <c r="U16" s="117"/>
      <c r="W16" s="145"/>
      <c r="X16" s="145"/>
      <c r="Z16" s="172"/>
      <c r="AA16" s="172"/>
    </row>
    <row r="17" spans="2:28" x14ac:dyDescent="0.3">
      <c r="B17" s="11" t="s">
        <v>51</v>
      </c>
      <c r="L17" s="20">
        <f>SUM(J18:J28)</f>
        <v>60375</v>
      </c>
      <c r="M17" s="20"/>
      <c r="N17" s="48">
        <v>0.9</v>
      </c>
      <c r="O17" s="49">
        <f>N17*L17</f>
        <v>54337.5</v>
      </c>
      <c r="Q17" s="86">
        <v>1</v>
      </c>
      <c r="R17" s="87">
        <f>Q17*L17</f>
        <v>60375</v>
      </c>
      <c r="T17" s="118">
        <v>1</v>
      </c>
      <c r="U17" s="109">
        <f>T17*L17</f>
        <v>60375</v>
      </c>
      <c r="W17" s="146">
        <v>1</v>
      </c>
      <c r="X17" s="147">
        <f>W17*L17</f>
        <v>60375</v>
      </c>
      <c r="Y17" s="10"/>
      <c r="Z17" s="173">
        <v>1</v>
      </c>
      <c r="AA17" s="174">
        <f>Z17*L17</f>
        <v>60375</v>
      </c>
      <c r="AB17" s="10"/>
    </row>
    <row r="18" spans="2:28" x14ac:dyDescent="0.3">
      <c r="B18" t="s">
        <v>21</v>
      </c>
      <c r="D18" s="9" t="s">
        <v>8</v>
      </c>
      <c r="E18" s="9">
        <v>18</v>
      </c>
      <c r="F18" s="9">
        <v>575</v>
      </c>
      <c r="H18" s="10">
        <f t="shared" ref="H18:H28" si="1">(E18*F18)+G18</f>
        <v>10350</v>
      </c>
      <c r="J18" s="10">
        <f t="shared" ref="J18:J28" si="2">H18*I18+H18</f>
        <v>10350</v>
      </c>
      <c r="N18" s="50"/>
      <c r="O18" s="51"/>
      <c r="Q18" s="85"/>
      <c r="R18" s="85"/>
      <c r="T18" s="117"/>
      <c r="U18" s="117"/>
      <c r="W18" s="145"/>
      <c r="X18" s="145"/>
      <c r="Z18" s="172"/>
      <c r="AA18" s="172"/>
    </row>
    <row r="19" spans="2:28" x14ac:dyDescent="0.3">
      <c r="B19" t="s">
        <v>24</v>
      </c>
      <c r="D19" s="9" t="s">
        <v>8</v>
      </c>
      <c r="E19" s="9">
        <v>7</v>
      </c>
      <c r="F19" s="9">
        <v>575</v>
      </c>
      <c r="H19" s="10">
        <f t="shared" si="1"/>
        <v>4025</v>
      </c>
      <c r="J19" s="10">
        <f t="shared" si="2"/>
        <v>4025</v>
      </c>
      <c r="N19" s="50"/>
      <c r="O19" s="51"/>
      <c r="Q19" s="85"/>
      <c r="R19" s="85"/>
      <c r="T19" s="117"/>
      <c r="U19" s="117"/>
      <c r="W19" s="145"/>
      <c r="X19" s="145"/>
      <c r="Z19" s="172"/>
      <c r="AA19" s="172"/>
    </row>
    <row r="20" spans="2:28" x14ac:dyDescent="0.3">
      <c r="B20" t="s">
        <v>22</v>
      </c>
      <c r="D20" s="9" t="s">
        <v>8</v>
      </c>
      <c r="E20" s="9">
        <v>15</v>
      </c>
      <c r="F20" s="9">
        <v>575</v>
      </c>
      <c r="H20" s="10">
        <f t="shared" si="1"/>
        <v>8625</v>
      </c>
      <c r="J20" s="10">
        <f t="shared" si="2"/>
        <v>8625</v>
      </c>
      <c r="N20" s="50"/>
      <c r="O20" s="51"/>
      <c r="Q20" s="85"/>
      <c r="R20" s="85"/>
      <c r="T20" s="117"/>
      <c r="U20" s="117"/>
      <c r="W20" s="145"/>
      <c r="X20" s="145"/>
      <c r="Z20" s="172"/>
      <c r="AA20" s="172"/>
    </row>
    <row r="21" spans="2:28" x14ac:dyDescent="0.3">
      <c r="B21" t="s">
        <v>23</v>
      </c>
      <c r="D21" s="9" t="s">
        <v>8</v>
      </c>
      <c r="E21" s="9">
        <v>5</v>
      </c>
      <c r="F21" s="9">
        <v>575</v>
      </c>
      <c r="H21" s="10">
        <f t="shared" si="1"/>
        <v>2875</v>
      </c>
      <c r="J21" s="10">
        <f t="shared" si="2"/>
        <v>2875</v>
      </c>
      <c r="N21" s="50"/>
      <c r="O21" s="51"/>
      <c r="Q21" s="85"/>
      <c r="R21" s="85"/>
      <c r="T21" s="117"/>
      <c r="U21" s="117"/>
      <c r="W21" s="145"/>
      <c r="X21" s="145"/>
      <c r="Z21" s="172"/>
      <c r="AA21" s="172"/>
    </row>
    <row r="22" spans="2:28" x14ac:dyDescent="0.3">
      <c r="B22" t="s">
        <v>30</v>
      </c>
      <c r="D22" s="9" t="s">
        <v>8</v>
      </c>
      <c r="E22" s="9">
        <v>6</v>
      </c>
      <c r="F22" s="9">
        <v>575</v>
      </c>
      <c r="H22" s="10">
        <f t="shared" si="1"/>
        <v>3450</v>
      </c>
      <c r="J22" s="10">
        <f t="shared" si="2"/>
        <v>3450</v>
      </c>
      <c r="N22" s="50"/>
      <c r="O22" s="51"/>
      <c r="Q22" s="85"/>
      <c r="R22" s="85"/>
      <c r="T22" s="117"/>
      <c r="U22" s="117"/>
      <c r="W22" s="145"/>
      <c r="X22" s="145"/>
      <c r="Z22" s="172"/>
      <c r="AA22" s="172"/>
    </row>
    <row r="23" spans="2:28" x14ac:dyDescent="0.3">
      <c r="B23" t="s">
        <v>31</v>
      </c>
      <c r="D23" s="9" t="s">
        <v>8</v>
      </c>
      <c r="E23" s="9">
        <v>7</v>
      </c>
      <c r="F23" s="9">
        <v>575</v>
      </c>
      <c r="H23" s="10">
        <f t="shared" si="1"/>
        <v>4025</v>
      </c>
      <c r="J23" s="10">
        <f t="shared" si="2"/>
        <v>4025</v>
      </c>
      <c r="N23" s="50"/>
      <c r="O23" s="51"/>
      <c r="Q23" s="85"/>
      <c r="R23" s="85"/>
      <c r="T23" s="117"/>
      <c r="U23" s="117"/>
      <c r="W23" s="145"/>
      <c r="X23" s="145"/>
      <c r="Z23" s="172"/>
      <c r="AA23" s="172"/>
    </row>
    <row r="24" spans="2:28" x14ac:dyDescent="0.3">
      <c r="B24" t="s">
        <v>25</v>
      </c>
      <c r="D24" s="9" t="s">
        <v>8</v>
      </c>
      <c r="E24" s="9">
        <v>3</v>
      </c>
      <c r="F24" s="9">
        <v>575</v>
      </c>
      <c r="H24" s="10">
        <f t="shared" si="1"/>
        <v>1725</v>
      </c>
      <c r="J24" s="10">
        <f t="shared" si="2"/>
        <v>1725</v>
      </c>
      <c r="N24" s="50"/>
      <c r="O24" s="51"/>
      <c r="Q24" s="85"/>
      <c r="R24" s="85"/>
      <c r="T24" s="117"/>
      <c r="U24" s="117"/>
      <c r="W24" s="145"/>
      <c r="X24" s="145"/>
      <c r="Z24" s="172"/>
      <c r="AA24" s="172"/>
    </row>
    <row r="25" spans="2:28" x14ac:dyDescent="0.3">
      <c r="B25" t="s">
        <v>26</v>
      </c>
      <c r="D25" s="9" t="s">
        <v>8</v>
      </c>
      <c r="E25" s="9">
        <v>14</v>
      </c>
      <c r="F25" s="9">
        <v>575</v>
      </c>
      <c r="H25" s="10">
        <f t="shared" si="1"/>
        <v>8050</v>
      </c>
      <c r="J25" s="10">
        <f t="shared" si="2"/>
        <v>8050</v>
      </c>
      <c r="N25" s="50"/>
      <c r="O25" s="51"/>
      <c r="Q25" s="85"/>
      <c r="R25" s="85"/>
      <c r="T25" s="117"/>
      <c r="U25" s="117"/>
      <c r="W25" s="145"/>
      <c r="X25" s="145"/>
      <c r="Z25" s="172"/>
      <c r="AA25" s="172"/>
    </row>
    <row r="26" spans="2:28" x14ac:dyDescent="0.3">
      <c r="B26" t="s">
        <v>27</v>
      </c>
      <c r="D26" s="9" t="s">
        <v>8</v>
      </c>
      <c r="E26" s="9">
        <v>12</v>
      </c>
      <c r="F26" s="9">
        <v>575</v>
      </c>
      <c r="H26" s="10">
        <f t="shared" si="1"/>
        <v>6900</v>
      </c>
      <c r="J26" s="10">
        <f t="shared" si="2"/>
        <v>6900</v>
      </c>
      <c r="N26" s="50"/>
      <c r="O26" s="51"/>
      <c r="Q26" s="85"/>
      <c r="R26" s="85"/>
      <c r="T26" s="117"/>
      <c r="U26" s="117"/>
      <c r="W26" s="145"/>
      <c r="X26" s="145"/>
      <c r="Z26" s="172"/>
      <c r="AA26" s="172"/>
    </row>
    <row r="27" spans="2:28" x14ac:dyDescent="0.3">
      <c r="B27" t="s">
        <v>50</v>
      </c>
      <c r="D27" s="9" t="s">
        <v>8</v>
      </c>
      <c r="E27" s="9">
        <v>10</v>
      </c>
      <c r="F27" s="9">
        <v>575</v>
      </c>
      <c r="H27" s="10">
        <f t="shared" si="1"/>
        <v>5750</v>
      </c>
      <c r="J27" s="10">
        <f t="shared" si="2"/>
        <v>5750</v>
      </c>
      <c r="N27" s="50"/>
      <c r="O27" s="51"/>
      <c r="Q27" s="85"/>
      <c r="R27" s="85"/>
      <c r="T27" s="117"/>
      <c r="U27" s="117"/>
      <c r="W27" s="145"/>
      <c r="X27" s="145"/>
      <c r="Z27" s="172"/>
      <c r="AA27" s="172"/>
    </row>
    <row r="28" spans="2:28" x14ac:dyDescent="0.3">
      <c r="B28" t="s">
        <v>175</v>
      </c>
      <c r="D28" s="9" t="s">
        <v>8</v>
      </c>
      <c r="E28" s="9">
        <v>8</v>
      </c>
      <c r="F28" s="9">
        <v>575</v>
      </c>
      <c r="H28" s="10">
        <f t="shared" si="1"/>
        <v>4600</v>
      </c>
      <c r="J28" s="10">
        <f t="shared" si="2"/>
        <v>4600</v>
      </c>
      <c r="N28" s="50"/>
      <c r="O28" s="51"/>
      <c r="Q28" s="85"/>
      <c r="R28" s="85"/>
      <c r="T28" s="117"/>
      <c r="U28" s="117"/>
      <c r="W28" s="145"/>
      <c r="X28" s="145"/>
      <c r="Z28" s="172"/>
      <c r="AA28" s="172"/>
    </row>
    <row r="29" spans="2:28" x14ac:dyDescent="0.3">
      <c r="N29" s="50"/>
      <c r="O29" s="51"/>
      <c r="Q29" s="85"/>
      <c r="R29" s="85"/>
      <c r="T29" s="117"/>
      <c r="U29" s="117"/>
      <c r="W29" s="145"/>
      <c r="X29" s="145"/>
      <c r="Z29" s="172"/>
      <c r="AA29" s="172"/>
    </row>
    <row r="30" spans="2:28" x14ac:dyDescent="0.3">
      <c r="B30" s="11" t="s">
        <v>85</v>
      </c>
      <c r="L30" s="20">
        <f>SUM(J31:J49)</f>
        <v>162925</v>
      </c>
      <c r="M30" s="20"/>
      <c r="N30" s="48">
        <v>0.2</v>
      </c>
      <c r="O30" s="49">
        <f>N30*L30</f>
        <v>32585</v>
      </c>
      <c r="Q30" s="86">
        <v>0.7</v>
      </c>
      <c r="R30" s="87">
        <f>Q30*L30</f>
        <v>114047.5</v>
      </c>
      <c r="T30" s="118">
        <v>0.75</v>
      </c>
      <c r="U30" s="109">
        <f>T30*L30</f>
        <v>122193.75</v>
      </c>
      <c r="W30" s="146">
        <v>0.95</v>
      </c>
      <c r="X30" s="147">
        <f>W30*L30</f>
        <v>154778.75</v>
      </c>
      <c r="Y30" s="10"/>
      <c r="Z30" s="173">
        <v>1</v>
      </c>
      <c r="AA30" s="174">
        <f>Z30*L30</f>
        <v>162925</v>
      </c>
      <c r="AB30" s="10"/>
    </row>
    <row r="31" spans="2:28" x14ac:dyDescent="0.3">
      <c r="B31" t="s">
        <v>86</v>
      </c>
      <c r="D31" s="9" t="s">
        <v>8</v>
      </c>
      <c r="E31" s="9">
        <v>6</v>
      </c>
      <c r="F31" s="9">
        <v>575</v>
      </c>
      <c r="G31" s="9">
        <v>600</v>
      </c>
      <c r="H31" s="10">
        <f t="shared" ref="H31:H49" si="3">(E31*F31)+G31</f>
        <v>4050</v>
      </c>
      <c r="J31" s="10">
        <f t="shared" ref="J31:J49" si="4">H31*I31+H31</f>
        <v>4050</v>
      </c>
      <c r="N31" s="50"/>
      <c r="O31" s="51"/>
      <c r="Q31" s="85"/>
      <c r="R31" s="85"/>
      <c r="T31" s="117"/>
      <c r="U31" s="117"/>
      <c r="W31" s="145"/>
      <c r="X31" s="145"/>
      <c r="Z31" s="172"/>
      <c r="AA31" s="172"/>
    </row>
    <row r="32" spans="2:28" x14ac:dyDescent="0.3">
      <c r="B32" t="s">
        <v>111</v>
      </c>
      <c r="D32" s="9" t="s">
        <v>8</v>
      </c>
      <c r="E32" s="9">
        <v>6</v>
      </c>
      <c r="F32" s="9">
        <v>575</v>
      </c>
      <c r="G32" s="9">
        <v>600</v>
      </c>
      <c r="H32" s="10">
        <f t="shared" si="3"/>
        <v>4050</v>
      </c>
      <c r="J32" s="10">
        <f t="shared" si="4"/>
        <v>4050</v>
      </c>
      <c r="N32" s="50"/>
      <c r="O32" s="51"/>
      <c r="Q32" s="85"/>
      <c r="R32" s="85"/>
      <c r="T32" s="117"/>
      <c r="U32" s="117"/>
      <c r="W32" s="145"/>
      <c r="X32" s="145"/>
      <c r="Z32" s="172"/>
      <c r="AA32" s="172"/>
    </row>
    <row r="33" spans="2:27" x14ac:dyDescent="0.3">
      <c r="B33" t="s">
        <v>87</v>
      </c>
      <c r="D33" s="9" t="s">
        <v>8</v>
      </c>
      <c r="E33" s="9">
        <v>9</v>
      </c>
      <c r="F33" s="9">
        <v>575</v>
      </c>
      <c r="G33" s="9">
        <v>900</v>
      </c>
      <c r="H33" s="10">
        <f t="shared" si="3"/>
        <v>6075</v>
      </c>
      <c r="J33" s="10">
        <f t="shared" si="4"/>
        <v>6075</v>
      </c>
      <c r="N33" s="50"/>
      <c r="O33" s="51"/>
      <c r="Q33" s="85"/>
      <c r="R33" s="85"/>
      <c r="T33" s="117"/>
      <c r="U33" s="117"/>
      <c r="W33" s="145"/>
      <c r="X33" s="145"/>
      <c r="Z33" s="172"/>
      <c r="AA33" s="172"/>
    </row>
    <row r="34" spans="2:27" x14ac:dyDescent="0.3">
      <c r="B34" t="s">
        <v>88</v>
      </c>
      <c r="D34" s="9" t="s">
        <v>8</v>
      </c>
      <c r="E34" s="9">
        <v>4</v>
      </c>
      <c r="F34" s="9">
        <v>575</v>
      </c>
      <c r="G34" s="9">
        <v>400</v>
      </c>
      <c r="H34" s="10">
        <f t="shared" si="3"/>
        <v>2700</v>
      </c>
      <c r="J34" s="10">
        <f t="shared" si="4"/>
        <v>2700</v>
      </c>
      <c r="N34" s="50"/>
      <c r="O34" s="51"/>
      <c r="Q34" s="85"/>
      <c r="R34" s="85"/>
      <c r="T34" s="117"/>
      <c r="U34" s="117"/>
      <c r="W34" s="145"/>
      <c r="X34" s="145"/>
      <c r="Z34" s="172"/>
      <c r="AA34" s="172"/>
    </row>
    <row r="35" spans="2:27" x14ac:dyDescent="0.3">
      <c r="B35" t="s">
        <v>97</v>
      </c>
      <c r="D35" s="9" t="s">
        <v>8</v>
      </c>
      <c r="E35" s="9">
        <v>5</v>
      </c>
      <c r="F35" s="9">
        <v>575</v>
      </c>
      <c r="G35" s="9">
        <v>300</v>
      </c>
      <c r="H35" s="10">
        <f t="shared" si="3"/>
        <v>3175</v>
      </c>
      <c r="J35" s="10">
        <f t="shared" si="4"/>
        <v>3175</v>
      </c>
      <c r="N35" s="50"/>
      <c r="O35" s="51"/>
      <c r="Q35" s="85"/>
      <c r="R35" s="85"/>
      <c r="T35" s="117"/>
      <c r="U35" s="117"/>
      <c r="W35" s="145"/>
      <c r="X35" s="145"/>
      <c r="Z35" s="172"/>
      <c r="AA35" s="172"/>
    </row>
    <row r="36" spans="2:27" x14ac:dyDescent="0.3">
      <c r="B36" t="s">
        <v>99</v>
      </c>
      <c r="D36" s="9" t="s">
        <v>8</v>
      </c>
      <c r="E36" s="9">
        <v>50</v>
      </c>
      <c r="F36" s="9">
        <v>575</v>
      </c>
      <c r="G36" s="9">
        <f>(150*85)+1200</f>
        <v>13950</v>
      </c>
      <c r="H36" s="10">
        <f t="shared" si="3"/>
        <v>42700</v>
      </c>
      <c r="J36" s="10">
        <f t="shared" si="4"/>
        <v>42700</v>
      </c>
      <c r="N36" s="50"/>
      <c r="O36" s="51"/>
      <c r="Q36" s="85"/>
      <c r="R36" s="85"/>
      <c r="T36" s="117"/>
      <c r="U36" s="117"/>
      <c r="W36" s="145"/>
      <c r="X36" s="145"/>
      <c r="Z36" s="172"/>
      <c r="AA36" s="172"/>
    </row>
    <row r="37" spans="2:27" x14ac:dyDescent="0.3">
      <c r="B37" t="s">
        <v>90</v>
      </c>
      <c r="D37" s="9" t="s">
        <v>8</v>
      </c>
      <c r="E37" s="9">
        <v>5</v>
      </c>
      <c r="F37" s="9">
        <v>575</v>
      </c>
      <c r="G37" s="9">
        <v>500</v>
      </c>
      <c r="H37" s="10">
        <f t="shared" si="3"/>
        <v>3375</v>
      </c>
      <c r="J37" s="10">
        <f t="shared" si="4"/>
        <v>3375</v>
      </c>
      <c r="N37" s="50"/>
      <c r="O37" s="51"/>
      <c r="Q37" s="85"/>
      <c r="R37" s="85"/>
      <c r="T37" s="117"/>
      <c r="U37" s="117"/>
      <c r="W37" s="145"/>
      <c r="X37" s="145"/>
      <c r="Z37" s="172"/>
      <c r="AA37" s="172"/>
    </row>
    <row r="38" spans="2:27" x14ac:dyDescent="0.3">
      <c r="B38" t="s">
        <v>91</v>
      </c>
      <c r="D38" s="9" t="s">
        <v>8</v>
      </c>
      <c r="E38" s="9">
        <v>5</v>
      </c>
      <c r="F38" s="9">
        <v>575</v>
      </c>
      <c r="G38" s="9">
        <v>400</v>
      </c>
      <c r="H38" s="10">
        <f t="shared" si="3"/>
        <v>3275</v>
      </c>
      <c r="J38" s="10">
        <f t="shared" si="4"/>
        <v>3275</v>
      </c>
      <c r="N38" s="50"/>
      <c r="O38" s="51"/>
      <c r="Q38" s="85"/>
      <c r="R38" s="85"/>
      <c r="T38" s="117"/>
      <c r="U38" s="117"/>
      <c r="W38" s="145"/>
      <c r="X38" s="145"/>
      <c r="Z38" s="172"/>
      <c r="AA38" s="172"/>
    </row>
    <row r="39" spans="2:27" x14ac:dyDescent="0.3">
      <c r="B39" t="s">
        <v>92</v>
      </c>
      <c r="D39" s="9" t="s">
        <v>8</v>
      </c>
      <c r="E39" s="9">
        <v>39</v>
      </c>
      <c r="F39" s="9">
        <v>575</v>
      </c>
      <c r="G39" s="9">
        <v>2200</v>
      </c>
      <c r="H39" s="10">
        <f t="shared" si="3"/>
        <v>24625</v>
      </c>
      <c r="J39" s="10">
        <f t="shared" si="4"/>
        <v>24625</v>
      </c>
      <c r="N39" s="50"/>
      <c r="O39" s="51"/>
      <c r="Q39" s="85"/>
      <c r="R39" s="85"/>
      <c r="T39" s="117"/>
      <c r="U39" s="117"/>
      <c r="W39" s="145"/>
      <c r="X39" s="145"/>
      <c r="Z39" s="172"/>
      <c r="AA39" s="172"/>
    </row>
    <row r="40" spans="2:27" x14ac:dyDescent="0.3">
      <c r="B40" t="s">
        <v>98</v>
      </c>
      <c r="D40" s="9" t="s">
        <v>8</v>
      </c>
      <c r="E40" s="9">
        <v>14</v>
      </c>
      <c r="F40" s="9">
        <v>575</v>
      </c>
      <c r="G40" s="9">
        <v>1000</v>
      </c>
      <c r="H40" s="10">
        <f t="shared" si="3"/>
        <v>9050</v>
      </c>
      <c r="J40" s="10">
        <f t="shared" si="4"/>
        <v>9050</v>
      </c>
      <c r="N40" s="50"/>
      <c r="O40" s="51"/>
      <c r="Q40" s="85"/>
      <c r="R40" s="85"/>
      <c r="T40" s="117"/>
      <c r="U40" s="117"/>
      <c r="W40" s="145"/>
      <c r="X40" s="145"/>
      <c r="Z40" s="172"/>
      <c r="AA40" s="172"/>
    </row>
    <row r="41" spans="2:27" x14ac:dyDescent="0.3">
      <c r="B41" t="s">
        <v>93</v>
      </c>
      <c r="D41" s="9" t="s">
        <v>8</v>
      </c>
      <c r="E41" s="9">
        <v>22</v>
      </c>
      <c r="F41" s="9">
        <v>575</v>
      </c>
      <c r="G41" s="9">
        <v>1200</v>
      </c>
      <c r="H41" s="10">
        <f t="shared" si="3"/>
        <v>13850</v>
      </c>
      <c r="J41" s="10">
        <f t="shared" si="4"/>
        <v>13850</v>
      </c>
      <c r="N41" s="50"/>
      <c r="O41" s="51"/>
      <c r="Q41" s="85"/>
      <c r="R41" s="85"/>
      <c r="T41" s="117"/>
      <c r="U41" s="117"/>
      <c r="W41" s="145"/>
      <c r="X41" s="145"/>
      <c r="Z41" s="172"/>
      <c r="AA41" s="172"/>
    </row>
    <row r="42" spans="2:27" x14ac:dyDescent="0.3">
      <c r="B42" t="s">
        <v>94</v>
      </c>
      <c r="D42" s="9" t="s">
        <v>8</v>
      </c>
      <c r="E42" s="9">
        <v>8</v>
      </c>
      <c r="F42" s="9">
        <v>575</v>
      </c>
      <c r="G42" s="9">
        <v>600</v>
      </c>
      <c r="H42" s="10">
        <f t="shared" si="3"/>
        <v>5200</v>
      </c>
      <c r="J42" s="10">
        <f t="shared" si="4"/>
        <v>5200</v>
      </c>
      <c r="N42" s="50"/>
      <c r="O42" s="51"/>
      <c r="Q42" s="85"/>
      <c r="R42" s="85"/>
      <c r="T42" s="117"/>
      <c r="U42" s="117"/>
      <c r="W42" s="145"/>
      <c r="X42" s="145"/>
      <c r="Z42" s="172"/>
      <c r="AA42" s="172"/>
    </row>
    <row r="43" spans="2:27" x14ac:dyDescent="0.3">
      <c r="B43" t="s">
        <v>95</v>
      </c>
      <c r="D43" s="9" t="s">
        <v>8</v>
      </c>
      <c r="E43" s="9">
        <v>11</v>
      </c>
      <c r="F43" s="9">
        <v>575</v>
      </c>
      <c r="G43" s="9">
        <v>750</v>
      </c>
      <c r="H43" s="10">
        <f t="shared" si="3"/>
        <v>7075</v>
      </c>
      <c r="J43" s="10">
        <f t="shared" si="4"/>
        <v>7075</v>
      </c>
      <c r="N43" s="50"/>
      <c r="O43" s="51"/>
      <c r="Q43" s="85"/>
      <c r="R43" s="85"/>
      <c r="T43" s="117"/>
      <c r="U43" s="117"/>
      <c r="W43" s="145"/>
      <c r="X43" s="145"/>
      <c r="Z43" s="172"/>
      <c r="AA43" s="172"/>
    </row>
    <row r="44" spans="2:27" x14ac:dyDescent="0.3">
      <c r="B44" t="s">
        <v>96</v>
      </c>
      <c r="D44" s="9" t="s">
        <v>8</v>
      </c>
      <c r="E44" s="9">
        <v>12</v>
      </c>
      <c r="F44" s="9">
        <v>575</v>
      </c>
      <c r="G44" s="9">
        <v>1500</v>
      </c>
      <c r="H44" s="10">
        <f t="shared" si="3"/>
        <v>8400</v>
      </c>
      <c r="J44" s="10">
        <f t="shared" si="4"/>
        <v>8400</v>
      </c>
      <c r="N44" s="50"/>
      <c r="O44" s="51"/>
      <c r="Q44" s="85"/>
      <c r="R44" s="85"/>
      <c r="T44" s="117"/>
      <c r="U44" s="117"/>
      <c r="W44" s="145"/>
      <c r="X44" s="145"/>
      <c r="Z44" s="172"/>
      <c r="AA44" s="172"/>
    </row>
    <row r="45" spans="2:27" x14ac:dyDescent="0.3">
      <c r="B45" t="s">
        <v>120</v>
      </c>
      <c r="D45" s="9" t="s">
        <v>8</v>
      </c>
      <c r="E45" s="9">
        <v>8</v>
      </c>
      <c r="F45" s="9">
        <v>575</v>
      </c>
      <c r="H45" s="10">
        <f t="shared" si="3"/>
        <v>4600</v>
      </c>
      <c r="J45" s="10">
        <f t="shared" si="4"/>
        <v>4600</v>
      </c>
      <c r="N45" s="50"/>
      <c r="O45" s="51"/>
      <c r="Q45" s="85"/>
      <c r="R45" s="85"/>
      <c r="T45" s="117"/>
      <c r="U45" s="117"/>
      <c r="W45" s="145"/>
      <c r="X45" s="145"/>
      <c r="Z45" s="172"/>
      <c r="AA45" s="172"/>
    </row>
    <row r="46" spans="2:27" x14ac:dyDescent="0.3">
      <c r="B46" t="s">
        <v>119</v>
      </c>
      <c r="D46" s="9" t="s">
        <v>8</v>
      </c>
      <c r="E46" s="9">
        <v>15</v>
      </c>
      <c r="F46" s="9">
        <v>575</v>
      </c>
      <c r="G46" s="9">
        <v>1200</v>
      </c>
      <c r="H46" s="10">
        <f t="shared" si="3"/>
        <v>9825</v>
      </c>
      <c r="J46" s="10">
        <f t="shared" si="4"/>
        <v>9825</v>
      </c>
      <c r="N46" s="50"/>
      <c r="O46" s="51"/>
      <c r="Q46" s="85"/>
      <c r="R46" s="85"/>
      <c r="T46" s="117"/>
      <c r="U46" s="117"/>
      <c r="W46" s="145"/>
      <c r="X46" s="145"/>
      <c r="Z46" s="172"/>
      <c r="AA46" s="172"/>
    </row>
    <row r="47" spans="2:27" x14ac:dyDescent="0.3">
      <c r="B47" t="s">
        <v>122</v>
      </c>
      <c r="D47" s="9" t="s">
        <v>8</v>
      </c>
      <c r="E47" s="9">
        <v>6</v>
      </c>
      <c r="F47" s="9">
        <v>575</v>
      </c>
      <c r="G47" s="9">
        <v>800</v>
      </c>
      <c r="H47" s="10">
        <f t="shared" si="3"/>
        <v>4250</v>
      </c>
      <c r="J47" s="10">
        <f t="shared" si="4"/>
        <v>4250</v>
      </c>
      <c r="N47" s="50"/>
      <c r="O47" s="51"/>
      <c r="Q47" s="85"/>
      <c r="R47" s="85"/>
      <c r="T47" s="117"/>
      <c r="U47" s="117"/>
      <c r="W47" s="145"/>
      <c r="X47" s="145"/>
      <c r="Z47" s="172"/>
      <c r="AA47" s="172"/>
    </row>
    <row r="48" spans="2:27" x14ac:dyDescent="0.3">
      <c r="B48" t="s">
        <v>165</v>
      </c>
      <c r="D48" s="9" t="s">
        <v>8</v>
      </c>
      <c r="E48" s="9">
        <v>2</v>
      </c>
      <c r="F48" s="9">
        <v>575</v>
      </c>
      <c r="H48" s="10">
        <f t="shared" si="3"/>
        <v>1150</v>
      </c>
      <c r="J48" s="10">
        <f t="shared" si="4"/>
        <v>1150</v>
      </c>
      <c r="N48" s="50"/>
      <c r="O48" s="51"/>
      <c r="Q48" s="85"/>
      <c r="R48" s="85"/>
      <c r="T48" s="117"/>
      <c r="U48" s="117"/>
      <c r="W48" s="145"/>
      <c r="X48" s="145"/>
      <c r="Z48" s="172"/>
      <c r="AA48" s="172"/>
    </row>
    <row r="49" spans="2:28" x14ac:dyDescent="0.3">
      <c r="B49" t="s">
        <v>176</v>
      </c>
      <c r="D49" s="9" t="s">
        <v>8</v>
      </c>
      <c r="E49" s="9">
        <v>8</v>
      </c>
      <c r="F49" s="9">
        <v>575</v>
      </c>
      <c r="G49" s="9">
        <v>900</v>
      </c>
      <c r="H49" s="10">
        <f t="shared" si="3"/>
        <v>5500</v>
      </c>
      <c r="J49" s="10">
        <f t="shared" si="4"/>
        <v>5500</v>
      </c>
      <c r="N49" s="50"/>
      <c r="O49" s="51"/>
      <c r="Q49" s="85"/>
      <c r="R49" s="85"/>
      <c r="T49" s="117"/>
      <c r="U49" s="117"/>
      <c r="W49" s="145"/>
      <c r="X49" s="145"/>
      <c r="Z49" s="172"/>
      <c r="AA49" s="172"/>
    </row>
    <row r="50" spans="2:28" x14ac:dyDescent="0.3">
      <c r="N50" s="50"/>
      <c r="O50" s="51"/>
      <c r="Q50" s="85"/>
      <c r="R50" s="85"/>
      <c r="T50" s="117"/>
      <c r="U50" s="117"/>
      <c r="W50" s="145"/>
      <c r="X50" s="145"/>
      <c r="Z50" s="172"/>
      <c r="AA50" s="172"/>
    </row>
    <row r="51" spans="2:28" x14ac:dyDescent="0.3">
      <c r="B51" s="11" t="s">
        <v>14</v>
      </c>
      <c r="L51" s="20">
        <f>SUM(J52:J60)</f>
        <v>154134.5</v>
      </c>
      <c r="M51" s="20"/>
      <c r="N51" s="48">
        <v>0</v>
      </c>
      <c r="O51" s="49">
        <f>N51*L51</f>
        <v>0</v>
      </c>
      <c r="Q51" s="86">
        <v>0.25</v>
      </c>
      <c r="R51" s="87">
        <f>Q51*L51</f>
        <v>38533.625</v>
      </c>
      <c r="T51" s="118">
        <v>0.9</v>
      </c>
      <c r="U51" s="109">
        <f>T51*L51</f>
        <v>138721.05000000002</v>
      </c>
      <c r="W51" s="146">
        <v>1</v>
      </c>
      <c r="X51" s="147">
        <f>W51*L51</f>
        <v>154134.5</v>
      </c>
      <c r="Y51" s="10"/>
      <c r="Z51" s="173">
        <v>1</v>
      </c>
      <c r="AA51" s="174">
        <f>Z51*L51</f>
        <v>154134.5</v>
      </c>
      <c r="AB51" s="10"/>
    </row>
    <row r="52" spans="2:28" x14ac:dyDescent="0.3">
      <c r="B52" s="15" t="s">
        <v>11</v>
      </c>
      <c r="D52" s="9" t="s">
        <v>105</v>
      </c>
      <c r="H52" s="10">
        <v>114365</v>
      </c>
      <c r="I52" s="22">
        <v>0.15</v>
      </c>
      <c r="J52" s="10">
        <f>H52*I52+H52</f>
        <v>131519.75</v>
      </c>
      <c r="N52" s="50"/>
      <c r="O52" s="51"/>
      <c r="Q52" s="85"/>
      <c r="R52" s="85"/>
      <c r="T52" s="117"/>
      <c r="U52" s="117"/>
      <c r="W52" s="145"/>
      <c r="X52" s="145"/>
      <c r="Z52" s="172"/>
      <c r="AA52" s="172"/>
    </row>
    <row r="53" spans="2:28" x14ac:dyDescent="0.3">
      <c r="B53" s="15" t="s">
        <v>12</v>
      </c>
      <c r="D53" s="9" t="s">
        <v>105</v>
      </c>
      <c r="N53" s="50"/>
      <c r="O53" s="51"/>
      <c r="Q53" s="85"/>
      <c r="R53" s="85"/>
      <c r="T53" s="117"/>
      <c r="U53" s="117"/>
      <c r="W53" s="145"/>
      <c r="X53" s="145"/>
      <c r="Z53" s="172"/>
      <c r="AA53" s="172"/>
    </row>
    <row r="54" spans="2:28" x14ac:dyDescent="0.3">
      <c r="B54" s="15" t="s">
        <v>102</v>
      </c>
      <c r="D54" s="9" t="s">
        <v>105</v>
      </c>
      <c r="N54" s="50"/>
      <c r="O54" s="51"/>
      <c r="Q54" s="85"/>
      <c r="R54" s="85"/>
      <c r="T54" s="117"/>
      <c r="U54" s="117"/>
      <c r="W54" s="145"/>
      <c r="X54" s="145"/>
      <c r="Z54" s="172"/>
      <c r="AA54" s="172"/>
    </row>
    <row r="55" spans="2:28" x14ac:dyDescent="0.3">
      <c r="B55" s="18" t="s">
        <v>101</v>
      </c>
      <c r="D55" s="9" t="s">
        <v>105</v>
      </c>
      <c r="F55" s="62">
        <f>22615-(4380*1.15)</f>
        <v>17578</v>
      </c>
      <c r="N55" s="50"/>
      <c r="O55" s="51"/>
      <c r="Q55" s="85"/>
      <c r="R55" s="85"/>
      <c r="T55" s="117"/>
      <c r="U55" s="117"/>
      <c r="W55" s="145"/>
      <c r="X55" s="145"/>
      <c r="Z55" s="172"/>
      <c r="AA55" s="172"/>
    </row>
    <row r="56" spans="2:28" x14ac:dyDescent="0.3">
      <c r="B56" s="15" t="s">
        <v>13</v>
      </c>
      <c r="D56" s="9" t="s">
        <v>105</v>
      </c>
      <c r="N56" s="50"/>
      <c r="O56" s="51"/>
      <c r="Q56" s="85"/>
      <c r="R56" s="85"/>
      <c r="T56" s="117"/>
      <c r="U56" s="117"/>
      <c r="W56" s="145"/>
      <c r="X56" s="145"/>
      <c r="Z56" s="172"/>
      <c r="AA56" s="172"/>
    </row>
    <row r="57" spans="2:28" x14ac:dyDescent="0.3">
      <c r="B57" s="15" t="s">
        <v>103</v>
      </c>
      <c r="D57" s="9" t="s">
        <v>105</v>
      </c>
      <c r="N57" s="50"/>
      <c r="O57" s="51"/>
      <c r="Q57" s="85"/>
      <c r="R57" s="85"/>
      <c r="T57" s="117"/>
      <c r="U57" s="117"/>
      <c r="W57" s="145"/>
      <c r="X57" s="145"/>
      <c r="Z57" s="172"/>
      <c r="AA57" s="172"/>
    </row>
    <row r="58" spans="2:28" x14ac:dyDescent="0.3">
      <c r="B58" s="15" t="s">
        <v>15</v>
      </c>
      <c r="D58" s="9" t="s">
        <v>105</v>
      </c>
      <c r="N58" s="50"/>
      <c r="O58" s="51"/>
      <c r="Q58" s="85"/>
      <c r="R58" s="85"/>
      <c r="T58" s="117"/>
      <c r="U58" s="117"/>
      <c r="W58" s="145"/>
      <c r="X58" s="145"/>
      <c r="Z58" s="172"/>
      <c r="AA58" s="172"/>
    </row>
    <row r="59" spans="2:28" x14ac:dyDescent="0.3">
      <c r="B59" s="15" t="s">
        <v>104</v>
      </c>
      <c r="D59" s="9" t="s">
        <v>105</v>
      </c>
      <c r="H59" s="10">
        <v>19665</v>
      </c>
      <c r="I59" s="22">
        <v>0.15</v>
      </c>
      <c r="J59" s="10">
        <f>H59*I59+H59</f>
        <v>22614.75</v>
      </c>
      <c r="N59" s="50"/>
      <c r="O59" s="51"/>
      <c r="Q59" s="85"/>
      <c r="R59" s="85"/>
      <c r="T59" s="117"/>
      <c r="U59" s="117"/>
      <c r="W59" s="145"/>
      <c r="X59" s="145"/>
      <c r="Z59" s="172"/>
      <c r="AA59" s="172"/>
    </row>
    <row r="60" spans="2:28" x14ac:dyDescent="0.3">
      <c r="N60" s="50"/>
      <c r="O60" s="51"/>
      <c r="Q60" s="85"/>
      <c r="R60" s="85"/>
      <c r="T60" s="117"/>
      <c r="U60" s="117"/>
      <c r="W60" s="145"/>
      <c r="X60" s="145"/>
      <c r="Z60" s="172"/>
      <c r="AA60" s="172"/>
    </row>
    <row r="61" spans="2:28" x14ac:dyDescent="0.3">
      <c r="B61" s="11" t="s">
        <v>100</v>
      </c>
      <c r="L61" s="20">
        <f>SUM(J62:J77)</f>
        <v>107250</v>
      </c>
      <c r="M61" s="20"/>
      <c r="N61" s="48">
        <v>0</v>
      </c>
      <c r="O61" s="49">
        <f t="shared" ref="O61" si="5">N61*L61</f>
        <v>0</v>
      </c>
      <c r="Q61" s="86">
        <v>0.5</v>
      </c>
      <c r="R61" s="87">
        <f>Q61*L61</f>
        <v>53625</v>
      </c>
      <c r="T61" s="118">
        <v>0.95</v>
      </c>
      <c r="U61" s="109">
        <f>T61*L61</f>
        <v>101887.5</v>
      </c>
      <c r="W61" s="146">
        <v>1</v>
      </c>
      <c r="X61" s="147">
        <f>W61*L61</f>
        <v>107250</v>
      </c>
      <c r="Y61" s="10"/>
      <c r="Z61" s="173">
        <v>1</v>
      </c>
      <c r="AA61" s="174">
        <f>Z61*L61</f>
        <v>107250</v>
      </c>
      <c r="AB61" s="10"/>
    </row>
    <row r="62" spans="2:28" x14ac:dyDescent="0.3">
      <c r="B62" s="15" t="s">
        <v>106</v>
      </c>
      <c r="D62" s="9" t="s">
        <v>8</v>
      </c>
      <c r="E62" s="9">
        <v>14</v>
      </c>
      <c r="F62" s="9">
        <v>575</v>
      </c>
      <c r="G62" s="9">
        <v>800</v>
      </c>
      <c r="H62" s="10">
        <f t="shared" ref="H62:H72" si="6">(E62*F62)+G62</f>
        <v>8850</v>
      </c>
      <c r="J62" s="10">
        <f t="shared" ref="J62:J77" si="7">H62*I62+H62</f>
        <v>8850</v>
      </c>
      <c r="N62" s="50"/>
      <c r="O62" s="51"/>
      <c r="Q62" s="85"/>
      <c r="R62" s="85"/>
      <c r="T62" s="117"/>
      <c r="U62" s="117"/>
      <c r="W62" s="145"/>
      <c r="X62" s="145"/>
      <c r="Z62" s="172"/>
      <c r="AA62" s="172"/>
    </row>
    <row r="63" spans="2:28" x14ac:dyDescent="0.3">
      <c r="B63" s="15" t="s">
        <v>107</v>
      </c>
      <c r="D63" s="9" t="s">
        <v>8</v>
      </c>
      <c r="E63" s="9">
        <v>10</v>
      </c>
      <c r="F63" s="9">
        <v>575</v>
      </c>
      <c r="G63" s="9">
        <v>550</v>
      </c>
      <c r="H63" s="10">
        <f t="shared" si="6"/>
        <v>6300</v>
      </c>
      <c r="J63" s="10">
        <f t="shared" si="7"/>
        <v>6300</v>
      </c>
      <c r="N63" s="50"/>
      <c r="O63" s="51"/>
      <c r="Q63" s="85"/>
      <c r="R63" s="85"/>
      <c r="T63" s="117"/>
      <c r="U63" s="117"/>
      <c r="W63" s="145"/>
      <c r="X63" s="145"/>
      <c r="Z63" s="172"/>
      <c r="AA63" s="172"/>
    </row>
    <row r="64" spans="2:28" x14ac:dyDescent="0.3">
      <c r="B64" s="15" t="s">
        <v>108</v>
      </c>
      <c r="D64" s="9" t="s">
        <v>8</v>
      </c>
      <c r="E64" s="9">
        <v>8</v>
      </c>
      <c r="F64" s="9">
        <v>575</v>
      </c>
      <c r="G64" s="9">
        <v>550</v>
      </c>
      <c r="H64" s="10">
        <f t="shared" si="6"/>
        <v>5150</v>
      </c>
      <c r="J64" s="10">
        <f t="shared" si="7"/>
        <v>5150</v>
      </c>
      <c r="N64" s="50"/>
      <c r="O64" s="51"/>
      <c r="Q64" s="85"/>
      <c r="R64" s="85"/>
      <c r="T64" s="117"/>
      <c r="U64" s="117"/>
      <c r="W64" s="145"/>
      <c r="X64" s="145"/>
      <c r="Z64" s="172"/>
      <c r="AA64" s="172"/>
    </row>
    <row r="65" spans="2:32" x14ac:dyDescent="0.3">
      <c r="B65" s="15" t="s">
        <v>109</v>
      </c>
      <c r="D65" s="9" t="s">
        <v>8</v>
      </c>
      <c r="E65" s="9">
        <v>10</v>
      </c>
      <c r="F65" s="9">
        <v>575</v>
      </c>
      <c r="G65" s="9">
        <v>550</v>
      </c>
      <c r="H65" s="10">
        <f t="shared" si="6"/>
        <v>6300</v>
      </c>
      <c r="J65" s="10">
        <f t="shared" si="7"/>
        <v>6300</v>
      </c>
      <c r="N65" s="50"/>
      <c r="O65" s="51"/>
      <c r="Q65" s="85"/>
      <c r="R65" s="85"/>
      <c r="T65" s="117"/>
      <c r="U65" s="117"/>
      <c r="W65" s="145"/>
      <c r="X65" s="145"/>
      <c r="Z65" s="172"/>
      <c r="AA65" s="172"/>
    </row>
    <row r="66" spans="2:32" x14ac:dyDescent="0.3">
      <c r="B66" s="15" t="s">
        <v>110</v>
      </c>
      <c r="D66" s="9" t="s">
        <v>8</v>
      </c>
      <c r="E66" s="9">
        <v>6</v>
      </c>
      <c r="F66" s="9">
        <v>575</v>
      </c>
      <c r="G66" s="9">
        <v>300</v>
      </c>
      <c r="H66" s="10">
        <f t="shared" si="6"/>
        <v>3750</v>
      </c>
      <c r="J66" s="10">
        <f t="shared" si="7"/>
        <v>3750</v>
      </c>
      <c r="N66" s="50"/>
      <c r="O66" s="51"/>
      <c r="Q66" s="85"/>
      <c r="R66" s="85"/>
      <c r="T66" s="117"/>
      <c r="U66" s="117"/>
      <c r="W66" s="145"/>
      <c r="X66" s="145"/>
      <c r="Z66" s="172"/>
      <c r="AA66" s="172"/>
    </row>
    <row r="67" spans="2:32" x14ac:dyDescent="0.3">
      <c r="B67" s="15" t="s">
        <v>112</v>
      </c>
      <c r="D67" s="9" t="s">
        <v>8</v>
      </c>
      <c r="E67" s="9">
        <v>12</v>
      </c>
      <c r="F67" s="9">
        <v>575</v>
      </c>
      <c r="G67" s="9">
        <v>1200</v>
      </c>
      <c r="H67" s="10">
        <f t="shared" si="6"/>
        <v>8100</v>
      </c>
      <c r="J67" s="10">
        <f t="shared" si="7"/>
        <v>8100</v>
      </c>
      <c r="N67" s="50"/>
      <c r="O67" s="51"/>
      <c r="Q67" s="85"/>
      <c r="R67" s="85"/>
      <c r="T67" s="117"/>
      <c r="U67" s="117"/>
      <c r="W67" s="145"/>
      <c r="X67" s="145"/>
      <c r="Z67" s="172"/>
      <c r="AA67" s="172"/>
    </row>
    <row r="68" spans="2:32" x14ac:dyDescent="0.3">
      <c r="B68" s="15" t="s">
        <v>121</v>
      </c>
      <c r="D68" s="9" t="s">
        <v>8</v>
      </c>
      <c r="E68" s="9">
        <v>10</v>
      </c>
      <c r="F68" s="9">
        <v>575</v>
      </c>
      <c r="G68" s="9">
        <v>1000</v>
      </c>
      <c r="H68" s="10">
        <f t="shared" si="6"/>
        <v>6750</v>
      </c>
      <c r="J68" s="10">
        <f t="shared" si="7"/>
        <v>6750</v>
      </c>
      <c r="N68" s="50"/>
      <c r="O68" s="51"/>
      <c r="Q68" s="85"/>
      <c r="R68" s="85"/>
      <c r="T68" s="117"/>
      <c r="U68" s="117"/>
      <c r="W68" s="145"/>
      <c r="X68" s="145"/>
      <c r="Z68" s="172"/>
      <c r="AA68" s="172"/>
    </row>
    <row r="69" spans="2:32" x14ac:dyDescent="0.3">
      <c r="B69" s="15" t="s">
        <v>164</v>
      </c>
      <c r="D69" s="9" t="s">
        <v>8</v>
      </c>
      <c r="E69" s="9">
        <v>10</v>
      </c>
      <c r="F69" s="9">
        <v>575</v>
      </c>
      <c r="H69" s="10">
        <f t="shared" si="6"/>
        <v>5750</v>
      </c>
      <c r="J69" s="10">
        <f t="shared" si="7"/>
        <v>5750</v>
      </c>
      <c r="N69" s="50"/>
      <c r="O69" s="51"/>
      <c r="Q69" s="85"/>
      <c r="R69" s="85"/>
      <c r="T69" s="117"/>
      <c r="U69" s="117"/>
      <c r="W69" s="145"/>
      <c r="X69" s="145"/>
      <c r="Z69" s="172"/>
      <c r="AA69" s="172"/>
    </row>
    <row r="70" spans="2:32" x14ac:dyDescent="0.3">
      <c r="B70" s="15" t="s">
        <v>118</v>
      </c>
      <c r="D70" s="9" t="s">
        <v>8</v>
      </c>
      <c r="E70" s="9">
        <v>21</v>
      </c>
      <c r="F70" s="9">
        <v>575</v>
      </c>
      <c r="G70" s="9">
        <v>600</v>
      </c>
      <c r="H70" s="10">
        <f t="shared" si="6"/>
        <v>12675</v>
      </c>
      <c r="J70" s="10">
        <f t="shared" si="7"/>
        <v>12675</v>
      </c>
      <c r="N70" s="50"/>
      <c r="O70" s="51"/>
      <c r="Q70" s="85"/>
      <c r="R70" s="85"/>
      <c r="T70" s="117"/>
      <c r="U70" s="117"/>
      <c r="W70" s="145"/>
      <c r="X70" s="145"/>
      <c r="Z70" s="172"/>
      <c r="AA70" s="172"/>
    </row>
    <row r="71" spans="2:32" x14ac:dyDescent="0.3">
      <c r="B71" s="15" t="s">
        <v>113</v>
      </c>
      <c r="D71" s="9" t="s">
        <v>8</v>
      </c>
      <c r="E71" s="9">
        <v>14</v>
      </c>
      <c r="F71" s="9">
        <v>575</v>
      </c>
      <c r="G71" s="9">
        <v>400</v>
      </c>
      <c r="H71" s="10">
        <f t="shared" si="6"/>
        <v>8450</v>
      </c>
      <c r="J71" s="10">
        <f t="shared" si="7"/>
        <v>8450</v>
      </c>
      <c r="N71" s="50"/>
      <c r="O71" s="51"/>
      <c r="Q71" s="85"/>
      <c r="R71" s="85"/>
      <c r="T71" s="117"/>
      <c r="U71" s="117"/>
      <c r="W71" s="145"/>
      <c r="X71" s="145"/>
      <c r="Z71" s="172"/>
      <c r="AA71" s="172"/>
    </row>
    <row r="72" spans="2:32" x14ac:dyDescent="0.3">
      <c r="B72" s="15" t="s">
        <v>114</v>
      </c>
      <c r="D72" s="9" t="s">
        <v>8</v>
      </c>
      <c r="E72" s="9">
        <v>14</v>
      </c>
      <c r="F72" s="9">
        <v>575</v>
      </c>
      <c r="G72" s="9">
        <v>400</v>
      </c>
      <c r="H72" s="10">
        <f t="shared" si="6"/>
        <v>8450</v>
      </c>
      <c r="J72" s="10">
        <f t="shared" si="7"/>
        <v>8450</v>
      </c>
      <c r="N72" s="50"/>
      <c r="O72" s="51"/>
      <c r="Q72" s="85"/>
      <c r="R72" s="85"/>
      <c r="T72" s="117"/>
      <c r="U72" s="117"/>
      <c r="W72" s="145"/>
      <c r="X72" s="145"/>
      <c r="Z72" s="172"/>
      <c r="AA72" s="172"/>
    </row>
    <row r="73" spans="2:32" x14ac:dyDescent="0.3">
      <c r="B73" s="15" t="s">
        <v>117</v>
      </c>
      <c r="D73" s="9" t="s">
        <v>8</v>
      </c>
      <c r="H73" s="10">
        <v>8500</v>
      </c>
      <c r="I73" s="22">
        <v>0.15</v>
      </c>
      <c r="J73" s="10">
        <f t="shared" si="7"/>
        <v>9775</v>
      </c>
      <c r="N73" s="50"/>
      <c r="O73" s="51"/>
      <c r="Q73" s="85"/>
      <c r="R73" s="85"/>
      <c r="T73" s="117"/>
      <c r="U73" s="117"/>
      <c r="W73" s="145"/>
      <c r="X73" s="145"/>
      <c r="Z73" s="172"/>
      <c r="AA73" s="172"/>
    </row>
    <row r="74" spans="2:32" x14ac:dyDescent="0.3">
      <c r="B74" s="15" t="s">
        <v>115</v>
      </c>
      <c r="D74" s="9" t="s">
        <v>8</v>
      </c>
      <c r="E74" s="9">
        <v>6</v>
      </c>
      <c r="F74" s="9">
        <v>575</v>
      </c>
      <c r="G74" s="9">
        <v>2400</v>
      </c>
      <c r="H74" s="10">
        <f>(E74*F74)+G74</f>
        <v>5850</v>
      </c>
      <c r="J74" s="10">
        <f t="shared" si="7"/>
        <v>5850</v>
      </c>
      <c r="N74" s="50"/>
      <c r="O74" s="51"/>
      <c r="Q74" s="85"/>
      <c r="R74" s="85"/>
      <c r="T74" s="117"/>
      <c r="U74" s="117"/>
      <c r="W74" s="145"/>
      <c r="X74" s="145"/>
      <c r="Z74" s="172"/>
      <c r="AA74" s="172"/>
    </row>
    <row r="75" spans="2:32" x14ac:dyDescent="0.3">
      <c r="B75" s="15" t="s">
        <v>116</v>
      </c>
      <c r="D75" s="9" t="s">
        <v>8</v>
      </c>
      <c r="E75" s="9">
        <v>4</v>
      </c>
      <c r="F75" s="9">
        <v>575</v>
      </c>
      <c r="G75" s="9">
        <v>1200</v>
      </c>
      <c r="H75" s="10">
        <f>(E75*F75)+G75</f>
        <v>3500</v>
      </c>
      <c r="J75" s="10">
        <f t="shared" si="7"/>
        <v>3500</v>
      </c>
      <c r="N75" s="50"/>
      <c r="O75" s="51"/>
      <c r="Q75" s="85"/>
      <c r="R75" s="85"/>
      <c r="T75" s="117"/>
      <c r="U75" s="117"/>
      <c r="W75" s="145"/>
      <c r="X75" s="145"/>
      <c r="Z75" s="172"/>
      <c r="AA75" s="172"/>
    </row>
    <row r="76" spans="2:32" x14ac:dyDescent="0.3">
      <c r="B76" s="15" t="s">
        <v>123</v>
      </c>
      <c r="D76" s="9" t="s">
        <v>8</v>
      </c>
      <c r="E76" s="9">
        <v>7</v>
      </c>
      <c r="F76" s="9">
        <v>575</v>
      </c>
      <c r="G76" s="9">
        <v>700</v>
      </c>
      <c r="H76" s="10">
        <f>(E76*F76)+G76</f>
        <v>4725</v>
      </c>
      <c r="J76" s="10">
        <f t="shared" si="7"/>
        <v>4725</v>
      </c>
      <c r="N76" s="50"/>
      <c r="O76" s="51"/>
      <c r="Q76" s="85"/>
      <c r="R76" s="85"/>
      <c r="T76" s="117"/>
      <c r="U76" s="117"/>
      <c r="W76" s="145"/>
      <c r="X76" s="145"/>
      <c r="Z76" s="172"/>
      <c r="AA76" s="172"/>
    </row>
    <row r="77" spans="2:32" x14ac:dyDescent="0.3">
      <c r="B77" s="15" t="s">
        <v>173</v>
      </c>
      <c r="D77" s="9" t="s">
        <v>8</v>
      </c>
      <c r="H77" s="10">
        <v>2500</v>
      </c>
      <c r="I77" s="22">
        <v>0.15</v>
      </c>
      <c r="J77" s="10">
        <f t="shared" si="7"/>
        <v>2875</v>
      </c>
      <c r="N77" s="50"/>
      <c r="O77" s="51"/>
      <c r="Q77" s="85"/>
      <c r="R77" s="85"/>
      <c r="T77" s="117"/>
      <c r="U77" s="117"/>
      <c r="W77" s="145"/>
      <c r="X77" s="145"/>
      <c r="Z77" s="172"/>
      <c r="AA77" s="172"/>
    </row>
    <row r="78" spans="2:32" x14ac:dyDescent="0.3">
      <c r="B78" s="15"/>
      <c r="N78" s="50"/>
      <c r="O78" s="51"/>
      <c r="Q78" s="85"/>
      <c r="R78" s="85"/>
      <c r="T78" s="117"/>
      <c r="U78" s="117"/>
      <c r="W78" s="145"/>
      <c r="X78" s="145"/>
      <c r="Z78" s="172"/>
      <c r="AA78" s="172"/>
    </row>
    <row r="79" spans="2:32" x14ac:dyDescent="0.3">
      <c r="B79" s="11" t="s">
        <v>29</v>
      </c>
      <c r="L79" s="20">
        <f>SUM(J80:J94)</f>
        <v>110745</v>
      </c>
      <c r="M79" s="20"/>
      <c r="N79" s="48">
        <v>0.05</v>
      </c>
      <c r="O79" s="49">
        <f t="shared" ref="O79" si="8">N79*L79</f>
        <v>5537.25</v>
      </c>
      <c r="Q79" s="86">
        <v>0.6</v>
      </c>
      <c r="R79" s="87">
        <f>Q79*L79</f>
        <v>66447</v>
      </c>
      <c r="T79" s="118">
        <v>0.75</v>
      </c>
      <c r="U79" s="109">
        <f>T79*L79</f>
        <v>83058.75</v>
      </c>
      <c r="W79" s="146">
        <v>0.95</v>
      </c>
      <c r="X79" s="147">
        <f>W79*L79</f>
        <v>105207.75</v>
      </c>
      <c r="Y79" s="10"/>
      <c r="Z79" s="173">
        <v>1</v>
      </c>
      <c r="AA79" s="174">
        <f>Z79*L79</f>
        <v>110745</v>
      </c>
      <c r="AB79" s="10"/>
      <c r="AC79" s="28" t="s">
        <v>161</v>
      </c>
      <c r="AD79" s="28"/>
      <c r="AE79" s="28"/>
      <c r="AF79" s="28">
        <v>93300</v>
      </c>
    </row>
    <row r="80" spans="2:32" x14ac:dyDescent="0.3">
      <c r="B80" s="15" t="s">
        <v>33</v>
      </c>
      <c r="H80" s="10">
        <f>93300</f>
        <v>93300</v>
      </c>
      <c r="I80" s="22">
        <v>0.15</v>
      </c>
      <c r="J80" s="10">
        <f>H80*I80+H80</f>
        <v>107295</v>
      </c>
      <c r="N80" s="50"/>
      <c r="O80" s="51"/>
      <c r="Q80" s="85"/>
      <c r="R80" s="85"/>
      <c r="T80" s="117"/>
      <c r="U80" s="117"/>
      <c r="W80" s="145"/>
      <c r="X80" s="145"/>
      <c r="Z80" s="172"/>
      <c r="AA80" s="172"/>
    </row>
    <row r="81" spans="2:32" x14ac:dyDescent="0.3">
      <c r="B81" s="15" t="s">
        <v>34</v>
      </c>
      <c r="N81" s="50"/>
      <c r="O81" s="51"/>
      <c r="Q81" s="85"/>
      <c r="R81" s="85"/>
      <c r="T81" s="117"/>
      <c r="U81" s="117"/>
      <c r="W81" s="145"/>
      <c r="X81" s="145"/>
      <c r="Z81" s="172"/>
      <c r="AA81" s="172"/>
    </row>
    <row r="82" spans="2:32" x14ac:dyDescent="0.3">
      <c r="B82" s="15" t="s">
        <v>35</v>
      </c>
      <c r="N82" s="50"/>
      <c r="O82" s="51"/>
      <c r="Q82" s="85"/>
      <c r="R82" s="85"/>
      <c r="T82" s="117"/>
      <c r="U82" s="117"/>
      <c r="W82" s="145"/>
      <c r="X82" s="145"/>
      <c r="Z82" s="172"/>
      <c r="AA82" s="172"/>
    </row>
    <row r="83" spans="2:32" x14ac:dyDescent="0.3">
      <c r="B83" s="15" t="s">
        <v>44</v>
      </c>
      <c r="N83" s="50"/>
      <c r="O83" s="51"/>
      <c r="Q83" s="85"/>
      <c r="R83" s="85"/>
      <c r="T83" s="117"/>
      <c r="U83" s="117"/>
      <c r="W83" s="145"/>
      <c r="X83" s="145"/>
      <c r="Z83" s="172"/>
      <c r="AA83" s="172"/>
    </row>
    <row r="84" spans="2:32" x14ac:dyDescent="0.3">
      <c r="B84" s="15" t="s">
        <v>32</v>
      </c>
      <c r="N84" s="50"/>
      <c r="O84" s="51"/>
      <c r="Q84" s="85"/>
      <c r="R84" s="85"/>
      <c r="T84" s="117"/>
      <c r="U84" s="117"/>
      <c r="W84" s="145"/>
      <c r="X84" s="145"/>
      <c r="Z84" s="172"/>
      <c r="AA84" s="172"/>
    </row>
    <row r="85" spans="2:32" x14ac:dyDescent="0.3">
      <c r="B85" s="15" t="s">
        <v>178</v>
      </c>
      <c r="H85" s="21"/>
      <c r="N85" s="50"/>
      <c r="O85" s="51"/>
      <c r="Q85" s="85"/>
      <c r="R85" s="85"/>
      <c r="T85" s="117"/>
      <c r="U85" s="117"/>
      <c r="W85" s="145"/>
      <c r="X85" s="145"/>
      <c r="Z85" s="172"/>
      <c r="AA85" s="172"/>
    </row>
    <row r="86" spans="2:32" x14ac:dyDescent="0.3">
      <c r="B86" s="15" t="s">
        <v>36</v>
      </c>
      <c r="N86" s="50"/>
      <c r="O86" s="51"/>
      <c r="Q86" s="85"/>
      <c r="R86" s="85"/>
      <c r="T86" s="117"/>
      <c r="U86" s="117"/>
      <c r="W86" s="145"/>
      <c r="X86" s="145"/>
      <c r="Z86" s="172"/>
      <c r="AA86" s="172"/>
    </row>
    <row r="87" spans="2:32" x14ac:dyDescent="0.3">
      <c r="B87" s="15" t="s">
        <v>37</v>
      </c>
      <c r="N87" s="50"/>
      <c r="O87" s="51"/>
      <c r="Q87" s="85"/>
      <c r="R87" s="85"/>
      <c r="T87" s="117"/>
      <c r="U87" s="117"/>
      <c r="W87" s="145"/>
      <c r="X87" s="145"/>
      <c r="Z87" s="172"/>
      <c r="AA87" s="172"/>
    </row>
    <row r="88" spans="2:32" x14ac:dyDescent="0.3">
      <c r="B88" s="15" t="s">
        <v>38</v>
      </c>
      <c r="N88" s="50"/>
      <c r="O88" s="51"/>
      <c r="Q88" s="85"/>
      <c r="R88" s="85"/>
      <c r="T88" s="117"/>
      <c r="U88" s="117"/>
      <c r="W88" s="145"/>
      <c r="X88" s="145"/>
      <c r="Z88" s="172"/>
      <c r="AA88" s="172"/>
    </row>
    <row r="89" spans="2:32" x14ac:dyDescent="0.3">
      <c r="B89" s="15" t="s">
        <v>39</v>
      </c>
      <c r="N89" s="50"/>
      <c r="O89" s="51"/>
      <c r="Q89" s="85"/>
      <c r="R89" s="85"/>
      <c r="T89" s="117"/>
      <c r="U89" s="117"/>
      <c r="W89" s="145"/>
      <c r="X89" s="145"/>
      <c r="Z89" s="172"/>
      <c r="AA89" s="172"/>
    </row>
    <row r="90" spans="2:32" x14ac:dyDescent="0.3">
      <c r="B90" s="15" t="s">
        <v>40</v>
      </c>
      <c r="N90" s="50"/>
      <c r="O90" s="51"/>
      <c r="Q90" s="85"/>
      <c r="R90" s="85"/>
      <c r="T90" s="117"/>
      <c r="U90" s="117"/>
      <c r="W90" s="145"/>
      <c r="X90" s="145"/>
      <c r="Z90" s="172"/>
      <c r="AA90" s="172"/>
    </row>
    <row r="91" spans="2:32" x14ac:dyDescent="0.3">
      <c r="B91" s="15" t="s">
        <v>43</v>
      </c>
      <c r="N91" s="50"/>
      <c r="O91" s="51"/>
      <c r="Q91" s="85"/>
      <c r="R91" s="85"/>
      <c r="T91" s="117"/>
      <c r="U91" s="117"/>
      <c r="W91" s="145"/>
      <c r="X91" s="145"/>
      <c r="Z91" s="172"/>
      <c r="AA91" s="172"/>
    </row>
    <row r="92" spans="2:32" x14ac:dyDescent="0.3">
      <c r="B92" s="15" t="s">
        <v>41</v>
      </c>
      <c r="N92" s="50"/>
      <c r="O92" s="51"/>
      <c r="Q92" s="85"/>
      <c r="R92" s="85"/>
      <c r="T92" s="117"/>
      <c r="U92" s="117"/>
      <c r="W92" s="145"/>
      <c r="X92" s="145"/>
      <c r="Z92" s="172"/>
      <c r="AA92" s="172"/>
    </row>
    <row r="93" spans="2:32" x14ac:dyDescent="0.3">
      <c r="B93" s="15" t="s">
        <v>42</v>
      </c>
      <c r="N93" s="50"/>
      <c r="O93" s="51"/>
      <c r="Q93" s="85"/>
      <c r="R93" s="85"/>
      <c r="T93" s="117"/>
      <c r="U93" s="117"/>
      <c r="W93" s="145"/>
      <c r="X93" s="145"/>
      <c r="Z93" s="172"/>
      <c r="AA93" s="172"/>
    </row>
    <row r="94" spans="2:32" x14ac:dyDescent="0.3">
      <c r="B94" s="15" t="s">
        <v>166</v>
      </c>
      <c r="H94" s="10">
        <v>3000</v>
      </c>
      <c r="I94" s="22">
        <v>0.15</v>
      </c>
      <c r="J94" s="10">
        <f>H94*I94+H94</f>
        <v>3450</v>
      </c>
      <c r="N94" s="50"/>
      <c r="O94" s="51"/>
      <c r="Q94" s="85"/>
      <c r="R94" s="85"/>
      <c r="T94" s="117"/>
      <c r="U94" s="117"/>
      <c r="W94" s="145"/>
      <c r="X94" s="145"/>
      <c r="Z94" s="172"/>
      <c r="AA94" s="172"/>
    </row>
    <row r="95" spans="2:32" x14ac:dyDescent="0.3">
      <c r="N95" s="50"/>
      <c r="O95" s="51"/>
      <c r="Q95" s="85"/>
      <c r="R95" s="85"/>
      <c r="T95" s="117"/>
      <c r="U95" s="117"/>
      <c r="W95" s="145"/>
      <c r="X95" s="145"/>
      <c r="Z95" s="172"/>
      <c r="AA95" s="172"/>
    </row>
    <row r="96" spans="2:32" x14ac:dyDescent="0.3">
      <c r="B96" s="11" t="s">
        <v>47</v>
      </c>
      <c r="L96" s="20">
        <f>SUM(J97:J104)</f>
        <v>130522.7</v>
      </c>
      <c r="M96" s="20"/>
      <c r="N96" s="48">
        <v>0</v>
      </c>
      <c r="O96" s="49">
        <f t="shared" ref="O96" si="9">N96*L96</f>
        <v>0</v>
      </c>
      <c r="Q96" s="86">
        <v>0.8</v>
      </c>
      <c r="R96" s="87">
        <f>Q96*L96</f>
        <v>104418.16</v>
      </c>
      <c r="T96" s="118">
        <v>0.9</v>
      </c>
      <c r="U96" s="109">
        <f>T96*L96</f>
        <v>117470.43</v>
      </c>
      <c r="W96" s="146">
        <v>1</v>
      </c>
      <c r="X96" s="147">
        <f>W96*L96</f>
        <v>130522.7</v>
      </c>
      <c r="Y96" s="10"/>
      <c r="Z96" s="173">
        <v>1</v>
      </c>
      <c r="AA96" s="174">
        <f>Z96*L96</f>
        <v>130522.7</v>
      </c>
      <c r="AB96" s="10"/>
      <c r="AC96" s="28" t="s">
        <v>162</v>
      </c>
      <c r="AD96" s="28"/>
      <c r="AE96" s="28"/>
      <c r="AF96" s="28"/>
    </row>
    <row r="97" spans="2:31" x14ac:dyDescent="0.3">
      <c r="B97" t="s">
        <v>153</v>
      </c>
      <c r="H97" s="10">
        <v>24227</v>
      </c>
      <c r="I97" s="23">
        <v>0.1</v>
      </c>
      <c r="J97" s="10">
        <f>H97*I97+H97</f>
        <v>26649.7</v>
      </c>
      <c r="N97" s="50"/>
      <c r="O97" s="51"/>
      <c r="Q97" s="85"/>
      <c r="R97" s="85"/>
      <c r="T97" s="117"/>
      <c r="U97" s="117"/>
      <c r="W97" s="145"/>
      <c r="X97" s="145"/>
      <c r="Z97" s="172"/>
      <c r="AA97" s="172"/>
    </row>
    <row r="98" spans="2:31" x14ac:dyDescent="0.3">
      <c r="B98" t="s">
        <v>156</v>
      </c>
      <c r="H98" s="10">
        <v>10128</v>
      </c>
      <c r="I98" s="23">
        <v>0.1</v>
      </c>
      <c r="J98" s="10">
        <f t="shared" ref="J98:J104" si="10">H98*I98+H98</f>
        <v>11140.8</v>
      </c>
      <c r="N98" s="50"/>
      <c r="O98" s="51"/>
      <c r="Q98" s="85"/>
      <c r="R98" s="85"/>
      <c r="T98" s="117"/>
      <c r="U98" s="117"/>
      <c r="W98" s="145"/>
      <c r="X98" s="145"/>
      <c r="Z98" s="172"/>
      <c r="AA98" s="172"/>
    </row>
    <row r="99" spans="2:31" x14ac:dyDescent="0.3">
      <c r="B99" t="s">
        <v>154</v>
      </c>
      <c r="H99" s="10">
        <v>25500</v>
      </c>
      <c r="I99" s="23">
        <v>0.1</v>
      </c>
      <c r="J99" s="10">
        <f t="shared" si="10"/>
        <v>28050</v>
      </c>
      <c r="N99" s="50"/>
      <c r="O99" s="51"/>
      <c r="Q99" s="85"/>
      <c r="R99" s="85"/>
      <c r="T99" s="117"/>
      <c r="U99" s="117"/>
      <c r="W99" s="145"/>
      <c r="X99" s="145"/>
      <c r="Z99" s="172"/>
      <c r="AA99" s="172"/>
    </row>
    <row r="100" spans="2:31" x14ac:dyDescent="0.3">
      <c r="B100" t="s">
        <v>155</v>
      </c>
      <c r="H100" s="10">
        <v>21675</v>
      </c>
      <c r="I100" s="23">
        <v>0.1</v>
      </c>
      <c r="J100" s="10">
        <f t="shared" si="10"/>
        <v>23842.5</v>
      </c>
      <c r="N100" s="50"/>
      <c r="O100" s="51"/>
      <c r="Q100" s="85"/>
      <c r="R100" s="85"/>
      <c r="T100" s="117"/>
      <c r="U100" s="117"/>
      <c r="W100" s="145"/>
      <c r="X100" s="145"/>
      <c r="Z100" s="172"/>
      <c r="AA100" s="172"/>
    </row>
    <row r="101" spans="2:31" x14ac:dyDescent="0.3">
      <c r="B101" t="s">
        <v>157</v>
      </c>
      <c r="H101" s="10">
        <v>17850</v>
      </c>
      <c r="I101" s="23">
        <v>0.1</v>
      </c>
      <c r="J101" s="10">
        <f t="shared" si="10"/>
        <v>19635</v>
      </c>
      <c r="N101" s="50"/>
      <c r="O101" s="51"/>
      <c r="Q101" s="85"/>
      <c r="R101" s="85"/>
      <c r="T101" s="117"/>
      <c r="U101" s="117"/>
      <c r="W101" s="145"/>
      <c r="X101" s="145"/>
      <c r="Z101" s="172"/>
      <c r="AA101" s="172"/>
    </row>
    <row r="102" spans="2:31" x14ac:dyDescent="0.3">
      <c r="B102" t="s">
        <v>179</v>
      </c>
      <c r="H102" s="10">
        <v>11377</v>
      </c>
      <c r="I102" s="23">
        <v>0.1</v>
      </c>
      <c r="J102" s="10">
        <f t="shared" ref="J102" si="11">H102*I102+H102</f>
        <v>12514.7</v>
      </c>
      <c r="N102" s="50"/>
      <c r="O102" s="51"/>
      <c r="Q102" s="85"/>
      <c r="R102" s="85"/>
      <c r="T102" s="117"/>
      <c r="U102" s="117"/>
      <c r="W102" s="145"/>
      <c r="X102" s="145"/>
      <c r="Z102" s="172"/>
      <c r="AA102" s="172"/>
    </row>
    <row r="103" spans="2:31" x14ac:dyDescent="0.3">
      <c r="B103" t="s">
        <v>184</v>
      </c>
      <c r="H103" s="10">
        <v>6400</v>
      </c>
      <c r="I103" s="23">
        <v>0.1</v>
      </c>
      <c r="J103" s="10">
        <f t="shared" si="10"/>
        <v>7040</v>
      </c>
      <c r="N103" s="50"/>
      <c r="O103" s="51"/>
      <c r="Q103" s="85"/>
      <c r="R103" s="85"/>
      <c r="T103" s="117"/>
      <c r="U103" s="117"/>
      <c r="W103" s="145"/>
      <c r="X103" s="145"/>
      <c r="Z103" s="172"/>
      <c r="AA103" s="172"/>
    </row>
    <row r="104" spans="2:31" x14ac:dyDescent="0.3">
      <c r="B104" t="s">
        <v>183</v>
      </c>
      <c r="H104" s="10">
        <v>1500</v>
      </c>
      <c r="I104" s="23">
        <v>0.1</v>
      </c>
      <c r="J104" s="10">
        <f t="shared" si="10"/>
        <v>1650</v>
      </c>
      <c r="N104" s="50"/>
      <c r="O104" s="51"/>
      <c r="Q104" s="85"/>
      <c r="R104" s="85"/>
      <c r="T104" s="117"/>
      <c r="U104" s="117"/>
      <c r="W104" s="145"/>
      <c r="X104" s="145"/>
      <c r="Z104" s="172"/>
      <c r="AA104" s="172"/>
    </row>
    <row r="105" spans="2:31" x14ac:dyDescent="0.3">
      <c r="B105" s="13" t="s">
        <v>180</v>
      </c>
      <c r="N105" s="50"/>
      <c r="O105" s="51"/>
      <c r="Q105" s="85"/>
      <c r="R105" s="85"/>
      <c r="T105" s="117"/>
      <c r="U105" s="117"/>
      <c r="W105" s="145"/>
      <c r="X105" s="145"/>
      <c r="Z105" s="172"/>
      <c r="AA105" s="172"/>
    </row>
    <row r="106" spans="2:31" x14ac:dyDescent="0.3">
      <c r="N106" s="50"/>
      <c r="O106" s="51"/>
      <c r="Q106" s="85"/>
      <c r="R106" s="85"/>
      <c r="T106" s="117"/>
      <c r="U106" s="117"/>
      <c r="W106" s="145"/>
      <c r="X106" s="145"/>
      <c r="Z106" s="172"/>
      <c r="AA106" s="172"/>
    </row>
    <row r="107" spans="2:31" x14ac:dyDescent="0.3">
      <c r="B107" s="11" t="s">
        <v>46</v>
      </c>
      <c r="L107" s="20">
        <f>SUM(J107:J114)</f>
        <v>161000</v>
      </c>
      <c r="M107" s="20"/>
      <c r="N107" s="48">
        <v>0</v>
      </c>
      <c r="O107" s="49">
        <f t="shared" ref="O107" si="12">N107*L107</f>
        <v>0</v>
      </c>
      <c r="Q107" s="86">
        <v>0.15</v>
      </c>
      <c r="R107" s="87">
        <f>Q107*L107</f>
        <v>24150</v>
      </c>
      <c r="T107" s="118">
        <v>0.7</v>
      </c>
      <c r="U107" s="109">
        <f>T107*L107</f>
        <v>112700</v>
      </c>
      <c r="W107" s="146">
        <v>0.95</v>
      </c>
      <c r="X107" s="147">
        <f>W107*L107</f>
        <v>152950</v>
      </c>
      <c r="Y107" s="10"/>
      <c r="Z107" s="173">
        <v>1</v>
      </c>
      <c r="AA107" s="174">
        <f>Z107*L107</f>
        <v>161000</v>
      </c>
      <c r="AB107" s="10"/>
      <c r="AC107" s="28" t="s">
        <v>158</v>
      </c>
      <c r="AD107" s="28"/>
      <c r="AE107" s="28"/>
    </row>
    <row r="108" spans="2:31" x14ac:dyDescent="0.3">
      <c r="B108" t="s">
        <v>124</v>
      </c>
      <c r="H108" s="10">
        <v>125000</v>
      </c>
      <c r="I108" s="22">
        <v>0.15</v>
      </c>
      <c r="J108" s="10">
        <f>H108*I108+H108</f>
        <v>143750</v>
      </c>
      <c r="N108" s="50"/>
      <c r="O108" s="51"/>
      <c r="Q108" s="85"/>
      <c r="R108" s="85"/>
      <c r="T108" s="117"/>
      <c r="U108" s="117"/>
      <c r="W108" s="145"/>
      <c r="X108" s="145"/>
      <c r="Z108" s="172"/>
      <c r="AA108" s="172"/>
    </row>
    <row r="109" spans="2:31" x14ac:dyDescent="0.3">
      <c r="B109" t="s">
        <v>125</v>
      </c>
      <c r="N109" s="50"/>
      <c r="O109" s="51"/>
      <c r="Q109" s="85"/>
      <c r="R109" s="85"/>
      <c r="T109" s="117"/>
      <c r="U109" s="117"/>
      <c r="W109" s="145"/>
      <c r="X109" s="145"/>
      <c r="Z109" s="172"/>
      <c r="AA109" s="172"/>
    </row>
    <row r="110" spans="2:31" x14ac:dyDescent="0.3">
      <c r="B110" t="s">
        <v>126</v>
      </c>
      <c r="N110" s="50"/>
      <c r="O110" s="51"/>
      <c r="Q110" s="85"/>
      <c r="R110" s="85"/>
      <c r="T110" s="117"/>
      <c r="U110" s="117"/>
      <c r="W110" s="145"/>
      <c r="X110" s="145"/>
      <c r="Z110" s="172"/>
      <c r="AA110" s="172"/>
    </row>
    <row r="111" spans="2:31" x14ac:dyDescent="0.3">
      <c r="B111" t="s">
        <v>127</v>
      </c>
      <c r="N111" s="50"/>
      <c r="O111" s="51"/>
      <c r="Q111" s="85"/>
      <c r="R111" s="85"/>
      <c r="T111" s="117"/>
      <c r="U111" s="117"/>
      <c r="W111" s="145"/>
      <c r="X111" s="145"/>
      <c r="Z111" s="172"/>
      <c r="AA111" s="172"/>
    </row>
    <row r="112" spans="2:31" x14ac:dyDescent="0.3">
      <c r="B112" t="s">
        <v>129</v>
      </c>
      <c r="N112" s="50"/>
      <c r="O112" s="51"/>
      <c r="Q112" s="85"/>
      <c r="R112" s="85"/>
      <c r="T112" s="117"/>
      <c r="U112" s="117"/>
      <c r="W112" s="145"/>
      <c r="X112" s="145"/>
      <c r="Z112" s="172"/>
      <c r="AA112" s="172"/>
    </row>
    <row r="113" spans="2:31" x14ac:dyDescent="0.3">
      <c r="B113" t="s">
        <v>128</v>
      </c>
      <c r="N113" s="50"/>
      <c r="O113" s="51"/>
      <c r="Q113" s="85"/>
      <c r="R113" s="85"/>
      <c r="T113" s="117"/>
      <c r="U113" s="117"/>
      <c r="W113" s="145"/>
      <c r="X113" s="145"/>
      <c r="Z113" s="172"/>
      <c r="AA113" s="172"/>
    </row>
    <row r="114" spans="2:31" x14ac:dyDescent="0.3">
      <c r="B114" t="s">
        <v>159</v>
      </c>
      <c r="H114" s="10">
        <v>15000</v>
      </c>
      <c r="I114" s="22">
        <v>0.15</v>
      </c>
      <c r="J114" s="10">
        <f>H114*I114+H114</f>
        <v>17250</v>
      </c>
      <c r="N114" s="50"/>
      <c r="O114" s="51"/>
      <c r="Q114" s="85"/>
      <c r="R114" s="85"/>
      <c r="T114" s="117"/>
      <c r="U114" s="117"/>
      <c r="W114" s="145"/>
      <c r="X114" s="145"/>
      <c r="Z114" s="172"/>
      <c r="AA114" s="172"/>
      <c r="AC114" s="28" t="s">
        <v>160</v>
      </c>
      <c r="AD114" s="28"/>
      <c r="AE114" s="28"/>
    </row>
    <row r="115" spans="2:31" x14ac:dyDescent="0.3">
      <c r="B115" t="s">
        <v>163</v>
      </c>
      <c r="I115" s="22"/>
      <c r="J115" s="10"/>
      <c r="N115" s="50"/>
      <c r="O115" s="51"/>
      <c r="Q115" s="85"/>
      <c r="R115" s="85"/>
      <c r="T115" s="117"/>
      <c r="U115" s="117"/>
      <c r="W115" s="145"/>
      <c r="X115" s="145"/>
      <c r="Z115" s="172"/>
      <c r="AA115" s="172"/>
    </row>
    <row r="116" spans="2:31" x14ac:dyDescent="0.3">
      <c r="N116" s="50"/>
      <c r="O116" s="51"/>
      <c r="Q116" s="85"/>
      <c r="R116" s="85"/>
      <c r="T116" s="117"/>
      <c r="U116" s="117"/>
      <c r="W116" s="145"/>
      <c r="X116" s="145"/>
      <c r="Z116" s="172"/>
      <c r="AA116" s="172"/>
    </row>
    <row r="117" spans="2:31" x14ac:dyDescent="0.3">
      <c r="B117" s="11" t="s">
        <v>52</v>
      </c>
      <c r="L117" s="20">
        <f>SUM(J117:J142)</f>
        <v>105722.5</v>
      </c>
      <c r="M117" s="20"/>
      <c r="N117" s="48">
        <v>0.2</v>
      </c>
      <c r="O117" s="49">
        <f t="shared" ref="O117" si="13">N117*L117</f>
        <v>21144.5</v>
      </c>
      <c r="Q117" s="86">
        <v>0.7</v>
      </c>
      <c r="R117" s="87">
        <f>Q117*L117</f>
        <v>74005.75</v>
      </c>
      <c r="T117" s="118">
        <v>0.8</v>
      </c>
      <c r="U117" s="109">
        <f>T117*O117</f>
        <v>16915.600000000002</v>
      </c>
      <c r="W117" s="146">
        <v>1</v>
      </c>
      <c r="X117" s="147">
        <f>W117*L117</f>
        <v>105722.5</v>
      </c>
      <c r="Y117" s="10"/>
      <c r="Z117" s="173">
        <v>1</v>
      </c>
      <c r="AA117" s="174">
        <f>Z117*L117</f>
        <v>105722.5</v>
      </c>
      <c r="AB117" s="10"/>
    </row>
    <row r="118" spans="2:31" x14ac:dyDescent="0.3">
      <c r="B118" s="16" t="s">
        <v>63</v>
      </c>
      <c r="L118" s="20"/>
      <c r="M118" s="20"/>
      <c r="N118" s="48"/>
      <c r="O118" s="49"/>
      <c r="Q118" s="85"/>
      <c r="R118" s="85"/>
      <c r="T118" s="117"/>
      <c r="U118" s="117"/>
      <c r="W118" s="145"/>
      <c r="X118" s="145"/>
      <c r="Z118" s="172"/>
      <c r="AA118" s="172"/>
    </row>
    <row r="119" spans="2:31" x14ac:dyDescent="0.3">
      <c r="B119" s="5" t="s">
        <v>84</v>
      </c>
      <c r="D119" s="9" t="s">
        <v>8</v>
      </c>
      <c r="H119" s="10">
        <v>6000</v>
      </c>
      <c r="J119" s="10">
        <f t="shared" ref="J119:J129" si="14">H119*I119+H119</f>
        <v>6000</v>
      </c>
      <c r="L119" s="20"/>
      <c r="M119" s="20"/>
      <c r="N119" s="48"/>
      <c r="O119" s="49"/>
      <c r="Q119" s="85"/>
      <c r="R119" s="85"/>
      <c r="T119" s="117"/>
      <c r="U119" s="117"/>
      <c r="W119" s="145"/>
      <c r="X119" s="145"/>
      <c r="Z119" s="172"/>
      <c r="AA119" s="172"/>
    </row>
    <row r="120" spans="2:31" x14ac:dyDescent="0.3">
      <c r="B120" s="5" t="s">
        <v>61</v>
      </c>
      <c r="D120" s="9" t="s">
        <v>8</v>
      </c>
      <c r="E120" s="9">
        <v>4</v>
      </c>
      <c r="F120" s="9">
        <v>600</v>
      </c>
      <c r="G120" s="9">
        <v>200</v>
      </c>
      <c r="H120" s="10">
        <f t="shared" ref="H120:H129" si="15">(E120*F120)+G120</f>
        <v>2600</v>
      </c>
      <c r="J120" s="10">
        <f t="shared" si="14"/>
        <v>2600</v>
      </c>
      <c r="L120" s="20"/>
      <c r="M120" s="20"/>
      <c r="N120" s="48"/>
      <c r="O120" s="49"/>
      <c r="Q120" s="85"/>
      <c r="R120" s="85"/>
      <c r="T120" s="117"/>
      <c r="U120" s="117"/>
      <c r="W120" s="145"/>
      <c r="X120" s="145"/>
      <c r="Z120" s="172"/>
      <c r="AA120" s="172"/>
    </row>
    <row r="121" spans="2:31" x14ac:dyDescent="0.3">
      <c r="B121" s="5" t="s">
        <v>62</v>
      </c>
      <c r="D121" s="9" t="s">
        <v>8</v>
      </c>
      <c r="E121" s="9">
        <v>3</v>
      </c>
      <c r="F121" s="9">
        <v>600</v>
      </c>
      <c r="G121" s="9">
        <v>600</v>
      </c>
      <c r="H121" s="10">
        <f t="shared" si="15"/>
        <v>2400</v>
      </c>
      <c r="J121" s="10">
        <f t="shared" si="14"/>
        <v>2400</v>
      </c>
      <c r="L121" s="20"/>
      <c r="M121" s="20"/>
      <c r="N121" s="48"/>
      <c r="O121" s="49"/>
      <c r="Q121" s="85"/>
      <c r="R121" s="85"/>
      <c r="T121" s="117"/>
      <c r="U121" s="117"/>
      <c r="W121" s="145"/>
      <c r="X121" s="145"/>
      <c r="Z121" s="172"/>
      <c r="AA121" s="172"/>
    </row>
    <row r="122" spans="2:31" x14ac:dyDescent="0.3">
      <c r="B122" s="5" t="s">
        <v>66</v>
      </c>
      <c r="D122" s="9" t="s">
        <v>8</v>
      </c>
      <c r="E122" s="9">
        <v>8</v>
      </c>
      <c r="F122" s="9">
        <v>600</v>
      </c>
      <c r="G122" s="9">
        <v>5000</v>
      </c>
      <c r="H122" s="10">
        <f t="shared" si="15"/>
        <v>9800</v>
      </c>
      <c r="J122" s="10">
        <f t="shared" si="14"/>
        <v>9800</v>
      </c>
      <c r="L122" s="20"/>
      <c r="M122" s="20"/>
      <c r="N122" s="48"/>
      <c r="O122" s="49"/>
      <c r="Q122" s="85"/>
      <c r="R122" s="85"/>
      <c r="T122" s="117"/>
      <c r="U122" s="117"/>
      <c r="W122" s="145"/>
      <c r="X122" s="145"/>
      <c r="Z122" s="172"/>
      <c r="AA122" s="172"/>
    </row>
    <row r="123" spans="2:31" x14ac:dyDescent="0.3">
      <c r="B123" s="5" t="s">
        <v>65</v>
      </c>
      <c r="D123" s="9" t="s">
        <v>8</v>
      </c>
      <c r="E123" s="9">
        <v>8</v>
      </c>
      <c r="F123" s="9">
        <v>600</v>
      </c>
      <c r="G123" s="9">
        <v>4500</v>
      </c>
      <c r="H123" s="10">
        <f t="shared" si="15"/>
        <v>9300</v>
      </c>
      <c r="J123" s="10">
        <f t="shared" si="14"/>
        <v>9300</v>
      </c>
      <c r="L123" s="20"/>
      <c r="M123" s="20"/>
      <c r="N123" s="48"/>
      <c r="O123" s="49"/>
      <c r="Q123" s="85"/>
      <c r="R123" s="85"/>
      <c r="T123" s="117"/>
      <c r="U123" s="117"/>
      <c r="W123" s="145"/>
      <c r="X123" s="145"/>
      <c r="Z123" s="172"/>
      <c r="AA123" s="172"/>
    </row>
    <row r="124" spans="2:31" x14ac:dyDescent="0.3">
      <c r="B124" s="5" t="s">
        <v>67</v>
      </c>
      <c r="D124" s="9" t="s">
        <v>8</v>
      </c>
      <c r="E124" s="9">
        <v>3</v>
      </c>
      <c r="F124" s="9">
        <v>600</v>
      </c>
      <c r="G124" s="9">
        <v>1000</v>
      </c>
      <c r="H124" s="10">
        <f t="shared" si="15"/>
        <v>2800</v>
      </c>
      <c r="J124" s="10">
        <f t="shared" si="14"/>
        <v>2800</v>
      </c>
      <c r="L124" s="20"/>
      <c r="M124" s="20"/>
      <c r="N124" s="48"/>
      <c r="O124" s="49"/>
      <c r="Q124" s="85"/>
      <c r="R124" s="85"/>
      <c r="T124" s="117"/>
      <c r="U124" s="117"/>
      <c r="W124" s="145"/>
      <c r="X124" s="145"/>
      <c r="Z124" s="172"/>
      <c r="AA124" s="172"/>
    </row>
    <row r="125" spans="2:31" x14ac:dyDescent="0.3">
      <c r="B125" s="5" t="s">
        <v>68</v>
      </c>
      <c r="D125" s="9" t="s">
        <v>8</v>
      </c>
      <c r="E125" s="9">
        <v>12</v>
      </c>
      <c r="F125" s="9">
        <v>600</v>
      </c>
      <c r="G125" s="9">
        <v>4500</v>
      </c>
      <c r="H125" s="10">
        <f t="shared" si="15"/>
        <v>11700</v>
      </c>
      <c r="J125" s="10">
        <f t="shared" si="14"/>
        <v>11700</v>
      </c>
      <c r="L125" s="20"/>
      <c r="M125" s="20"/>
      <c r="N125" s="48"/>
      <c r="O125" s="49"/>
      <c r="Q125" s="85"/>
      <c r="R125" s="85"/>
      <c r="T125" s="117"/>
      <c r="U125" s="117"/>
      <c r="W125" s="145"/>
      <c r="X125" s="145"/>
      <c r="Z125" s="172"/>
      <c r="AA125" s="172"/>
    </row>
    <row r="126" spans="2:31" x14ac:dyDescent="0.3">
      <c r="B126" s="5" t="s">
        <v>69</v>
      </c>
      <c r="D126" s="9" t="s">
        <v>8</v>
      </c>
      <c r="E126" s="9">
        <v>8</v>
      </c>
      <c r="F126" s="9">
        <v>600</v>
      </c>
      <c r="G126" s="9">
        <v>3500</v>
      </c>
      <c r="H126" s="10">
        <f t="shared" si="15"/>
        <v>8300</v>
      </c>
      <c r="J126" s="10">
        <f t="shared" si="14"/>
        <v>8300</v>
      </c>
      <c r="L126" s="20"/>
      <c r="M126" s="20"/>
      <c r="N126" s="48"/>
      <c r="O126" s="49"/>
      <c r="Q126" s="85"/>
      <c r="R126" s="85"/>
      <c r="T126" s="117"/>
      <c r="U126" s="117"/>
      <c r="W126" s="145"/>
      <c r="X126" s="145"/>
      <c r="Z126" s="172"/>
      <c r="AA126" s="172"/>
    </row>
    <row r="127" spans="2:31" x14ac:dyDescent="0.3">
      <c r="B127" s="5" t="s">
        <v>70</v>
      </c>
      <c r="D127" s="9" t="s">
        <v>8</v>
      </c>
      <c r="E127" s="9">
        <v>3</v>
      </c>
      <c r="F127" s="9">
        <v>600</v>
      </c>
      <c r="G127" s="9">
        <v>800</v>
      </c>
      <c r="H127" s="10">
        <f t="shared" si="15"/>
        <v>2600</v>
      </c>
      <c r="J127" s="10">
        <f t="shared" si="14"/>
        <v>2600</v>
      </c>
      <c r="L127" s="20"/>
      <c r="M127" s="20"/>
      <c r="N127" s="48"/>
      <c r="O127" s="49"/>
      <c r="Q127" s="85"/>
      <c r="R127" s="85"/>
      <c r="T127" s="117"/>
      <c r="U127" s="117"/>
      <c r="W127" s="145"/>
      <c r="X127" s="145"/>
      <c r="Z127" s="172"/>
      <c r="AA127" s="172"/>
    </row>
    <row r="128" spans="2:31" x14ac:dyDescent="0.3">
      <c r="B128" s="5" t="s">
        <v>71</v>
      </c>
      <c r="D128" s="9" t="s">
        <v>8</v>
      </c>
      <c r="E128" s="9">
        <v>20</v>
      </c>
      <c r="F128" s="9">
        <v>600</v>
      </c>
      <c r="G128" s="9">
        <v>600</v>
      </c>
      <c r="H128" s="10">
        <f t="shared" si="15"/>
        <v>12600</v>
      </c>
      <c r="J128" s="10">
        <f t="shared" si="14"/>
        <v>12600</v>
      </c>
      <c r="L128" s="20"/>
      <c r="M128" s="20"/>
      <c r="N128" s="48"/>
      <c r="O128" s="49"/>
      <c r="Q128" s="85"/>
      <c r="R128" s="85"/>
      <c r="T128" s="117"/>
      <c r="U128" s="117"/>
      <c r="W128" s="145"/>
      <c r="X128" s="145"/>
      <c r="Z128" s="172"/>
      <c r="AA128" s="172"/>
    </row>
    <row r="129" spans="2:28" x14ac:dyDescent="0.3">
      <c r="B129" s="5" t="s">
        <v>72</v>
      </c>
      <c r="D129" s="9" t="s">
        <v>8</v>
      </c>
      <c r="E129" s="9">
        <v>4</v>
      </c>
      <c r="F129" s="9">
        <v>600</v>
      </c>
      <c r="G129" s="9">
        <v>400</v>
      </c>
      <c r="H129" s="10">
        <f t="shared" si="15"/>
        <v>2800</v>
      </c>
      <c r="J129" s="10">
        <f t="shared" si="14"/>
        <v>2800</v>
      </c>
      <c r="L129" s="20"/>
      <c r="M129" s="20"/>
      <c r="N129" s="48"/>
      <c r="O129" s="49"/>
      <c r="Q129" s="85"/>
      <c r="R129" s="85"/>
      <c r="T129" s="117"/>
      <c r="U129" s="117"/>
      <c r="W129" s="145"/>
      <c r="X129" s="145"/>
      <c r="Z129" s="172"/>
      <c r="AA129" s="172"/>
    </row>
    <row r="130" spans="2:28" x14ac:dyDescent="0.3">
      <c r="B130" s="13" t="s">
        <v>83</v>
      </c>
      <c r="J130" s="10"/>
      <c r="L130" s="20"/>
      <c r="M130" s="20"/>
      <c r="N130" s="48"/>
      <c r="O130" s="49"/>
      <c r="Q130" s="85"/>
      <c r="R130" s="85"/>
      <c r="T130" s="117"/>
      <c r="U130" s="117"/>
      <c r="W130" s="145"/>
      <c r="X130" s="145"/>
      <c r="Z130" s="172"/>
      <c r="AA130" s="172"/>
    </row>
    <row r="131" spans="2:28" x14ac:dyDescent="0.3">
      <c r="B131" s="5"/>
      <c r="J131" s="10"/>
      <c r="L131" s="20"/>
      <c r="M131" s="20"/>
      <c r="N131" s="48"/>
      <c r="O131" s="49"/>
      <c r="Q131" s="85"/>
      <c r="R131" s="85"/>
      <c r="T131" s="117"/>
      <c r="U131" s="117"/>
      <c r="W131" s="145"/>
      <c r="X131" s="145"/>
      <c r="Z131" s="172"/>
      <c r="AA131" s="172"/>
    </row>
    <row r="132" spans="2:28" x14ac:dyDescent="0.3">
      <c r="B132" s="16" t="s">
        <v>64</v>
      </c>
      <c r="J132" s="10"/>
      <c r="L132" s="20"/>
      <c r="M132" s="20"/>
      <c r="N132" s="48"/>
      <c r="O132" s="49"/>
      <c r="Q132" s="85"/>
      <c r="R132" s="85"/>
      <c r="T132" s="117"/>
      <c r="U132" s="117"/>
      <c r="W132" s="145"/>
      <c r="X132" s="145"/>
      <c r="Z132" s="172"/>
      <c r="AA132" s="172"/>
    </row>
    <row r="133" spans="2:28" x14ac:dyDescent="0.3">
      <c r="B133" s="5" t="s">
        <v>75</v>
      </c>
      <c r="D133" s="9" t="s">
        <v>8</v>
      </c>
      <c r="E133" s="9">
        <v>6</v>
      </c>
      <c r="F133" s="9">
        <v>600</v>
      </c>
      <c r="G133" s="9">
        <v>1000</v>
      </c>
      <c r="H133" s="10">
        <f>(E133*F133)+G133</f>
        <v>4600</v>
      </c>
      <c r="J133" s="10">
        <f>H133*I133+H133</f>
        <v>4600</v>
      </c>
      <c r="L133" s="20"/>
      <c r="M133" s="20"/>
      <c r="N133" s="48"/>
      <c r="O133" s="49"/>
      <c r="Q133" s="85"/>
      <c r="R133" s="85"/>
      <c r="T133" s="117"/>
      <c r="U133" s="117"/>
      <c r="W133" s="145"/>
      <c r="X133" s="145"/>
      <c r="Z133" s="172"/>
      <c r="AA133" s="172"/>
    </row>
    <row r="134" spans="2:28" x14ac:dyDescent="0.3">
      <c r="B134" s="5" t="s">
        <v>73</v>
      </c>
      <c r="D134" s="9" t="s">
        <v>8</v>
      </c>
      <c r="E134" s="9">
        <v>10</v>
      </c>
      <c r="F134" s="9">
        <v>600</v>
      </c>
      <c r="G134" s="9">
        <v>7500</v>
      </c>
      <c r="H134" s="10">
        <f>(E134*F134)+G134</f>
        <v>13500</v>
      </c>
      <c r="J134" s="10">
        <f>H134*I134+H134</f>
        <v>13500</v>
      </c>
      <c r="N134" s="50"/>
      <c r="O134" s="51"/>
      <c r="Q134" s="85"/>
      <c r="R134" s="85"/>
      <c r="T134" s="117"/>
      <c r="U134" s="117"/>
      <c r="W134" s="145"/>
      <c r="X134" s="145"/>
      <c r="Z134" s="172"/>
      <c r="AA134" s="172"/>
    </row>
    <row r="135" spans="2:28" x14ac:dyDescent="0.3">
      <c r="B135" s="5" t="s">
        <v>74</v>
      </c>
      <c r="D135" s="9" t="s">
        <v>8</v>
      </c>
      <c r="E135" s="9">
        <v>10</v>
      </c>
      <c r="F135" s="9">
        <v>600</v>
      </c>
      <c r="G135" s="9">
        <f>5*500</f>
        <v>2500</v>
      </c>
      <c r="H135" s="10">
        <f>(E135*F135)+G135</f>
        <v>8500</v>
      </c>
      <c r="J135" s="10">
        <f>H135*I135+H135</f>
        <v>8500</v>
      </c>
      <c r="N135" s="50"/>
      <c r="O135" s="51"/>
      <c r="Q135" s="85"/>
      <c r="R135" s="85"/>
      <c r="T135" s="117"/>
      <c r="U135" s="117"/>
      <c r="W135" s="145"/>
      <c r="X135" s="145"/>
      <c r="Z135" s="172"/>
      <c r="AA135" s="172"/>
    </row>
    <row r="136" spans="2:28" x14ac:dyDescent="0.3">
      <c r="B136" s="5"/>
      <c r="D136" s="9"/>
      <c r="J136" s="10"/>
      <c r="N136" s="50"/>
      <c r="O136" s="51"/>
      <c r="Q136" s="85"/>
      <c r="R136" s="85"/>
      <c r="T136" s="117"/>
      <c r="U136" s="117"/>
      <c r="W136" s="145"/>
      <c r="X136" s="145"/>
      <c r="Z136" s="172"/>
      <c r="AA136" s="172"/>
    </row>
    <row r="137" spans="2:28" x14ac:dyDescent="0.3">
      <c r="B137" s="17" t="s">
        <v>76</v>
      </c>
      <c r="J137" s="10"/>
      <c r="N137" s="50"/>
      <c r="O137" s="51"/>
      <c r="Q137" s="85"/>
      <c r="R137" s="85"/>
      <c r="T137" s="117"/>
      <c r="U137" s="117"/>
      <c r="W137" s="145"/>
      <c r="X137" s="145"/>
      <c r="Z137" s="172"/>
      <c r="AA137" s="172"/>
    </row>
    <row r="138" spans="2:28" x14ac:dyDescent="0.3">
      <c r="B138" s="5" t="s">
        <v>81</v>
      </c>
      <c r="D138" s="9" t="s">
        <v>8</v>
      </c>
      <c r="G138" s="9">
        <v>1500</v>
      </c>
      <c r="H138" s="10">
        <f>(E138*F138)+G138</f>
        <v>1500</v>
      </c>
      <c r="I138" s="22">
        <v>0.15</v>
      </c>
      <c r="J138" s="10">
        <f>H138*I138+H138</f>
        <v>1725</v>
      </c>
      <c r="N138" s="50"/>
      <c r="O138" s="51"/>
      <c r="Q138" s="85"/>
      <c r="R138" s="85"/>
      <c r="T138" s="117"/>
      <c r="U138" s="117"/>
      <c r="W138" s="145"/>
      <c r="X138" s="145"/>
      <c r="Z138" s="172"/>
      <c r="AA138" s="172"/>
    </row>
    <row r="139" spans="2:28" x14ac:dyDescent="0.3">
      <c r="B139" s="5" t="s">
        <v>80</v>
      </c>
      <c r="D139" s="9" t="s">
        <v>8</v>
      </c>
      <c r="G139" s="9">
        <v>1500</v>
      </c>
      <c r="H139" s="10">
        <f>(E139*F139)+G139</f>
        <v>1500</v>
      </c>
      <c r="I139" s="22">
        <v>0.15</v>
      </c>
      <c r="J139" s="10">
        <f>H139*I139+H139</f>
        <v>1725</v>
      </c>
      <c r="N139" s="50"/>
      <c r="O139" s="51"/>
      <c r="Q139" s="85"/>
      <c r="R139" s="85"/>
      <c r="T139" s="117"/>
      <c r="U139" s="117"/>
      <c r="W139" s="145"/>
      <c r="X139" s="145"/>
      <c r="Z139" s="172"/>
      <c r="AA139" s="172"/>
    </row>
    <row r="140" spans="2:28" x14ac:dyDescent="0.3">
      <c r="B140" s="5" t="s">
        <v>77</v>
      </c>
      <c r="D140" s="9" t="s">
        <v>8</v>
      </c>
      <c r="G140" s="9">
        <v>1800</v>
      </c>
      <c r="H140" s="10">
        <f>(E140*F140)+G140</f>
        <v>1800</v>
      </c>
      <c r="I140" s="22">
        <v>0.15</v>
      </c>
      <c r="J140" s="10">
        <f>H140*I140+H140</f>
        <v>2070</v>
      </c>
      <c r="N140" s="50"/>
      <c r="O140" s="51"/>
      <c r="Q140" s="85"/>
      <c r="R140" s="85"/>
      <c r="T140" s="117"/>
      <c r="U140" s="117"/>
      <c r="W140" s="145"/>
      <c r="X140" s="145"/>
      <c r="Z140" s="172"/>
      <c r="AA140" s="172"/>
    </row>
    <row r="141" spans="2:28" x14ac:dyDescent="0.3">
      <c r="B141" s="5" t="s">
        <v>79</v>
      </c>
      <c r="D141" s="9" t="s">
        <v>8</v>
      </c>
      <c r="G141" s="9">
        <v>1250</v>
      </c>
      <c r="H141" s="10">
        <f>(E141*F141)+G141</f>
        <v>1250</v>
      </c>
      <c r="I141" s="22">
        <v>0.15</v>
      </c>
      <c r="J141" s="10">
        <f>H141*I141+H141</f>
        <v>1437.5</v>
      </c>
      <c r="N141" s="50"/>
      <c r="O141" s="51"/>
      <c r="Q141" s="85"/>
      <c r="R141" s="85"/>
      <c r="T141" s="117"/>
      <c r="U141" s="117"/>
      <c r="W141" s="145"/>
      <c r="X141" s="145"/>
      <c r="Z141" s="172"/>
      <c r="AA141" s="172"/>
    </row>
    <row r="142" spans="2:28" x14ac:dyDescent="0.3">
      <c r="B142" s="5" t="s">
        <v>78</v>
      </c>
      <c r="D142" s="9" t="s">
        <v>8</v>
      </c>
      <c r="G142" s="9">
        <v>1100</v>
      </c>
      <c r="H142" s="10">
        <f>(E142*F142)+G142</f>
        <v>1100</v>
      </c>
      <c r="I142" s="22">
        <v>0.15</v>
      </c>
      <c r="J142" s="10">
        <f>H142*I142+H142</f>
        <v>1265</v>
      </c>
      <c r="N142" s="50"/>
      <c r="O142" s="51"/>
      <c r="Q142" s="85"/>
      <c r="R142" s="85"/>
      <c r="T142" s="117"/>
      <c r="U142" s="117"/>
      <c r="W142" s="145"/>
      <c r="X142" s="145"/>
      <c r="Z142" s="172"/>
      <c r="AA142" s="172"/>
    </row>
    <row r="143" spans="2:28" x14ac:dyDescent="0.3">
      <c r="D143" s="9"/>
      <c r="J143" s="10"/>
      <c r="N143" s="50"/>
      <c r="O143" s="51"/>
      <c r="Q143" s="85"/>
      <c r="R143" s="85"/>
      <c r="T143" s="117"/>
      <c r="U143" s="117"/>
      <c r="W143" s="145"/>
      <c r="X143" s="145"/>
      <c r="Z143" s="172"/>
      <c r="AA143" s="172"/>
    </row>
    <row r="144" spans="2:28" x14ac:dyDescent="0.3">
      <c r="B144" s="11" t="s">
        <v>53</v>
      </c>
      <c r="L144" s="20">
        <f>SUM(J145:J150)</f>
        <v>42335</v>
      </c>
      <c r="M144" s="20"/>
      <c r="N144" s="48">
        <v>0</v>
      </c>
      <c r="O144" s="49">
        <f t="shared" ref="O144" si="16">N144*L144</f>
        <v>0</v>
      </c>
      <c r="Q144" s="86">
        <v>0</v>
      </c>
      <c r="R144" s="87">
        <f>Q144*L144</f>
        <v>0</v>
      </c>
      <c r="T144" s="118">
        <v>0.3</v>
      </c>
      <c r="U144" s="109">
        <f>T144*L144</f>
        <v>12700.5</v>
      </c>
      <c r="W144" s="146">
        <v>1</v>
      </c>
      <c r="X144" s="147">
        <f>W144*L144</f>
        <v>42335</v>
      </c>
      <c r="Y144" s="10"/>
      <c r="Z144" s="173">
        <v>1</v>
      </c>
      <c r="AA144" s="174">
        <f>Z144*L144</f>
        <v>42335</v>
      </c>
      <c r="AB144" s="10"/>
    </row>
    <row r="145" spans="2:28" x14ac:dyDescent="0.3">
      <c r="B145" t="s">
        <v>54</v>
      </c>
      <c r="D145" s="9" t="s">
        <v>8</v>
      </c>
      <c r="H145" s="10">
        <v>27500</v>
      </c>
      <c r="J145" s="10">
        <f t="shared" ref="J145:J150" si="17">H145*I145+H145</f>
        <v>27500</v>
      </c>
      <c r="L145" s="20"/>
      <c r="M145" s="20"/>
      <c r="N145" s="48"/>
      <c r="O145" s="49"/>
      <c r="Q145" s="85"/>
      <c r="R145" s="85"/>
      <c r="T145" s="117"/>
      <c r="U145" s="117"/>
      <c r="W145" s="145"/>
      <c r="X145" s="145"/>
      <c r="Z145" s="172"/>
      <c r="AA145" s="172"/>
    </row>
    <row r="146" spans="2:28" x14ac:dyDescent="0.3">
      <c r="B146" t="s">
        <v>57</v>
      </c>
      <c r="D146" s="9" t="s">
        <v>8</v>
      </c>
      <c r="H146" s="10">
        <v>4800</v>
      </c>
      <c r="I146" s="22">
        <v>0.15</v>
      </c>
      <c r="J146" s="10">
        <f t="shared" si="17"/>
        <v>5520</v>
      </c>
      <c r="L146" s="20"/>
      <c r="M146" s="20"/>
      <c r="N146" s="48"/>
      <c r="O146" s="49"/>
      <c r="Q146" s="85"/>
      <c r="R146" s="85"/>
      <c r="T146" s="117"/>
      <c r="U146" s="117"/>
      <c r="W146" s="145"/>
      <c r="X146" s="145"/>
      <c r="Z146" s="172"/>
      <c r="AA146" s="172"/>
    </row>
    <row r="147" spans="2:28" x14ac:dyDescent="0.3">
      <c r="B147" t="s">
        <v>58</v>
      </c>
      <c r="D147" s="9" t="s">
        <v>8</v>
      </c>
      <c r="H147" s="10">
        <v>2000</v>
      </c>
      <c r="I147" s="22">
        <v>0.15</v>
      </c>
      <c r="J147" s="10">
        <f t="shared" si="17"/>
        <v>2300</v>
      </c>
      <c r="L147" s="20"/>
      <c r="M147" s="20"/>
      <c r="N147" s="48"/>
      <c r="O147" s="49"/>
      <c r="Q147" s="85"/>
      <c r="R147" s="85"/>
      <c r="T147" s="117"/>
      <c r="U147" s="117"/>
      <c r="W147" s="145"/>
      <c r="X147" s="145"/>
      <c r="Z147" s="172"/>
      <c r="AA147" s="172"/>
    </row>
    <row r="148" spans="2:28" x14ac:dyDescent="0.3">
      <c r="B148" t="s">
        <v>82</v>
      </c>
      <c r="D148" s="9" t="s">
        <v>8</v>
      </c>
      <c r="H148" s="10">
        <v>1600</v>
      </c>
      <c r="I148" s="22">
        <v>0.15</v>
      </c>
      <c r="J148" s="10">
        <f t="shared" si="17"/>
        <v>1840</v>
      </c>
      <c r="L148" s="20"/>
      <c r="M148" s="20"/>
      <c r="N148" s="48"/>
      <c r="O148" s="49"/>
      <c r="Q148" s="85"/>
      <c r="R148" s="85"/>
      <c r="T148" s="117"/>
      <c r="U148" s="117"/>
      <c r="W148" s="145"/>
      <c r="X148" s="145"/>
      <c r="Z148" s="172"/>
      <c r="AA148" s="172"/>
    </row>
    <row r="149" spans="2:28" x14ac:dyDescent="0.3">
      <c r="B149" t="s">
        <v>59</v>
      </c>
      <c r="D149" s="9" t="s">
        <v>8</v>
      </c>
      <c r="H149" s="10">
        <v>3000</v>
      </c>
      <c r="I149" s="22">
        <v>0.15</v>
      </c>
      <c r="J149" s="10">
        <f t="shared" si="17"/>
        <v>3450</v>
      </c>
      <c r="L149" s="20"/>
      <c r="M149" s="20"/>
      <c r="N149" s="48"/>
      <c r="O149" s="49"/>
      <c r="Q149" s="85"/>
      <c r="R149" s="85"/>
      <c r="T149" s="117"/>
      <c r="U149" s="117"/>
      <c r="W149" s="145"/>
      <c r="X149" s="145"/>
      <c r="Z149" s="172"/>
      <c r="AA149" s="172"/>
    </row>
    <row r="150" spans="2:28" x14ac:dyDescent="0.3">
      <c r="B150" t="s">
        <v>55</v>
      </c>
      <c r="D150" s="9" t="s">
        <v>8</v>
      </c>
      <c r="H150" s="10">
        <v>1500</v>
      </c>
      <c r="I150" s="22">
        <v>0.15</v>
      </c>
      <c r="J150" s="10">
        <f t="shared" si="17"/>
        <v>1725</v>
      </c>
      <c r="N150" s="50"/>
      <c r="O150" s="51"/>
      <c r="Q150" s="85"/>
      <c r="R150" s="85"/>
      <c r="T150" s="117"/>
      <c r="U150" s="117"/>
      <c r="W150" s="145"/>
      <c r="X150" s="145"/>
      <c r="Z150" s="172"/>
      <c r="AA150" s="172"/>
    </row>
    <row r="151" spans="2:28" x14ac:dyDescent="0.3">
      <c r="B151" s="13" t="s">
        <v>56</v>
      </c>
      <c r="D151" s="14" t="s">
        <v>60</v>
      </c>
      <c r="N151" s="50"/>
      <c r="O151" s="51"/>
      <c r="Q151" s="85"/>
      <c r="R151" s="85"/>
      <c r="T151" s="117"/>
      <c r="U151" s="117"/>
      <c r="W151" s="145"/>
      <c r="X151" s="145"/>
      <c r="Z151" s="172"/>
      <c r="AA151" s="172"/>
    </row>
    <row r="152" spans="2:28" x14ac:dyDescent="0.3">
      <c r="B152" s="13"/>
      <c r="D152" s="14"/>
      <c r="N152" s="50"/>
      <c r="O152" s="51"/>
      <c r="Q152" s="85"/>
      <c r="R152" s="85"/>
      <c r="T152" s="117"/>
      <c r="U152" s="117"/>
      <c r="W152" s="145"/>
      <c r="X152" s="145"/>
      <c r="Z152" s="172"/>
      <c r="AA152" s="172"/>
    </row>
    <row r="153" spans="2:28" x14ac:dyDescent="0.3">
      <c r="B153" s="11" t="s">
        <v>181</v>
      </c>
      <c r="D153" s="14"/>
      <c r="L153" s="20">
        <f>SUM(J153:J164)</f>
        <v>233128.5</v>
      </c>
      <c r="M153" s="20"/>
      <c r="N153" s="48">
        <v>0.5</v>
      </c>
      <c r="O153" s="49">
        <f t="shared" ref="O153" si="18">N153*L153</f>
        <v>116564.25</v>
      </c>
      <c r="Q153" s="86">
        <v>0.5</v>
      </c>
      <c r="R153" s="87">
        <f>Q153*L153</f>
        <v>116564.25</v>
      </c>
      <c r="T153" s="118">
        <v>0.5</v>
      </c>
      <c r="U153" s="109">
        <f>T153*L153</f>
        <v>116564.25</v>
      </c>
      <c r="W153" s="146">
        <v>1</v>
      </c>
      <c r="X153" s="147">
        <f>W153*L153</f>
        <v>233128.5</v>
      </c>
      <c r="Y153" s="10"/>
      <c r="Z153" s="173">
        <v>1</v>
      </c>
      <c r="AA153" s="174">
        <f>Z153*L153</f>
        <v>233128.5</v>
      </c>
      <c r="AB153" s="10"/>
    </row>
    <row r="154" spans="2:28" x14ac:dyDescent="0.3">
      <c r="B154" t="s">
        <v>174</v>
      </c>
      <c r="D154" s="9" t="s">
        <v>8</v>
      </c>
      <c r="H154" s="10">
        <v>3000</v>
      </c>
      <c r="I154" s="22">
        <v>0.1</v>
      </c>
      <c r="J154" s="10">
        <f>H154*I154+H154</f>
        <v>3300</v>
      </c>
      <c r="N154" s="50"/>
      <c r="O154" s="51"/>
      <c r="Q154" s="85"/>
      <c r="R154" s="85"/>
      <c r="T154" s="117"/>
      <c r="U154" s="117"/>
      <c r="W154" s="145"/>
      <c r="X154" s="145"/>
      <c r="Z154" s="172"/>
      <c r="AA154" s="172"/>
    </row>
    <row r="155" spans="2:28" x14ac:dyDescent="0.3">
      <c r="D155" s="14"/>
      <c r="N155" s="50"/>
      <c r="O155" s="51"/>
      <c r="Q155" s="85"/>
      <c r="R155" s="85"/>
      <c r="T155" s="117"/>
      <c r="U155" s="117"/>
      <c r="W155" s="145"/>
      <c r="X155" s="145"/>
      <c r="Z155" s="172"/>
      <c r="AA155" s="172"/>
    </row>
    <row r="156" spans="2:28" x14ac:dyDescent="0.3">
      <c r="B156" t="s">
        <v>130</v>
      </c>
      <c r="D156" s="9" t="s">
        <v>134</v>
      </c>
      <c r="H156" s="10">
        <v>125035</v>
      </c>
      <c r="I156" s="22">
        <v>0.1</v>
      </c>
      <c r="J156" s="10">
        <f>H156*I156+H156</f>
        <v>137538.5</v>
      </c>
      <c r="N156" s="50"/>
      <c r="O156" s="51"/>
      <c r="Q156" s="85"/>
      <c r="R156" s="85"/>
      <c r="T156" s="117"/>
      <c r="U156" s="117"/>
      <c r="W156" s="145"/>
      <c r="X156" s="145"/>
      <c r="Z156" s="172"/>
      <c r="AA156" s="172"/>
    </row>
    <row r="157" spans="2:28" x14ac:dyDescent="0.3">
      <c r="B157" t="s">
        <v>131</v>
      </c>
      <c r="D157" s="9" t="s">
        <v>134</v>
      </c>
      <c r="N157" s="50"/>
      <c r="O157" s="51"/>
      <c r="Q157" s="85"/>
      <c r="R157" s="85"/>
      <c r="T157" s="117"/>
      <c r="U157" s="117"/>
      <c r="W157" s="145"/>
      <c r="X157" s="145"/>
      <c r="Z157" s="172"/>
      <c r="AA157" s="172"/>
    </row>
    <row r="158" spans="2:28" x14ac:dyDescent="0.3">
      <c r="B158" t="s">
        <v>132</v>
      </c>
      <c r="D158" s="9" t="s">
        <v>134</v>
      </c>
      <c r="N158" s="50"/>
      <c r="O158" s="51"/>
      <c r="Q158" s="85"/>
      <c r="R158" s="85"/>
      <c r="T158" s="117"/>
      <c r="U158" s="117"/>
      <c r="W158" s="145"/>
      <c r="X158" s="145"/>
      <c r="Z158" s="172"/>
      <c r="AA158" s="172"/>
    </row>
    <row r="159" spans="2:28" x14ac:dyDescent="0.3">
      <c r="B159" t="s">
        <v>133</v>
      </c>
      <c r="D159" s="9" t="s">
        <v>134</v>
      </c>
      <c r="H159" s="10">
        <v>5100</v>
      </c>
      <c r="I159" s="22">
        <v>0.1</v>
      </c>
      <c r="J159" s="10">
        <f>H159*I159+H159</f>
        <v>5610</v>
      </c>
      <c r="N159" s="50"/>
      <c r="O159" s="51"/>
      <c r="Q159" s="85"/>
      <c r="R159" s="85"/>
      <c r="T159" s="117"/>
      <c r="U159" s="117"/>
      <c r="W159" s="145"/>
      <c r="X159" s="145"/>
      <c r="Z159" s="172"/>
      <c r="AA159" s="172"/>
    </row>
    <row r="160" spans="2:28" x14ac:dyDescent="0.3">
      <c r="B160" t="s">
        <v>135</v>
      </c>
      <c r="D160" s="9" t="s">
        <v>134</v>
      </c>
      <c r="H160" s="10">
        <v>32400</v>
      </c>
      <c r="I160" s="22">
        <v>0.1</v>
      </c>
      <c r="J160" s="10">
        <f>H160*I160+H160</f>
        <v>35640</v>
      </c>
      <c r="N160" s="50"/>
      <c r="O160" s="51"/>
      <c r="Q160" s="85"/>
      <c r="R160" s="85"/>
      <c r="T160" s="117"/>
      <c r="U160" s="117"/>
      <c r="W160" s="145"/>
      <c r="X160" s="145"/>
      <c r="Z160" s="172"/>
      <c r="AA160" s="172"/>
    </row>
    <row r="161" spans="2:28" x14ac:dyDescent="0.3">
      <c r="B161" t="s">
        <v>136</v>
      </c>
      <c r="D161" s="9" t="s">
        <v>134</v>
      </c>
      <c r="H161" s="10">
        <v>46280</v>
      </c>
      <c r="I161" s="22">
        <v>0.1</v>
      </c>
      <c r="J161" s="10">
        <f>H161*I161+H161</f>
        <v>50908</v>
      </c>
      <c r="K161" s="9"/>
      <c r="N161" s="50"/>
      <c r="O161" s="51"/>
      <c r="Q161" s="85"/>
      <c r="R161" s="85"/>
      <c r="T161" s="117"/>
      <c r="U161" s="117"/>
      <c r="W161" s="145"/>
      <c r="X161" s="145"/>
      <c r="Z161" s="172"/>
      <c r="AA161" s="172"/>
    </row>
    <row r="162" spans="2:28" x14ac:dyDescent="0.3">
      <c r="B162" t="s">
        <v>137</v>
      </c>
      <c r="D162" s="9" t="s">
        <v>134</v>
      </c>
      <c r="H162" s="10">
        <v>8700</v>
      </c>
      <c r="I162" s="22">
        <v>0.1</v>
      </c>
      <c r="J162" s="10">
        <f>H162*I162+H162</f>
        <v>9570</v>
      </c>
      <c r="K162" s="9"/>
      <c r="N162" s="50"/>
      <c r="O162" s="51"/>
      <c r="Q162" s="85"/>
      <c r="R162" s="85"/>
      <c r="T162" s="117"/>
      <c r="U162" s="117"/>
      <c r="W162" s="145"/>
      <c r="X162" s="145"/>
      <c r="Z162" s="172"/>
      <c r="AA162" s="172"/>
    </row>
    <row r="163" spans="2:28" x14ac:dyDescent="0.3">
      <c r="B163" t="s">
        <v>138</v>
      </c>
      <c r="D163" s="9" t="s">
        <v>134</v>
      </c>
      <c r="H163" s="21">
        <v>-8580</v>
      </c>
      <c r="I163" s="24">
        <v>0.1</v>
      </c>
      <c r="J163" s="21">
        <f>H163*I163+H163</f>
        <v>-9438</v>
      </c>
      <c r="N163" s="50"/>
      <c r="O163" s="51"/>
      <c r="Q163" s="85"/>
      <c r="R163" s="85"/>
      <c r="T163" s="117"/>
      <c r="U163" s="117"/>
      <c r="W163" s="145"/>
      <c r="X163" s="145"/>
      <c r="Z163" s="172"/>
      <c r="AA163" s="172"/>
    </row>
    <row r="164" spans="2:28" x14ac:dyDescent="0.3">
      <c r="B164" s="13" t="s">
        <v>149</v>
      </c>
      <c r="D164" s="9" t="s">
        <v>134</v>
      </c>
      <c r="I164" s="23"/>
      <c r="J164" s="10"/>
      <c r="N164" s="50"/>
      <c r="O164" s="51"/>
      <c r="Q164" s="85"/>
      <c r="R164" s="85"/>
      <c r="T164" s="117"/>
      <c r="U164" s="117"/>
      <c r="W164" s="145"/>
      <c r="X164" s="145"/>
      <c r="Z164" s="172"/>
      <c r="AA164" s="172"/>
    </row>
    <row r="165" spans="2:28" x14ac:dyDescent="0.3">
      <c r="B165" s="13" t="s">
        <v>182</v>
      </c>
      <c r="D165" s="9"/>
      <c r="I165" s="23"/>
      <c r="J165" s="10"/>
      <c r="N165" s="50"/>
      <c r="O165" s="51"/>
      <c r="Q165" s="85"/>
      <c r="R165" s="85"/>
      <c r="T165" s="117"/>
      <c r="U165" s="117"/>
      <c r="W165" s="145"/>
      <c r="X165" s="145"/>
      <c r="Z165" s="172"/>
      <c r="AA165" s="172"/>
    </row>
    <row r="166" spans="2:28" x14ac:dyDescent="0.3">
      <c r="N166" s="50"/>
      <c r="O166" s="51"/>
      <c r="Q166" s="85"/>
      <c r="R166" s="85"/>
      <c r="T166" s="117"/>
      <c r="U166" s="117"/>
      <c r="W166" s="145"/>
      <c r="X166" s="145"/>
      <c r="Z166" s="172"/>
      <c r="AA166" s="172"/>
    </row>
    <row r="167" spans="2:28" x14ac:dyDescent="0.3">
      <c r="B167" s="11" t="s">
        <v>139</v>
      </c>
      <c r="L167" s="20">
        <f>SUM(J167:J173)</f>
        <v>55928.399999999994</v>
      </c>
      <c r="M167" s="20"/>
      <c r="N167" s="48">
        <v>0.5</v>
      </c>
      <c r="O167" s="49">
        <f t="shared" ref="O167" si="19">N167*L167</f>
        <v>27964.199999999997</v>
      </c>
      <c r="Q167" s="86">
        <v>0.5</v>
      </c>
      <c r="R167" s="87">
        <f>Q167*L167</f>
        <v>27964.199999999997</v>
      </c>
      <c r="T167" s="118">
        <v>0.5</v>
      </c>
      <c r="U167" s="109">
        <f>T167*L167</f>
        <v>27964.199999999997</v>
      </c>
      <c r="W167" s="146">
        <v>1</v>
      </c>
      <c r="X167" s="147">
        <f>W167*L167</f>
        <v>55928.399999999994</v>
      </c>
      <c r="Y167" s="10"/>
      <c r="Z167" s="173">
        <v>1</v>
      </c>
      <c r="AA167" s="174">
        <f>Z167*L167</f>
        <v>55928.399999999994</v>
      </c>
      <c r="AB167" s="10"/>
    </row>
    <row r="168" spans="2:28" x14ac:dyDescent="0.3">
      <c r="B168" t="s">
        <v>140</v>
      </c>
      <c r="D168" s="9" t="s">
        <v>134</v>
      </c>
      <c r="H168" s="10">
        <v>19433</v>
      </c>
      <c r="I168" s="23">
        <v>0.1</v>
      </c>
      <c r="J168" s="10">
        <f t="shared" ref="J168:J173" si="20">H168*I168+H168</f>
        <v>21376.3</v>
      </c>
      <c r="N168" s="50"/>
      <c r="O168" s="51"/>
      <c r="Q168" s="85"/>
      <c r="R168" s="85"/>
      <c r="T168" s="117"/>
      <c r="U168" s="117"/>
      <c r="W168" s="145"/>
      <c r="X168" s="145"/>
      <c r="Z168" s="172"/>
      <c r="AA168" s="172"/>
    </row>
    <row r="169" spans="2:28" x14ac:dyDescent="0.3">
      <c r="B169" t="s">
        <v>141</v>
      </c>
      <c r="D169" s="9" t="s">
        <v>134</v>
      </c>
      <c r="H169" s="10">
        <v>10617</v>
      </c>
      <c r="I169" s="23">
        <v>0.1</v>
      </c>
      <c r="J169" s="10">
        <f t="shared" si="20"/>
        <v>11678.7</v>
      </c>
      <c r="N169" s="50"/>
      <c r="O169" s="51"/>
      <c r="Q169" s="85"/>
      <c r="R169" s="85"/>
      <c r="T169" s="117"/>
      <c r="U169" s="117"/>
      <c r="W169" s="145"/>
      <c r="X169" s="145"/>
      <c r="Z169" s="172"/>
      <c r="AA169" s="172"/>
    </row>
    <row r="170" spans="2:28" x14ac:dyDescent="0.3">
      <c r="B170" t="s">
        <v>142</v>
      </c>
      <c r="D170" s="9" t="s">
        <v>134</v>
      </c>
      <c r="H170" s="10">
        <v>8337</v>
      </c>
      <c r="I170" s="23">
        <v>0.1</v>
      </c>
      <c r="J170" s="10">
        <f t="shared" si="20"/>
        <v>9170.7000000000007</v>
      </c>
      <c r="N170" s="50"/>
      <c r="O170" s="51"/>
      <c r="Q170" s="85"/>
      <c r="R170" s="85"/>
      <c r="T170" s="117"/>
      <c r="U170" s="117"/>
      <c r="W170" s="145"/>
      <c r="X170" s="145"/>
      <c r="Z170" s="172"/>
      <c r="AA170" s="172"/>
    </row>
    <row r="171" spans="2:28" x14ac:dyDescent="0.3">
      <c r="B171" t="s">
        <v>143</v>
      </c>
      <c r="D171" s="9" t="s">
        <v>134</v>
      </c>
      <c r="H171" s="10">
        <v>7257</v>
      </c>
      <c r="I171" s="23">
        <v>0.1</v>
      </c>
      <c r="J171" s="10">
        <f t="shared" si="20"/>
        <v>7982.7</v>
      </c>
      <c r="N171" s="50"/>
      <c r="O171" s="51"/>
      <c r="Q171" s="85"/>
      <c r="R171" s="85"/>
      <c r="T171" s="117"/>
      <c r="U171" s="117"/>
      <c r="W171" s="145"/>
      <c r="X171" s="145"/>
      <c r="Z171" s="172"/>
      <c r="AA171" s="172"/>
    </row>
    <row r="172" spans="2:28" x14ac:dyDescent="0.3">
      <c r="B172" t="s">
        <v>144</v>
      </c>
      <c r="D172" s="9" t="s">
        <v>134</v>
      </c>
      <c r="H172" s="10">
        <v>4400</v>
      </c>
      <c r="I172" s="23">
        <v>0.1</v>
      </c>
      <c r="J172" s="10">
        <f t="shared" si="20"/>
        <v>4840</v>
      </c>
      <c r="N172" s="50"/>
      <c r="O172" s="51"/>
      <c r="Q172" s="85"/>
      <c r="R172" s="85"/>
      <c r="T172" s="117"/>
      <c r="U172" s="117"/>
      <c r="W172" s="145"/>
      <c r="X172" s="145"/>
      <c r="Z172" s="172"/>
      <c r="AA172" s="172"/>
    </row>
    <row r="173" spans="2:28" x14ac:dyDescent="0.3">
      <c r="B173" t="s">
        <v>145</v>
      </c>
      <c r="D173" s="9" t="s">
        <v>134</v>
      </c>
      <c r="H173" s="10">
        <v>800</v>
      </c>
      <c r="I173" s="23">
        <v>0.1</v>
      </c>
      <c r="J173" s="10">
        <f t="shared" si="20"/>
        <v>880</v>
      </c>
      <c r="N173" s="50"/>
      <c r="O173" s="51"/>
      <c r="Q173" s="85"/>
      <c r="R173" s="85"/>
      <c r="T173" s="117"/>
      <c r="U173" s="117"/>
      <c r="W173" s="145"/>
      <c r="X173" s="145"/>
      <c r="Z173" s="172"/>
      <c r="AA173" s="172"/>
    </row>
    <row r="174" spans="2:28" x14ac:dyDescent="0.3">
      <c r="N174" s="50"/>
      <c r="O174" s="51"/>
      <c r="Q174" s="85"/>
      <c r="R174" s="85"/>
      <c r="T174" s="117"/>
      <c r="U174" s="117"/>
      <c r="W174" s="145"/>
      <c r="X174" s="145"/>
      <c r="Z174" s="172"/>
      <c r="AA174" s="172"/>
    </row>
    <row r="175" spans="2:28" x14ac:dyDescent="0.3">
      <c r="B175" s="11" t="s">
        <v>28</v>
      </c>
      <c r="L175" s="20">
        <f>SUM(J175:J183)</f>
        <v>83925</v>
      </c>
      <c r="M175" s="20"/>
      <c r="N175" s="48">
        <v>0</v>
      </c>
      <c r="O175" s="49">
        <f t="shared" ref="O175" si="21">N175*L175</f>
        <v>0</v>
      </c>
      <c r="Q175" s="86">
        <v>0</v>
      </c>
      <c r="R175" s="87">
        <f>Q175*L175</f>
        <v>0</v>
      </c>
      <c r="T175" s="118">
        <v>0</v>
      </c>
      <c r="U175" s="109">
        <f>T175*O175</f>
        <v>0</v>
      </c>
      <c r="W175" s="146">
        <v>1</v>
      </c>
      <c r="X175" s="147">
        <f>W175*L175</f>
        <v>83925</v>
      </c>
      <c r="Y175" s="10"/>
      <c r="Z175" s="173">
        <v>1</v>
      </c>
      <c r="AA175" s="174">
        <f>Z175*L175</f>
        <v>83925</v>
      </c>
      <c r="AB175" s="10"/>
    </row>
    <row r="176" spans="2:28" x14ac:dyDescent="0.3">
      <c r="B176" t="s">
        <v>48</v>
      </c>
      <c r="D176" s="9" t="s">
        <v>8</v>
      </c>
      <c r="E176" s="9">
        <v>16</v>
      </c>
      <c r="F176" s="9">
        <v>575</v>
      </c>
      <c r="G176" s="9">
        <v>2000</v>
      </c>
      <c r="H176" s="10">
        <f>(E176*F176)+G176</f>
        <v>11200</v>
      </c>
      <c r="J176" s="10">
        <f t="shared" ref="J176:J183" si="22">H176*I176+H176</f>
        <v>11200</v>
      </c>
      <c r="N176" s="50"/>
      <c r="O176" s="51"/>
      <c r="Q176" s="85"/>
      <c r="R176" s="85"/>
      <c r="T176" s="117"/>
      <c r="U176" s="117"/>
      <c r="W176" s="145"/>
      <c r="X176" s="145"/>
      <c r="Z176" s="172"/>
      <c r="AA176" s="172"/>
    </row>
    <row r="177" spans="2:28" x14ac:dyDescent="0.3">
      <c r="B177" t="s">
        <v>89</v>
      </c>
      <c r="D177" s="9" t="s">
        <v>8</v>
      </c>
      <c r="E177" s="9">
        <v>12</v>
      </c>
      <c r="F177" s="9">
        <v>575</v>
      </c>
      <c r="G177" s="9">
        <v>1200</v>
      </c>
      <c r="H177" s="10">
        <f>(E177*F177)+G177</f>
        <v>8100</v>
      </c>
      <c r="J177" s="10">
        <f t="shared" si="22"/>
        <v>8100</v>
      </c>
      <c r="N177" s="50"/>
      <c r="O177" s="51"/>
      <c r="Q177" s="85"/>
      <c r="R177" s="85"/>
      <c r="T177" s="117"/>
      <c r="U177" s="117"/>
      <c r="W177" s="145"/>
      <c r="X177" s="145"/>
      <c r="Z177" s="172"/>
      <c r="AA177" s="172"/>
    </row>
    <row r="178" spans="2:28" x14ac:dyDescent="0.3">
      <c r="B178" t="s">
        <v>49</v>
      </c>
      <c r="D178" s="9" t="s">
        <v>8</v>
      </c>
      <c r="E178" s="9">
        <v>7</v>
      </c>
      <c r="F178" s="9">
        <v>575</v>
      </c>
      <c r="G178" s="9">
        <v>1200</v>
      </c>
      <c r="H178" s="10">
        <f>(E178*F178)+G178</f>
        <v>5225</v>
      </c>
      <c r="J178" s="10">
        <f t="shared" si="22"/>
        <v>5225</v>
      </c>
      <c r="N178" s="50"/>
      <c r="O178" s="51"/>
      <c r="Q178" s="85"/>
      <c r="R178" s="85"/>
      <c r="T178" s="117"/>
      <c r="U178" s="117"/>
      <c r="W178" s="145"/>
      <c r="X178" s="145"/>
      <c r="Z178" s="172"/>
      <c r="AA178" s="172"/>
    </row>
    <row r="179" spans="2:28" x14ac:dyDescent="0.3">
      <c r="B179" t="s">
        <v>146</v>
      </c>
      <c r="D179" s="9" t="s">
        <v>8</v>
      </c>
      <c r="E179" s="9">
        <v>16</v>
      </c>
      <c r="F179" s="9">
        <v>575</v>
      </c>
      <c r="G179" s="9">
        <v>700</v>
      </c>
      <c r="H179" s="10">
        <f>(E179*F179)+G179</f>
        <v>9900</v>
      </c>
      <c r="J179" s="10">
        <f t="shared" si="22"/>
        <v>9900</v>
      </c>
      <c r="N179" s="50"/>
      <c r="O179" s="51"/>
      <c r="Q179" s="85"/>
      <c r="R179" s="85"/>
      <c r="T179" s="117"/>
      <c r="U179" s="117"/>
      <c r="W179" s="145"/>
      <c r="X179" s="145"/>
      <c r="Z179" s="172"/>
      <c r="AA179" s="172"/>
    </row>
    <row r="180" spans="2:28" x14ac:dyDescent="0.3">
      <c r="B180" t="s">
        <v>151</v>
      </c>
      <c r="D180" s="9" t="s">
        <v>8</v>
      </c>
      <c r="H180" s="10">
        <v>10000</v>
      </c>
      <c r="I180" s="23">
        <v>0.1</v>
      </c>
      <c r="J180" s="10">
        <f t="shared" si="22"/>
        <v>11000</v>
      </c>
      <c r="N180" s="50"/>
      <c r="O180" s="51"/>
      <c r="Q180" s="85"/>
      <c r="R180" s="85"/>
      <c r="T180" s="117"/>
      <c r="U180" s="117"/>
      <c r="W180" s="145"/>
      <c r="X180" s="145"/>
      <c r="Z180" s="172"/>
      <c r="AA180" s="172"/>
    </row>
    <row r="181" spans="2:28" x14ac:dyDescent="0.3">
      <c r="B181" t="s">
        <v>150</v>
      </c>
      <c r="D181" s="9" t="s">
        <v>8</v>
      </c>
      <c r="H181" s="10">
        <v>20000</v>
      </c>
      <c r="I181" s="23">
        <v>0.1</v>
      </c>
      <c r="J181" s="10">
        <f t="shared" si="22"/>
        <v>22000</v>
      </c>
      <c r="N181" s="50"/>
      <c r="O181" s="51"/>
      <c r="Q181" s="85"/>
      <c r="R181" s="85"/>
      <c r="T181" s="117"/>
      <c r="U181" s="117"/>
      <c r="W181" s="145"/>
      <c r="X181" s="145"/>
      <c r="Z181" s="172"/>
      <c r="AA181" s="172"/>
    </row>
    <row r="182" spans="2:28" x14ac:dyDescent="0.3">
      <c r="B182" t="s">
        <v>147</v>
      </c>
      <c r="D182" s="9" t="s">
        <v>8</v>
      </c>
      <c r="H182" s="10">
        <v>6000</v>
      </c>
      <c r="I182" s="23">
        <v>0.1</v>
      </c>
      <c r="J182" s="10">
        <f t="shared" si="22"/>
        <v>6600</v>
      </c>
      <c r="N182" s="50"/>
      <c r="O182" s="51"/>
      <c r="Q182" s="85"/>
      <c r="R182" s="85"/>
      <c r="T182" s="117"/>
      <c r="U182" s="117"/>
      <c r="W182" s="145"/>
      <c r="X182" s="145"/>
      <c r="Z182" s="172"/>
      <c r="AA182" s="172"/>
    </row>
    <row r="183" spans="2:28" x14ac:dyDescent="0.3">
      <c r="B183" t="s">
        <v>172</v>
      </c>
      <c r="D183" s="9" t="s">
        <v>8</v>
      </c>
      <c r="E183" s="9">
        <v>16</v>
      </c>
      <c r="F183" s="9">
        <v>575</v>
      </c>
      <c r="G183" s="9">
        <v>700</v>
      </c>
      <c r="H183" s="10">
        <f>(E183*F183)+G183</f>
        <v>9900</v>
      </c>
      <c r="J183" s="10">
        <f t="shared" si="22"/>
        <v>9900</v>
      </c>
      <c r="N183" s="50"/>
      <c r="O183" s="51"/>
      <c r="Q183" s="85"/>
      <c r="R183" s="85"/>
      <c r="T183" s="117"/>
      <c r="U183" s="117"/>
      <c r="W183" s="145"/>
      <c r="X183" s="145"/>
      <c r="Z183" s="172"/>
      <c r="AA183" s="172"/>
    </row>
    <row r="184" spans="2:28" x14ac:dyDescent="0.3">
      <c r="N184" s="50"/>
      <c r="O184" s="51"/>
      <c r="Q184" s="85"/>
      <c r="R184" s="85"/>
      <c r="T184" s="117"/>
      <c r="U184" s="117"/>
      <c r="W184" s="145"/>
      <c r="X184" s="145"/>
      <c r="Z184" s="172"/>
      <c r="AA184" s="172"/>
    </row>
    <row r="185" spans="2:28" x14ac:dyDescent="0.3">
      <c r="K185" s="25" t="s">
        <v>167</v>
      </c>
      <c r="L185" s="26">
        <f>SUM(L7:L184)</f>
        <v>1511191.5999999999</v>
      </c>
      <c r="M185" s="26"/>
      <c r="N185" s="50" t="s">
        <v>199</v>
      </c>
      <c r="O185" s="42">
        <f>SUM(O7:O184)</f>
        <v>289092.7</v>
      </c>
      <c r="Q185" s="85" t="s">
        <v>199</v>
      </c>
      <c r="R185" s="88">
        <f>SUM(R7:R184)</f>
        <v>742050.48499999999</v>
      </c>
      <c r="T185" s="117" t="s">
        <v>300</v>
      </c>
      <c r="U185" s="119">
        <f>SUM(U7:U184)</f>
        <v>998271.02999999991</v>
      </c>
      <c r="W185" s="145" t="s">
        <v>300</v>
      </c>
      <c r="X185" s="148">
        <f>SUM(X7:X184)</f>
        <v>1484298.0999999999</v>
      </c>
      <c r="Y185" s="26"/>
      <c r="Z185" s="172" t="s">
        <v>300</v>
      </c>
      <c r="AA185" s="175">
        <f>SUM(AA7:AA184)</f>
        <v>1511191.5999999999</v>
      </c>
      <c r="AB185" s="26"/>
    </row>
    <row r="186" spans="2:28" x14ac:dyDescent="0.3">
      <c r="K186" s="29" t="s">
        <v>168</v>
      </c>
      <c r="L186" s="30">
        <f>-27200/2</f>
        <v>-13600</v>
      </c>
      <c r="M186" s="39"/>
      <c r="N186" s="46"/>
      <c r="O186" s="106">
        <f>-27200/2</f>
        <v>-13600</v>
      </c>
      <c r="Q186" s="85"/>
      <c r="R186" s="103">
        <f>-27200/2</f>
        <v>-13600</v>
      </c>
      <c r="T186" s="117"/>
      <c r="U186" s="120">
        <f>-27200/2</f>
        <v>-13600</v>
      </c>
      <c r="W186" s="145"/>
      <c r="X186" s="149">
        <f>-27200/2</f>
        <v>-13600</v>
      </c>
      <c r="Y186" s="39"/>
      <c r="Z186" s="172"/>
      <c r="AA186" s="176">
        <f>-27200/2</f>
        <v>-13600</v>
      </c>
      <c r="AB186" s="39"/>
    </row>
    <row r="187" spans="2:28" x14ac:dyDescent="0.3">
      <c r="M187" s="26"/>
      <c r="N187" s="105"/>
      <c r="O187" s="107"/>
      <c r="Q187" s="85" t="s">
        <v>198</v>
      </c>
      <c r="R187" s="104">
        <f>-O188</f>
        <v>-275492.7</v>
      </c>
      <c r="T187" s="117" t="s">
        <v>360</v>
      </c>
      <c r="U187" s="119">
        <f>-(O188+R188)</f>
        <v>-728450.48499999999</v>
      </c>
      <c r="W187" s="145" t="s">
        <v>411</v>
      </c>
      <c r="X187" s="148">
        <f>-(O188+R188+U188)</f>
        <v>-984671.02999999991</v>
      </c>
      <c r="Y187" s="26"/>
      <c r="Z187" s="172" t="s">
        <v>456</v>
      </c>
      <c r="AA187" s="177">
        <f>-(O188+R188+U188+X188)</f>
        <v>-1470698.0999999999</v>
      </c>
      <c r="AB187" s="26"/>
    </row>
    <row r="188" spans="2:28" x14ac:dyDescent="0.3">
      <c r="K188" s="25" t="s">
        <v>170</v>
      </c>
      <c r="L188" s="26">
        <f>SUM(L185:L186)</f>
        <v>1497591.5999999999</v>
      </c>
      <c r="M188" s="26"/>
      <c r="N188" s="52"/>
      <c r="O188" s="42">
        <f>SUM(O185:O186)</f>
        <v>275492.7</v>
      </c>
      <c r="Q188" s="85"/>
      <c r="R188" s="88">
        <f>SUM(R185:R187)</f>
        <v>452957.78499999997</v>
      </c>
      <c r="T188" s="117"/>
      <c r="U188" s="119">
        <f>SUM(U185:U187)</f>
        <v>256220.54499999993</v>
      </c>
      <c r="W188" s="145"/>
      <c r="X188" s="148">
        <f>SUM(X185:X187)</f>
        <v>486027.06999999995</v>
      </c>
      <c r="Y188" s="26"/>
      <c r="Z188" s="172"/>
      <c r="AA188" s="175">
        <f>SUM(AA185:AA187)</f>
        <v>26893.5</v>
      </c>
      <c r="AB188" s="26"/>
    </row>
    <row r="189" spans="2:28" x14ac:dyDescent="0.3">
      <c r="K189" s="25" t="s">
        <v>148</v>
      </c>
      <c r="L189" s="26">
        <f>SUM(L188)/100*25</f>
        <v>374397.89999999997</v>
      </c>
      <c r="M189" s="40"/>
      <c r="N189" s="52" t="s">
        <v>200</v>
      </c>
      <c r="O189" s="42">
        <f>SUM(O188)/100*25</f>
        <v>68873.175000000003</v>
      </c>
      <c r="Q189" s="89" t="s">
        <v>200</v>
      </c>
      <c r="R189" s="88">
        <f>SUM(R188)/100*25</f>
        <v>113239.44624999999</v>
      </c>
      <c r="T189" s="121" t="s">
        <v>200</v>
      </c>
      <c r="U189" s="119">
        <f>SUM(U188)/100*25</f>
        <v>64055.136249999989</v>
      </c>
      <c r="W189" s="150" t="s">
        <v>200</v>
      </c>
      <c r="X189" s="148">
        <f>SUM(X188)/100*25</f>
        <v>121506.76749999997</v>
      </c>
      <c r="Y189" s="26"/>
      <c r="Z189" s="172" t="s">
        <v>457</v>
      </c>
      <c r="AA189" s="178">
        <v>-10000</v>
      </c>
      <c r="AB189" s="26"/>
    </row>
    <row r="190" spans="2:28" ht="15" thickBot="1" x14ac:dyDescent="0.35">
      <c r="K190" s="25" t="s">
        <v>171</v>
      </c>
      <c r="L190" s="27">
        <f>SUM(L188:L189)</f>
        <v>1871989.4999999998</v>
      </c>
      <c r="M190"/>
      <c r="N190" s="53" t="s">
        <v>198</v>
      </c>
      <c r="O190" s="54">
        <f>SUM(O188:O189)</f>
        <v>344365.875</v>
      </c>
      <c r="Q190" s="90" t="s">
        <v>299</v>
      </c>
      <c r="R190" s="91">
        <f>SUM(R188:R189)</f>
        <v>566197.23124999995</v>
      </c>
      <c r="T190" s="122" t="s">
        <v>361</v>
      </c>
      <c r="U190" s="123">
        <f>SUM(U188:U189)</f>
        <v>320275.68124999991</v>
      </c>
      <c r="W190" s="151" t="s">
        <v>458</v>
      </c>
      <c r="X190" s="152">
        <f>SUM(X188:X189)</f>
        <v>607533.83749999991</v>
      </c>
      <c r="Y190" s="26"/>
      <c r="Z190" s="172"/>
      <c r="AA190" s="175">
        <f>SUM(AA188:AA189)</f>
        <v>16893.5</v>
      </c>
      <c r="AB190" s="26"/>
    </row>
    <row r="191" spans="2:28" ht="15" thickTop="1" x14ac:dyDescent="0.3">
      <c r="L191"/>
      <c r="M191"/>
      <c r="N191"/>
      <c r="O191"/>
      <c r="Z191" s="179" t="s">
        <v>200</v>
      </c>
      <c r="AA191" s="175">
        <f>SUM(AA190)/100*25</f>
        <v>4223.375</v>
      </c>
    </row>
    <row r="192" spans="2:28" ht="15" thickBot="1" x14ac:dyDescent="0.35">
      <c r="N192" s="25" t="s">
        <v>204</v>
      </c>
      <c r="O192" s="26">
        <f>L188-O188</f>
        <v>1222098.8999999999</v>
      </c>
      <c r="Q192" s="25" t="s">
        <v>204</v>
      </c>
      <c r="R192" s="26">
        <f>L188-R188-O188</f>
        <v>769141.11499999999</v>
      </c>
      <c r="T192" s="25" t="s">
        <v>204</v>
      </c>
      <c r="U192" s="26">
        <f>L188-R188-O188-U188</f>
        <v>512920.57000000007</v>
      </c>
      <c r="W192" s="25" t="s">
        <v>204</v>
      </c>
      <c r="X192" s="26">
        <f>L188-O188-U188-R188-X188</f>
        <v>26893.500000000058</v>
      </c>
      <c r="Y192" s="26"/>
      <c r="Z192" s="180" t="s">
        <v>459</v>
      </c>
      <c r="AA192" s="181">
        <f>SUM(AA190:AA191)</f>
        <v>21116.875</v>
      </c>
      <c r="AB192" s="26"/>
    </row>
    <row r="193" spans="17:27" ht="15" thickTop="1" x14ac:dyDescent="0.3"/>
    <row r="194" spans="17:27" x14ac:dyDescent="0.3">
      <c r="Z194" s="25" t="s">
        <v>204</v>
      </c>
      <c r="AA194" s="26">
        <f>L188-O188-U188-R188-X188-AA190</f>
        <v>10000.000000000058</v>
      </c>
    </row>
    <row r="201" spans="17:27" x14ac:dyDescent="0.3">
      <c r="T201" t="s">
        <v>305</v>
      </c>
      <c r="U201" t="s">
        <v>308</v>
      </c>
    </row>
    <row r="202" spans="17:27" x14ac:dyDescent="0.3">
      <c r="Q202" t="s">
        <v>304</v>
      </c>
      <c r="T202" s="26">
        <v>289093</v>
      </c>
      <c r="U202" s="26"/>
    </row>
    <row r="203" spans="17:27" x14ac:dyDescent="0.3">
      <c r="Q203" t="s">
        <v>302</v>
      </c>
      <c r="T203" s="26">
        <v>479958</v>
      </c>
      <c r="U203" s="26">
        <v>80000</v>
      </c>
    </row>
    <row r="204" spans="17:27" x14ac:dyDescent="0.3">
      <c r="Q204" t="s">
        <v>303</v>
      </c>
      <c r="T204" s="26">
        <v>218827</v>
      </c>
      <c r="U204" s="26">
        <v>40000</v>
      </c>
    </row>
    <row r="205" spans="17:27" x14ac:dyDescent="0.3">
      <c r="Q205" t="s">
        <v>306</v>
      </c>
      <c r="T205" s="26">
        <v>450000</v>
      </c>
      <c r="U205" s="26">
        <v>110000</v>
      </c>
    </row>
    <row r="206" spans="17:27" x14ac:dyDescent="0.3">
      <c r="Q206" t="s">
        <v>307</v>
      </c>
      <c r="T206" s="26">
        <f>523314-450000</f>
        <v>73314</v>
      </c>
      <c r="U206" s="26">
        <v>20000</v>
      </c>
    </row>
    <row r="207" spans="17:27" x14ac:dyDescent="0.3">
      <c r="T207" s="26">
        <f>SUM(T202:T206)</f>
        <v>1511192</v>
      </c>
      <c r="U207" s="26">
        <f>SUM(U202:U206)</f>
        <v>250000</v>
      </c>
    </row>
    <row r="218" spans="5:8" x14ac:dyDescent="0.3">
      <c r="E218" s="128">
        <v>129643.3</v>
      </c>
      <c r="F218" s="9">
        <f>15%</f>
        <v>0.15</v>
      </c>
      <c r="G218" s="9">
        <f>E218*F218</f>
        <v>19446.494999999999</v>
      </c>
      <c r="H218" s="10">
        <f>E218+G218</f>
        <v>149089.79500000001</v>
      </c>
    </row>
  </sheetData>
  <pageMargins left="0.7" right="0.7" top="0.75" bottom="0.75" header="0.3" footer="0.3"/>
  <pageSetup paperSize="9" scale="2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60EF-A114-43FC-8717-979D59961ED9}">
  <dimension ref="B5:Q34"/>
  <sheetViews>
    <sheetView zoomScaleNormal="100" workbookViewId="0">
      <selection activeCell="L9" sqref="L9:Q9"/>
    </sheetView>
  </sheetViews>
  <sheetFormatPr defaultRowHeight="14.4" x14ac:dyDescent="0.3"/>
  <cols>
    <col min="2" max="2" width="70.77734375" customWidth="1"/>
    <col min="6" max="6" width="9.21875" customWidth="1"/>
  </cols>
  <sheetData>
    <row r="5" spans="2:17" x14ac:dyDescent="0.3">
      <c r="B5" s="11" t="s">
        <v>47</v>
      </c>
      <c r="C5" s="10"/>
      <c r="D5" s="9"/>
      <c r="G5" s="20">
        <f>SUM(E6:E13)</f>
        <v>130522.7</v>
      </c>
    </row>
    <row r="6" spans="2:17" x14ac:dyDescent="0.3">
      <c r="B6" t="s">
        <v>153</v>
      </c>
      <c r="C6" s="108">
        <v>24227</v>
      </c>
      <c r="D6" s="23">
        <v>0.1</v>
      </c>
      <c r="E6" s="10">
        <f>C6*D6+C6</f>
        <v>26649.7</v>
      </c>
      <c r="G6" s="11"/>
    </row>
    <row r="7" spans="2:17" x14ac:dyDescent="0.3">
      <c r="B7" t="s">
        <v>156</v>
      </c>
      <c r="C7" s="10">
        <v>10128</v>
      </c>
      <c r="D7" s="23">
        <v>0.1</v>
      </c>
      <c r="E7" s="10">
        <f t="shared" ref="E7:E13" si="0">C7*D7+C7</f>
        <v>11140.8</v>
      </c>
      <c r="G7" s="11"/>
    </row>
    <row r="8" spans="2:17" x14ac:dyDescent="0.3">
      <c r="B8" t="s">
        <v>154</v>
      </c>
      <c r="C8" s="10">
        <v>25500</v>
      </c>
      <c r="D8" s="23">
        <v>0.1</v>
      </c>
      <c r="E8" s="10">
        <f t="shared" si="0"/>
        <v>28050</v>
      </c>
      <c r="G8" s="11"/>
    </row>
    <row r="9" spans="2:17" x14ac:dyDescent="0.3">
      <c r="B9" t="s">
        <v>155</v>
      </c>
      <c r="C9" s="10">
        <v>21675</v>
      </c>
      <c r="D9" s="23">
        <v>0.1</v>
      </c>
      <c r="E9" s="10">
        <f t="shared" si="0"/>
        <v>23842.5</v>
      </c>
      <c r="G9" s="11"/>
    </row>
    <row r="10" spans="2:17" x14ac:dyDescent="0.3">
      <c r="B10" t="s">
        <v>157</v>
      </c>
      <c r="C10" s="10">
        <v>17850</v>
      </c>
      <c r="D10" s="23">
        <v>0.1</v>
      </c>
      <c r="E10" s="10">
        <f t="shared" si="0"/>
        <v>19635</v>
      </c>
      <c r="G10" s="11"/>
    </row>
    <row r="11" spans="2:17" x14ac:dyDescent="0.3">
      <c r="B11" t="s">
        <v>179</v>
      </c>
      <c r="C11" s="10">
        <v>11377</v>
      </c>
      <c r="D11" s="23">
        <v>0.1</v>
      </c>
      <c r="E11" s="10">
        <f t="shared" si="0"/>
        <v>12514.7</v>
      </c>
      <c r="G11" s="11"/>
    </row>
    <row r="12" spans="2:17" x14ac:dyDescent="0.3">
      <c r="B12" t="s">
        <v>184</v>
      </c>
      <c r="C12" s="10">
        <v>6400</v>
      </c>
      <c r="D12" s="23">
        <v>0.1</v>
      </c>
      <c r="E12" s="10">
        <f t="shared" si="0"/>
        <v>7040</v>
      </c>
      <c r="G12" s="11"/>
    </row>
    <row r="13" spans="2:17" x14ac:dyDescent="0.3">
      <c r="B13" t="s">
        <v>183</v>
      </c>
      <c r="C13" s="10">
        <v>1500</v>
      </c>
      <c r="D13" s="23">
        <v>0.1</v>
      </c>
      <c r="E13" s="10">
        <f t="shared" si="0"/>
        <v>1650</v>
      </c>
      <c r="G13" s="11"/>
    </row>
    <row r="14" spans="2:17" x14ac:dyDescent="0.3">
      <c r="B14" s="13" t="s">
        <v>180</v>
      </c>
      <c r="C14" s="10"/>
      <c r="D14" s="9"/>
      <c r="G14" s="11"/>
      <c r="L14" t="s">
        <v>383</v>
      </c>
      <c r="N14" t="s">
        <v>188</v>
      </c>
      <c r="Q14" t="s">
        <v>384</v>
      </c>
    </row>
    <row r="16" spans="2:17" x14ac:dyDescent="0.3">
      <c r="L16">
        <v>130530</v>
      </c>
      <c r="N16" s="26">
        <f>SUM(C18:C29)</f>
        <v>175080</v>
      </c>
      <c r="Q16" s="10">
        <v>62065.3</v>
      </c>
    </row>
    <row r="17" spans="2:17" x14ac:dyDescent="0.3">
      <c r="B17" s="11" t="s">
        <v>334</v>
      </c>
      <c r="G17" s="20">
        <f>SUM(E18:E29)</f>
        <v>192588</v>
      </c>
      <c r="L17">
        <v>30840</v>
      </c>
      <c r="N17">
        <v>-9750</v>
      </c>
      <c r="Q17" s="10">
        <v>130522.7</v>
      </c>
    </row>
    <row r="18" spans="2:17" x14ac:dyDescent="0.3">
      <c r="B18" t="s">
        <v>153</v>
      </c>
      <c r="C18" s="108">
        <v>24227</v>
      </c>
      <c r="D18" s="23">
        <v>0.1</v>
      </c>
      <c r="E18" s="10">
        <f>C18*D18+C18</f>
        <v>26649.7</v>
      </c>
      <c r="L18" s="11">
        <f>SUM(L16:L17)</f>
        <v>161370</v>
      </c>
      <c r="N18">
        <v>3000</v>
      </c>
      <c r="Q18" s="10">
        <f>2960*1.15</f>
        <v>3403.9999999999995</v>
      </c>
    </row>
    <row r="19" spans="2:17" x14ac:dyDescent="0.3">
      <c r="B19" t="s">
        <v>327</v>
      </c>
      <c r="C19" s="108">
        <v>6400</v>
      </c>
      <c r="D19" s="23">
        <v>0.1</v>
      </c>
      <c r="E19" s="10">
        <f>C19*D19+C19</f>
        <v>7040</v>
      </c>
      <c r="N19" s="26">
        <f>SUM(N16:N18)</f>
        <v>168330</v>
      </c>
      <c r="Q19" s="26">
        <f>SUM(Q16:Q18)</f>
        <v>195992</v>
      </c>
    </row>
    <row r="20" spans="2:17" x14ac:dyDescent="0.3">
      <c r="B20" t="s">
        <v>156</v>
      </c>
      <c r="C20" s="108">
        <v>10128</v>
      </c>
      <c r="D20" s="23">
        <v>0.1</v>
      </c>
      <c r="E20" s="10">
        <f>C20*D20+C20</f>
        <v>11140.8</v>
      </c>
    </row>
    <row r="21" spans="2:17" x14ac:dyDescent="0.3">
      <c r="B21" t="s">
        <v>154</v>
      </c>
      <c r="C21" s="108">
        <v>25500</v>
      </c>
      <c r="D21" s="23">
        <v>0.1</v>
      </c>
      <c r="E21" s="10">
        <f t="shared" ref="E21" si="1">C21*D21+C21</f>
        <v>28050</v>
      </c>
    </row>
    <row r="22" spans="2:17" x14ac:dyDescent="0.3">
      <c r="B22" t="s">
        <v>328</v>
      </c>
      <c r="C22" s="108">
        <v>6400</v>
      </c>
      <c r="D22" s="23">
        <v>0.1</v>
      </c>
      <c r="E22" s="10">
        <f t="shared" ref="E22:E29" si="2">C22*D22+C22</f>
        <v>7040</v>
      </c>
    </row>
    <row r="23" spans="2:17" x14ac:dyDescent="0.3">
      <c r="B23" t="s">
        <v>155</v>
      </c>
      <c r="C23" s="108">
        <v>21675</v>
      </c>
      <c r="D23" s="23">
        <v>0.1</v>
      </c>
      <c r="E23" s="10">
        <f t="shared" si="2"/>
        <v>23842.5</v>
      </c>
    </row>
    <row r="24" spans="2:17" x14ac:dyDescent="0.3">
      <c r="B24" t="s">
        <v>329</v>
      </c>
      <c r="C24" s="108">
        <v>6400</v>
      </c>
      <c r="D24" s="23">
        <v>0.1</v>
      </c>
      <c r="E24" s="10">
        <f t="shared" si="2"/>
        <v>7040</v>
      </c>
    </row>
    <row r="25" spans="2:17" x14ac:dyDescent="0.3">
      <c r="B25" t="s">
        <v>179</v>
      </c>
      <c r="C25" s="108">
        <v>15300</v>
      </c>
      <c r="D25" s="23">
        <v>0.1</v>
      </c>
      <c r="E25" s="10">
        <f t="shared" si="2"/>
        <v>16830</v>
      </c>
    </row>
    <row r="26" spans="2:17" x14ac:dyDescent="0.3">
      <c r="B26" t="s">
        <v>157</v>
      </c>
      <c r="C26" s="108">
        <v>17850</v>
      </c>
      <c r="D26" s="23">
        <v>0.1</v>
      </c>
      <c r="E26" s="10">
        <f t="shared" si="2"/>
        <v>19635</v>
      </c>
    </row>
    <row r="27" spans="2:17" x14ac:dyDescent="0.3">
      <c r="B27" t="s">
        <v>331</v>
      </c>
      <c r="C27" s="108">
        <v>6400</v>
      </c>
      <c r="D27" s="23">
        <v>0.1</v>
      </c>
      <c r="E27" s="10">
        <f t="shared" si="2"/>
        <v>7040</v>
      </c>
    </row>
    <row r="28" spans="2:17" x14ac:dyDescent="0.3">
      <c r="B28" t="s">
        <v>296</v>
      </c>
      <c r="C28" s="10">
        <v>27000</v>
      </c>
      <c r="D28" s="23">
        <v>0.1</v>
      </c>
      <c r="E28" s="10">
        <f t="shared" si="2"/>
        <v>29700</v>
      </c>
    </row>
    <row r="29" spans="2:17" x14ac:dyDescent="0.3">
      <c r="B29" t="s">
        <v>330</v>
      </c>
      <c r="C29" s="10">
        <v>7800</v>
      </c>
      <c r="D29" s="23">
        <v>0.1</v>
      </c>
      <c r="E29" s="10">
        <f t="shared" si="2"/>
        <v>8580</v>
      </c>
    </row>
    <row r="31" spans="2:17" x14ac:dyDescent="0.3">
      <c r="D31" s="25" t="s">
        <v>332</v>
      </c>
      <c r="E31" s="10">
        <f>SUM(E18:E29)</f>
        <v>192588</v>
      </c>
    </row>
    <row r="32" spans="2:17" x14ac:dyDescent="0.3">
      <c r="D32" s="25" t="s">
        <v>365</v>
      </c>
      <c r="E32" s="10">
        <v>-130522.7</v>
      </c>
    </row>
    <row r="33" spans="4:6" ht="15" thickBot="1" x14ac:dyDescent="0.35">
      <c r="D33" s="25" t="s">
        <v>333</v>
      </c>
      <c r="E33" s="95">
        <f>SUM(E31:E32)</f>
        <v>62065.3</v>
      </c>
      <c r="F33" s="96" t="s">
        <v>259</v>
      </c>
    </row>
    <row r="34" spans="4:6" ht="15" thickTop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38DD-549E-4C55-91F7-DE1358875E88}">
  <dimension ref="C3:F41"/>
  <sheetViews>
    <sheetView workbookViewId="0">
      <selection activeCell="C3" sqref="C3:D40"/>
    </sheetView>
  </sheetViews>
  <sheetFormatPr defaultRowHeight="14.4" x14ac:dyDescent="0.3"/>
  <cols>
    <col min="3" max="3" width="21.77734375" customWidth="1"/>
    <col min="4" max="4" width="56.44140625" customWidth="1"/>
    <col min="6" max="6" width="58.21875" customWidth="1"/>
  </cols>
  <sheetData>
    <row r="3" spans="3:6" ht="18" x14ac:dyDescent="0.35">
      <c r="C3" s="59" t="s">
        <v>234</v>
      </c>
    </row>
    <row r="4" spans="3:6" ht="15.6" x14ac:dyDescent="0.3">
      <c r="C4" s="61" t="s">
        <v>235</v>
      </c>
    </row>
    <row r="6" spans="3:6" ht="15.6" x14ac:dyDescent="0.3">
      <c r="C6" s="58" t="s">
        <v>205</v>
      </c>
    </row>
    <row r="8" spans="3:6" ht="15.6" x14ac:dyDescent="0.3">
      <c r="C8" s="56" t="s">
        <v>206</v>
      </c>
      <c r="D8" s="56" t="s">
        <v>207</v>
      </c>
    </row>
    <row r="10" spans="3:6" ht="15.6" x14ac:dyDescent="0.3">
      <c r="C10" s="56" t="s">
        <v>208</v>
      </c>
      <c r="D10" s="56" t="s">
        <v>209</v>
      </c>
    </row>
    <row r="11" spans="3:6" ht="15.6" x14ac:dyDescent="0.3">
      <c r="D11" s="56" t="s">
        <v>223</v>
      </c>
    </row>
    <row r="13" spans="3:6" ht="15.6" x14ac:dyDescent="0.3">
      <c r="C13" s="56" t="s">
        <v>210</v>
      </c>
      <c r="D13" s="56" t="s">
        <v>211</v>
      </c>
      <c r="F13" s="56"/>
    </row>
    <row r="14" spans="3:6" ht="15.6" x14ac:dyDescent="0.3">
      <c r="C14" s="56"/>
      <c r="D14" s="56" t="s">
        <v>222</v>
      </c>
      <c r="F14" s="56"/>
    </row>
    <row r="16" spans="3:6" ht="15.6" x14ac:dyDescent="0.3">
      <c r="C16" s="56" t="s">
        <v>212</v>
      </c>
      <c r="D16" s="56" t="s">
        <v>211</v>
      </c>
    </row>
    <row r="18" spans="3:4" ht="15.6" x14ac:dyDescent="0.3">
      <c r="C18" s="56" t="s">
        <v>213</v>
      </c>
      <c r="D18" s="56" t="s">
        <v>214</v>
      </c>
    </row>
    <row r="19" spans="3:4" ht="15.6" x14ac:dyDescent="0.3">
      <c r="C19" s="56"/>
      <c r="D19" s="56" t="s">
        <v>225</v>
      </c>
    </row>
    <row r="21" spans="3:4" ht="15.6" x14ac:dyDescent="0.3">
      <c r="C21" s="56" t="s">
        <v>215</v>
      </c>
      <c r="D21" s="56" t="s">
        <v>211</v>
      </c>
    </row>
    <row r="22" spans="3:4" ht="15.6" x14ac:dyDescent="0.3">
      <c r="C22" s="56"/>
      <c r="D22" s="56" t="s">
        <v>224</v>
      </c>
    </row>
    <row r="23" spans="3:4" ht="15.6" x14ac:dyDescent="0.3">
      <c r="C23" s="56" t="s">
        <v>216</v>
      </c>
    </row>
    <row r="24" spans="3:4" ht="15.6" x14ac:dyDescent="0.3">
      <c r="C24" s="56" t="s">
        <v>217</v>
      </c>
    </row>
    <row r="25" spans="3:4" ht="15.6" x14ac:dyDescent="0.3">
      <c r="C25" s="56" t="s">
        <v>218</v>
      </c>
    </row>
    <row r="26" spans="3:4" ht="15.6" x14ac:dyDescent="0.3">
      <c r="C26" s="56" t="s">
        <v>219</v>
      </c>
    </row>
    <row r="27" spans="3:4" ht="15.6" x14ac:dyDescent="0.3">
      <c r="C27" s="56" t="s">
        <v>220</v>
      </c>
    </row>
    <row r="28" spans="3:4" ht="15.6" x14ac:dyDescent="0.3">
      <c r="C28" s="60" t="s">
        <v>232</v>
      </c>
    </row>
    <row r="30" spans="3:4" ht="15.6" x14ac:dyDescent="0.3">
      <c r="C30" s="58" t="s">
        <v>221</v>
      </c>
    </row>
    <row r="31" spans="3:4" ht="15.6" x14ac:dyDescent="0.3">
      <c r="C31" s="56" t="s">
        <v>215</v>
      </c>
      <c r="D31" s="56" t="s">
        <v>228</v>
      </c>
    </row>
    <row r="32" spans="3:4" ht="15.6" x14ac:dyDescent="0.3">
      <c r="D32" s="56" t="s">
        <v>227</v>
      </c>
    </row>
    <row r="34" spans="3:4" ht="15.6" x14ac:dyDescent="0.3">
      <c r="C34" s="56" t="s">
        <v>213</v>
      </c>
      <c r="D34" s="56" t="s">
        <v>229</v>
      </c>
    </row>
    <row r="35" spans="3:4" ht="15.6" x14ac:dyDescent="0.3">
      <c r="D35" s="56" t="s">
        <v>226</v>
      </c>
    </row>
    <row r="37" spans="3:4" ht="15.6" x14ac:dyDescent="0.3">
      <c r="C37" s="56" t="s">
        <v>230</v>
      </c>
      <c r="D37" s="56" t="s">
        <v>231</v>
      </c>
    </row>
    <row r="40" spans="3:4" ht="15.6" x14ac:dyDescent="0.3">
      <c r="C40" s="57" t="s">
        <v>233</v>
      </c>
      <c r="D40" s="55"/>
    </row>
    <row r="41" spans="3:4" ht="15.6" x14ac:dyDescent="0.3">
      <c r="C41" s="5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22E6-070F-4692-906D-0923718DCE44}">
  <dimension ref="F7:J17"/>
  <sheetViews>
    <sheetView workbookViewId="0">
      <selection activeCell="I12" sqref="I12"/>
    </sheetView>
  </sheetViews>
  <sheetFormatPr defaultRowHeight="14.4" x14ac:dyDescent="0.3"/>
  <cols>
    <col min="6" max="6" width="43.44140625" customWidth="1"/>
    <col min="7" max="8" width="9.21875" style="9"/>
  </cols>
  <sheetData>
    <row r="7" spans="6:10" x14ac:dyDescent="0.3">
      <c r="F7" t="s">
        <v>319</v>
      </c>
    </row>
    <row r="8" spans="6:10" x14ac:dyDescent="0.3">
      <c r="H8" s="12">
        <v>0.15</v>
      </c>
    </row>
    <row r="9" spans="6:10" x14ac:dyDescent="0.3">
      <c r="F9" t="s">
        <v>315</v>
      </c>
      <c r="G9" s="10">
        <v>15996</v>
      </c>
      <c r="H9" s="10">
        <f>G9/100*15</f>
        <v>2399.4</v>
      </c>
      <c r="I9" s="26">
        <f>SUM(G9:H9)</f>
        <v>18395.400000000001</v>
      </c>
    </row>
    <row r="10" spans="6:10" x14ac:dyDescent="0.3">
      <c r="F10" t="s">
        <v>316</v>
      </c>
      <c r="G10" s="10"/>
      <c r="H10" s="10"/>
      <c r="I10" s="26">
        <f>12*575</f>
        <v>6900</v>
      </c>
    </row>
    <row r="11" spans="6:10" x14ac:dyDescent="0.3">
      <c r="F11" t="s">
        <v>317</v>
      </c>
      <c r="G11" s="10"/>
      <c r="H11" s="10"/>
      <c r="I11" s="39">
        <v>-9775</v>
      </c>
    </row>
    <row r="12" spans="6:10" ht="15" thickBot="1" x14ac:dyDescent="0.35">
      <c r="F12" t="s">
        <v>318</v>
      </c>
      <c r="G12" s="10"/>
      <c r="H12" s="10"/>
      <c r="I12" s="27">
        <f>SUM(I9:I11)</f>
        <v>15520.400000000001</v>
      </c>
      <c r="J12" s="11" t="s">
        <v>190</v>
      </c>
    </row>
    <row r="13" spans="6:10" ht="15" thickTop="1" x14ac:dyDescent="0.3">
      <c r="G13" s="10"/>
      <c r="H13" s="10"/>
      <c r="I13" s="26"/>
    </row>
    <row r="14" spans="6:10" x14ac:dyDescent="0.3">
      <c r="G14" s="10"/>
      <c r="H14" s="10"/>
      <c r="I14" s="26"/>
    </row>
    <row r="15" spans="6:10" x14ac:dyDescent="0.3">
      <c r="G15" s="10"/>
      <c r="H15" s="10"/>
      <c r="I15" s="26"/>
    </row>
    <row r="16" spans="6:10" x14ac:dyDescent="0.3">
      <c r="G16" s="10"/>
      <c r="H16" s="10"/>
      <c r="I16" s="26"/>
    </row>
    <row r="17" spans="7:9" x14ac:dyDescent="0.3">
      <c r="G17" s="10"/>
      <c r="H17" s="10"/>
      <c r="I17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D41D-A843-41E9-B807-60C2FC8D4793}">
  <dimension ref="E4:I14"/>
  <sheetViews>
    <sheetView workbookViewId="0">
      <selection activeCell="F25" sqref="F25"/>
    </sheetView>
  </sheetViews>
  <sheetFormatPr defaultRowHeight="14.4" x14ac:dyDescent="0.3"/>
  <cols>
    <col min="5" max="5" width="10.21875" customWidth="1"/>
    <col min="8" max="8" width="16.21875" customWidth="1"/>
    <col min="9" max="9" width="15" customWidth="1"/>
  </cols>
  <sheetData>
    <row r="4" spans="5:9" x14ac:dyDescent="0.3">
      <c r="E4" s="11" t="s">
        <v>310</v>
      </c>
    </row>
    <row r="6" spans="5:9" ht="19.5" customHeight="1" x14ac:dyDescent="0.3">
      <c r="H6" s="92" t="s">
        <v>309</v>
      </c>
      <c r="I6" s="92" t="s">
        <v>308</v>
      </c>
    </row>
    <row r="7" spans="5:9" x14ac:dyDescent="0.3">
      <c r="E7" t="s">
        <v>304</v>
      </c>
      <c r="F7">
        <v>2024</v>
      </c>
      <c r="H7" s="10">
        <v>289093</v>
      </c>
      <c r="I7" s="10"/>
    </row>
    <row r="8" spans="5:9" x14ac:dyDescent="0.3">
      <c r="E8" t="s">
        <v>302</v>
      </c>
      <c r="F8">
        <v>2024</v>
      </c>
      <c r="H8" s="10">
        <v>479958</v>
      </c>
      <c r="I8" s="10">
        <v>80000</v>
      </c>
    </row>
    <row r="9" spans="5:9" x14ac:dyDescent="0.3">
      <c r="E9" t="s">
        <v>303</v>
      </c>
      <c r="F9">
        <v>2024</v>
      </c>
      <c r="H9" s="10">
        <v>218827</v>
      </c>
      <c r="I9" s="10">
        <v>40000</v>
      </c>
    </row>
    <row r="10" spans="5:9" x14ac:dyDescent="0.3">
      <c r="E10" t="s">
        <v>306</v>
      </c>
      <c r="F10">
        <v>2025</v>
      </c>
      <c r="H10" s="10">
        <v>450000</v>
      </c>
      <c r="I10" s="10">
        <v>110000</v>
      </c>
    </row>
    <row r="11" spans="5:9" x14ac:dyDescent="0.3">
      <c r="E11" t="s">
        <v>307</v>
      </c>
      <c r="F11">
        <v>2025</v>
      </c>
      <c r="H11" s="10">
        <f>523314-450000</f>
        <v>73314</v>
      </c>
      <c r="I11" s="10">
        <v>20000</v>
      </c>
    </row>
    <row r="12" spans="5:9" x14ac:dyDescent="0.3">
      <c r="H12" s="10">
        <f>SUM(H7:H11)</f>
        <v>1511192</v>
      </c>
      <c r="I12" s="10">
        <f>SUM(I7:I11)</f>
        <v>250000</v>
      </c>
    </row>
    <row r="14" spans="5:9" x14ac:dyDescent="0.3">
      <c r="H14" s="93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EB51-F673-4B24-B985-ACF963D3D72B}">
  <sheetPr>
    <pageSetUpPr fitToPage="1"/>
  </sheetPr>
  <dimension ref="A1:P96"/>
  <sheetViews>
    <sheetView zoomScale="60" zoomScaleNormal="60" workbookViewId="0">
      <selection activeCell="G1" sqref="B1:G1048576"/>
    </sheetView>
  </sheetViews>
  <sheetFormatPr defaultRowHeight="14.4" x14ac:dyDescent="0.3"/>
  <cols>
    <col min="1" max="1" width="5" customWidth="1"/>
    <col min="2" max="2" width="82" customWidth="1"/>
    <col min="3" max="3" width="10.44140625" bestFit="1" customWidth="1"/>
    <col min="5" max="5" width="5.44140625" customWidth="1"/>
    <col min="6" max="6" width="36.109375" customWidth="1"/>
    <col min="7" max="7" width="4" customWidth="1"/>
    <col min="8" max="8" width="11.5546875" style="9" customWidth="1"/>
    <col min="9" max="9" width="2.77734375" customWidth="1"/>
    <col min="10" max="10" width="12.21875" style="9" customWidth="1"/>
    <col min="11" max="11" width="3.21875" customWidth="1"/>
    <col min="12" max="12" width="12.21875" customWidth="1"/>
    <col min="13" max="13" width="3.44140625" customWidth="1"/>
    <col min="14" max="14" width="12.21875" customWidth="1"/>
    <col min="15" max="15" width="4" customWidth="1"/>
    <col min="16" max="16" width="40" customWidth="1"/>
    <col min="17" max="17" width="10.5546875" customWidth="1"/>
  </cols>
  <sheetData>
    <row r="1" spans="1:16" x14ac:dyDescent="0.3">
      <c r="A1" s="182" t="e" vm="1">
        <v>#VALUE!</v>
      </c>
      <c r="B1" s="182"/>
    </row>
    <row r="2" spans="1:16" x14ac:dyDescent="0.3">
      <c r="A2" s="182"/>
      <c r="B2" s="182"/>
    </row>
    <row r="3" spans="1:16" x14ac:dyDescent="0.3">
      <c r="A3" s="182"/>
      <c r="B3" s="182"/>
      <c r="H3" s="9" t="s">
        <v>302</v>
      </c>
      <c r="J3" s="9" t="s">
        <v>303</v>
      </c>
      <c r="L3" s="9" t="s">
        <v>306</v>
      </c>
    </row>
    <row r="4" spans="1:16" ht="15" thickBot="1" x14ac:dyDescent="0.35">
      <c r="A4" s="31"/>
      <c r="B4" s="31"/>
      <c r="H4" s="2"/>
      <c r="J4" s="2"/>
      <c r="L4" s="2"/>
      <c r="M4" s="9"/>
      <c r="N4" s="2"/>
    </row>
    <row r="5" spans="1:16" ht="21.6" thickBot="1" x14ac:dyDescent="0.45">
      <c r="A5" s="32" t="s">
        <v>238</v>
      </c>
      <c r="B5" s="33"/>
      <c r="C5" s="2"/>
      <c r="D5" s="34"/>
      <c r="E5" s="34" t="s">
        <v>185</v>
      </c>
      <c r="F5" s="35">
        <f ca="1">TODAY()</f>
        <v>45879</v>
      </c>
      <c r="H5" s="101" t="s">
        <v>197</v>
      </c>
      <c r="J5" s="110" t="s">
        <v>298</v>
      </c>
      <c r="L5" s="153" t="s">
        <v>301</v>
      </c>
      <c r="M5" s="36"/>
      <c r="N5" s="157" t="s">
        <v>410</v>
      </c>
    </row>
    <row r="6" spans="1:16" x14ac:dyDescent="0.3">
      <c r="A6" s="36" t="s">
        <v>186</v>
      </c>
      <c r="B6" s="11" t="s">
        <v>187</v>
      </c>
      <c r="C6" s="36" t="s">
        <v>188</v>
      </c>
      <c r="D6" s="36"/>
      <c r="E6" s="11"/>
      <c r="F6" s="37" t="s">
        <v>189</v>
      </c>
      <c r="H6" s="99"/>
      <c r="J6" s="111"/>
      <c r="L6" s="154"/>
      <c r="N6" s="158"/>
    </row>
    <row r="7" spans="1:16" x14ac:dyDescent="0.3">
      <c r="A7" s="9"/>
      <c r="C7" s="9"/>
      <c r="D7" s="9"/>
      <c r="H7" s="99"/>
      <c r="J7" s="111"/>
      <c r="L7" s="154"/>
      <c r="N7" s="158"/>
    </row>
    <row r="8" spans="1:16" x14ac:dyDescent="0.3">
      <c r="A8" s="9">
        <v>1</v>
      </c>
      <c r="B8" t="s">
        <v>192</v>
      </c>
      <c r="C8" s="10">
        <v>11527</v>
      </c>
      <c r="D8" s="9" t="s">
        <v>190</v>
      </c>
      <c r="F8" s="28" t="s">
        <v>195</v>
      </c>
      <c r="H8" s="99"/>
      <c r="J8" s="111"/>
      <c r="L8" s="154"/>
      <c r="N8" s="159">
        <f>C8</f>
        <v>11527</v>
      </c>
    </row>
    <row r="9" spans="1:16" x14ac:dyDescent="0.3">
      <c r="A9" s="9"/>
      <c r="C9" s="9"/>
      <c r="D9" s="9"/>
      <c r="H9" s="99"/>
      <c r="J9" s="111"/>
      <c r="L9" s="154"/>
      <c r="N9" s="158"/>
    </row>
    <row r="10" spans="1:16" x14ac:dyDescent="0.3">
      <c r="A10" s="14">
        <v>2</v>
      </c>
      <c r="B10" s="13" t="s">
        <v>193</v>
      </c>
      <c r="C10" s="21">
        <f>((1298*0.8*2)+560+560)-5520</f>
        <v>-2323.1999999999998</v>
      </c>
      <c r="D10" s="14" t="s">
        <v>190</v>
      </c>
      <c r="F10" s="28" t="s">
        <v>194</v>
      </c>
      <c r="H10" s="99"/>
      <c r="J10" s="111"/>
      <c r="L10" s="155">
        <f>C10</f>
        <v>-2323.1999999999998</v>
      </c>
      <c r="N10" s="158"/>
    </row>
    <row r="11" spans="1:16" x14ac:dyDescent="0.3">
      <c r="A11" s="9"/>
      <c r="C11" s="10"/>
      <c r="D11" s="9"/>
      <c r="H11" s="99"/>
      <c r="J11" s="111"/>
      <c r="L11" s="154"/>
      <c r="N11" s="158"/>
    </row>
    <row r="12" spans="1:16" x14ac:dyDescent="0.3">
      <c r="A12" s="9">
        <v>3</v>
      </c>
      <c r="B12" t="s">
        <v>350</v>
      </c>
      <c r="C12" s="10">
        <f>7000*1.15</f>
        <v>8049.9999999999991</v>
      </c>
      <c r="D12" s="9" t="s">
        <v>190</v>
      </c>
      <c r="F12" s="28" t="s">
        <v>351</v>
      </c>
      <c r="H12" s="100">
        <f>C12</f>
        <v>8049.9999999999991</v>
      </c>
      <c r="J12" s="111"/>
      <c r="L12" s="154"/>
      <c r="N12" s="158"/>
      <c r="P12" t="s">
        <v>352</v>
      </c>
    </row>
    <row r="13" spans="1:16" x14ac:dyDescent="0.3">
      <c r="A13" s="9"/>
      <c r="C13" s="10"/>
      <c r="D13" s="9"/>
      <c r="H13" s="99"/>
      <c r="J13" s="111"/>
      <c r="L13" s="154"/>
      <c r="N13" s="158"/>
    </row>
    <row r="14" spans="1:16" x14ac:dyDescent="0.3">
      <c r="A14" s="9">
        <v>4</v>
      </c>
      <c r="B14" t="s">
        <v>313</v>
      </c>
      <c r="C14" s="10">
        <v>17810</v>
      </c>
      <c r="D14" s="9" t="s">
        <v>190</v>
      </c>
      <c r="F14" s="28" t="s">
        <v>314</v>
      </c>
      <c r="H14" s="100">
        <f>C14</f>
        <v>17810</v>
      </c>
      <c r="J14" s="111"/>
      <c r="L14" s="154"/>
      <c r="N14" s="158"/>
    </row>
    <row r="15" spans="1:16" x14ac:dyDescent="0.3">
      <c r="A15" s="9"/>
      <c r="C15" s="10"/>
      <c r="D15" s="9"/>
      <c r="H15" s="99"/>
      <c r="J15" s="111"/>
      <c r="L15" s="154"/>
      <c r="N15" s="158"/>
    </row>
    <row r="16" spans="1:16" x14ac:dyDescent="0.3">
      <c r="A16" s="14">
        <v>5</v>
      </c>
      <c r="B16" s="13" t="s">
        <v>202</v>
      </c>
      <c r="C16" s="10">
        <v>0</v>
      </c>
      <c r="D16" s="9" t="s">
        <v>190</v>
      </c>
      <c r="F16" s="28" t="s">
        <v>281</v>
      </c>
      <c r="H16" s="99"/>
      <c r="J16" s="111"/>
      <c r="L16" s="154"/>
      <c r="N16" s="158"/>
    </row>
    <row r="17" spans="1:14" x14ac:dyDescent="0.3">
      <c r="A17" s="9"/>
      <c r="C17" s="10"/>
      <c r="D17" s="9"/>
      <c r="H17" s="99"/>
      <c r="J17" s="111"/>
      <c r="L17" s="154"/>
      <c r="N17" s="158"/>
    </row>
    <row r="18" spans="1:14" x14ac:dyDescent="0.3">
      <c r="A18" s="9">
        <v>6</v>
      </c>
      <c r="B18" t="s">
        <v>236</v>
      </c>
      <c r="C18" s="10">
        <v>12880</v>
      </c>
      <c r="D18" s="9" t="s">
        <v>190</v>
      </c>
      <c r="F18" s="28" t="s">
        <v>272</v>
      </c>
      <c r="H18" s="100">
        <f>C18</f>
        <v>12880</v>
      </c>
      <c r="J18" s="111"/>
      <c r="L18" s="154"/>
      <c r="N18" s="158"/>
    </row>
    <row r="19" spans="1:14" x14ac:dyDescent="0.3">
      <c r="A19" s="9"/>
      <c r="C19" s="9"/>
      <c r="D19" s="9"/>
      <c r="H19" s="99"/>
      <c r="J19" s="111"/>
      <c r="L19" s="154"/>
      <c r="N19" s="158"/>
    </row>
    <row r="20" spans="1:14" x14ac:dyDescent="0.3">
      <c r="A20" s="9">
        <v>7</v>
      </c>
      <c r="B20" t="s">
        <v>203</v>
      </c>
      <c r="C20" s="10">
        <v>62065.3</v>
      </c>
      <c r="D20" s="9" t="s">
        <v>190</v>
      </c>
      <c r="F20" s="28" t="s">
        <v>335</v>
      </c>
      <c r="H20" s="100">
        <f>C20</f>
        <v>62065.3</v>
      </c>
      <c r="J20" s="111"/>
      <c r="L20" s="154"/>
      <c r="N20" s="158"/>
    </row>
    <row r="21" spans="1:14" x14ac:dyDescent="0.3">
      <c r="A21" s="9"/>
      <c r="C21" s="9"/>
      <c r="D21" s="9"/>
      <c r="H21" s="99"/>
      <c r="J21" s="111"/>
      <c r="L21" s="154"/>
      <c r="N21" s="158"/>
    </row>
    <row r="22" spans="1:14" x14ac:dyDescent="0.3">
      <c r="A22" s="9">
        <v>8</v>
      </c>
      <c r="B22" t="s">
        <v>362</v>
      </c>
      <c r="C22" s="10">
        <v>15680</v>
      </c>
      <c r="D22" s="9" t="s">
        <v>190</v>
      </c>
      <c r="F22" s="28" t="s">
        <v>325</v>
      </c>
      <c r="H22" s="99"/>
      <c r="J22" s="112">
        <f>C22</f>
        <v>15680</v>
      </c>
      <c r="L22" s="154"/>
      <c r="N22" s="158"/>
    </row>
    <row r="23" spans="1:14" x14ac:dyDescent="0.3">
      <c r="A23" s="9" t="s">
        <v>320</v>
      </c>
      <c r="B23" t="s">
        <v>322</v>
      </c>
      <c r="C23" s="10">
        <v>6500</v>
      </c>
      <c r="D23" s="9" t="s">
        <v>190</v>
      </c>
      <c r="F23" s="28" t="s">
        <v>325</v>
      </c>
      <c r="H23" s="99"/>
      <c r="J23" s="112">
        <f>C23</f>
        <v>6500</v>
      </c>
      <c r="L23" s="154"/>
      <c r="N23" s="158"/>
    </row>
    <row r="24" spans="1:14" x14ac:dyDescent="0.3">
      <c r="A24" s="9"/>
      <c r="H24" s="99"/>
      <c r="J24" s="111"/>
      <c r="L24" s="154"/>
      <c r="N24" s="158"/>
    </row>
    <row r="25" spans="1:14" x14ac:dyDescent="0.3">
      <c r="A25" s="14">
        <v>9</v>
      </c>
      <c r="B25" s="13" t="s">
        <v>294</v>
      </c>
      <c r="C25" s="21">
        <f>-11000+((4800+1100+650)*1.15)</f>
        <v>-3467.5000000000009</v>
      </c>
      <c r="D25" s="14" t="s">
        <v>190</v>
      </c>
      <c r="F25" s="28" t="s">
        <v>295</v>
      </c>
      <c r="H25" s="99"/>
      <c r="J25" s="111"/>
      <c r="L25" s="155">
        <f>C25</f>
        <v>-3467.5000000000009</v>
      </c>
      <c r="N25" s="158"/>
    </row>
    <row r="26" spans="1:14" x14ac:dyDescent="0.3">
      <c r="A26" s="9"/>
      <c r="C26" s="9"/>
      <c r="D26" s="9"/>
      <c r="H26" s="99"/>
      <c r="J26" s="111"/>
      <c r="L26" s="154"/>
      <c r="N26" s="158"/>
    </row>
    <row r="27" spans="1:14" x14ac:dyDescent="0.3">
      <c r="A27" s="9">
        <v>10</v>
      </c>
      <c r="B27" t="s">
        <v>237</v>
      </c>
      <c r="C27" s="10">
        <v>15520.400000000001</v>
      </c>
      <c r="D27" s="9" t="s">
        <v>190</v>
      </c>
      <c r="F27" s="28" t="s">
        <v>325</v>
      </c>
      <c r="H27" s="99"/>
      <c r="J27" s="112">
        <f>C27</f>
        <v>15520.400000000001</v>
      </c>
      <c r="L27" s="154"/>
      <c r="N27" s="158"/>
    </row>
    <row r="28" spans="1:14" x14ac:dyDescent="0.3">
      <c r="A28" s="9"/>
      <c r="C28" s="9"/>
      <c r="D28" s="9"/>
      <c r="H28" s="99"/>
      <c r="J28" s="111"/>
      <c r="L28" s="154"/>
      <c r="N28" s="158"/>
    </row>
    <row r="29" spans="1:14" x14ac:dyDescent="0.3">
      <c r="A29" s="9">
        <v>11</v>
      </c>
      <c r="B29" t="s">
        <v>290</v>
      </c>
      <c r="C29" s="10">
        <v>61641</v>
      </c>
      <c r="D29" s="9" t="s">
        <v>190</v>
      </c>
      <c r="F29" s="28" t="s">
        <v>273</v>
      </c>
      <c r="H29" s="99"/>
      <c r="J29" s="112">
        <f>C29</f>
        <v>61641</v>
      </c>
      <c r="L29" s="154"/>
      <c r="N29" s="158"/>
    </row>
    <row r="30" spans="1:14" x14ac:dyDescent="0.3">
      <c r="A30" s="9" t="s">
        <v>323</v>
      </c>
      <c r="B30" t="s">
        <v>324</v>
      </c>
      <c r="C30" s="10">
        <v>4350</v>
      </c>
      <c r="D30" s="9" t="s">
        <v>190</v>
      </c>
      <c r="F30" s="28" t="s">
        <v>325</v>
      </c>
      <c r="H30" s="99"/>
      <c r="J30" s="112">
        <f>C30</f>
        <v>4350</v>
      </c>
      <c r="L30" s="154"/>
      <c r="N30" s="158"/>
    </row>
    <row r="31" spans="1:14" x14ac:dyDescent="0.3">
      <c r="H31" s="99"/>
      <c r="J31" s="111"/>
      <c r="L31" s="154"/>
      <c r="N31" s="158"/>
    </row>
    <row r="32" spans="1:14" x14ac:dyDescent="0.3">
      <c r="A32" s="14">
        <v>12</v>
      </c>
      <c r="B32" s="13" t="s">
        <v>291</v>
      </c>
      <c r="C32" s="21">
        <v>-17578</v>
      </c>
      <c r="D32" s="14" t="s">
        <v>190</v>
      </c>
      <c r="F32" s="28" t="s">
        <v>272</v>
      </c>
      <c r="H32" s="99"/>
      <c r="J32" s="112">
        <f>C32</f>
        <v>-17578</v>
      </c>
      <c r="L32" s="154"/>
      <c r="N32" s="158"/>
    </row>
    <row r="33" spans="1:14" x14ac:dyDescent="0.3">
      <c r="A33" s="76" t="s">
        <v>321</v>
      </c>
      <c r="B33" s="5" t="s">
        <v>292</v>
      </c>
      <c r="C33" s="10">
        <f>6780*1.15</f>
        <v>7796.9999999999991</v>
      </c>
      <c r="D33" s="9" t="s">
        <v>190</v>
      </c>
      <c r="F33" s="28" t="s">
        <v>293</v>
      </c>
      <c r="H33" s="99"/>
      <c r="J33" s="112">
        <f>C33</f>
        <v>7796.9999999999991</v>
      </c>
      <c r="L33" s="154"/>
      <c r="N33" s="158"/>
    </row>
    <row r="34" spans="1:14" x14ac:dyDescent="0.3">
      <c r="H34" s="99"/>
      <c r="J34" s="111"/>
      <c r="L34" s="154"/>
      <c r="N34" s="158"/>
    </row>
    <row r="35" spans="1:14" x14ac:dyDescent="0.3">
      <c r="A35" s="9">
        <v>13</v>
      </c>
      <c r="B35" t="s">
        <v>269</v>
      </c>
      <c r="C35" s="10">
        <v>180090.75</v>
      </c>
      <c r="D35" s="9" t="s">
        <v>190</v>
      </c>
      <c r="F35" s="28" t="s">
        <v>273</v>
      </c>
      <c r="H35" s="99"/>
      <c r="J35" s="112">
        <f>C35/2</f>
        <v>90045.375</v>
      </c>
      <c r="L35" s="155">
        <f>C35/2</f>
        <v>90045.375</v>
      </c>
      <c r="N35" s="158"/>
    </row>
    <row r="36" spans="1:14" x14ac:dyDescent="0.3">
      <c r="A36" s="9"/>
      <c r="H36" s="99"/>
      <c r="J36" s="111"/>
      <c r="L36" s="154"/>
      <c r="N36" s="158"/>
    </row>
    <row r="37" spans="1:14" x14ac:dyDescent="0.3">
      <c r="A37" s="9">
        <v>14</v>
      </c>
      <c r="B37" t="s">
        <v>239</v>
      </c>
      <c r="C37" s="21">
        <v>-16115.5</v>
      </c>
      <c r="D37" s="14" t="s">
        <v>190</v>
      </c>
      <c r="F37" s="28" t="s">
        <v>274</v>
      </c>
      <c r="H37" s="99"/>
      <c r="J37" s="111"/>
      <c r="L37" s="155">
        <f>C37</f>
        <v>-16115.5</v>
      </c>
      <c r="N37" s="158"/>
    </row>
    <row r="38" spans="1:14" x14ac:dyDescent="0.3">
      <c r="A38" s="9"/>
      <c r="H38" s="99"/>
      <c r="J38" s="111"/>
      <c r="L38" s="154"/>
      <c r="N38" s="158"/>
    </row>
    <row r="39" spans="1:14" x14ac:dyDescent="0.3">
      <c r="A39" s="9">
        <v>15</v>
      </c>
      <c r="B39" t="s">
        <v>240</v>
      </c>
      <c r="C39" s="10">
        <v>18304</v>
      </c>
      <c r="D39" s="9" t="s">
        <v>190</v>
      </c>
      <c r="F39" s="28" t="s">
        <v>273</v>
      </c>
      <c r="H39" s="99"/>
      <c r="J39" s="111"/>
      <c r="L39" s="155">
        <f>C39</f>
        <v>18304</v>
      </c>
      <c r="N39" s="158"/>
    </row>
    <row r="40" spans="1:14" x14ac:dyDescent="0.3">
      <c r="A40" s="9"/>
      <c r="H40" s="99"/>
      <c r="J40" s="111"/>
      <c r="L40" s="154"/>
      <c r="N40" s="158"/>
    </row>
    <row r="41" spans="1:14" x14ac:dyDescent="0.3">
      <c r="A41" s="14">
        <v>16</v>
      </c>
      <c r="B41" s="13" t="s">
        <v>275</v>
      </c>
      <c r="C41" s="21">
        <v>-791</v>
      </c>
      <c r="D41" s="14" t="s">
        <v>190</v>
      </c>
      <c r="F41" s="28" t="s">
        <v>273</v>
      </c>
      <c r="H41" s="99"/>
      <c r="J41" s="111"/>
      <c r="L41" s="155">
        <f>C41</f>
        <v>-791</v>
      </c>
      <c r="N41" s="158"/>
    </row>
    <row r="42" spans="1:14" x14ac:dyDescent="0.3">
      <c r="A42" s="9"/>
      <c r="H42" s="99"/>
      <c r="J42" s="111"/>
      <c r="L42" s="154"/>
      <c r="N42" s="158"/>
    </row>
    <row r="43" spans="1:14" x14ac:dyDescent="0.3">
      <c r="A43" s="9">
        <v>17</v>
      </c>
      <c r="B43" t="s">
        <v>348</v>
      </c>
      <c r="C43" s="10">
        <f>36089*0.9</f>
        <v>32480.100000000002</v>
      </c>
      <c r="D43" s="9" t="s">
        <v>190</v>
      </c>
      <c r="F43" s="28" t="s">
        <v>351</v>
      </c>
      <c r="H43" s="99"/>
      <c r="J43" s="111"/>
      <c r="L43" s="155">
        <f>C43</f>
        <v>32480.100000000002</v>
      </c>
      <c r="N43" s="158"/>
    </row>
    <row r="44" spans="1:14" x14ac:dyDescent="0.3">
      <c r="H44" s="99"/>
      <c r="J44" s="111"/>
      <c r="L44" s="154"/>
      <c r="N44" s="158"/>
    </row>
    <row r="45" spans="1:14" x14ac:dyDescent="0.3">
      <c r="A45" s="9">
        <v>18</v>
      </c>
      <c r="B45" t="s">
        <v>297</v>
      </c>
      <c r="C45" s="10">
        <v>2500</v>
      </c>
      <c r="D45" s="9" t="s">
        <v>190</v>
      </c>
      <c r="F45" s="28" t="s">
        <v>325</v>
      </c>
      <c r="H45" s="100">
        <f>C45</f>
        <v>2500</v>
      </c>
      <c r="J45" s="111"/>
      <c r="L45" s="154"/>
      <c r="N45" s="158"/>
    </row>
    <row r="46" spans="1:14" x14ac:dyDescent="0.3">
      <c r="H46" s="99"/>
      <c r="J46" s="111"/>
      <c r="L46" s="154"/>
      <c r="N46" s="158"/>
    </row>
    <row r="47" spans="1:14" x14ac:dyDescent="0.3">
      <c r="A47" s="9">
        <v>19</v>
      </c>
      <c r="B47" t="s">
        <v>312</v>
      </c>
      <c r="F47" s="94" t="s">
        <v>201</v>
      </c>
      <c r="H47" s="99"/>
      <c r="J47" s="111"/>
      <c r="L47" s="154"/>
      <c r="N47" s="158"/>
    </row>
    <row r="48" spans="1:14" x14ac:dyDescent="0.3">
      <c r="H48" s="99"/>
      <c r="J48" s="111"/>
      <c r="L48" s="154"/>
      <c r="N48" s="158"/>
    </row>
    <row r="49" spans="1:16" x14ac:dyDescent="0.3">
      <c r="A49" s="9">
        <v>20</v>
      </c>
      <c r="B49" t="s">
        <v>326</v>
      </c>
      <c r="C49" s="9">
        <v>900</v>
      </c>
      <c r="D49" s="9" t="s">
        <v>190</v>
      </c>
      <c r="F49" s="28" t="s">
        <v>357</v>
      </c>
      <c r="H49" s="99"/>
      <c r="J49" s="111"/>
      <c r="L49" s="155">
        <f>C49</f>
        <v>900</v>
      </c>
      <c r="N49" s="158"/>
    </row>
    <row r="50" spans="1:16" x14ac:dyDescent="0.3">
      <c r="H50" s="99"/>
      <c r="J50" s="111"/>
      <c r="L50" s="154"/>
      <c r="N50" s="158"/>
    </row>
    <row r="51" spans="1:16" x14ac:dyDescent="0.3">
      <c r="A51" s="98">
        <v>21</v>
      </c>
      <c r="B51" t="s">
        <v>336</v>
      </c>
      <c r="C51" s="10">
        <v>1950</v>
      </c>
      <c r="D51" s="9" t="s">
        <v>190</v>
      </c>
      <c r="F51" s="28" t="s">
        <v>337</v>
      </c>
      <c r="H51" s="100">
        <f>C51</f>
        <v>1950</v>
      </c>
      <c r="J51" s="111"/>
      <c r="L51" s="154"/>
      <c r="N51" s="158"/>
    </row>
    <row r="52" spans="1:16" x14ac:dyDescent="0.3">
      <c r="H52" s="99"/>
      <c r="J52" s="111"/>
      <c r="L52" s="154"/>
      <c r="N52" s="158"/>
    </row>
    <row r="53" spans="1:16" x14ac:dyDescent="0.3">
      <c r="A53" s="14">
        <v>22</v>
      </c>
      <c r="B53" s="13" t="s">
        <v>347</v>
      </c>
      <c r="C53" s="21" t="s">
        <v>356</v>
      </c>
      <c r="D53" s="14" t="s">
        <v>190</v>
      </c>
      <c r="F53" s="28" t="s">
        <v>355</v>
      </c>
      <c r="H53" s="99"/>
      <c r="J53" s="111"/>
      <c r="L53" s="154"/>
      <c r="N53" s="158"/>
    </row>
    <row r="54" spans="1:16" x14ac:dyDescent="0.3">
      <c r="H54" s="99"/>
      <c r="J54" s="111"/>
      <c r="L54" s="154"/>
      <c r="N54" s="158"/>
    </row>
    <row r="55" spans="1:16" x14ac:dyDescent="0.3">
      <c r="A55" s="9">
        <v>23</v>
      </c>
      <c r="B55" t="s">
        <v>353</v>
      </c>
      <c r="C55" s="10">
        <f>575*3</f>
        <v>1725</v>
      </c>
      <c r="D55" s="9" t="s">
        <v>190</v>
      </c>
      <c r="F55" s="28" t="s">
        <v>357</v>
      </c>
      <c r="H55" s="99"/>
      <c r="J55" s="111"/>
      <c r="L55" s="155">
        <f>C55</f>
        <v>1725</v>
      </c>
      <c r="N55" s="158"/>
    </row>
    <row r="56" spans="1:16" x14ac:dyDescent="0.3">
      <c r="H56" s="99"/>
      <c r="J56" s="111"/>
      <c r="L56" s="154"/>
      <c r="N56" s="158"/>
    </row>
    <row r="57" spans="1:16" x14ac:dyDescent="0.3">
      <c r="A57" s="9">
        <v>24</v>
      </c>
      <c r="B57" t="s">
        <v>349</v>
      </c>
      <c r="C57" s="10">
        <v>15238</v>
      </c>
      <c r="D57" s="9" t="s">
        <v>190</v>
      </c>
      <c r="F57" s="28" t="s">
        <v>366</v>
      </c>
      <c r="H57" s="99"/>
      <c r="J57" s="111"/>
      <c r="L57" s="155">
        <f>C57</f>
        <v>15238</v>
      </c>
      <c r="N57" s="158"/>
      <c r="P57" s="28" t="s">
        <v>367</v>
      </c>
    </row>
    <row r="58" spans="1:16" x14ac:dyDescent="0.3">
      <c r="C58" s="10"/>
      <c r="H58" s="99"/>
      <c r="J58" s="111"/>
      <c r="L58" s="154"/>
      <c r="N58" s="158"/>
    </row>
    <row r="59" spans="1:16" x14ac:dyDescent="0.3">
      <c r="A59" s="14">
        <v>25</v>
      </c>
      <c r="B59" s="13" t="s">
        <v>354</v>
      </c>
      <c r="C59" s="21" t="s">
        <v>356</v>
      </c>
      <c r="D59" s="14" t="s">
        <v>190</v>
      </c>
      <c r="F59" s="28" t="s">
        <v>355</v>
      </c>
      <c r="H59" s="99"/>
      <c r="J59" s="111"/>
      <c r="L59" s="154"/>
      <c r="N59" s="158"/>
    </row>
    <row r="60" spans="1:16" x14ac:dyDescent="0.3">
      <c r="A60" s="13"/>
      <c r="B60" s="13"/>
      <c r="C60" s="13"/>
      <c r="D60" s="13"/>
      <c r="H60" s="99"/>
      <c r="J60" s="111"/>
      <c r="L60" s="154"/>
      <c r="N60" s="158"/>
    </row>
    <row r="61" spans="1:16" x14ac:dyDescent="0.3">
      <c r="A61" s="76">
        <v>26</v>
      </c>
      <c r="B61" s="5" t="s">
        <v>358</v>
      </c>
      <c r="C61" s="10">
        <v>863</v>
      </c>
      <c r="D61" s="9" t="s">
        <v>190</v>
      </c>
      <c r="F61" s="28" t="s">
        <v>359</v>
      </c>
      <c r="H61" s="99"/>
      <c r="J61" s="112">
        <f>C61</f>
        <v>863</v>
      </c>
      <c r="L61" s="154"/>
      <c r="N61" s="158"/>
    </row>
    <row r="62" spans="1:16" x14ac:dyDescent="0.3">
      <c r="H62" s="99"/>
      <c r="J62" s="111"/>
      <c r="L62" s="154"/>
      <c r="N62" s="158"/>
    </row>
    <row r="63" spans="1:16" x14ac:dyDescent="0.3">
      <c r="A63" s="76">
        <v>27</v>
      </c>
      <c r="B63" t="s">
        <v>381</v>
      </c>
      <c r="C63" s="10">
        <f>(2950+500+500)*1.15</f>
        <v>4542.5</v>
      </c>
      <c r="D63" s="9" t="s">
        <v>190</v>
      </c>
      <c r="F63" s="28" t="s">
        <v>377</v>
      </c>
      <c r="H63" s="99"/>
      <c r="J63" s="111"/>
      <c r="L63" s="155">
        <f>C63</f>
        <v>4542.5</v>
      </c>
      <c r="N63" s="158"/>
    </row>
    <row r="64" spans="1:16" x14ac:dyDescent="0.3">
      <c r="H64" s="99"/>
      <c r="J64" s="111"/>
      <c r="L64" s="154"/>
      <c r="N64" s="158"/>
    </row>
    <row r="65" spans="1:16" x14ac:dyDescent="0.3">
      <c r="A65" s="9">
        <v>28</v>
      </c>
      <c r="B65" t="s">
        <v>363</v>
      </c>
      <c r="C65" s="10">
        <v>1900</v>
      </c>
      <c r="D65" s="9" t="s">
        <v>190</v>
      </c>
      <c r="F65" s="28" t="s">
        <v>364</v>
      </c>
      <c r="H65" s="99"/>
      <c r="J65" s="112">
        <f>C65</f>
        <v>1900</v>
      </c>
      <c r="L65" s="154"/>
      <c r="N65" s="158"/>
    </row>
    <row r="66" spans="1:16" x14ac:dyDescent="0.3">
      <c r="H66" s="99"/>
      <c r="J66" s="111"/>
      <c r="L66" s="154"/>
      <c r="N66" s="158"/>
    </row>
    <row r="67" spans="1:16" x14ac:dyDescent="0.3">
      <c r="A67" s="9">
        <v>29</v>
      </c>
      <c r="B67" t="s">
        <v>378</v>
      </c>
      <c r="C67" s="10">
        <f>6*575</f>
        <v>3450</v>
      </c>
      <c r="D67" s="9" t="s">
        <v>190</v>
      </c>
      <c r="F67" s="127" t="s">
        <v>382</v>
      </c>
      <c r="H67" s="99"/>
      <c r="J67" s="111"/>
      <c r="L67" s="155">
        <f>C67</f>
        <v>3450</v>
      </c>
      <c r="N67" s="158"/>
    </row>
    <row r="68" spans="1:16" x14ac:dyDescent="0.3">
      <c r="H68" s="99"/>
      <c r="J68" s="111"/>
      <c r="L68" s="154"/>
      <c r="N68" s="158"/>
    </row>
    <row r="69" spans="1:16" x14ac:dyDescent="0.3">
      <c r="A69" s="9">
        <v>30</v>
      </c>
      <c r="B69" t="s">
        <v>380</v>
      </c>
      <c r="C69" s="10">
        <f>(575*2)+900</f>
        <v>2050</v>
      </c>
      <c r="D69" s="9" t="s">
        <v>190</v>
      </c>
      <c r="F69" s="28" t="s">
        <v>379</v>
      </c>
      <c r="H69" s="99"/>
      <c r="J69" s="111"/>
      <c r="K69" s="9"/>
      <c r="L69" s="155">
        <f>C69</f>
        <v>2050</v>
      </c>
      <c r="M69" s="9"/>
      <c r="N69" s="160"/>
    </row>
    <row r="70" spans="1:16" x14ac:dyDescent="0.3">
      <c r="H70" s="99"/>
      <c r="J70" s="111"/>
      <c r="L70" s="154"/>
      <c r="N70" s="158"/>
    </row>
    <row r="71" spans="1:16" x14ac:dyDescent="0.3">
      <c r="A71" s="9">
        <v>31</v>
      </c>
      <c r="B71" t="s">
        <v>386</v>
      </c>
      <c r="C71" s="10">
        <f>(3*585)+(4*650)+800+450</f>
        <v>5605</v>
      </c>
      <c r="D71" s="9" t="s">
        <v>190</v>
      </c>
      <c r="F71" s="28" t="s">
        <v>387</v>
      </c>
      <c r="H71" s="99"/>
      <c r="J71" s="111"/>
      <c r="L71" s="154"/>
      <c r="N71" s="159">
        <f>C71</f>
        <v>5605</v>
      </c>
    </row>
    <row r="72" spans="1:16" x14ac:dyDescent="0.3">
      <c r="A72" s="9"/>
      <c r="H72" s="99"/>
      <c r="J72" s="111"/>
      <c r="L72" s="154"/>
      <c r="N72" s="158"/>
    </row>
    <row r="73" spans="1:16" x14ac:dyDescent="0.3">
      <c r="A73" s="9">
        <v>32</v>
      </c>
      <c r="B73" t="s">
        <v>385</v>
      </c>
      <c r="C73" s="10">
        <f>(7*585) +2000</f>
        <v>6095</v>
      </c>
      <c r="D73" s="9" t="s">
        <v>190</v>
      </c>
      <c r="F73" s="28" t="s">
        <v>387</v>
      </c>
      <c r="H73" s="99"/>
      <c r="J73" s="111"/>
      <c r="L73" s="155">
        <f>C73</f>
        <v>6095</v>
      </c>
      <c r="N73" s="158"/>
    </row>
    <row r="74" spans="1:16" x14ac:dyDescent="0.3">
      <c r="H74" s="99"/>
      <c r="J74" s="111"/>
      <c r="L74" s="154"/>
      <c r="N74" s="158"/>
    </row>
    <row r="75" spans="1:16" x14ac:dyDescent="0.3">
      <c r="A75" s="9">
        <v>33</v>
      </c>
      <c r="B75" t="s">
        <v>395</v>
      </c>
      <c r="C75" s="10">
        <v>5950</v>
      </c>
      <c r="D75" s="9" t="s">
        <v>190</v>
      </c>
      <c r="F75" s="28" t="s">
        <v>398</v>
      </c>
      <c r="H75" s="99"/>
      <c r="J75" s="111"/>
      <c r="L75" s="155">
        <f>C75</f>
        <v>5950</v>
      </c>
      <c r="N75" s="158"/>
      <c r="P75" s="132" t="s">
        <v>396</v>
      </c>
    </row>
    <row r="76" spans="1:16" x14ac:dyDescent="0.3">
      <c r="A76" s="9"/>
      <c r="H76" s="99"/>
      <c r="J76" s="111"/>
      <c r="L76" s="154"/>
      <c r="N76" s="158"/>
    </row>
    <row r="77" spans="1:16" x14ac:dyDescent="0.3">
      <c r="A77" s="9">
        <v>33</v>
      </c>
      <c r="B77" t="s">
        <v>397</v>
      </c>
      <c r="C77" s="10">
        <v>10625</v>
      </c>
      <c r="D77" s="9" t="s">
        <v>190</v>
      </c>
      <c r="F77" s="28" t="s">
        <v>398</v>
      </c>
      <c r="H77" s="99"/>
      <c r="J77" s="111"/>
      <c r="L77" s="154"/>
      <c r="N77" s="159">
        <f>C77</f>
        <v>10625</v>
      </c>
    </row>
    <row r="78" spans="1:16" x14ac:dyDescent="0.3">
      <c r="A78" s="9"/>
      <c r="C78" s="62"/>
      <c r="H78" s="99"/>
      <c r="J78" s="111"/>
      <c r="L78" s="154"/>
      <c r="N78" s="158"/>
    </row>
    <row r="79" spans="1:16" x14ac:dyDescent="0.3">
      <c r="A79" s="9">
        <v>34</v>
      </c>
      <c r="B79" t="s">
        <v>451</v>
      </c>
      <c r="C79" s="10">
        <v>376</v>
      </c>
      <c r="D79" s="9" t="s">
        <v>190</v>
      </c>
      <c r="F79" s="28" t="s">
        <v>452</v>
      </c>
      <c r="H79" s="99"/>
      <c r="J79" s="111"/>
      <c r="L79" s="154"/>
      <c r="N79" s="159">
        <f>C79</f>
        <v>376</v>
      </c>
    </row>
    <row r="80" spans="1:16" x14ac:dyDescent="0.3">
      <c r="H80" s="99"/>
      <c r="J80" s="111"/>
      <c r="L80" s="154"/>
      <c r="N80" s="158"/>
    </row>
    <row r="81" spans="1:16" x14ac:dyDescent="0.3">
      <c r="A81" s="9">
        <v>35</v>
      </c>
      <c r="B81" t="s">
        <v>409</v>
      </c>
      <c r="C81" s="10">
        <f>1300*1.15</f>
        <v>1494.9999999999998</v>
      </c>
      <c r="D81" s="9" t="s">
        <v>190</v>
      </c>
      <c r="F81" s="28" t="s">
        <v>412</v>
      </c>
      <c r="H81" s="99"/>
      <c r="J81" s="111"/>
      <c r="L81" s="154"/>
      <c r="N81" s="159">
        <f>C81</f>
        <v>1494.9999999999998</v>
      </c>
    </row>
    <row r="82" spans="1:16" x14ac:dyDescent="0.3">
      <c r="A82" s="9"/>
      <c r="H82" s="99"/>
      <c r="J82" s="111"/>
      <c r="L82" s="154"/>
      <c r="N82" s="158"/>
    </row>
    <row r="83" spans="1:16" x14ac:dyDescent="0.3">
      <c r="A83" s="9">
        <v>36</v>
      </c>
      <c r="B83" t="s">
        <v>445</v>
      </c>
      <c r="C83" s="10">
        <f>1500*1.15</f>
        <v>1724.9999999999998</v>
      </c>
      <c r="D83" s="9" t="s">
        <v>190</v>
      </c>
      <c r="F83" s="28" t="s">
        <v>446</v>
      </c>
      <c r="H83" s="99"/>
      <c r="J83" s="111"/>
      <c r="L83" s="154"/>
      <c r="N83" s="169">
        <f>C83</f>
        <v>1724.9999999999998</v>
      </c>
      <c r="P83" t="s">
        <v>453</v>
      </c>
    </row>
    <row r="84" spans="1:16" x14ac:dyDescent="0.3">
      <c r="A84" s="9"/>
      <c r="H84" s="99"/>
      <c r="J84" s="111"/>
      <c r="L84" s="154"/>
      <c r="N84" s="158"/>
    </row>
    <row r="85" spans="1:16" x14ac:dyDescent="0.3">
      <c r="A85" s="9">
        <v>37</v>
      </c>
      <c r="B85" t="s">
        <v>428</v>
      </c>
      <c r="C85" s="10">
        <v>7475</v>
      </c>
      <c r="D85" s="9" t="s">
        <v>190</v>
      </c>
      <c r="F85" s="28" t="s">
        <v>429</v>
      </c>
      <c r="H85" s="99"/>
      <c r="J85" s="111"/>
      <c r="L85" s="154"/>
      <c r="N85" s="159">
        <v>7475</v>
      </c>
    </row>
    <row r="86" spans="1:16" x14ac:dyDescent="0.3">
      <c r="A86" s="9"/>
      <c r="H86" s="99"/>
      <c r="J86" s="111"/>
      <c r="L86" s="154"/>
      <c r="N86" s="158"/>
    </row>
    <row r="87" spans="1:16" x14ac:dyDescent="0.3">
      <c r="A87" s="9">
        <v>38</v>
      </c>
      <c r="B87" t="s">
        <v>448</v>
      </c>
      <c r="C87" s="10">
        <v>1800</v>
      </c>
      <c r="D87" s="9" t="s">
        <v>190</v>
      </c>
      <c r="F87" s="55" t="s">
        <v>449</v>
      </c>
      <c r="H87" s="99"/>
      <c r="J87" s="111"/>
      <c r="L87" s="154"/>
      <c r="N87" s="169">
        <f>C87</f>
        <v>1800</v>
      </c>
    </row>
    <row r="88" spans="1:16" x14ac:dyDescent="0.3">
      <c r="A88" s="9"/>
      <c r="H88" s="99"/>
      <c r="J88" s="111"/>
      <c r="L88" s="154"/>
      <c r="N88" s="158"/>
    </row>
    <row r="89" spans="1:16" x14ac:dyDescent="0.3">
      <c r="A89" s="14">
        <v>40</v>
      </c>
      <c r="B89" s="13" t="s">
        <v>450</v>
      </c>
      <c r="C89" s="21">
        <v>-2700</v>
      </c>
      <c r="D89" s="14" t="s">
        <v>190</v>
      </c>
      <c r="F89" s="28" t="s">
        <v>447</v>
      </c>
      <c r="H89" s="99"/>
      <c r="J89" s="111"/>
      <c r="L89" s="154"/>
      <c r="N89" s="168">
        <f>C89</f>
        <v>-2700</v>
      </c>
    </row>
    <row r="90" spans="1:16" x14ac:dyDescent="0.3">
      <c r="A90" s="9"/>
      <c r="H90" s="99"/>
      <c r="J90" s="111"/>
      <c r="L90" s="154"/>
      <c r="N90" s="158"/>
    </row>
    <row r="91" spans="1:16" ht="15" thickBot="1" x14ac:dyDescent="0.35">
      <c r="B91" s="25" t="s">
        <v>191</v>
      </c>
      <c r="C91" s="26">
        <f>SUM(C8:C90)</f>
        <v>487984.85</v>
      </c>
      <c r="D91" s="9" t="s">
        <v>190</v>
      </c>
      <c r="H91" s="102">
        <f>SUM(H8:H67)</f>
        <v>105255.3</v>
      </c>
      <c r="J91" s="113">
        <f>SUM(J8:J67)</f>
        <v>186718.77499999999</v>
      </c>
      <c r="L91" s="156">
        <f>SUM(L8:L83)</f>
        <v>158082.77500000002</v>
      </c>
      <c r="N91" s="161">
        <f>SUM(N8:N90)</f>
        <v>37928</v>
      </c>
    </row>
    <row r="92" spans="1:16" ht="15" thickTop="1" x14ac:dyDescent="0.3"/>
    <row r="93" spans="1:16" x14ac:dyDescent="0.3">
      <c r="B93" s="11" t="s">
        <v>454</v>
      </c>
    </row>
    <row r="95" spans="1:16" ht="15" thickBot="1" x14ac:dyDescent="0.35">
      <c r="A95" s="9">
        <v>39</v>
      </c>
      <c r="B95" t="s">
        <v>442</v>
      </c>
      <c r="C95" s="10">
        <v>6730</v>
      </c>
      <c r="D95" s="9" t="s">
        <v>190</v>
      </c>
      <c r="F95" s="28" t="s">
        <v>443</v>
      </c>
      <c r="N95" s="161">
        <f>C95</f>
        <v>6730</v>
      </c>
    </row>
    <row r="96" spans="1:16" ht="15" thickTop="1" x14ac:dyDescent="0.3"/>
  </sheetData>
  <mergeCells count="1">
    <mergeCell ref="A1:B3"/>
  </mergeCells>
  <pageMargins left="0.7" right="0.7" top="0.75" bottom="0.75" header="0.3" footer="0.3"/>
  <pageSetup paperSize="8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7FC4-75B3-42F8-8E23-514704D45BB9}">
  <dimension ref="B4:N32"/>
  <sheetViews>
    <sheetView zoomScale="90" zoomScaleNormal="90" workbookViewId="0">
      <selection activeCell="F8" sqref="F8"/>
    </sheetView>
  </sheetViews>
  <sheetFormatPr defaultRowHeight="14.4" x14ac:dyDescent="0.3"/>
  <cols>
    <col min="1" max="1" width="3.77734375" customWidth="1"/>
    <col min="2" max="2" width="21.5546875" customWidth="1"/>
    <col min="3" max="3" width="11.44140625" style="26" customWidth="1"/>
    <col min="5" max="5" width="20.6640625" customWidth="1"/>
    <col min="6" max="6" width="10.77734375" customWidth="1"/>
    <col min="8" max="8" width="13.77734375" customWidth="1"/>
    <col min="10" max="10" width="7.6640625" style="98" customWidth="1"/>
    <col min="12" max="12" width="3.5546875" customWidth="1"/>
  </cols>
  <sheetData>
    <row r="4" spans="2:11" x14ac:dyDescent="0.3">
      <c r="B4" t="s">
        <v>413</v>
      </c>
      <c r="E4" t="s">
        <v>413</v>
      </c>
      <c r="F4" s="26"/>
    </row>
    <row r="5" spans="2:11" x14ac:dyDescent="0.3">
      <c r="B5" t="s">
        <v>414</v>
      </c>
      <c r="C5" s="26">
        <v>391642</v>
      </c>
      <c r="E5" t="s">
        <v>414</v>
      </c>
      <c r="F5" s="26">
        <v>185026</v>
      </c>
    </row>
    <row r="6" spans="2:11" x14ac:dyDescent="0.3">
      <c r="B6" t="s">
        <v>415</v>
      </c>
      <c r="C6" s="26">
        <v>26893.500000000058</v>
      </c>
      <c r="E6" t="s">
        <v>415</v>
      </c>
      <c r="F6" s="26">
        <v>26893.500000000058</v>
      </c>
    </row>
    <row r="7" spans="2:11" x14ac:dyDescent="0.3">
      <c r="B7" t="s">
        <v>416</v>
      </c>
      <c r="C7" s="26">
        <v>32394</v>
      </c>
      <c r="E7" t="s">
        <v>416</v>
      </c>
      <c r="F7" s="26">
        <v>44568</v>
      </c>
    </row>
    <row r="8" spans="2:11" x14ac:dyDescent="0.3">
      <c r="C8" s="163">
        <f>SUM(C3:C7)</f>
        <v>450929.50000000006</v>
      </c>
      <c r="F8" s="163">
        <f>SUM(F3:F7)</f>
        <v>256487.50000000006</v>
      </c>
    </row>
    <row r="9" spans="2:11" x14ac:dyDescent="0.3">
      <c r="F9" s="26"/>
    </row>
    <row r="10" spans="2:11" x14ac:dyDescent="0.3">
      <c r="F10" s="26"/>
    </row>
    <row r="11" spans="2:11" x14ac:dyDescent="0.3">
      <c r="B11" t="s">
        <v>417</v>
      </c>
      <c r="E11" t="s">
        <v>417</v>
      </c>
      <c r="F11" s="26"/>
    </row>
    <row r="12" spans="2:11" x14ac:dyDescent="0.3">
      <c r="B12" t="s">
        <v>418</v>
      </c>
      <c r="C12" s="26">
        <v>8000</v>
      </c>
      <c r="I12" t="s">
        <v>465</v>
      </c>
      <c r="K12" t="s">
        <v>466</v>
      </c>
    </row>
    <row r="13" spans="2:11" x14ac:dyDescent="0.3">
      <c r="B13" t="s">
        <v>419</v>
      </c>
      <c r="C13" s="26">
        <f>500*20</f>
        <v>10000</v>
      </c>
      <c r="E13" t="s">
        <v>419</v>
      </c>
      <c r="F13" s="26">
        <f>500*20</f>
        <v>10000</v>
      </c>
    </row>
    <row r="14" spans="2:11" x14ac:dyDescent="0.3">
      <c r="B14" t="s">
        <v>420</v>
      </c>
      <c r="C14" s="26">
        <f>30*400</f>
        <v>12000</v>
      </c>
      <c r="E14" t="s">
        <v>420</v>
      </c>
      <c r="F14" s="26">
        <f>4*400</f>
        <v>1600</v>
      </c>
      <c r="H14" t="s">
        <v>460</v>
      </c>
      <c r="I14" s="26">
        <v>6500</v>
      </c>
      <c r="J14" s="126" t="s">
        <v>431</v>
      </c>
      <c r="K14" s="26">
        <v>6500</v>
      </c>
    </row>
    <row r="15" spans="2:11" x14ac:dyDescent="0.3">
      <c r="B15" t="s">
        <v>421</v>
      </c>
      <c r="C15" s="26">
        <f>107295-19100</f>
        <v>88195</v>
      </c>
      <c r="E15" t="s">
        <v>421</v>
      </c>
      <c r="F15" s="26">
        <f>98969-(9100+500)</f>
        <v>89369</v>
      </c>
      <c r="H15" t="s">
        <v>461</v>
      </c>
      <c r="I15" s="26">
        <v>4500</v>
      </c>
      <c r="J15" s="126" t="s">
        <v>467</v>
      </c>
      <c r="K15" s="119">
        <v>4350</v>
      </c>
    </row>
    <row r="16" spans="2:11" x14ac:dyDescent="0.3">
      <c r="B16" t="s">
        <v>422</v>
      </c>
      <c r="C16" s="26">
        <f>97000+15000</f>
        <v>112000</v>
      </c>
      <c r="E16" t="s">
        <v>423</v>
      </c>
      <c r="F16" s="26">
        <v>26337</v>
      </c>
      <c r="H16" t="s">
        <v>462</v>
      </c>
      <c r="I16" s="26">
        <v>2300</v>
      </c>
      <c r="J16" s="126" t="s">
        <v>431</v>
      </c>
      <c r="K16" s="26">
        <v>2300</v>
      </c>
    </row>
    <row r="17" spans="2:14" x14ac:dyDescent="0.3">
      <c r="B17" t="s">
        <v>423</v>
      </c>
      <c r="C17" s="26">
        <f>11000+4300</f>
        <v>15300</v>
      </c>
      <c r="E17" t="s">
        <v>249</v>
      </c>
      <c r="F17" s="26"/>
      <c r="H17" t="s">
        <v>230</v>
      </c>
      <c r="I17" s="26">
        <v>1500</v>
      </c>
      <c r="J17" s="126" t="s">
        <v>431</v>
      </c>
      <c r="K17" s="26">
        <v>1500</v>
      </c>
    </row>
    <row r="18" spans="2:14" x14ac:dyDescent="0.3">
      <c r="B18" t="s">
        <v>424</v>
      </c>
      <c r="C18" s="26">
        <v>10000</v>
      </c>
      <c r="F18" s="26"/>
      <c r="H18" t="s">
        <v>463</v>
      </c>
      <c r="I18" s="26">
        <v>6720</v>
      </c>
      <c r="J18" s="126" t="s">
        <v>467</v>
      </c>
      <c r="K18" s="119">
        <v>4120</v>
      </c>
      <c r="N18" s="28" t="s">
        <v>367</v>
      </c>
    </row>
    <row r="19" spans="2:14" x14ac:dyDescent="0.3">
      <c r="B19" t="s">
        <v>249</v>
      </c>
      <c r="C19" s="26">
        <v>20000</v>
      </c>
      <c r="F19" s="26"/>
      <c r="H19" t="s">
        <v>464</v>
      </c>
      <c r="I19" s="26">
        <v>6567</v>
      </c>
      <c r="J19" s="126" t="s">
        <v>431</v>
      </c>
      <c r="K19" s="26">
        <v>6567</v>
      </c>
    </row>
    <row r="20" spans="2:14" x14ac:dyDescent="0.3">
      <c r="B20" t="s">
        <v>441</v>
      </c>
      <c r="C20" s="26">
        <v>54000</v>
      </c>
      <c r="I20" s="26"/>
      <c r="J20" s="126"/>
      <c r="K20" s="26"/>
    </row>
    <row r="21" spans="2:14" x14ac:dyDescent="0.3">
      <c r="F21" s="26"/>
      <c r="I21" s="26">
        <f>SUM(I14:I20)</f>
        <v>28087</v>
      </c>
      <c r="J21" s="126"/>
      <c r="K21" s="40">
        <f>SUM(K14:K20)</f>
        <v>25337</v>
      </c>
    </row>
    <row r="22" spans="2:14" x14ac:dyDescent="0.3">
      <c r="C22" s="163">
        <f>SUM(C12:C20)</f>
        <v>329495</v>
      </c>
      <c r="F22" s="163">
        <f>SUM(F12:F20)</f>
        <v>127306</v>
      </c>
    </row>
    <row r="23" spans="2:14" x14ac:dyDescent="0.3">
      <c r="F23" s="26"/>
    </row>
    <row r="24" spans="2:14" x14ac:dyDescent="0.3">
      <c r="F24" s="26"/>
    </row>
    <row r="25" spans="2:14" x14ac:dyDescent="0.3">
      <c r="F25" s="26"/>
    </row>
    <row r="26" spans="2:14" x14ac:dyDescent="0.3">
      <c r="F26" s="26"/>
    </row>
    <row r="27" spans="2:14" x14ac:dyDescent="0.3">
      <c r="B27" t="s">
        <v>425</v>
      </c>
      <c r="C27" s="164">
        <f>C8-C22</f>
        <v>121434.50000000006</v>
      </c>
      <c r="E27" t="s">
        <v>425</v>
      </c>
      <c r="F27" s="164">
        <f>F8-F22</f>
        <v>129181.50000000006</v>
      </c>
    </row>
    <row r="28" spans="2:14" x14ac:dyDescent="0.3">
      <c r="F28" s="26"/>
    </row>
    <row r="29" spans="2:14" x14ac:dyDescent="0.3">
      <c r="B29" t="s">
        <v>305</v>
      </c>
      <c r="C29" s="26">
        <v>1497591.5999999999</v>
      </c>
      <c r="E29" t="s">
        <v>305</v>
      </c>
      <c r="F29" s="26">
        <v>1497591.5999999999</v>
      </c>
    </row>
    <row r="30" spans="2:14" x14ac:dyDescent="0.3">
      <c r="B30" s="26" t="s">
        <v>426</v>
      </c>
      <c r="C30" s="26">
        <v>482450.85</v>
      </c>
      <c r="E30" s="26" t="s">
        <v>426</v>
      </c>
      <c r="F30" s="26">
        <v>482450.85</v>
      </c>
    </row>
    <row r="31" spans="2:14" x14ac:dyDescent="0.3">
      <c r="C31" s="26">
        <f>SUM(C29:C30)</f>
        <v>1980042.4499999997</v>
      </c>
      <c r="F31" s="26">
        <f>SUM(F29:F30)</f>
        <v>1980042.4499999997</v>
      </c>
    </row>
    <row r="32" spans="2:14" x14ac:dyDescent="0.3">
      <c r="B32" s="55" t="s">
        <v>427</v>
      </c>
      <c r="C32" s="162">
        <f>C27/C31</f>
        <v>6.1329240693804354E-2</v>
      </c>
      <c r="E32" s="55" t="s">
        <v>427</v>
      </c>
      <c r="F32" s="162">
        <f>F27/F31</f>
        <v>6.5241783073893223E-2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35A1-1360-46F6-99CE-DE2B56E46E0A}">
  <dimension ref="C2:L17"/>
  <sheetViews>
    <sheetView topLeftCell="C1" workbookViewId="0">
      <selection activeCell="D31" sqref="D31"/>
    </sheetView>
  </sheetViews>
  <sheetFormatPr defaultRowHeight="14.4" x14ac:dyDescent="0.3"/>
  <cols>
    <col min="4" max="4" width="55.77734375" bestFit="1" customWidth="1"/>
    <col min="5" max="5" width="6" customWidth="1"/>
    <col min="6" max="6" width="10" bestFit="1" customWidth="1"/>
    <col min="7" max="7" width="4.21875" hidden="1" customWidth="1"/>
    <col min="8" max="8" width="7.5546875" hidden="1" customWidth="1"/>
    <col min="9" max="9" width="1.5546875" customWidth="1"/>
  </cols>
  <sheetData>
    <row r="2" spans="3:12" x14ac:dyDescent="0.3">
      <c r="C2" s="133"/>
      <c r="D2" s="133"/>
      <c r="E2" s="134"/>
      <c r="F2" s="133"/>
      <c r="G2" s="133"/>
      <c r="H2" s="133"/>
      <c r="I2" s="133"/>
      <c r="J2" s="133"/>
      <c r="K2" s="133"/>
      <c r="L2" s="133"/>
    </row>
    <row r="3" spans="3:12" x14ac:dyDescent="0.3">
      <c r="C3" s="133"/>
      <c r="D3" s="134" t="s">
        <v>399</v>
      </c>
      <c r="E3" s="135" t="s">
        <v>405</v>
      </c>
      <c r="F3" s="142" t="s">
        <v>401</v>
      </c>
      <c r="G3" s="134" t="s">
        <v>402</v>
      </c>
      <c r="H3" s="136"/>
      <c r="I3" s="133"/>
      <c r="J3" s="136" t="s">
        <v>188</v>
      </c>
      <c r="K3" s="133"/>
      <c r="L3" s="133"/>
    </row>
    <row r="4" spans="3:12" x14ac:dyDescent="0.3">
      <c r="C4" s="133"/>
      <c r="D4" s="133" t="s">
        <v>400</v>
      </c>
      <c r="E4" s="137">
        <v>1</v>
      </c>
      <c r="F4" s="133">
        <v>781498435</v>
      </c>
      <c r="G4" s="138">
        <v>0.15</v>
      </c>
      <c r="H4" s="139">
        <v>3271.35</v>
      </c>
      <c r="I4" s="133"/>
      <c r="J4" s="139">
        <f t="shared" ref="J4:J7" si="0">+H4*E4+(G4*H4)</f>
        <v>3762.0524999999998</v>
      </c>
      <c r="K4" s="133"/>
      <c r="L4" s="133"/>
    </row>
    <row r="5" spans="3:12" x14ac:dyDescent="0.3">
      <c r="C5" s="133"/>
      <c r="D5" s="133" t="s">
        <v>403</v>
      </c>
      <c r="E5" s="137">
        <v>1</v>
      </c>
      <c r="F5" s="133">
        <v>930232054</v>
      </c>
      <c r="G5" s="138">
        <v>0.15</v>
      </c>
      <c r="H5" s="139">
        <v>1425</v>
      </c>
      <c r="I5" s="133"/>
      <c r="J5" s="139">
        <f t="shared" si="0"/>
        <v>1638.75</v>
      </c>
      <c r="K5" s="133"/>
      <c r="L5" s="133"/>
    </row>
    <row r="6" spans="3:12" x14ac:dyDescent="0.3">
      <c r="C6" s="133"/>
      <c r="D6" s="133" t="s">
        <v>404</v>
      </c>
      <c r="E6" s="137">
        <v>2</v>
      </c>
      <c r="F6" s="133">
        <v>930234002</v>
      </c>
      <c r="G6" s="138">
        <v>0.15</v>
      </c>
      <c r="H6" s="139">
        <v>40</v>
      </c>
      <c r="I6" s="133"/>
      <c r="J6" s="139">
        <f t="shared" si="0"/>
        <v>86</v>
      </c>
      <c r="K6" s="133"/>
      <c r="L6" s="133"/>
    </row>
    <row r="7" spans="3:12" x14ac:dyDescent="0.3">
      <c r="C7" s="133"/>
      <c r="D7" s="133" t="s">
        <v>444</v>
      </c>
      <c r="E7" s="137">
        <v>2</v>
      </c>
      <c r="F7" s="133"/>
      <c r="G7" s="138">
        <v>0.15</v>
      </c>
      <c r="H7" s="139">
        <f>(118+49)/2</f>
        <v>83.5</v>
      </c>
      <c r="I7" s="133"/>
      <c r="J7" s="139">
        <f t="shared" si="0"/>
        <v>179.52500000000001</v>
      </c>
      <c r="K7" s="133"/>
      <c r="L7" s="133"/>
    </row>
    <row r="8" spans="3:12" x14ac:dyDescent="0.3">
      <c r="C8" s="133"/>
      <c r="D8" s="133"/>
      <c r="E8" s="133"/>
      <c r="F8" s="133"/>
      <c r="G8" s="133"/>
      <c r="H8" s="139"/>
      <c r="I8" s="133"/>
      <c r="J8" s="139"/>
      <c r="K8" s="133"/>
      <c r="L8" s="133"/>
    </row>
    <row r="9" spans="3:12" x14ac:dyDescent="0.3">
      <c r="C9" s="133"/>
      <c r="D9" s="134" t="s">
        <v>243</v>
      </c>
      <c r="E9" s="133"/>
      <c r="F9" s="133"/>
      <c r="G9" s="133"/>
      <c r="H9" s="133"/>
      <c r="I9" s="133"/>
      <c r="J9" s="133"/>
      <c r="K9" s="133"/>
      <c r="L9" s="133"/>
    </row>
    <row r="10" spans="3:12" x14ac:dyDescent="0.3">
      <c r="C10" s="133"/>
      <c r="D10" s="133" t="s">
        <v>82</v>
      </c>
      <c r="E10" s="133"/>
      <c r="F10" s="133"/>
      <c r="G10" s="133"/>
      <c r="H10" s="133"/>
      <c r="I10" s="133"/>
      <c r="J10" s="139">
        <f>1600*1.15</f>
        <v>1839.9999999999998</v>
      </c>
      <c r="K10" s="133"/>
      <c r="L10" s="133"/>
    </row>
    <row r="11" spans="3:12" x14ac:dyDescent="0.3">
      <c r="C11" s="133"/>
      <c r="D11" s="133" t="s">
        <v>59</v>
      </c>
      <c r="E11" s="133"/>
      <c r="F11" s="133"/>
      <c r="G11" s="133"/>
      <c r="H11" s="133"/>
      <c r="I11" s="133"/>
      <c r="J11" s="139">
        <f>3000*1.15</f>
        <v>3449.9999999999995</v>
      </c>
      <c r="K11" s="133"/>
      <c r="L11" s="133"/>
    </row>
    <row r="12" spans="3:12" x14ac:dyDescent="0.3">
      <c r="C12" s="133"/>
      <c r="D12" s="140"/>
      <c r="E12" s="140"/>
      <c r="F12" s="140"/>
      <c r="G12" s="140"/>
      <c r="H12" s="140"/>
      <c r="I12" s="140"/>
      <c r="J12" s="140"/>
      <c r="K12" s="133"/>
      <c r="L12" s="133"/>
    </row>
    <row r="13" spans="3:12" x14ac:dyDescent="0.3">
      <c r="C13" s="133"/>
      <c r="D13" s="133"/>
      <c r="E13" s="133"/>
      <c r="F13" s="133"/>
      <c r="G13" s="133"/>
      <c r="H13" s="133"/>
      <c r="I13" s="141" t="s">
        <v>407</v>
      </c>
      <c r="J13" s="139">
        <f>SUM(J4:J8)-J10-J11</f>
        <v>376.32749999999987</v>
      </c>
      <c r="K13" s="133"/>
      <c r="L13" s="133"/>
    </row>
    <row r="14" spans="3:12" x14ac:dyDescent="0.3">
      <c r="C14" s="133"/>
      <c r="D14" s="133"/>
      <c r="E14" s="133"/>
      <c r="F14" s="133"/>
      <c r="G14" s="133"/>
      <c r="H14" s="133"/>
      <c r="I14" s="141" t="s">
        <v>406</v>
      </c>
      <c r="J14" s="139">
        <f>+J13*0.25</f>
        <v>94.081874999999968</v>
      </c>
      <c r="K14" s="133"/>
      <c r="L14" s="133"/>
    </row>
    <row r="15" spans="3:12" x14ac:dyDescent="0.3">
      <c r="C15" s="133"/>
      <c r="D15" s="133"/>
      <c r="E15" s="133"/>
      <c r="F15" s="133"/>
      <c r="G15" s="133"/>
      <c r="H15" s="133"/>
      <c r="I15" s="141" t="s">
        <v>408</v>
      </c>
      <c r="J15" s="139">
        <f>+J14+J13</f>
        <v>470.40937499999984</v>
      </c>
      <c r="K15" s="133"/>
      <c r="L15" s="133"/>
    </row>
    <row r="16" spans="3:12" x14ac:dyDescent="0.3">
      <c r="C16" s="133"/>
      <c r="D16" s="133"/>
      <c r="E16" s="133"/>
      <c r="F16" s="133"/>
      <c r="G16" s="133"/>
      <c r="H16" s="133"/>
      <c r="I16" s="133"/>
      <c r="J16" s="133"/>
      <c r="K16" s="133"/>
      <c r="L16" s="133"/>
    </row>
    <row r="17" spans="3:10" x14ac:dyDescent="0.3">
      <c r="C17" s="133"/>
      <c r="D17" s="133"/>
      <c r="E17" s="133"/>
      <c r="F17" s="133"/>
      <c r="G17" s="133"/>
      <c r="H17" s="133"/>
      <c r="I17" s="133"/>
      <c r="J17" s="13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0EFC-43BF-4BF8-B8C8-594C38E0D8F8}">
  <dimension ref="D3:M18"/>
  <sheetViews>
    <sheetView workbookViewId="0">
      <selection activeCell="J18" sqref="J18"/>
    </sheetView>
  </sheetViews>
  <sheetFormatPr defaultRowHeight="14.4" x14ac:dyDescent="0.3"/>
  <cols>
    <col min="4" max="4" width="27.21875" customWidth="1"/>
    <col min="5" max="5" width="13" customWidth="1"/>
    <col min="6" max="6" width="4.5546875" customWidth="1"/>
    <col min="7" max="7" width="9.21875" style="9"/>
    <col min="8" max="8" width="3.77734375" customWidth="1"/>
    <col min="9" max="9" width="10.44140625" bestFit="1" customWidth="1"/>
    <col min="12" max="12" width="17" customWidth="1"/>
    <col min="13" max="13" width="18" customWidth="1"/>
  </cols>
  <sheetData>
    <row r="3" spans="4:13" x14ac:dyDescent="0.3">
      <c r="D3" t="s">
        <v>6</v>
      </c>
      <c r="G3" s="9" t="s">
        <v>5</v>
      </c>
    </row>
    <row r="5" spans="4:13" x14ac:dyDescent="0.3">
      <c r="D5" t="s">
        <v>388</v>
      </c>
      <c r="E5" s="129">
        <v>171515</v>
      </c>
      <c r="G5" s="12">
        <v>0.05</v>
      </c>
      <c r="I5" s="129">
        <f>E5+(E5*G5)</f>
        <v>180090.75</v>
      </c>
      <c r="L5" t="s">
        <v>393</v>
      </c>
      <c r="M5" s="130">
        <v>215328.5</v>
      </c>
    </row>
    <row r="6" spans="4:13" x14ac:dyDescent="0.3">
      <c r="L6" t="s">
        <v>394</v>
      </c>
      <c r="M6" s="130">
        <v>204895.5</v>
      </c>
    </row>
    <row r="7" spans="4:13" x14ac:dyDescent="0.3">
      <c r="D7" t="s">
        <v>389</v>
      </c>
      <c r="E7" s="129">
        <v>143285</v>
      </c>
      <c r="G7" s="12">
        <v>0.1</v>
      </c>
      <c r="I7" s="129">
        <f>E7+(E7*G7)</f>
        <v>157613.5</v>
      </c>
      <c r="M7" s="130">
        <f>SUM(M5:M6)</f>
        <v>420224</v>
      </c>
    </row>
    <row r="8" spans="4:13" x14ac:dyDescent="0.3">
      <c r="E8" s="129"/>
    </row>
    <row r="9" spans="4:13" x14ac:dyDescent="0.3">
      <c r="D9" s="51" t="s">
        <v>390</v>
      </c>
      <c r="E9" s="131">
        <v>54000</v>
      </c>
      <c r="F9" s="51"/>
      <c r="G9" s="48">
        <v>0.1</v>
      </c>
      <c r="H9" s="51"/>
      <c r="I9" s="131">
        <f>E9+(E9*G9)</f>
        <v>59400</v>
      </c>
    </row>
    <row r="10" spans="4:13" x14ac:dyDescent="0.3">
      <c r="E10" s="129"/>
    </row>
    <row r="11" spans="4:13" x14ac:dyDescent="0.3">
      <c r="D11" t="s">
        <v>391</v>
      </c>
      <c r="E11" s="129">
        <v>53784</v>
      </c>
      <c r="G11" s="12">
        <v>0.1</v>
      </c>
      <c r="I11" s="129">
        <f>E11+(E11*G11)</f>
        <v>59162.400000000001</v>
      </c>
    </row>
    <row r="12" spans="4:13" x14ac:dyDescent="0.3">
      <c r="E12" s="129"/>
    </row>
    <row r="13" spans="4:13" x14ac:dyDescent="0.3">
      <c r="D13" t="s">
        <v>392</v>
      </c>
      <c r="E13" s="129">
        <v>51640</v>
      </c>
      <c r="G13" s="12">
        <v>0.1</v>
      </c>
      <c r="I13" s="129">
        <f>E13+(E13*G13)</f>
        <v>56804</v>
      </c>
    </row>
    <row r="15" spans="4:13" x14ac:dyDescent="0.3">
      <c r="E15" s="129">
        <f>SUM(E5:E13)</f>
        <v>474224</v>
      </c>
      <c r="I15" s="129">
        <f>SUM(I5:I13)</f>
        <v>513070.65</v>
      </c>
    </row>
    <row r="18" spans="5:5" x14ac:dyDescent="0.3">
      <c r="E18" s="129">
        <f>E5+E7+E11+E13</f>
        <v>420224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B679-8564-4517-950B-BA3025CAC9F7}">
  <dimension ref="B7:H15"/>
  <sheetViews>
    <sheetView zoomScale="90" zoomScaleNormal="90" workbookViewId="0">
      <selection activeCell="H15" sqref="B7:H15"/>
    </sheetView>
  </sheetViews>
  <sheetFormatPr defaultRowHeight="14.4" x14ac:dyDescent="0.3"/>
  <cols>
    <col min="2" max="2" width="10.5546875" style="9" customWidth="1"/>
    <col min="3" max="3" width="35" customWidth="1"/>
    <col min="4" max="8" width="8.5546875" style="98"/>
  </cols>
  <sheetData>
    <row r="7" spans="2:8" x14ac:dyDescent="0.3">
      <c r="B7" s="36" t="s">
        <v>370</v>
      </c>
      <c r="C7" s="11" t="s">
        <v>187</v>
      </c>
      <c r="D7" s="124" t="s">
        <v>368</v>
      </c>
      <c r="E7" s="124"/>
      <c r="F7" s="124" t="s">
        <v>188</v>
      </c>
      <c r="G7" s="124" t="s">
        <v>252</v>
      </c>
      <c r="H7" s="124" t="s">
        <v>376</v>
      </c>
    </row>
    <row r="9" spans="2:8" x14ac:dyDescent="0.3">
      <c r="B9" s="9">
        <v>900604</v>
      </c>
      <c r="C9" t="s">
        <v>373</v>
      </c>
      <c r="D9" s="98">
        <v>87</v>
      </c>
      <c r="E9" s="98" t="s">
        <v>369</v>
      </c>
      <c r="F9" s="98">
        <v>38</v>
      </c>
      <c r="G9" s="125">
        <v>0.2</v>
      </c>
      <c r="H9" s="126">
        <f>D9*F9*0.8</f>
        <v>2644.8</v>
      </c>
    </row>
    <row r="10" spans="2:8" x14ac:dyDescent="0.3">
      <c r="B10" s="9">
        <v>900605</v>
      </c>
      <c r="C10" t="s">
        <v>374</v>
      </c>
      <c r="D10" s="98">
        <v>87</v>
      </c>
      <c r="E10" s="98" t="s">
        <v>369</v>
      </c>
      <c r="F10" s="98">
        <v>51.96</v>
      </c>
      <c r="G10" s="125">
        <v>0.2</v>
      </c>
      <c r="H10" s="126">
        <f>D10*F10*0.8</f>
        <v>3616.4160000000006</v>
      </c>
    </row>
    <row r="11" spans="2:8" x14ac:dyDescent="0.3">
      <c r="H11" s="126"/>
    </row>
    <row r="12" spans="2:8" x14ac:dyDescent="0.3">
      <c r="B12" s="9">
        <v>900660</v>
      </c>
      <c r="C12" t="s">
        <v>375</v>
      </c>
      <c r="D12" s="98">
        <v>63</v>
      </c>
      <c r="E12" s="98" t="s">
        <v>369</v>
      </c>
      <c r="G12" s="125"/>
      <c r="H12" s="126"/>
    </row>
    <row r="13" spans="2:8" x14ac:dyDescent="0.3">
      <c r="H13" s="126"/>
    </row>
    <row r="14" spans="2:8" x14ac:dyDescent="0.3">
      <c r="B14" s="9">
        <v>900397</v>
      </c>
      <c r="C14" t="s">
        <v>371</v>
      </c>
      <c r="D14" s="98">
        <v>52</v>
      </c>
      <c r="E14" s="98" t="s">
        <v>369</v>
      </c>
      <c r="F14" s="98">
        <v>55.96</v>
      </c>
      <c r="G14" s="125">
        <v>0.2</v>
      </c>
      <c r="H14" s="126">
        <f>D14*F14*0.8</f>
        <v>2327.9360000000001</v>
      </c>
    </row>
    <row r="15" spans="2:8" x14ac:dyDescent="0.3">
      <c r="B15" s="9">
        <v>900478</v>
      </c>
      <c r="C15" t="s">
        <v>372</v>
      </c>
      <c r="D15" s="98">
        <v>145</v>
      </c>
      <c r="E15" s="98" t="s">
        <v>369</v>
      </c>
      <c r="F15" s="98">
        <v>31.96</v>
      </c>
      <c r="G15" s="125">
        <v>0.2</v>
      </c>
      <c r="H15" s="126">
        <f>D15*F15*0.8</f>
        <v>3707.36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15BF-A228-4055-BB97-B8A083303F36}">
  <dimension ref="C5:I14"/>
  <sheetViews>
    <sheetView workbookViewId="0">
      <selection activeCell="H13" sqref="H13"/>
    </sheetView>
  </sheetViews>
  <sheetFormatPr defaultRowHeight="14.4" x14ac:dyDescent="0.3"/>
  <cols>
    <col min="3" max="3" width="34.5546875" customWidth="1"/>
  </cols>
  <sheetData>
    <row r="5" spans="3:9" ht="18" x14ac:dyDescent="0.35">
      <c r="C5" s="59" t="s">
        <v>338</v>
      </c>
      <c r="D5" s="9"/>
      <c r="E5" s="9"/>
      <c r="F5" s="9"/>
      <c r="G5" s="9"/>
      <c r="H5" s="9"/>
    </row>
    <row r="6" spans="3:9" x14ac:dyDescent="0.3">
      <c r="D6" s="9"/>
      <c r="E6" s="9"/>
      <c r="F6" s="9"/>
      <c r="G6" s="9"/>
      <c r="H6" s="9"/>
    </row>
    <row r="7" spans="3:9" x14ac:dyDescent="0.3">
      <c r="D7" s="36" t="s">
        <v>339</v>
      </c>
      <c r="E7" s="36" t="s">
        <v>188</v>
      </c>
      <c r="F7" s="36" t="s">
        <v>188</v>
      </c>
      <c r="G7" s="36" t="s">
        <v>5</v>
      </c>
      <c r="H7" s="36" t="s">
        <v>340</v>
      </c>
    </row>
    <row r="8" spans="3:9" x14ac:dyDescent="0.3">
      <c r="C8" t="s">
        <v>341</v>
      </c>
      <c r="D8" s="10">
        <v>55</v>
      </c>
      <c r="E8" s="10">
        <f>56*0.9</f>
        <v>50.4</v>
      </c>
      <c r="F8" s="10">
        <f>D8*E8</f>
        <v>2772</v>
      </c>
      <c r="G8" s="10">
        <f>F8*15%</f>
        <v>415.8</v>
      </c>
      <c r="H8" s="10">
        <f>F8+G8</f>
        <v>3187.8</v>
      </c>
    </row>
    <row r="9" spans="3:9" x14ac:dyDescent="0.3">
      <c r="C9" t="s">
        <v>342</v>
      </c>
      <c r="D9" s="10">
        <f>88*1.6</f>
        <v>140.80000000000001</v>
      </c>
      <c r="E9" s="10">
        <f>31.96*0.9</f>
        <v>28.764000000000003</v>
      </c>
      <c r="F9" s="10">
        <f>D9*E9</f>
        <v>4049.9712000000009</v>
      </c>
      <c r="G9" s="10">
        <f>F9*15%</f>
        <v>607.49568000000011</v>
      </c>
      <c r="H9" s="10">
        <f>F9+G9</f>
        <v>4657.4668800000009</v>
      </c>
    </row>
    <row r="10" spans="3:9" x14ac:dyDescent="0.3">
      <c r="C10" t="s">
        <v>343</v>
      </c>
      <c r="D10" s="10"/>
      <c r="E10" s="10"/>
      <c r="F10" s="10">
        <v>1560</v>
      </c>
      <c r="G10" s="10">
        <f>F10*15%</f>
        <v>234</v>
      </c>
      <c r="H10" s="10">
        <f>F10+G10</f>
        <v>1794</v>
      </c>
    </row>
    <row r="11" spans="3:9" x14ac:dyDescent="0.3">
      <c r="C11" t="s">
        <v>344</v>
      </c>
      <c r="D11" s="10">
        <v>30</v>
      </c>
      <c r="E11" s="10">
        <v>575</v>
      </c>
      <c r="F11" s="10"/>
      <c r="G11" s="10"/>
      <c r="H11" s="10">
        <f>D11*E11</f>
        <v>17250</v>
      </c>
    </row>
    <row r="12" spans="3:9" x14ac:dyDescent="0.3">
      <c r="C12" t="s">
        <v>345</v>
      </c>
      <c r="D12" s="10"/>
      <c r="E12" s="10"/>
      <c r="F12" s="10">
        <v>8000</v>
      </c>
      <c r="G12" s="10">
        <f>F12*15%</f>
        <v>1200</v>
      </c>
      <c r="H12" s="10">
        <f>F12+G12</f>
        <v>9200</v>
      </c>
    </row>
    <row r="13" spans="3:9" ht="15" thickBot="1" x14ac:dyDescent="0.35">
      <c r="D13" s="10"/>
      <c r="E13" s="10"/>
      <c r="F13" s="10"/>
      <c r="G13" s="97" t="s">
        <v>346</v>
      </c>
      <c r="H13" s="95">
        <f>SUM(H8:H12)</f>
        <v>36089.266880000003</v>
      </c>
      <c r="I13" t="s">
        <v>259</v>
      </c>
    </row>
    <row r="14" spans="3:9" ht="15" thickTop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7E5A-7F36-491C-94CD-F70468E42024}">
  <dimension ref="D5:H24"/>
  <sheetViews>
    <sheetView topLeftCell="A5" zoomScale="150" zoomScaleNormal="150" workbookViewId="0">
      <selection activeCell="H22" sqref="D14:H22"/>
    </sheetView>
  </sheetViews>
  <sheetFormatPr defaultRowHeight="14.4" x14ac:dyDescent="0.3"/>
  <cols>
    <col min="4" max="4" width="36.77734375" customWidth="1"/>
    <col min="5" max="5" width="10.77734375" style="9" customWidth="1"/>
    <col min="6" max="6" width="11.44140625" style="9" customWidth="1"/>
    <col min="7" max="7" width="9.21875" style="9"/>
  </cols>
  <sheetData>
    <row r="5" spans="4:8" x14ac:dyDescent="0.3">
      <c r="D5" s="11" t="s">
        <v>276</v>
      </c>
    </row>
    <row r="7" spans="4:8" ht="15" thickBot="1" x14ac:dyDescent="0.35">
      <c r="D7" s="33" t="s">
        <v>281</v>
      </c>
      <c r="E7" s="2"/>
      <c r="F7" s="33" t="s">
        <v>256</v>
      </c>
      <c r="G7" s="2"/>
    </row>
    <row r="8" spans="4:8" x14ac:dyDescent="0.3">
      <c r="D8" s="5" t="s">
        <v>277</v>
      </c>
      <c r="E8" s="78">
        <v>26633</v>
      </c>
      <c r="F8" s="78">
        <f>E8/100*10</f>
        <v>2663.2999999999997</v>
      </c>
      <c r="G8" s="78">
        <f>E8+F8</f>
        <v>29296.3</v>
      </c>
    </row>
    <row r="9" spans="4:8" x14ac:dyDescent="0.3">
      <c r="D9" s="5" t="s">
        <v>278</v>
      </c>
      <c r="E9" s="78">
        <v>4800</v>
      </c>
      <c r="F9" s="76">
        <f>E9/100*10</f>
        <v>480</v>
      </c>
      <c r="G9" s="78">
        <f>E9+F9</f>
        <v>5280</v>
      </c>
    </row>
    <row r="10" spans="4:8" x14ac:dyDescent="0.3">
      <c r="D10" s="5" t="s">
        <v>279</v>
      </c>
      <c r="E10" s="76"/>
      <c r="F10" s="76"/>
      <c r="G10" s="78">
        <v>3300</v>
      </c>
    </row>
    <row r="11" spans="4:8" ht="15" thickBot="1" x14ac:dyDescent="0.35">
      <c r="G11" s="77">
        <f>SUM(G8:G10)</f>
        <v>37876.300000000003</v>
      </c>
      <c r="H11" t="s">
        <v>259</v>
      </c>
    </row>
    <row r="12" spans="4:8" ht="15" thickTop="1" x14ac:dyDescent="0.3">
      <c r="D12" s="5"/>
      <c r="E12" s="76"/>
    </row>
    <row r="13" spans="4:8" x14ac:dyDescent="0.3">
      <c r="D13" s="5"/>
      <c r="E13" s="76"/>
    </row>
    <row r="14" spans="4:8" ht="15" thickBot="1" x14ac:dyDescent="0.35">
      <c r="D14" s="33" t="s">
        <v>288</v>
      </c>
      <c r="E14" s="80"/>
      <c r="F14" s="79" t="s">
        <v>5</v>
      </c>
      <c r="G14" s="2"/>
    </row>
    <row r="15" spans="4:8" x14ac:dyDescent="0.3">
      <c r="D15" s="5" t="s">
        <v>280</v>
      </c>
      <c r="E15" s="78">
        <v>35833</v>
      </c>
      <c r="F15" s="78">
        <f>E15/100*10</f>
        <v>3583.2999999999997</v>
      </c>
      <c r="G15" s="78">
        <f>E15+F15</f>
        <v>39416.300000000003</v>
      </c>
    </row>
    <row r="16" spans="4:8" x14ac:dyDescent="0.3">
      <c r="D16" s="5" t="s">
        <v>282</v>
      </c>
      <c r="E16" s="78">
        <v>5500</v>
      </c>
      <c r="F16" s="78">
        <f>E16/100*10</f>
        <v>550</v>
      </c>
      <c r="G16" s="78">
        <f>E16+F16</f>
        <v>6050</v>
      </c>
    </row>
    <row r="17" spans="4:8" x14ac:dyDescent="0.3">
      <c r="D17" s="5" t="s">
        <v>283</v>
      </c>
      <c r="E17" s="78">
        <f>4000*0.85</f>
        <v>3400</v>
      </c>
      <c r="F17" s="78">
        <v>600</v>
      </c>
      <c r="G17" s="78">
        <f>E17+F17</f>
        <v>4000</v>
      </c>
    </row>
    <row r="18" spans="4:8" x14ac:dyDescent="0.3">
      <c r="D18" s="5"/>
      <c r="E18" s="78"/>
      <c r="F18" s="78"/>
      <c r="G18" s="78"/>
    </row>
    <row r="19" spans="4:8" x14ac:dyDescent="0.3">
      <c r="D19" s="5" t="s">
        <v>286</v>
      </c>
      <c r="E19" s="78">
        <v>2500</v>
      </c>
      <c r="F19" s="78">
        <f>E19/100*15</f>
        <v>375</v>
      </c>
      <c r="G19" s="78">
        <f>E19+F19</f>
        <v>2875</v>
      </c>
    </row>
    <row r="20" spans="4:8" x14ac:dyDescent="0.3">
      <c r="D20" s="5" t="s">
        <v>284</v>
      </c>
      <c r="E20" s="78"/>
      <c r="F20" s="78"/>
      <c r="G20" s="78">
        <v>6000</v>
      </c>
    </row>
    <row r="21" spans="4:8" x14ac:dyDescent="0.3">
      <c r="D21" s="5" t="s">
        <v>287</v>
      </c>
      <c r="E21" s="78">
        <v>3000</v>
      </c>
      <c r="F21" s="78">
        <f>E21/100*10</f>
        <v>300</v>
      </c>
      <c r="G21" s="78">
        <f>E21+F21</f>
        <v>3300</v>
      </c>
    </row>
    <row r="22" spans="4:8" ht="15" thickBot="1" x14ac:dyDescent="0.35">
      <c r="G22" s="77">
        <f>SUM(G15:G21)</f>
        <v>61641.3</v>
      </c>
      <c r="H22" t="s">
        <v>259</v>
      </c>
    </row>
    <row r="23" spans="4:8" ht="15" thickTop="1" x14ac:dyDescent="0.3"/>
    <row r="24" spans="4:8" x14ac:dyDescent="0.3">
      <c r="F24" s="36" t="s">
        <v>285</v>
      </c>
      <c r="G24" s="20">
        <f>G22-G11</f>
        <v>23765</v>
      </c>
      <c r="H24" t="s">
        <v>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7F4B-0915-452B-8B02-528246F8B32F}">
  <sheetPr>
    <pageSetUpPr fitToPage="1"/>
  </sheetPr>
  <dimension ref="A2:L158"/>
  <sheetViews>
    <sheetView topLeftCell="A95" zoomScale="90" zoomScaleNormal="90" workbookViewId="0">
      <selection activeCell="L118" sqref="L118"/>
    </sheetView>
  </sheetViews>
  <sheetFormatPr defaultRowHeight="14.4" x14ac:dyDescent="0.3"/>
  <cols>
    <col min="1" max="1" width="8.77734375" style="9"/>
    <col min="2" max="2" width="49.77734375" customWidth="1"/>
    <col min="3" max="3" width="15.21875" style="10" customWidth="1"/>
    <col min="4" max="5" width="11.77734375" style="10" customWidth="1"/>
    <col min="6" max="6" width="13.44140625" style="10" customWidth="1"/>
    <col min="7" max="7" width="14.77734375" style="10" customWidth="1"/>
  </cols>
  <sheetData>
    <row r="2" spans="2:8" ht="21" x14ac:dyDescent="0.4">
      <c r="B2" s="1" t="s">
        <v>289</v>
      </c>
    </row>
    <row r="4" spans="2:8" x14ac:dyDescent="0.3">
      <c r="B4" s="63"/>
      <c r="C4" s="64" t="s">
        <v>241</v>
      </c>
      <c r="D4" s="64" t="s">
        <v>242</v>
      </c>
      <c r="E4" s="64" t="s">
        <v>244</v>
      </c>
      <c r="F4" s="64" t="s">
        <v>243</v>
      </c>
      <c r="G4" s="64" t="s">
        <v>245</v>
      </c>
    </row>
    <row r="5" spans="2:8" x14ac:dyDescent="0.3">
      <c r="B5" s="65" t="s">
        <v>246</v>
      </c>
      <c r="C5" s="66">
        <v>171515</v>
      </c>
      <c r="D5" s="66">
        <f>C5/100*5</f>
        <v>8575.75</v>
      </c>
      <c r="E5" s="66">
        <f>C5+D5</f>
        <v>180090.75</v>
      </c>
      <c r="F5" s="66">
        <v>0</v>
      </c>
      <c r="G5" s="74">
        <f>E5</f>
        <v>180090.75</v>
      </c>
      <c r="H5" t="s">
        <v>259</v>
      </c>
    </row>
    <row r="6" spans="2:8" x14ac:dyDescent="0.3">
      <c r="B6" s="63"/>
      <c r="C6" s="66"/>
      <c r="D6" s="66"/>
      <c r="E6" s="66"/>
      <c r="F6" s="66"/>
      <c r="G6" s="66"/>
    </row>
    <row r="8" spans="2:8" x14ac:dyDescent="0.3">
      <c r="B8" s="65" t="s">
        <v>247</v>
      </c>
      <c r="C8" s="64" t="s">
        <v>241</v>
      </c>
      <c r="D8" s="64" t="s">
        <v>256</v>
      </c>
      <c r="E8" s="64" t="s">
        <v>244</v>
      </c>
      <c r="F8" s="64" t="s">
        <v>243</v>
      </c>
      <c r="G8" s="64" t="s">
        <v>257</v>
      </c>
    </row>
    <row r="9" spans="2:8" x14ac:dyDescent="0.3">
      <c r="B9" s="63"/>
      <c r="C9" s="66"/>
      <c r="D9" s="66"/>
      <c r="E9" s="66"/>
      <c r="F9" s="66"/>
      <c r="G9" s="66"/>
    </row>
    <row r="10" spans="2:8" x14ac:dyDescent="0.3">
      <c r="B10" s="63" t="s">
        <v>248</v>
      </c>
      <c r="C10" s="66">
        <v>145100</v>
      </c>
      <c r="D10" s="66"/>
      <c r="E10" s="66"/>
      <c r="F10" s="66"/>
      <c r="G10" s="66"/>
    </row>
    <row r="11" spans="2:8" x14ac:dyDescent="0.3">
      <c r="B11" s="63" t="s">
        <v>249</v>
      </c>
      <c r="C11" s="66">
        <f>2000+2500+600</f>
        <v>5100</v>
      </c>
      <c r="D11" s="66"/>
      <c r="E11" s="66"/>
      <c r="F11" s="66"/>
      <c r="G11" s="66"/>
    </row>
    <row r="12" spans="2:8" x14ac:dyDescent="0.3">
      <c r="B12" s="63" t="s">
        <v>250</v>
      </c>
      <c r="C12" s="67">
        <v>29700</v>
      </c>
      <c r="D12" s="66"/>
      <c r="E12" s="66"/>
      <c r="F12" s="66"/>
      <c r="G12" s="66"/>
    </row>
    <row r="13" spans="2:8" x14ac:dyDescent="0.3">
      <c r="B13" s="63" t="s">
        <v>251</v>
      </c>
      <c r="C13" s="66">
        <f>SUM(C10:C12)</f>
        <v>179900</v>
      </c>
      <c r="D13" s="66"/>
      <c r="E13" s="66"/>
      <c r="F13" s="66"/>
      <c r="G13" s="66"/>
    </row>
    <row r="14" spans="2:8" x14ac:dyDescent="0.3">
      <c r="B14" s="63" t="s">
        <v>252</v>
      </c>
      <c r="C14" s="66">
        <f>-(21765+14850)</f>
        <v>-36615</v>
      </c>
      <c r="D14" s="66"/>
      <c r="E14" s="66"/>
      <c r="F14" s="66"/>
      <c r="G14" s="66"/>
    </row>
    <row r="15" spans="2:8" ht="15" thickBot="1" x14ac:dyDescent="0.35">
      <c r="B15" s="63" t="s">
        <v>253</v>
      </c>
      <c r="C15" s="68">
        <f>SUM(C13:C14)</f>
        <v>143285</v>
      </c>
      <c r="D15" s="66"/>
      <c r="E15" s="66"/>
      <c r="F15" s="66"/>
      <c r="G15" s="66"/>
    </row>
    <row r="16" spans="2:8" ht="15" thickTop="1" x14ac:dyDescent="0.3">
      <c r="B16" s="63"/>
      <c r="C16" s="66"/>
      <c r="D16" s="66"/>
      <c r="E16" s="66"/>
      <c r="F16" s="66"/>
      <c r="G16" s="66"/>
    </row>
    <row r="17" spans="2:8" ht="15" thickBot="1" x14ac:dyDescent="0.35">
      <c r="B17" s="63" t="s">
        <v>254</v>
      </c>
      <c r="C17" s="68">
        <v>54000</v>
      </c>
      <c r="D17" s="66"/>
      <c r="E17" s="66"/>
      <c r="F17" s="66"/>
      <c r="G17" s="66"/>
    </row>
    <row r="18" spans="2:8" ht="15" thickTop="1" x14ac:dyDescent="0.3">
      <c r="B18" s="63"/>
      <c r="C18" s="66"/>
      <c r="D18" s="66"/>
      <c r="E18" s="64"/>
      <c r="F18" s="66"/>
      <c r="G18" s="66"/>
    </row>
    <row r="19" spans="2:8" x14ac:dyDescent="0.3">
      <c r="B19" s="63" t="s">
        <v>255</v>
      </c>
      <c r="C19" s="66">
        <f>C15+C17</f>
        <v>197285</v>
      </c>
      <c r="D19" s="66">
        <f>C19/100*10</f>
        <v>19728.5</v>
      </c>
      <c r="E19" s="66">
        <f>C19+D19</f>
        <v>217013.5</v>
      </c>
      <c r="F19" s="66">
        <v>233129</v>
      </c>
      <c r="G19" s="69">
        <f>E19-F19</f>
        <v>-16115.5</v>
      </c>
    </row>
    <row r="20" spans="2:8" ht="15" thickBot="1" x14ac:dyDescent="0.35">
      <c r="B20" s="63"/>
      <c r="C20" s="66"/>
      <c r="D20" s="66"/>
      <c r="E20" s="66"/>
      <c r="F20" s="66"/>
      <c r="G20" s="70">
        <f>SUM(G19:G19)</f>
        <v>-16115.5</v>
      </c>
      <c r="H20" t="s">
        <v>259</v>
      </c>
    </row>
    <row r="21" spans="2:8" ht="15" thickTop="1" x14ac:dyDescent="0.3"/>
    <row r="24" spans="2:8" x14ac:dyDescent="0.3">
      <c r="B24" s="65" t="s">
        <v>258</v>
      </c>
      <c r="C24" s="64" t="s">
        <v>241</v>
      </c>
      <c r="D24" s="64" t="s">
        <v>256</v>
      </c>
      <c r="E24" s="64" t="s">
        <v>244</v>
      </c>
      <c r="F24" s="64" t="s">
        <v>243</v>
      </c>
      <c r="G24" s="64" t="s">
        <v>245</v>
      </c>
    </row>
    <row r="25" spans="2:8" x14ac:dyDescent="0.3">
      <c r="B25" s="63"/>
      <c r="C25" s="66"/>
      <c r="D25" s="66"/>
      <c r="E25" s="66"/>
      <c r="F25" s="66"/>
      <c r="G25" s="66"/>
    </row>
    <row r="26" spans="2:8" x14ac:dyDescent="0.3">
      <c r="B26" s="63" t="s">
        <v>260</v>
      </c>
      <c r="C26" s="66">
        <v>53784</v>
      </c>
      <c r="D26" s="66">
        <f>C26/100*10</f>
        <v>5378.4000000000005</v>
      </c>
      <c r="E26" s="66">
        <f>C26+D26</f>
        <v>59162.400000000001</v>
      </c>
      <c r="F26" s="66">
        <v>55928</v>
      </c>
      <c r="G26" s="71">
        <f>E26-F26</f>
        <v>3234.4000000000015</v>
      </c>
      <c r="H26" t="s">
        <v>259</v>
      </c>
    </row>
    <row r="27" spans="2:8" x14ac:dyDescent="0.3">
      <c r="B27" s="63" t="s">
        <v>263</v>
      </c>
      <c r="C27" s="66"/>
      <c r="D27" s="66"/>
      <c r="E27" s="66"/>
      <c r="F27" s="66"/>
      <c r="G27" s="66"/>
    </row>
    <row r="28" spans="2:8" x14ac:dyDescent="0.3">
      <c r="B28" s="63" t="s">
        <v>261</v>
      </c>
      <c r="C28" s="66"/>
      <c r="D28" s="66"/>
      <c r="E28" s="66"/>
      <c r="F28" s="66"/>
      <c r="G28" s="66"/>
    </row>
    <row r="29" spans="2:8" x14ac:dyDescent="0.3">
      <c r="B29" s="63" t="s">
        <v>262</v>
      </c>
      <c r="C29" s="66"/>
      <c r="D29" s="66"/>
      <c r="E29" s="66"/>
      <c r="F29" s="66"/>
      <c r="G29" s="66"/>
    </row>
    <row r="30" spans="2:8" x14ac:dyDescent="0.3">
      <c r="B30" s="63"/>
      <c r="C30" s="66"/>
      <c r="D30" s="66"/>
      <c r="E30" s="66"/>
      <c r="F30" s="66"/>
      <c r="G30" s="66"/>
    </row>
    <row r="31" spans="2:8" x14ac:dyDescent="0.3">
      <c r="B31" s="72" t="s">
        <v>264</v>
      </c>
      <c r="C31" s="69"/>
      <c r="D31" s="69"/>
      <c r="E31" s="69"/>
      <c r="F31" s="69"/>
      <c r="G31" s="69">
        <v>-1725</v>
      </c>
      <c r="H31" t="s">
        <v>259</v>
      </c>
    </row>
    <row r="32" spans="2:8" x14ac:dyDescent="0.3">
      <c r="B32" s="72" t="s">
        <v>265</v>
      </c>
      <c r="C32" s="69"/>
      <c r="D32" s="69"/>
      <c r="E32" s="69"/>
      <c r="F32" s="69"/>
      <c r="G32" s="69">
        <v>-2300</v>
      </c>
      <c r="H32" t="s">
        <v>259</v>
      </c>
    </row>
    <row r="33" spans="2:8" ht="15" thickBot="1" x14ac:dyDescent="0.35">
      <c r="G33" s="70">
        <f>SUM(G25:G32)</f>
        <v>-790.59999999999854</v>
      </c>
      <c r="H33" t="s">
        <v>259</v>
      </c>
    </row>
    <row r="34" spans="2:8" ht="15" thickTop="1" x14ac:dyDescent="0.3"/>
    <row r="36" spans="2:8" x14ac:dyDescent="0.3">
      <c r="B36" s="65" t="s">
        <v>266</v>
      </c>
      <c r="C36" s="64" t="s">
        <v>241</v>
      </c>
      <c r="D36" s="64" t="s">
        <v>256</v>
      </c>
      <c r="E36" s="64" t="s">
        <v>244</v>
      </c>
      <c r="F36" s="64" t="s">
        <v>243</v>
      </c>
      <c r="G36" s="64" t="s">
        <v>245</v>
      </c>
    </row>
    <row r="37" spans="2:8" x14ac:dyDescent="0.3">
      <c r="B37" s="63" t="s">
        <v>267</v>
      </c>
      <c r="C37" s="66">
        <v>51640</v>
      </c>
      <c r="D37" s="66">
        <f>C37/100*10</f>
        <v>5164</v>
      </c>
      <c r="E37" s="66">
        <f>C37+D37</f>
        <v>56804</v>
      </c>
      <c r="F37" s="66">
        <v>0</v>
      </c>
      <c r="G37" s="71">
        <f>E37-F37</f>
        <v>56804</v>
      </c>
    </row>
    <row r="38" spans="2:8" x14ac:dyDescent="0.3">
      <c r="B38" s="63" t="s">
        <v>268</v>
      </c>
      <c r="C38" s="66"/>
      <c r="D38" s="66"/>
      <c r="E38" s="66"/>
      <c r="F38" s="66"/>
      <c r="G38" s="66"/>
    </row>
    <row r="39" spans="2:8" x14ac:dyDescent="0.3">
      <c r="B39" s="63"/>
      <c r="C39" s="66"/>
      <c r="D39" s="66"/>
      <c r="E39" s="66"/>
      <c r="F39" s="66"/>
      <c r="G39" s="66"/>
    </row>
    <row r="40" spans="2:8" x14ac:dyDescent="0.3">
      <c r="B40" s="72" t="s">
        <v>150</v>
      </c>
      <c r="C40" s="69"/>
      <c r="D40" s="69"/>
      <c r="E40" s="69"/>
      <c r="F40" s="69"/>
      <c r="G40" s="69">
        <v>-22000</v>
      </c>
    </row>
    <row r="41" spans="2:8" x14ac:dyDescent="0.3">
      <c r="B41" s="72" t="s">
        <v>147</v>
      </c>
      <c r="C41" s="69"/>
      <c r="D41" s="69"/>
      <c r="E41" s="69"/>
      <c r="F41" s="69"/>
      <c r="G41" s="69">
        <v>-6600</v>
      </c>
    </row>
    <row r="42" spans="2:8" x14ac:dyDescent="0.3">
      <c r="B42" s="72" t="s">
        <v>172</v>
      </c>
      <c r="C42" s="69"/>
      <c r="D42" s="69"/>
      <c r="E42" s="69"/>
      <c r="F42" s="69"/>
      <c r="G42" s="69">
        <v>-9900</v>
      </c>
    </row>
    <row r="43" spans="2:8" ht="15" thickBot="1" x14ac:dyDescent="0.35">
      <c r="G43" s="73">
        <f>SUM(G37:G42)</f>
        <v>18304</v>
      </c>
      <c r="H43" t="s">
        <v>259</v>
      </c>
    </row>
    <row r="44" spans="2:8" ht="15" thickTop="1" x14ac:dyDescent="0.3"/>
    <row r="45" spans="2:8" x14ac:dyDescent="0.3">
      <c r="F45" s="75" t="s">
        <v>270</v>
      </c>
      <c r="G45" s="75">
        <f>G43+G33+G20+G5</f>
        <v>181488.65</v>
      </c>
      <c r="H45" t="s">
        <v>259</v>
      </c>
    </row>
    <row r="49" spans="1:8" x14ac:dyDescent="0.3">
      <c r="C49" s="10">
        <f>46280+21000-13280</f>
        <v>54000</v>
      </c>
    </row>
    <row r="53" spans="1:8" ht="21" x14ac:dyDescent="0.4">
      <c r="B53" s="1" t="s">
        <v>271</v>
      </c>
    </row>
    <row r="55" spans="1:8" x14ac:dyDescent="0.3">
      <c r="B55" s="63"/>
      <c r="C55" s="64" t="s">
        <v>241</v>
      </c>
      <c r="D55" s="64" t="s">
        <v>242</v>
      </c>
      <c r="E55" s="64" t="s">
        <v>244</v>
      </c>
      <c r="F55" s="64" t="s">
        <v>243</v>
      </c>
      <c r="G55" s="64" t="s">
        <v>245</v>
      </c>
    </row>
    <row r="56" spans="1:8" x14ac:dyDescent="0.3">
      <c r="A56" s="9" t="s">
        <v>431</v>
      </c>
      <c r="B56" s="65" t="s">
        <v>246</v>
      </c>
      <c r="C56" s="66">
        <v>171515</v>
      </c>
      <c r="D56" s="66">
        <f>C56/100*5</f>
        <v>8575.75</v>
      </c>
      <c r="E56" s="66">
        <f>C56+D56</f>
        <v>180090.75</v>
      </c>
      <c r="F56" s="66">
        <v>0</v>
      </c>
      <c r="G56" s="74">
        <f>E56</f>
        <v>180090.75</v>
      </c>
      <c r="H56" t="s">
        <v>259</v>
      </c>
    </row>
    <row r="57" spans="1:8" x14ac:dyDescent="0.3">
      <c r="B57" s="63"/>
      <c r="C57" s="66"/>
      <c r="D57" s="66"/>
      <c r="E57" s="66"/>
      <c r="F57" s="66"/>
      <c r="G57" s="66"/>
    </row>
    <row r="59" spans="1:8" x14ac:dyDescent="0.3">
      <c r="B59" s="65" t="s">
        <v>247</v>
      </c>
      <c r="C59" s="64" t="s">
        <v>241</v>
      </c>
      <c r="D59" s="64" t="s">
        <v>256</v>
      </c>
      <c r="E59" s="64" t="s">
        <v>244</v>
      </c>
      <c r="F59" s="64" t="s">
        <v>243</v>
      </c>
      <c r="G59" s="64" t="s">
        <v>257</v>
      </c>
    </row>
    <row r="60" spans="1:8" x14ac:dyDescent="0.3">
      <c r="B60" s="63"/>
      <c r="C60" s="66"/>
      <c r="D60" s="66"/>
      <c r="E60" s="66"/>
      <c r="F60" s="66"/>
      <c r="G60" s="66"/>
    </row>
    <row r="61" spans="1:8" x14ac:dyDescent="0.3">
      <c r="B61" s="63" t="s">
        <v>248</v>
      </c>
      <c r="C61" s="66">
        <v>145100</v>
      </c>
      <c r="D61" s="66"/>
      <c r="E61" s="66"/>
      <c r="F61" s="66"/>
      <c r="G61" s="66"/>
    </row>
    <row r="62" spans="1:8" x14ac:dyDescent="0.3">
      <c r="B62" s="63" t="s">
        <v>249</v>
      </c>
      <c r="C62" s="66">
        <f>2000+2500+600</f>
        <v>5100</v>
      </c>
      <c r="D62" s="66"/>
      <c r="E62" s="66"/>
      <c r="F62" s="66"/>
      <c r="G62" s="66"/>
    </row>
    <row r="63" spans="1:8" x14ac:dyDescent="0.3">
      <c r="B63" s="63" t="s">
        <v>250</v>
      </c>
      <c r="C63" s="67">
        <v>29700</v>
      </c>
      <c r="D63" s="66"/>
      <c r="E63" s="66"/>
      <c r="F63" s="66"/>
      <c r="G63" s="66"/>
    </row>
    <row r="64" spans="1:8" x14ac:dyDescent="0.3">
      <c r="B64" s="63" t="s">
        <v>251</v>
      </c>
      <c r="C64" s="66">
        <f>SUM(C61:C63)</f>
        <v>179900</v>
      </c>
      <c r="D64" s="66"/>
      <c r="E64" s="66"/>
      <c r="F64" s="66"/>
      <c r="G64" s="66"/>
    </row>
    <row r="65" spans="1:8" x14ac:dyDescent="0.3">
      <c r="B65" s="63" t="s">
        <v>252</v>
      </c>
      <c r="C65" s="66">
        <f>-(21765+14850)</f>
        <v>-36615</v>
      </c>
      <c r="D65" s="66"/>
      <c r="E65" s="66"/>
      <c r="F65" s="66"/>
      <c r="G65" s="66"/>
    </row>
    <row r="66" spans="1:8" ht="15" thickBot="1" x14ac:dyDescent="0.35">
      <c r="A66" s="9" t="s">
        <v>431</v>
      </c>
      <c r="B66" s="63" t="s">
        <v>253</v>
      </c>
      <c r="C66" s="68">
        <f>SUM(C64:C65)</f>
        <v>143285</v>
      </c>
      <c r="D66" s="66"/>
      <c r="E66" s="66"/>
      <c r="F66" s="66"/>
      <c r="G66" s="66"/>
    </row>
    <row r="67" spans="1:8" ht="15" thickTop="1" x14ac:dyDescent="0.3">
      <c r="B67" s="63"/>
      <c r="C67" s="66"/>
      <c r="D67" s="66"/>
      <c r="E67" s="66"/>
      <c r="F67" s="66"/>
      <c r="G67" s="66"/>
    </row>
    <row r="68" spans="1:8" ht="15" thickBot="1" x14ac:dyDescent="0.35">
      <c r="A68" s="9" t="s">
        <v>431</v>
      </c>
      <c r="B68" s="63" t="s">
        <v>430</v>
      </c>
      <c r="C68" s="68">
        <v>54000</v>
      </c>
      <c r="D68" s="66"/>
      <c r="E68" s="66"/>
      <c r="F68" s="66"/>
      <c r="G68" s="66"/>
    </row>
    <row r="69" spans="1:8" ht="15" thickTop="1" x14ac:dyDescent="0.3">
      <c r="B69" s="63"/>
      <c r="C69" s="66"/>
      <c r="D69" s="66"/>
      <c r="E69" s="64"/>
      <c r="F69" s="66"/>
      <c r="G69" s="66"/>
    </row>
    <row r="70" spans="1:8" x14ac:dyDescent="0.3">
      <c r="B70" s="63" t="s">
        <v>255</v>
      </c>
      <c r="C70" s="66">
        <f>C66+C68</f>
        <v>197285</v>
      </c>
      <c r="D70" s="66">
        <f>C70/100*10</f>
        <v>19728.5</v>
      </c>
      <c r="E70" s="66">
        <f>C70+D70</f>
        <v>217013.5</v>
      </c>
      <c r="F70" s="66">
        <v>233129</v>
      </c>
      <c r="G70" s="69">
        <f>E70-F70</f>
        <v>-16115.5</v>
      </c>
    </row>
    <row r="71" spans="1:8" ht="15" thickBot="1" x14ac:dyDescent="0.35">
      <c r="B71" s="63"/>
      <c r="C71" s="66"/>
      <c r="D71" s="66"/>
      <c r="E71" s="66"/>
      <c r="F71" s="66"/>
      <c r="G71" s="70">
        <f>SUM(G70:G70)</f>
        <v>-16115.5</v>
      </c>
      <c r="H71" t="s">
        <v>259</v>
      </c>
    </row>
    <row r="72" spans="1:8" ht="15" thickTop="1" x14ac:dyDescent="0.3"/>
    <row r="74" spans="1:8" x14ac:dyDescent="0.3">
      <c r="B74" s="65" t="s">
        <v>258</v>
      </c>
      <c r="C74" s="64" t="s">
        <v>241</v>
      </c>
      <c r="D74" s="64" t="s">
        <v>256</v>
      </c>
      <c r="E74" s="64" t="s">
        <v>244</v>
      </c>
      <c r="F74" s="64" t="s">
        <v>243</v>
      </c>
      <c r="G74" s="64" t="s">
        <v>245</v>
      </c>
    </row>
    <row r="75" spans="1:8" x14ac:dyDescent="0.3">
      <c r="B75" s="63"/>
      <c r="C75" s="66"/>
      <c r="D75" s="66"/>
      <c r="E75" s="66"/>
      <c r="F75" s="66"/>
      <c r="G75" s="66"/>
    </row>
    <row r="76" spans="1:8" x14ac:dyDescent="0.3">
      <c r="B76" s="63" t="s">
        <v>260</v>
      </c>
      <c r="C76" s="66">
        <v>85217</v>
      </c>
      <c r="D76" s="66">
        <f>C76/100*10</f>
        <v>8521.6999999999989</v>
      </c>
      <c r="E76" s="66">
        <f>C76+D76</f>
        <v>93738.7</v>
      </c>
      <c r="F76" s="66">
        <v>55928</v>
      </c>
      <c r="G76" s="71">
        <f>E76-F76</f>
        <v>37810.699999999997</v>
      </c>
      <c r="H76" t="s">
        <v>259</v>
      </c>
    </row>
    <row r="77" spans="1:8" x14ac:dyDescent="0.3">
      <c r="B77" s="63" t="s">
        <v>263</v>
      </c>
      <c r="C77" s="66"/>
      <c r="D77" s="66"/>
      <c r="E77" s="66"/>
      <c r="F77" s="66"/>
      <c r="G77" s="66"/>
    </row>
    <row r="78" spans="1:8" x14ac:dyDescent="0.3">
      <c r="B78" s="63" t="s">
        <v>261</v>
      </c>
      <c r="C78" s="66"/>
      <c r="D78" s="66"/>
      <c r="E78" s="66"/>
      <c r="F78" s="66"/>
      <c r="G78" s="66"/>
    </row>
    <row r="79" spans="1:8" x14ac:dyDescent="0.3">
      <c r="B79" s="63" t="s">
        <v>262</v>
      </c>
      <c r="C79" s="66"/>
      <c r="D79" s="66"/>
      <c r="E79" s="66"/>
      <c r="F79" s="66"/>
      <c r="G79" s="66"/>
    </row>
    <row r="80" spans="1:8" x14ac:dyDescent="0.3">
      <c r="B80" s="63"/>
      <c r="C80" s="66"/>
      <c r="D80" s="66"/>
      <c r="E80" s="66"/>
      <c r="F80" s="66"/>
      <c r="G80" s="66"/>
    </row>
    <row r="81" spans="2:8" x14ac:dyDescent="0.3">
      <c r="B81" s="72" t="s">
        <v>264</v>
      </c>
      <c r="C81" s="69"/>
      <c r="D81" s="69"/>
      <c r="E81" s="69"/>
      <c r="F81" s="69"/>
      <c r="G81" s="69">
        <v>-1725</v>
      </c>
      <c r="H81" t="s">
        <v>259</v>
      </c>
    </row>
    <row r="82" spans="2:8" x14ac:dyDescent="0.3">
      <c r="B82" s="72" t="s">
        <v>265</v>
      </c>
      <c r="C82" s="69"/>
      <c r="D82" s="69"/>
      <c r="E82" s="69"/>
      <c r="F82" s="69"/>
      <c r="G82" s="69">
        <v>-2300</v>
      </c>
      <c r="H82" t="s">
        <v>259</v>
      </c>
    </row>
    <row r="83" spans="2:8" ht="15" thickBot="1" x14ac:dyDescent="0.35">
      <c r="G83" s="73">
        <f>SUM(G75:G82)</f>
        <v>33785.699999999997</v>
      </c>
      <c r="H83" t="s">
        <v>259</v>
      </c>
    </row>
    <row r="84" spans="2:8" ht="15" thickTop="1" x14ac:dyDescent="0.3"/>
    <row r="86" spans="2:8" x14ac:dyDescent="0.3">
      <c r="B86" s="65" t="s">
        <v>266</v>
      </c>
      <c r="C86" s="64" t="s">
        <v>241</v>
      </c>
      <c r="D86" s="64" t="s">
        <v>256</v>
      </c>
      <c r="E86" s="64" t="s">
        <v>244</v>
      </c>
      <c r="F86" s="64" t="s">
        <v>243</v>
      </c>
      <c r="G86" s="64" t="s">
        <v>245</v>
      </c>
    </row>
    <row r="87" spans="2:8" x14ac:dyDescent="0.3">
      <c r="B87" s="63" t="s">
        <v>267</v>
      </c>
      <c r="C87" s="66">
        <v>51640</v>
      </c>
      <c r="D87" s="66">
        <f>C87/100*10</f>
        <v>5164</v>
      </c>
      <c r="E87" s="66">
        <f>C87+D87</f>
        <v>56804</v>
      </c>
      <c r="F87" s="66">
        <v>0</v>
      </c>
      <c r="G87" s="71">
        <f>E87-F87</f>
        <v>56804</v>
      </c>
    </row>
    <row r="88" spans="2:8" x14ac:dyDescent="0.3">
      <c r="B88" s="63" t="s">
        <v>268</v>
      </c>
      <c r="C88" s="66"/>
      <c r="D88" s="66"/>
      <c r="E88" s="66"/>
      <c r="F88" s="66"/>
      <c r="G88" s="66"/>
    </row>
    <row r="89" spans="2:8" x14ac:dyDescent="0.3">
      <c r="B89" s="63"/>
      <c r="C89" s="66"/>
      <c r="D89" s="66"/>
      <c r="E89" s="66"/>
      <c r="F89" s="66"/>
      <c r="G89" s="66"/>
    </row>
    <row r="90" spans="2:8" x14ac:dyDescent="0.3">
      <c r="B90" s="72" t="s">
        <v>150</v>
      </c>
      <c r="C90" s="69"/>
      <c r="D90" s="69"/>
      <c r="E90" s="69"/>
      <c r="F90" s="69"/>
      <c r="G90" s="69">
        <v>-22000</v>
      </c>
    </row>
    <row r="91" spans="2:8" x14ac:dyDescent="0.3">
      <c r="B91" s="72" t="s">
        <v>147</v>
      </c>
      <c r="C91" s="69"/>
      <c r="D91" s="69"/>
      <c r="E91" s="69"/>
      <c r="F91" s="69"/>
      <c r="G91" s="69">
        <v>-6600</v>
      </c>
    </row>
    <row r="92" spans="2:8" x14ac:dyDescent="0.3">
      <c r="B92" s="72" t="s">
        <v>172</v>
      </c>
      <c r="C92" s="69"/>
      <c r="D92" s="69"/>
      <c r="E92" s="69"/>
      <c r="F92" s="69"/>
      <c r="G92" s="69">
        <v>-9900</v>
      </c>
    </row>
    <row r="93" spans="2:8" ht="15" thickBot="1" x14ac:dyDescent="0.35">
      <c r="G93" s="73">
        <f>SUM(G87:G92)</f>
        <v>18304</v>
      </c>
      <c r="H93" t="s">
        <v>259</v>
      </c>
    </row>
    <row r="94" spans="2:8" ht="15" thickTop="1" x14ac:dyDescent="0.3"/>
    <row r="95" spans="2:8" x14ac:dyDescent="0.3">
      <c r="F95" s="75" t="s">
        <v>270</v>
      </c>
      <c r="G95" s="75">
        <f>G93+G83+G71+G56</f>
        <v>216064.95</v>
      </c>
      <c r="H95" t="s">
        <v>259</v>
      </c>
    </row>
    <row r="99" spans="2:8" ht="21" x14ac:dyDescent="0.4">
      <c r="B99" s="1" t="s">
        <v>440</v>
      </c>
    </row>
    <row r="101" spans="2:8" x14ac:dyDescent="0.3">
      <c r="B101" s="63"/>
      <c r="C101" s="64" t="s">
        <v>241</v>
      </c>
      <c r="D101" s="64" t="s">
        <v>242</v>
      </c>
      <c r="E101" s="64" t="s">
        <v>244</v>
      </c>
      <c r="F101" s="64" t="s">
        <v>243</v>
      </c>
      <c r="G101" s="64" t="s">
        <v>245</v>
      </c>
    </row>
    <row r="102" spans="2:8" x14ac:dyDescent="0.3">
      <c r="B102" s="65" t="s">
        <v>246</v>
      </c>
      <c r="C102" s="66">
        <v>171515</v>
      </c>
      <c r="D102" s="66">
        <f>C102/100*5</f>
        <v>8575.75</v>
      </c>
      <c r="E102" s="66">
        <f>C102+D102</f>
        <v>180090.75</v>
      </c>
      <c r="F102" s="66">
        <v>0</v>
      </c>
      <c r="G102" s="74">
        <f>E102</f>
        <v>180090.75</v>
      </c>
      <c r="H102" t="s">
        <v>259</v>
      </c>
    </row>
    <row r="103" spans="2:8" x14ac:dyDescent="0.3">
      <c r="B103" s="63"/>
      <c r="C103" s="66"/>
      <c r="D103" s="66"/>
      <c r="E103" s="66"/>
      <c r="F103" s="66"/>
      <c r="G103" s="66"/>
    </row>
    <row r="105" spans="2:8" x14ac:dyDescent="0.3">
      <c r="B105" s="65" t="s">
        <v>247</v>
      </c>
      <c r="C105" s="64" t="s">
        <v>241</v>
      </c>
      <c r="D105" s="64" t="s">
        <v>256</v>
      </c>
      <c r="E105" s="64" t="s">
        <v>244</v>
      </c>
      <c r="F105" s="64" t="s">
        <v>243</v>
      </c>
      <c r="G105" s="64" t="s">
        <v>257</v>
      </c>
    </row>
    <row r="106" spans="2:8" x14ac:dyDescent="0.3">
      <c r="B106" s="63"/>
      <c r="C106" s="66"/>
      <c r="D106" s="66"/>
      <c r="E106" s="66"/>
      <c r="F106" s="66"/>
      <c r="G106" s="66"/>
    </row>
    <row r="107" spans="2:8" x14ac:dyDescent="0.3">
      <c r="B107" s="63" t="s">
        <v>248</v>
      </c>
      <c r="C107" s="66">
        <v>145100</v>
      </c>
      <c r="D107" s="66"/>
      <c r="E107" s="66"/>
      <c r="F107" s="66"/>
      <c r="G107" s="66"/>
    </row>
    <row r="108" spans="2:8" x14ac:dyDescent="0.3">
      <c r="B108" s="63" t="s">
        <v>249</v>
      </c>
      <c r="C108" s="66">
        <f>2000+2500+600</f>
        <v>5100</v>
      </c>
      <c r="D108" s="66"/>
      <c r="E108" s="66"/>
      <c r="F108" s="66"/>
      <c r="G108" s="66"/>
    </row>
    <row r="109" spans="2:8" x14ac:dyDescent="0.3">
      <c r="B109" s="63" t="s">
        <v>250</v>
      </c>
      <c r="C109" s="67">
        <v>29700</v>
      </c>
      <c r="D109" s="66"/>
      <c r="E109" s="66"/>
      <c r="F109" s="66"/>
      <c r="G109" s="66"/>
    </row>
    <row r="110" spans="2:8" x14ac:dyDescent="0.3">
      <c r="B110" s="63" t="s">
        <v>251</v>
      </c>
      <c r="C110" s="66">
        <f>SUM(C107:C109)</f>
        <v>179900</v>
      </c>
      <c r="D110" s="66"/>
      <c r="E110" s="66"/>
      <c r="F110" s="66"/>
      <c r="G110" s="66"/>
    </row>
    <row r="111" spans="2:8" x14ac:dyDescent="0.3">
      <c r="B111" s="63" t="s">
        <v>252</v>
      </c>
      <c r="C111" s="66">
        <f>-(21765+14850)</f>
        <v>-36615</v>
      </c>
      <c r="D111" s="66"/>
      <c r="E111" s="66"/>
      <c r="F111" s="66"/>
      <c r="G111" s="66"/>
    </row>
    <row r="112" spans="2:8" ht="15" thickBot="1" x14ac:dyDescent="0.35">
      <c r="B112" s="63" t="s">
        <v>253</v>
      </c>
      <c r="C112" s="68">
        <f>SUM(C110:C111)</f>
        <v>143285</v>
      </c>
      <c r="D112" s="66"/>
      <c r="E112" s="66"/>
      <c r="F112" s="66"/>
      <c r="G112" s="66"/>
    </row>
    <row r="113" spans="2:12" ht="15" thickTop="1" x14ac:dyDescent="0.3">
      <c r="B113" s="63"/>
      <c r="C113" s="66"/>
      <c r="D113" s="66"/>
      <c r="E113" s="66"/>
      <c r="F113" s="66"/>
      <c r="G113" s="66"/>
    </row>
    <row r="114" spans="2:12" ht="15" thickBot="1" x14ac:dyDescent="0.35">
      <c r="B114" s="63" t="s">
        <v>430</v>
      </c>
      <c r="C114" s="68">
        <v>54000</v>
      </c>
      <c r="D114" s="66"/>
      <c r="E114" s="66"/>
      <c r="F114" s="66"/>
      <c r="G114" s="66"/>
    </row>
    <row r="115" spans="2:12" ht="15" thickTop="1" x14ac:dyDescent="0.3">
      <c r="B115" s="63"/>
      <c r="C115" s="66"/>
      <c r="D115" s="66"/>
      <c r="E115" s="64"/>
      <c r="F115" s="66"/>
      <c r="G115" s="66"/>
    </row>
    <row r="116" spans="2:12" x14ac:dyDescent="0.3">
      <c r="B116" s="63" t="s">
        <v>255</v>
      </c>
      <c r="C116" s="66">
        <f>C112+C114</f>
        <v>197285</v>
      </c>
      <c r="D116" s="66">
        <f>C116/100*10</f>
        <v>19728.5</v>
      </c>
      <c r="E116" s="66">
        <f>C116+D116</f>
        <v>217013.5</v>
      </c>
      <c r="F116" s="66">
        <v>233129</v>
      </c>
      <c r="G116" s="69">
        <f>E116-F116</f>
        <v>-16115.5</v>
      </c>
    </row>
    <row r="117" spans="2:12" ht="15" thickBot="1" x14ac:dyDescent="0.35">
      <c r="B117" s="63"/>
      <c r="C117" s="66"/>
      <c r="D117" s="66"/>
      <c r="E117" s="66"/>
      <c r="F117" s="66"/>
      <c r="G117" s="70">
        <f>SUM(G116:G116)</f>
        <v>-16115.5</v>
      </c>
      <c r="H117" t="s">
        <v>259</v>
      </c>
    </row>
    <row r="118" spans="2:12" ht="15" thickTop="1" x14ac:dyDescent="0.3">
      <c r="L118" s="26">
        <f>C120-C123</f>
        <v>31433</v>
      </c>
    </row>
    <row r="120" spans="2:12" x14ac:dyDescent="0.3">
      <c r="C120" s="165">
        <v>85217</v>
      </c>
    </row>
    <row r="121" spans="2:12" x14ac:dyDescent="0.3">
      <c r="B121" s="65" t="s">
        <v>258</v>
      </c>
      <c r="C121" s="64" t="s">
        <v>241</v>
      </c>
      <c r="D121" s="64" t="s">
        <v>256</v>
      </c>
      <c r="E121" s="64" t="s">
        <v>244</v>
      </c>
      <c r="F121" s="64" t="s">
        <v>243</v>
      </c>
      <c r="G121" s="64" t="s">
        <v>245</v>
      </c>
    </row>
    <row r="122" spans="2:12" x14ac:dyDescent="0.3">
      <c r="B122" s="63"/>
      <c r="C122" s="66"/>
      <c r="D122" s="66"/>
      <c r="E122" s="66"/>
      <c r="F122" s="66"/>
      <c r="G122" s="66"/>
    </row>
    <row r="123" spans="2:12" x14ac:dyDescent="0.3">
      <c r="B123" s="63" t="s">
        <v>260</v>
      </c>
      <c r="C123" s="165">
        <v>53784</v>
      </c>
      <c r="D123" s="66">
        <f>C123/100*10</f>
        <v>5378.4000000000005</v>
      </c>
      <c r="E123" s="66">
        <f>C123+D123</f>
        <v>59162.400000000001</v>
      </c>
      <c r="F123" s="66">
        <v>55928</v>
      </c>
      <c r="G123" s="71">
        <f>E123-F123</f>
        <v>3234.4000000000015</v>
      </c>
      <c r="H123" t="s">
        <v>259</v>
      </c>
    </row>
    <row r="124" spans="2:12" x14ac:dyDescent="0.3">
      <c r="B124" s="63" t="s">
        <v>263</v>
      </c>
      <c r="C124" s="66"/>
      <c r="D124" s="66"/>
      <c r="E124" s="66"/>
      <c r="F124" s="66"/>
      <c r="G124" s="66"/>
    </row>
    <row r="125" spans="2:12" x14ac:dyDescent="0.3">
      <c r="B125" s="63" t="s">
        <v>261</v>
      </c>
      <c r="C125" s="66"/>
      <c r="D125" s="66"/>
      <c r="E125" s="66"/>
      <c r="F125" s="66"/>
      <c r="G125" s="66"/>
    </row>
    <row r="126" spans="2:12" x14ac:dyDescent="0.3">
      <c r="B126" s="63" t="s">
        <v>262</v>
      </c>
      <c r="C126" s="66"/>
      <c r="D126" s="66"/>
      <c r="E126" s="66"/>
      <c r="F126" s="66"/>
      <c r="G126" s="66"/>
    </row>
    <row r="127" spans="2:12" x14ac:dyDescent="0.3">
      <c r="B127" s="63"/>
      <c r="C127" s="66"/>
      <c r="D127" s="66"/>
      <c r="E127" s="66"/>
      <c r="F127" s="66"/>
      <c r="G127" s="66"/>
    </row>
    <row r="128" spans="2:12" x14ac:dyDescent="0.3">
      <c r="B128" s="72" t="s">
        <v>264</v>
      </c>
      <c r="C128" s="69"/>
      <c r="D128" s="69"/>
      <c r="E128" s="69"/>
      <c r="F128" s="69"/>
      <c r="G128" s="69">
        <v>-1725</v>
      </c>
      <c r="H128" t="s">
        <v>259</v>
      </c>
    </row>
    <row r="129" spans="2:8" x14ac:dyDescent="0.3">
      <c r="B129" s="72" t="s">
        <v>265</v>
      </c>
      <c r="C129" s="69"/>
      <c r="D129" s="69"/>
      <c r="E129" s="69"/>
      <c r="F129" s="69"/>
      <c r="G129" s="69">
        <v>-2300</v>
      </c>
      <c r="H129" t="s">
        <v>259</v>
      </c>
    </row>
    <row r="130" spans="2:8" ht="15" thickBot="1" x14ac:dyDescent="0.35">
      <c r="G130" s="73">
        <f>SUM(G122:G129)</f>
        <v>-790.59999999999854</v>
      </c>
      <c r="H130" t="s">
        <v>259</v>
      </c>
    </row>
    <row r="131" spans="2:8" ht="15" thickTop="1" x14ac:dyDescent="0.3"/>
    <row r="133" spans="2:8" x14ac:dyDescent="0.3">
      <c r="B133" s="65" t="s">
        <v>266</v>
      </c>
      <c r="C133" s="64" t="s">
        <v>241</v>
      </c>
      <c r="D133" s="64" t="s">
        <v>256</v>
      </c>
      <c r="E133" s="64" t="s">
        <v>244</v>
      </c>
      <c r="F133" s="64" t="s">
        <v>243</v>
      </c>
      <c r="G133" s="64" t="s">
        <v>245</v>
      </c>
    </row>
    <row r="134" spans="2:8" x14ac:dyDescent="0.3">
      <c r="B134" s="63" t="s">
        <v>267</v>
      </c>
      <c r="C134" s="66">
        <v>51640</v>
      </c>
      <c r="D134" s="66">
        <f>C134/100*10</f>
        <v>5164</v>
      </c>
      <c r="E134" s="66">
        <f>C134+D134</f>
        <v>56804</v>
      </c>
      <c r="F134" s="66">
        <v>0</v>
      </c>
      <c r="G134" s="71">
        <f>E134-F134</f>
        <v>56804</v>
      </c>
    </row>
    <row r="135" spans="2:8" x14ac:dyDescent="0.3">
      <c r="B135" s="63" t="s">
        <v>268</v>
      </c>
      <c r="C135" s="66"/>
      <c r="D135" s="66"/>
      <c r="E135" s="66"/>
      <c r="F135" s="66"/>
      <c r="G135" s="66"/>
    </row>
    <row r="136" spans="2:8" x14ac:dyDescent="0.3">
      <c r="B136" s="63"/>
      <c r="C136" s="66"/>
      <c r="D136" s="66"/>
      <c r="E136" s="66"/>
      <c r="F136" s="66"/>
      <c r="G136" s="66"/>
    </row>
    <row r="137" spans="2:8" x14ac:dyDescent="0.3">
      <c r="B137" s="72" t="s">
        <v>150</v>
      </c>
      <c r="C137" s="69"/>
      <c r="D137" s="69"/>
      <c r="E137" s="69"/>
      <c r="F137" s="69"/>
      <c r="G137" s="69">
        <v>-22000</v>
      </c>
    </row>
    <row r="138" spans="2:8" x14ac:dyDescent="0.3">
      <c r="B138" s="72" t="s">
        <v>147</v>
      </c>
      <c r="C138" s="69"/>
      <c r="D138" s="69"/>
      <c r="E138" s="69"/>
      <c r="F138" s="69"/>
      <c r="G138" s="69">
        <v>-6600</v>
      </c>
    </row>
    <row r="139" spans="2:8" x14ac:dyDescent="0.3">
      <c r="B139" s="72" t="s">
        <v>172</v>
      </c>
      <c r="C139" s="69"/>
      <c r="D139" s="69"/>
      <c r="E139" s="69"/>
      <c r="F139" s="69"/>
      <c r="G139" s="69">
        <v>-9900</v>
      </c>
    </row>
    <row r="140" spans="2:8" ht="15" thickBot="1" x14ac:dyDescent="0.35">
      <c r="G140" s="73">
        <f>SUM(G134:G139)</f>
        <v>18304</v>
      </c>
      <c r="H140" t="s">
        <v>259</v>
      </c>
    </row>
    <row r="141" spans="2:8" ht="15" thickTop="1" x14ac:dyDescent="0.3"/>
    <row r="142" spans="2:8" x14ac:dyDescent="0.3">
      <c r="C142" s="10">
        <v>53784</v>
      </c>
      <c r="F142" s="75" t="s">
        <v>270</v>
      </c>
      <c r="G142" s="75">
        <f>G140+G130+G117+G102</f>
        <v>181488.65</v>
      </c>
      <c r="H142" t="s">
        <v>259</v>
      </c>
    </row>
    <row r="144" spans="2:8" x14ac:dyDescent="0.3">
      <c r="B144" s="11" t="s">
        <v>436</v>
      </c>
    </row>
    <row r="145" spans="2:3" x14ac:dyDescent="0.3">
      <c r="B145" t="s">
        <v>246</v>
      </c>
      <c r="C145" s="10">
        <f>C102</f>
        <v>171515</v>
      </c>
    </row>
    <row r="146" spans="2:3" x14ac:dyDescent="0.3">
      <c r="B146" t="s">
        <v>247</v>
      </c>
      <c r="C146" s="10">
        <f>C112</f>
        <v>143285</v>
      </c>
    </row>
    <row r="147" spans="2:3" x14ac:dyDescent="0.3">
      <c r="B147" t="s">
        <v>430</v>
      </c>
      <c r="C147" s="10">
        <f>C114</f>
        <v>54000</v>
      </c>
    </row>
    <row r="148" spans="2:3" x14ac:dyDescent="0.3">
      <c r="B148" t="s">
        <v>258</v>
      </c>
      <c r="C148" s="10">
        <f>C123</f>
        <v>53784</v>
      </c>
    </row>
    <row r="149" spans="2:3" x14ac:dyDescent="0.3">
      <c r="B149" t="str">
        <f>B133</f>
        <v>Badeværelsesmøbler</v>
      </c>
      <c r="C149" s="10">
        <f>C134</f>
        <v>51640</v>
      </c>
    </row>
    <row r="150" spans="2:3" x14ac:dyDescent="0.3">
      <c r="B150" s="25" t="s">
        <v>438</v>
      </c>
      <c r="C150" s="167">
        <f>SUM(C145:C149)</f>
        <v>474224</v>
      </c>
    </row>
    <row r="152" spans="2:3" x14ac:dyDescent="0.3">
      <c r="B152" s="11" t="s">
        <v>435</v>
      </c>
    </row>
    <row r="153" spans="2:3" x14ac:dyDescent="0.3">
      <c r="B153" t="s">
        <v>432</v>
      </c>
      <c r="C153" s="10">
        <v>215328.5</v>
      </c>
    </row>
    <row r="154" spans="2:3" x14ac:dyDescent="0.3">
      <c r="B154" t="s">
        <v>433</v>
      </c>
      <c r="C154" s="10">
        <v>204895.5</v>
      </c>
    </row>
    <row r="155" spans="2:3" x14ac:dyDescent="0.3">
      <c r="B155" t="s">
        <v>434</v>
      </c>
      <c r="C155" s="10">
        <v>75000</v>
      </c>
    </row>
    <row r="156" spans="2:3" x14ac:dyDescent="0.3">
      <c r="B156" s="25" t="s">
        <v>439</v>
      </c>
      <c r="C156" s="166">
        <f>SUM(C153:C155)</f>
        <v>495224</v>
      </c>
    </row>
    <row r="158" spans="2:3" x14ac:dyDescent="0.3">
      <c r="B158" t="s">
        <v>437</v>
      </c>
      <c r="C158" s="10">
        <f>C156-C150</f>
        <v>21000</v>
      </c>
    </row>
  </sheetData>
  <pageMargins left="0.7" right="0.7" top="0.75" bottom="0.75" header="0.3" footer="0.3"/>
  <pageSetup paperSize="9" scale="3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8a5ba8-a2de-49f6-b885-4b123066ec6f">
      <Terms xmlns="http://schemas.microsoft.com/office/infopath/2007/PartnerControls"/>
    </lcf76f155ced4ddcb4097134ff3c332f>
    <TaxCatchAll xmlns="19205e70-9770-44fc-a5b3-72b4caaab09a" xsi:nil="true"/>
    <Placering xmlns="938a5ba8-a2de-49f6-b885-4b123066ec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DED09EA814A04AA67D21CE1BFB72BA" ma:contentTypeVersion="28" ma:contentTypeDescription="Opret et nyt dokument." ma:contentTypeScope="" ma:versionID="14d0c3fe0f2d66b6e7d68860b761c4a7">
  <xsd:schema xmlns:xsd="http://www.w3.org/2001/XMLSchema" xmlns:xs="http://www.w3.org/2001/XMLSchema" xmlns:p="http://schemas.microsoft.com/office/2006/metadata/properties" xmlns:ns2="938a5ba8-a2de-49f6-b885-4b123066ec6f" xmlns:ns3="19205e70-9770-44fc-a5b3-72b4caaab09a" targetNamespace="http://schemas.microsoft.com/office/2006/metadata/properties" ma:root="true" ma:fieldsID="a75d620c3b60ca538953e21cc33c3a9a" ns2:_="" ns3:_="">
    <xsd:import namespace="938a5ba8-a2de-49f6-b885-4b123066ec6f"/>
    <xsd:import namespace="19205e70-9770-44fc-a5b3-72b4caaa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Placering" minOccurs="0"/>
                <xsd:element ref="ns2:e5d13b3b-7d87-48b2-a732-17d34f76a21bCountryOrRegion" minOccurs="0"/>
                <xsd:element ref="ns2:e5d13b3b-7d87-48b2-a732-17d34f76a21bState" minOccurs="0"/>
                <xsd:element ref="ns2:e5d13b3b-7d87-48b2-a732-17d34f76a21bCity" minOccurs="0"/>
                <xsd:element ref="ns2:e5d13b3b-7d87-48b2-a732-17d34f76a21bPostalCode" minOccurs="0"/>
                <xsd:element ref="ns2:e5d13b3b-7d87-48b2-a732-17d34f76a21bStreet" minOccurs="0"/>
                <xsd:element ref="ns2:e5d13b3b-7d87-48b2-a732-17d34f76a21bGeoLoc" minOccurs="0"/>
                <xsd:element ref="ns2:e5d13b3b-7d87-48b2-a732-17d34f76a21bDispName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a5ba8-a2de-49f6-b885-4b123066e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lacering" ma:index="16" nillable="true" ma:displayName="Placering" ma:format="Dropdown" ma:internalName="Placering">
      <xsd:simpleType>
        <xsd:restriction base="dms:Unknown"/>
      </xsd:simpleType>
    </xsd:element>
    <xsd:element name="e5d13b3b-7d87-48b2-a732-17d34f76a21bCountryOrRegion" ma:index="17" nillable="true" ma:displayName="Placering: Land/område" ma:internalName="CountryOrRegion" ma:readOnly="true">
      <xsd:simpleType>
        <xsd:restriction base="dms:Text"/>
      </xsd:simpleType>
    </xsd:element>
    <xsd:element name="e5d13b3b-7d87-48b2-a732-17d34f76a21bState" ma:index="18" nillable="true" ma:displayName="Placering: Delstat" ma:internalName="State" ma:readOnly="true">
      <xsd:simpleType>
        <xsd:restriction base="dms:Text"/>
      </xsd:simpleType>
    </xsd:element>
    <xsd:element name="e5d13b3b-7d87-48b2-a732-17d34f76a21bCity" ma:index="19" nillable="true" ma:displayName="Placering: By" ma:internalName="City" ma:readOnly="true">
      <xsd:simpleType>
        <xsd:restriction base="dms:Text"/>
      </xsd:simpleType>
    </xsd:element>
    <xsd:element name="e5d13b3b-7d87-48b2-a732-17d34f76a21bPostalCode" ma:index="20" nillable="true" ma:displayName="Placering: Postnummer" ma:internalName="PostalCode" ma:readOnly="true">
      <xsd:simpleType>
        <xsd:restriction base="dms:Text"/>
      </xsd:simpleType>
    </xsd:element>
    <xsd:element name="e5d13b3b-7d87-48b2-a732-17d34f76a21bStreet" ma:index="21" nillable="true" ma:displayName="Placering: Gade" ma:internalName="Street" ma:readOnly="true">
      <xsd:simpleType>
        <xsd:restriction base="dms:Text"/>
      </xsd:simpleType>
    </xsd:element>
    <xsd:element name="e5d13b3b-7d87-48b2-a732-17d34f76a21bGeoLoc" ma:index="22" nillable="true" ma:displayName="Placering: Koordinater" ma:internalName="GeoLoc" ma:readOnly="true">
      <xsd:simpleType>
        <xsd:restriction base="dms:Unknown"/>
      </xsd:simpleType>
    </xsd:element>
    <xsd:element name="e5d13b3b-7d87-48b2-a732-17d34f76a21bDispName" ma:index="23" nillable="true" ma:displayName="Placering: Navn" ma:internalName="DispNam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Billedmærker" ma:readOnly="false" ma:fieldId="{5cf76f15-5ced-4ddc-b409-7134ff3c332f}" ma:taxonomyMulti="true" ma:sspId="cd9d3e45-4d42-40fe-b6c0-42e381ab4c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5e70-9770-44fc-a5b3-72b4caaa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fd65098-851f-4145-804d-10d71047d329}" ma:internalName="TaxCatchAll" ma:showField="CatchAllData" ma:web="19205e70-9770-44fc-a5b3-72b4caaa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BA38FD-0307-4A0B-ABCD-AF5F060B1464}">
  <ds:schemaRefs>
    <ds:schemaRef ds:uri="http://schemas.microsoft.com/office/2006/metadata/properties"/>
    <ds:schemaRef ds:uri="http://schemas.microsoft.com/office/infopath/2007/PartnerControls"/>
    <ds:schemaRef ds:uri="938a5ba8-a2de-49f6-b885-4b123066ec6f"/>
    <ds:schemaRef ds:uri="19205e70-9770-44fc-a5b3-72b4caaab09a"/>
  </ds:schemaRefs>
</ds:datastoreItem>
</file>

<file path=customXml/itemProps2.xml><?xml version="1.0" encoding="utf-8"?>
<ds:datastoreItem xmlns:ds="http://schemas.openxmlformats.org/officeDocument/2006/customXml" ds:itemID="{2BAB13E0-A292-4208-8F1E-6BD8A4FF71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F87719-D5FD-4FAE-B75B-E1695A435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a5ba8-a2de-49f6-b885-4b123066ec6f"/>
    <ds:schemaRef ds:uri="19205e70-9770-44fc-a5b3-72b4caaab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30.09.2024 KALK</vt:lpstr>
      <vt:lpstr>Tillæg- og fradragsarbejder</vt:lpstr>
      <vt:lpstr>Fremskrivning</vt:lpstr>
      <vt:lpstr>Badeværelses tilbehør</vt:lpstr>
      <vt:lpstr>Stillark fakturering</vt:lpstr>
      <vt:lpstr>Lister</vt:lpstr>
      <vt:lpstr>Pyntelister</vt:lpstr>
      <vt:lpstr>Ventilation</vt:lpstr>
      <vt:lpstr>Stillark tilbud</vt:lpstr>
      <vt:lpstr>STUK</vt:lpstr>
      <vt:lpstr>El Ekstra</vt:lpstr>
      <vt:lpstr>Ekstra Fliser</vt:lpstr>
      <vt:lpstr>Faktureringsforløb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Blankholm</dc:creator>
  <cp:lastModifiedBy>Christian Blankholm</cp:lastModifiedBy>
  <cp:lastPrinted>2025-02-13T07:49:53Z</cp:lastPrinted>
  <dcterms:created xsi:type="dcterms:W3CDTF">2024-08-29T07:26:54Z</dcterms:created>
  <dcterms:modified xsi:type="dcterms:W3CDTF">2025-08-10T13:25:41Z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0x01010092DED09EA814A04AA67D21CE1BFB72BA</vt:lpwstr>
  </property>
</Properties>
</file>