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snord.sharepoint.com/sites/bnord/Delte dokumenter/0  SAGER/1 Igangværende sager/1907 Ægirsgade 51, 3.tv/Kalk/"/>
    </mc:Choice>
  </mc:AlternateContent>
  <xr:revisionPtr revIDLastSave="2818" documentId="8_{A29DFA14-68BE-440A-83EE-CB2179465F8D}" xr6:coauthVersionLast="47" xr6:coauthVersionMax="47" xr10:uidLastSave="{3E6285D2-D1B2-4403-B08C-F94A5C682921}"/>
  <bookViews>
    <workbookView xWindow="850" yWindow="150" windowWidth="23770" windowHeight="12850" xr2:uid="{52622FBE-E663-4E10-AFA0-939159D09C85}"/>
  </bookViews>
  <sheets>
    <sheet name="Accepteret tilbud" sheetId="5" r:id="rId1"/>
    <sheet name="Fremskrivning" sheetId="10" r:id="rId2"/>
    <sheet name="Ekstraarbejde" sheetId="6" r:id="rId3"/>
    <sheet name="Opgørelse Køkken" sheetId="11" r:id="rId4"/>
    <sheet name="Sanitets liste" sheetId="9" r:id="rId5"/>
    <sheet name="Fliser" sheetId="8" r:id="rId6"/>
    <sheet name="Fakturering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0" l="1"/>
  <c r="E12" i="10" l="1"/>
  <c r="E10" i="10"/>
  <c r="E24" i="10" s="1"/>
  <c r="F16" i="11"/>
  <c r="F18" i="11"/>
  <c r="F21" i="11"/>
  <c r="F14" i="11"/>
  <c r="F13" i="11"/>
  <c r="F17" i="11"/>
  <c r="C5" i="11"/>
  <c r="C79" i="6"/>
  <c r="C73" i="6"/>
  <c r="H10" i="9"/>
  <c r="H9" i="9"/>
  <c r="H8" i="9"/>
  <c r="B2" i="9"/>
  <c r="H4" i="9"/>
  <c r="H5" i="9"/>
  <c r="E25" i="10" l="1"/>
  <c r="F23" i="11"/>
  <c r="F26" i="11" s="1"/>
  <c r="H11" i="9"/>
  <c r="H12" i="9" s="1"/>
  <c r="H13" i="9" s="1"/>
  <c r="C53" i="6" l="1"/>
  <c r="C47" i="6" l="1"/>
  <c r="C33" i="6"/>
  <c r="E13" i="8"/>
  <c r="H5" i="8"/>
  <c r="J5" i="8" s="1"/>
  <c r="C37" i="6"/>
  <c r="E7" i="8"/>
  <c r="E5" i="8"/>
  <c r="C24" i="6" l="1"/>
  <c r="C22" i="6"/>
  <c r="C20" i="6"/>
  <c r="C18" i="6"/>
  <c r="C16" i="6"/>
  <c r="C26" i="6" l="1"/>
  <c r="C75" i="6" s="1"/>
  <c r="N6" i="6"/>
  <c r="L5" i="6"/>
  <c r="M5" i="6" s="1"/>
  <c r="N5" i="6" s="1"/>
  <c r="N8" i="6" l="1"/>
  <c r="N56" i="7"/>
  <c r="G119" i="7" l="1"/>
  <c r="I119" i="7" s="1"/>
  <c r="G118" i="7"/>
  <c r="I118" i="7" s="1"/>
  <c r="G117" i="7"/>
  <c r="G116" i="7"/>
  <c r="G113" i="7"/>
  <c r="I113" i="7" s="1"/>
  <c r="G112" i="7"/>
  <c r="I112" i="7" s="1"/>
  <c r="G111" i="7"/>
  <c r="I111" i="7" s="1"/>
  <c r="G110" i="7"/>
  <c r="I110" i="7" s="1"/>
  <c r="G109" i="7"/>
  <c r="I109" i="7" s="1"/>
  <c r="G108" i="7"/>
  <c r="I108" i="7" s="1"/>
  <c r="G107" i="7"/>
  <c r="I107" i="7" s="1"/>
  <c r="G106" i="7"/>
  <c r="I106" i="7" s="1"/>
  <c r="G105" i="7"/>
  <c r="I105" i="7" s="1"/>
  <c r="F104" i="7"/>
  <c r="G104" i="7" s="1"/>
  <c r="I104" i="7" s="1"/>
  <c r="G103" i="7"/>
  <c r="I103" i="7" s="1"/>
  <c r="G102" i="7"/>
  <c r="I102" i="7" s="1"/>
  <c r="G101" i="7"/>
  <c r="I101" i="7" s="1"/>
  <c r="G100" i="7"/>
  <c r="I100" i="7" s="1"/>
  <c r="G99" i="7"/>
  <c r="I99" i="7" s="1"/>
  <c r="I91" i="7"/>
  <c r="I90" i="7"/>
  <c r="I89" i="7"/>
  <c r="I88" i="7"/>
  <c r="I87" i="7"/>
  <c r="G82" i="7"/>
  <c r="I82" i="7" s="1"/>
  <c r="G79" i="7"/>
  <c r="I79" i="7" s="1"/>
  <c r="G78" i="7"/>
  <c r="I78" i="7" s="1"/>
  <c r="G77" i="7"/>
  <c r="I77" i="7" s="1"/>
  <c r="G76" i="7"/>
  <c r="I76" i="7" s="1"/>
  <c r="G75" i="7"/>
  <c r="I75" i="7" s="1"/>
  <c r="G74" i="7"/>
  <c r="I74" i="7" s="1"/>
  <c r="G73" i="7"/>
  <c r="I73" i="7" s="1"/>
  <c r="G72" i="7"/>
  <c r="I72" i="7" s="1"/>
  <c r="G71" i="7"/>
  <c r="I71" i="7" s="1"/>
  <c r="G70" i="7"/>
  <c r="I70" i="7" s="1"/>
  <c r="G67" i="7"/>
  <c r="I67" i="7" s="1"/>
  <c r="G66" i="7"/>
  <c r="I66" i="7" s="1"/>
  <c r="G65" i="7"/>
  <c r="I65" i="7" s="1"/>
  <c r="G64" i="7"/>
  <c r="I64" i="7" s="1"/>
  <c r="G63" i="7"/>
  <c r="I63" i="7" s="1"/>
  <c r="G62" i="7"/>
  <c r="I62" i="7" s="1"/>
  <c r="G61" i="7"/>
  <c r="I61" i="7" s="1"/>
  <c r="G60" i="7"/>
  <c r="I60" i="7" s="1"/>
  <c r="G59" i="7"/>
  <c r="I59" i="7" s="1"/>
  <c r="G58" i="7"/>
  <c r="I58" i="7" s="1"/>
  <c r="G57" i="7"/>
  <c r="I57" i="7" s="1"/>
  <c r="I54" i="7"/>
  <c r="I53" i="7"/>
  <c r="I52" i="7"/>
  <c r="I51" i="7"/>
  <c r="I50" i="7"/>
  <c r="G47" i="7"/>
  <c r="G46" i="7"/>
  <c r="I46" i="7" s="1"/>
  <c r="K44" i="7" s="1"/>
  <c r="N44" i="7" s="1"/>
  <c r="G42" i="7"/>
  <c r="I42" i="7" s="1"/>
  <c r="G41" i="7"/>
  <c r="I41" i="7" s="1"/>
  <c r="G40" i="7"/>
  <c r="I40" i="7" s="1"/>
  <c r="G39" i="7"/>
  <c r="I39" i="7" s="1"/>
  <c r="G36" i="7"/>
  <c r="I36" i="7" s="1"/>
  <c r="G35" i="7"/>
  <c r="I35" i="7" s="1"/>
  <c r="G34" i="7"/>
  <c r="I34" i="7" s="1"/>
  <c r="G33" i="7"/>
  <c r="I33" i="7" s="1"/>
  <c r="G32" i="7"/>
  <c r="I32" i="7" s="1"/>
  <c r="G31" i="7"/>
  <c r="I31" i="7" s="1"/>
  <c r="G30" i="7"/>
  <c r="I30" i="7" s="1"/>
  <c r="G29" i="7"/>
  <c r="I29" i="7" s="1"/>
  <c r="G28" i="7"/>
  <c r="I28" i="7" s="1"/>
  <c r="G27" i="7"/>
  <c r="I27" i="7" s="1"/>
  <c r="G26" i="7"/>
  <c r="I26" i="7" s="1"/>
  <c r="G23" i="7"/>
  <c r="I23" i="7" s="1"/>
  <c r="G22" i="7"/>
  <c r="I22" i="7" s="1"/>
  <c r="G21" i="7"/>
  <c r="I21" i="7" s="1"/>
  <c r="G20" i="7"/>
  <c r="I20" i="7" s="1"/>
  <c r="G19" i="7"/>
  <c r="I19" i="7" s="1"/>
  <c r="G18" i="7"/>
  <c r="I18" i="7" s="1"/>
  <c r="G17" i="7"/>
  <c r="I17" i="7" s="1"/>
  <c r="G16" i="7"/>
  <c r="I16" i="7" s="1"/>
  <c r="G12" i="7"/>
  <c r="I12" i="7" s="1"/>
  <c r="G11" i="7"/>
  <c r="I11" i="7" s="1"/>
  <c r="G10" i="7"/>
  <c r="I10" i="7" s="1"/>
  <c r="G9" i="7"/>
  <c r="I9" i="7" s="1"/>
  <c r="G8" i="7"/>
  <c r="I8" i="7" s="1"/>
  <c r="I7" i="7"/>
  <c r="V18" i="5"/>
  <c r="V19" i="5"/>
  <c r="V30" i="5"/>
  <c r="X110" i="5"/>
  <c r="Y109" i="5"/>
  <c r="Y108" i="5"/>
  <c r="Y110" i="5" l="1"/>
  <c r="K86" i="7"/>
  <c r="N86" i="7" s="1"/>
  <c r="K115" i="7"/>
  <c r="N115" i="7" s="1"/>
  <c r="K98" i="7"/>
  <c r="N98" i="7" s="1"/>
  <c r="K6" i="7"/>
  <c r="N6" i="7" s="1"/>
  <c r="K49" i="7"/>
  <c r="N49" i="7" s="1"/>
  <c r="K56" i="7"/>
  <c r="K25" i="7"/>
  <c r="N25" i="7" s="1"/>
  <c r="K69" i="7"/>
  <c r="N69" i="7" s="1"/>
  <c r="K38" i="7"/>
  <c r="N38" i="7" s="1"/>
  <c r="K15" i="7"/>
  <c r="N15" i="7" s="1"/>
  <c r="N120" i="7" l="1"/>
  <c r="K121" i="7"/>
  <c r="K122" i="7" s="1"/>
  <c r="K123" i="7" s="1"/>
  <c r="N124" i="7" l="1"/>
  <c r="N121" i="7"/>
  <c r="N122" i="7" s="1"/>
  <c r="G111" i="5"/>
  <c r="I111" i="5" s="1"/>
  <c r="G37" i="5"/>
  <c r="I37" i="5" s="1"/>
  <c r="G116" i="5"/>
  <c r="I116" i="5" s="1"/>
  <c r="G36" i="5"/>
  <c r="I36" i="5" s="1"/>
  <c r="G45" i="5"/>
  <c r="I45" i="5" s="1"/>
  <c r="G123" i="5"/>
  <c r="I123" i="5" s="1"/>
  <c r="G24" i="5"/>
  <c r="I24" i="5" s="1"/>
  <c r="X120" i="5"/>
  <c r="I90" i="5"/>
  <c r="G79" i="5"/>
  <c r="I79" i="5" s="1"/>
  <c r="G78" i="5"/>
  <c r="I78" i="5" s="1"/>
  <c r="G75" i="5"/>
  <c r="I75" i="5" s="1"/>
  <c r="G85" i="5" l="1"/>
  <c r="I85" i="5" s="1"/>
  <c r="G82" i="5"/>
  <c r="I82" i="5" s="1"/>
  <c r="G81" i="5"/>
  <c r="I81" i="5" s="1"/>
  <c r="G80" i="5"/>
  <c r="I80" i="5" s="1"/>
  <c r="G77" i="5"/>
  <c r="I77" i="5" s="1"/>
  <c r="G76" i="5"/>
  <c r="I76" i="5" s="1"/>
  <c r="G74" i="5"/>
  <c r="I74" i="5" s="1"/>
  <c r="G73" i="5"/>
  <c r="I73" i="5" s="1"/>
  <c r="K72" i="5" l="1"/>
  <c r="T72" i="5" s="1"/>
  <c r="G115" i="5"/>
  <c r="I115" i="5" s="1"/>
  <c r="G112" i="5"/>
  <c r="I112" i="5" s="1"/>
  <c r="G113" i="5"/>
  <c r="I113" i="5" s="1"/>
  <c r="G114" i="5"/>
  <c r="I114" i="5" s="1"/>
  <c r="G110" i="5"/>
  <c r="I110" i="5" s="1"/>
  <c r="G109" i="5"/>
  <c r="I109" i="5" s="1"/>
  <c r="G108" i="5"/>
  <c r="I108" i="5" s="1"/>
  <c r="F107" i="5"/>
  <c r="G107" i="5" s="1"/>
  <c r="I107" i="5" s="1"/>
  <c r="G106" i="5"/>
  <c r="I106" i="5" s="1"/>
  <c r="G105" i="5"/>
  <c r="I105" i="5" s="1"/>
  <c r="G104" i="5"/>
  <c r="I104" i="5" s="1"/>
  <c r="G103" i="5"/>
  <c r="I103" i="5" s="1"/>
  <c r="G102" i="5"/>
  <c r="I102" i="5" s="1"/>
  <c r="N72" i="5" l="1"/>
  <c r="Q72" i="5"/>
  <c r="K101" i="5"/>
  <c r="T101" i="5" s="1"/>
  <c r="G120" i="5"/>
  <c r="G121" i="5"/>
  <c r="G122" i="5"/>
  <c r="I122" i="5" s="1"/>
  <c r="K118" i="5" s="1"/>
  <c r="T118" i="5" s="1"/>
  <c r="G119" i="5"/>
  <c r="N118" i="5" l="1"/>
  <c r="Q118" i="5"/>
  <c r="N101" i="5"/>
  <c r="Q101" i="5"/>
  <c r="G31" i="5"/>
  <c r="I31" i="5" s="1"/>
  <c r="G67" i="5" l="1"/>
  <c r="G62" i="5"/>
  <c r="I62" i="5" s="1"/>
  <c r="G60" i="5" l="1"/>
  <c r="I60" i="5" s="1"/>
  <c r="G61" i="5"/>
  <c r="I61" i="5" s="1"/>
  <c r="G63" i="5"/>
  <c r="I63" i="5" s="1"/>
  <c r="G64" i="5"/>
  <c r="I64" i="5" s="1"/>
  <c r="G65" i="5"/>
  <c r="I65" i="5" s="1"/>
  <c r="G66" i="5"/>
  <c r="I66" i="5" s="1"/>
  <c r="I67" i="5"/>
  <c r="G68" i="5"/>
  <c r="I68" i="5" s="1"/>
  <c r="G69" i="5"/>
  <c r="I69" i="5" s="1"/>
  <c r="G70" i="5"/>
  <c r="I70" i="5" s="1"/>
  <c r="K59" i="5" l="1"/>
  <c r="T59" i="5" s="1"/>
  <c r="G50" i="5"/>
  <c r="G49" i="5"/>
  <c r="I49" i="5" s="1"/>
  <c r="G43" i="5"/>
  <c r="G44" i="5"/>
  <c r="G42" i="5"/>
  <c r="I42" i="5" s="1"/>
  <c r="G41" i="5"/>
  <c r="G40" i="5"/>
  <c r="G28" i="5"/>
  <c r="I28" i="5" s="1"/>
  <c r="G29" i="5"/>
  <c r="I29" i="5" s="1"/>
  <c r="G30" i="5"/>
  <c r="I30" i="5" s="1"/>
  <c r="G32" i="5"/>
  <c r="I32" i="5" s="1"/>
  <c r="G33" i="5"/>
  <c r="I33" i="5" s="1"/>
  <c r="G34" i="5"/>
  <c r="I34" i="5" s="1"/>
  <c r="G35" i="5"/>
  <c r="I35" i="5" s="1"/>
  <c r="G27" i="5"/>
  <c r="I27" i="5" s="1"/>
  <c r="G8" i="5"/>
  <c r="I8" i="5" s="1"/>
  <c r="I7" i="5"/>
  <c r="G23" i="5"/>
  <c r="I23" i="5" s="1"/>
  <c r="G22" i="5"/>
  <c r="I22" i="5" s="1"/>
  <c r="G21" i="5"/>
  <c r="I21" i="5" s="1"/>
  <c r="G20" i="5"/>
  <c r="I20" i="5" s="1"/>
  <c r="G19" i="5"/>
  <c r="I19" i="5" s="1"/>
  <c r="G18" i="5"/>
  <c r="I18" i="5" s="1"/>
  <c r="G17" i="5"/>
  <c r="I17" i="5" s="1"/>
  <c r="G12" i="5"/>
  <c r="I12" i="5" s="1"/>
  <c r="G11" i="5"/>
  <c r="I11" i="5" s="1"/>
  <c r="G10" i="5"/>
  <c r="I10" i="5" s="1"/>
  <c r="G9" i="5"/>
  <c r="I9" i="5" s="1"/>
  <c r="N59" i="5" l="1"/>
  <c r="Q59" i="5"/>
  <c r="K6" i="5"/>
  <c r="T6" i="5" s="1"/>
  <c r="K26" i="5"/>
  <c r="T26" i="5" s="1"/>
  <c r="K15" i="5"/>
  <c r="T15" i="5" s="1"/>
  <c r="N15" i="5" l="1"/>
  <c r="Q15" i="5"/>
  <c r="N26" i="5"/>
  <c r="Q26" i="5"/>
  <c r="N6" i="5"/>
  <c r="Q6" i="5"/>
  <c r="I94" i="5"/>
  <c r="I93" i="5"/>
  <c r="I92" i="5"/>
  <c r="I91" i="5"/>
  <c r="I57" i="5"/>
  <c r="I56" i="5"/>
  <c r="I55" i="5"/>
  <c r="I54" i="5"/>
  <c r="I53" i="5"/>
  <c r="I44" i="5"/>
  <c r="I43" i="5"/>
  <c r="K39" i="5" l="1"/>
  <c r="T39" i="5" s="1"/>
  <c r="K89" i="5"/>
  <c r="T89" i="5" s="1"/>
  <c r="K52" i="5"/>
  <c r="T52" i="5" s="1"/>
  <c r="K47" i="5"/>
  <c r="T47" i="5" s="1"/>
  <c r="Q39" i="5" l="1"/>
  <c r="N39" i="5"/>
  <c r="T125" i="5"/>
  <c r="N47" i="5"/>
  <c r="Q47" i="5"/>
  <c r="N52" i="5"/>
  <c r="Q52" i="5"/>
  <c r="N89" i="5"/>
  <c r="N125" i="5" s="1"/>
  <c r="T126" i="5" s="1"/>
  <c r="Q89" i="5"/>
  <c r="K125" i="5"/>
  <c r="T132" i="5" l="1"/>
  <c r="N129" i="5"/>
  <c r="Q125" i="5"/>
  <c r="N126" i="5"/>
  <c r="N127" i="5" s="1"/>
  <c r="Q126" i="5"/>
  <c r="K126" i="5"/>
  <c r="K127" i="5" s="1"/>
  <c r="Q131" i="5" l="1"/>
  <c r="Q127" i="5"/>
  <c r="Q128" i="5" l="1"/>
  <c r="Q129" i="5" s="1"/>
  <c r="T127" i="5"/>
  <c r="T128" i="5" s="1"/>
  <c r="T129" i="5" l="1"/>
  <c r="T130" i="5" s="1"/>
</calcChain>
</file>

<file path=xl/sharedStrings.xml><?xml version="1.0" encoding="utf-8"?>
<sst xmlns="http://schemas.openxmlformats.org/spreadsheetml/2006/main" count="616" uniqueCount="254">
  <si>
    <t>FAG</t>
  </si>
  <si>
    <t>Timer/Antal</t>
  </si>
  <si>
    <t>Takst</t>
  </si>
  <si>
    <t>Materialer</t>
  </si>
  <si>
    <t>Kostpris</t>
  </si>
  <si>
    <t>Påslag</t>
  </si>
  <si>
    <t>Tilbud</t>
  </si>
  <si>
    <t>Noter:</t>
  </si>
  <si>
    <t>Projekt:</t>
  </si>
  <si>
    <t>Projektledelse</t>
  </si>
  <si>
    <t>Bnord</t>
  </si>
  <si>
    <t>Parkering</t>
  </si>
  <si>
    <t>Nedrivning</t>
  </si>
  <si>
    <t>Optagning af gulv i badeværelses udviddelsen</t>
  </si>
  <si>
    <t>Tømrer:</t>
  </si>
  <si>
    <t>Udførsel af brandsikring i gulv i nyt køkken</t>
  </si>
  <si>
    <t>lægning af gulv i nyt køkken og genetablering af fodpaneler</t>
  </si>
  <si>
    <t>Brandsikring af udviddelsen af badeværelsesgulv</t>
  </si>
  <si>
    <t>Ny let gulvskonstruktion i Wedi</t>
  </si>
  <si>
    <t>Cisternestativ til hængetoilet og rørkasse til faldstamme</t>
  </si>
  <si>
    <t>Fodpaneler ved nye vægge og rep. Ved samlinger</t>
  </si>
  <si>
    <t>Gulv:</t>
  </si>
  <si>
    <t>Gulv</t>
  </si>
  <si>
    <t>Lev. og montering af hvide sandlister fyr langs eksisterende fodpaneler</t>
  </si>
  <si>
    <t>Afdækning med 500 gr., gulvpap, tapet i samlinger</t>
  </si>
  <si>
    <t>Snedker:</t>
  </si>
  <si>
    <t>Køkken: Samlet afsat beløb</t>
  </si>
  <si>
    <t>Køkkenmontage</t>
  </si>
  <si>
    <t>Murer:</t>
  </si>
  <si>
    <t>Støbning af fald</t>
  </si>
  <si>
    <t>Vådrumssikring</t>
  </si>
  <si>
    <t>Fuger Hårde og bløde</t>
  </si>
  <si>
    <t>Lukning af diverse el- og VVSriller</t>
  </si>
  <si>
    <t>Pudsreperationer</t>
  </si>
  <si>
    <t>VVS:</t>
  </si>
  <si>
    <t>Sanitet:</t>
  </si>
  <si>
    <t>Vaskemaskine + Tørretumbler (Ikke inkluderet i prisen)</t>
  </si>
  <si>
    <t>Bygherre</t>
  </si>
  <si>
    <t>Toilet + skylleknap (Afsat beløb 2.400)</t>
  </si>
  <si>
    <t>Kroge + diverse (Afsat beløb 800)</t>
  </si>
  <si>
    <t>EL:</t>
  </si>
  <si>
    <t>Ventilator i badeværelse</t>
  </si>
  <si>
    <t>EL i badeværelse</t>
  </si>
  <si>
    <t>Maler:</t>
  </si>
  <si>
    <t>Maling af træværk, rør og radiatorer</t>
  </si>
  <si>
    <t>Pris ekskl moms =</t>
  </si>
  <si>
    <t>Moms =</t>
  </si>
  <si>
    <t>Pris Inkl. moms=</t>
  </si>
  <si>
    <t>HC</t>
  </si>
  <si>
    <t>Indv. vinduespudsning + slutrengøring</t>
  </si>
  <si>
    <t>Leje af mandskab til opbæring af materialer og nedtagning af affald</t>
  </si>
  <si>
    <t>STS</t>
  </si>
  <si>
    <t>Nedtagning af alle fodpaneler og indfatninger</t>
  </si>
  <si>
    <t>Opbankning af gulv i badeværelse</t>
  </si>
  <si>
    <t>Nedrivning af fliser og diverse i badeværelse</t>
  </si>
  <si>
    <t xml:space="preserve">Nedrivning af vægge </t>
  </si>
  <si>
    <t>Byggestrøm</t>
  </si>
  <si>
    <t>Installation af el gulvvarme i stort badeværelse</t>
  </si>
  <si>
    <t>Opsætning af spejle med lys + div.</t>
  </si>
  <si>
    <t>Internet, antenne og data</t>
  </si>
  <si>
    <t xml:space="preserve">Komplet demontering af elinstallationer </t>
  </si>
  <si>
    <t>Oprydning i gamle el-installationer og demontering</t>
  </si>
  <si>
    <t>Udtag til vaskemaskine og tørretumbler</t>
  </si>
  <si>
    <t>Opretning af vægge i badeværelse</t>
  </si>
  <si>
    <t>Byggevand</t>
  </si>
  <si>
    <t>Spartling og maling af lofter</t>
  </si>
  <si>
    <t>Nedtagning af gammelt filt og tapet</t>
  </si>
  <si>
    <t>Sokkelklinker</t>
  </si>
  <si>
    <t xml:space="preserve">klinker på gulv </t>
  </si>
  <si>
    <t>Spartling, filtning og maling af vægge</t>
  </si>
  <si>
    <t>Det er forudsat at håndværkere kan benytte gårdtoilet</t>
  </si>
  <si>
    <t>Affald, 6 bigpack</t>
  </si>
  <si>
    <t>Rengøring af trappe i byggeperioden (4 stk.)</t>
  </si>
  <si>
    <t>Nedtagning af døre</t>
  </si>
  <si>
    <t>Nedbæring og bortkørsel af køkken</t>
  </si>
  <si>
    <t>Optagning af trægulve i mellemgang</t>
  </si>
  <si>
    <t>Opdatering af indbygningsskab i badeværelse</t>
  </si>
  <si>
    <t xml:space="preserve">Efterskruning og spartling af køkkengulv </t>
  </si>
  <si>
    <t>Levering af linoleum til køkken</t>
  </si>
  <si>
    <t>Montering af nye døre</t>
  </si>
  <si>
    <t>Gulv i badeværelse</t>
  </si>
  <si>
    <t>Indkøb af fliser (Afsat beløb 5000)</t>
  </si>
  <si>
    <t>Fliser i niche</t>
  </si>
  <si>
    <t>Spejl med lys (afsat 1.500,-)</t>
  </si>
  <si>
    <t>Bruseforhæng (Afsat beløb 800)</t>
  </si>
  <si>
    <t>Handvask batteri (Ikke inkluderet i prisen)</t>
  </si>
  <si>
    <t>Køkken armatur (Ikke inkluderet i prisen)</t>
  </si>
  <si>
    <t>Strømarbejde i tavlen</t>
  </si>
  <si>
    <t>Montage af Hårde hvidevarer i køkken</t>
  </si>
  <si>
    <t>El-arbejder i øvrige rum</t>
  </si>
  <si>
    <t>Køkken med skuffeindsatser (afsat beløb 15.000)</t>
  </si>
  <si>
    <t>Låger, frisider, sokler (afsat beløb 20.000)</t>
  </si>
  <si>
    <t>Ny dør til fremtidige badeværelse</t>
  </si>
  <si>
    <t>Nye vægge til badeværelse</t>
  </si>
  <si>
    <t>tilbud fra EL entreprisen</t>
  </si>
  <si>
    <t>49700,- eks moms</t>
  </si>
  <si>
    <t>Demontering af eksisterende brus og afløbsinstallationer i køkken og bad</t>
  </si>
  <si>
    <t>Demontering og bortskaffelse af radiator i køkken og badeværelse</t>
  </si>
  <si>
    <t>Demontering og bortskaffelse vaskemaskine og opv</t>
  </si>
  <si>
    <t>Ny vand og afløbsinstallation til køkken</t>
  </si>
  <si>
    <t>Montering af vaskemaskine og opvaskemaskine</t>
  </si>
  <si>
    <t>Ny vand installation i badeværelse til wc, håndvask, vaskemaskine og brus</t>
  </si>
  <si>
    <t>Ny afløbsinstallation i badeværelse til wc, håndvask, vaskemaskine og brus</t>
  </si>
  <si>
    <t>Orbital shower, hatch, hvid</t>
  </si>
  <si>
    <t>Monterin af brusesystem, håndvask batteri, wc skål, kroge, spejl + diverse</t>
  </si>
  <si>
    <t>Det forudsættet at ventiler på stigestrenge fungere og Tstykker</t>
  </si>
  <si>
    <t>Ikke skal flyttes</t>
  </si>
  <si>
    <t>tilbud fra Adrian</t>
  </si>
  <si>
    <t>26.500,- eks moms</t>
  </si>
  <si>
    <t>Bordplader + Vask  (afsat beløb 20.000)</t>
  </si>
  <si>
    <t>Hårde hvidevarer (afsat beløb 25.000)</t>
  </si>
  <si>
    <t>Køkken</t>
  </si>
  <si>
    <t>EL</t>
  </si>
  <si>
    <t>Maler</t>
  </si>
  <si>
    <t>Belysning og mekanisk ventilation på toilet</t>
  </si>
  <si>
    <t xml:space="preserve">Nedrivning af loftplader </t>
  </si>
  <si>
    <t>spartel og maling af loft i badeværelse</t>
  </si>
  <si>
    <t>Efterskruning af gulv</t>
  </si>
  <si>
    <t>Afslibning samt Sæbebehandling</t>
  </si>
  <si>
    <t>Håndklædetørrer</t>
  </si>
  <si>
    <t>Gulv rep. Hvor vi genbruger optaget gulv fra eksisterende køkken og bruger i nyt</t>
  </si>
  <si>
    <t>Loft rep. Mellem eksisterende køkken og bad</t>
  </si>
  <si>
    <t>Badeværelsesmøbel (Bygherreleverance)</t>
  </si>
  <si>
    <t>Skabsløsning ved vaskesøjle med overskabe (Bygherreleverance)</t>
  </si>
  <si>
    <t>Opsætning af ny radiator i køkken</t>
  </si>
  <si>
    <t>Demontering af gasmåler samt gasrør</t>
  </si>
  <si>
    <t>Montering af induktionsplade</t>
  </si>
  <si>
    <t>Projektrabat</t>
  </si>
  <si>
    <t>Tilbud - Ægirsgade 51, 3.tv - Renovering af lejllighed - Revideret 2</t>
  </si>
  <si>
    <t>29.10.2024 Byggeselskabet Nord ApS.</t>
  </si>
  <si>
    <t>Tillægs og fradragsarbejder</t>
  </si>
  <si>
    <t>Stade %</t>
  </si>
  <si>
    <t>Aconto 1</t>
  </si>
  <si>
    <t xml:space="preserve"> + moms</t>
  </si>
  <si>
    <t>Ekstraarbejder  =</t>
  </si>
  <si>
    <t>Stade dd.</t>
  </si>
  <si>
    <t>Aconto 1 =</t>
  </si>
  <si>
    <t xml:space="preserve">Rest </t>
  </si>
  <si>
    <t>Ægirsgade 51, 3.tv</t>
  </si>
  <si>
    <t>kontraspjæld vent</t>
  </si>
  <si>
    <t>pr mail fra sune</t>
  </si>
  <si>
    <t>8.250,- eks moms</t>
  </si>
  <si>
    <t>tilbud ravn 18-11-2024</t>
  </si>
  <si>
    <t>Ny dør til badeværelse (8.100 fradrag)</t>
  </si>
  <si>
    <t>Demontering og genmontering af badeværelsesdør</t>
  </si>
  <si>
    <t>Accepteret telefon 26-11-2024</t>
  </si>
  <si>
    <t>Ventilation med to kontraspjæld</t>
  </si>
  <si>
    <t>Ventilation allerede indlagt i prisen (3.048 fradrag)</t>
  </si>
  <si>
    <t>Afhentning af gulvbrædder aftalt 1,5 time</t>
  </si>
  <si>
    <t>Ekstra køkkenpris</t>
  </si>
  <si>
    <t>Rense gulvbrædder så de kan genanvendes 1,5 time</t>
  </si>
  <si>
    <t>Tvis</t>
  </si>
  <si>
    <t>Accepteret, pris neutral</t>
  </si>
  <si>
    <t>Rykning af radiator placering i køkken/alrum (prisneutral)</t>
  </si>
  <si>
    <t>Accepteret på opstartsmøde d. 6. jan</t>
  </si>
  <si>
    <t>Udført for at gulvbrødder kan benyttes</t>
  </si>
  <si>
    <t>Sætte rist på ventilation ved vaskesøjle, indkøb og montering</t>
  </si>
  <si>
    <t>Ændre hul i ydervæg til 4.kantet åbning så det passer til aftrækskanaler 2 timer</t>
  </si>
  <si>
    <t>Rørkasse i loft for at dække ventilationskanaler 6 timer + materialer</t>
  </si>
  <si>
    <t>Merpris er inkl. moms=</t>
  </si>
  <si>
    <t>Udgår</t>
  </si>
  <si>
    <t>Nedlægning af gasrøret i lejligheden samt afpropning hos underbo. Malerrep hos underbo (Gas 4.500 - Maler 1.500)</t>
  </si>
  <si>
    <t>Afslag på hovedentreprenør påslag</t>
  </si>
  <si>
    <t>Godkendt mail 23.01.25</t>
  </si>
  <si>
    <t>Nord VVS - 3.500 Kr.</t>
  </si>
  <si>
    <t>Godkendt mail 25.01.25</t>
  </si>
  <si>
    <t>Stade =</t>
  </si>
  <si>
    <t>Januar</t>
  </si>
  <si>
    <t>Godkendt mail 04.01.25</t>
  </si>
  <si>
    <t>Vægfilser inkl. spild</t>
  </si>
  <si>
    <t>m2</t>
  </si>
  <si>
    <t>Gulv inkl. spild</t>
  </si>
  <si>
    <t>Sokkelfliser inkl. spild</t>
  </si>
  <si>
    <t>Meter</t>
  </si>
  <si>
    <t>Ordne loft efter vandskade forsaget af overbo (Faktureres separat)</t>
  </si>
  <si>
    <t>Pris fra Nord</t>
  </si>
  <si>
    <t>Fradrag for genbrug af radiator i stedet for indkøb af ny 1.035 kr. +15% + moms</t>
  </si>
  <si>
    <t>Accepteret af Bnord 04.02.25</t>
  </si>
  <si>
    <t xml:space="preserve">Rørkasse på badeværelse ved faldstamme i hjørnet </t>
  </si>
  <si>
    <t xml:space="preserve">Justering af pris for fliser (10.147 + 15%) pris fra leverandør, afsat i tilbud (5.000 + 15%) </t>
  </si>
  <si>
    <t>Håndklædetørre og el til hådklædetørre udgår af prisen</t>
  </si>
  <si>
    <t>Justering af pris for udførsel af el-installationer efter gennemgang med elektrikker</t>
  </si>
  <si>
    <t>Bygherre indkøber og montere spejl</t>
  </si>
  <si>
    <t>Fradrag for at gulv i gangen ikke er skiftet øvrige arbejder med rep af gulv og nedskæring af lus udføres stadig</t>
  </si>
  <si>
    <t>Opdatering af indbygningsskab i badeværelse, udgår af tilbud</t>
  </si>
  <si>
    <t>Godkendt mail  04.02.25</t>
  </si>
  <si>
    <t>Fradrag Internet, antenne og data - Justeres i EL-Tilvakg  Pkt.  19</t>
  </si>
  <si>
    <t>Accepteret af Bnord 13.02.25</t>
  </si>
  <si>
    <t>Opsætning af gipsplade på loft i mellemgang, loftet var ikke til at reparere</t>
  </si>
  <si>
    <t>Indkøb og montage af dørtrin til dør til badeværelse</t>
  </si>
  <si>
    <t>Accepteret af bygherre d. 29.01.2025</t>
  </si>
  <si>
    <t>Badeværelses tilbehør</t>
  </si>
  <si>
    <t>stk</t>
  </si>
  <si>
    <t xml:space="preserve">VVS Nr </t>
  </si>
  <si>
    <t>påslag</t>
  </si>
  <si>
    <t>Pris</t>
  </si>
  <si>
    <t xml:space="preserve">LAUFEN PRO Compact Rimless inkl. sæde </t>
  </si>
  <si>
    <t>Afsat i tilbud</t>
  </si>
  <si>
    <t>Pris eskl moms</t>
  </si>
  <si>
    <t>Moms</t>
  </si>
  <si>
    <t>Pris inkls moms</t>
  </si>
  <si>
    <t>Sanitets køb jf. mail af 19 februar</t>
  </si>
  <si>
    <t>Accepteret af Bnord 19.02.25</t>
  </si>
  <si>
    <t>Aconto 2</t>
  </si>
  <si>
    <t>Februar</t>
  </si>
  <si>
    <t>Aconto 2 =</t>
  </si>
  <si>
    <t xml:space="preserve">Rest ekskl. moms = </t>
  </si>
  <si>
    <t xml:space="preserve">Rest ekskl moms= </t>
  </si>
  <si>
    <t>Indkøb af ny dør til toilet</t>
  </si>
  <si>
    <t>Accepteret af bygherre d. 23.02.2025</t>
  </si>
  <si>
    <t>VVS.-Bygherre Indkøber og opsætter selv kroge of spejl</t>
  </si>
  <si>
    <t>Indkøb af kroge og divese, justeret i pkt. 25</t>
  </si>
  <si>
    <t>Bruseforhæng</t>
  </si>
  <si>
    <t>Indkøb og Opsætning af spejl</t>
  </si>
  <si>
    <t>Maling af rør og radiator udgår</t>
  </si>
  <si>
    <t>Accepteret af Bnord 27.02.25</t>
  </si>
  <si>
    <t>Internet, antenne og data udgår af tilbuddet</t>
  </si>
  <si>
    <t>Hvide lister ved fodpaneler udgår af projektet</t>
  </si>
  <si>
    <t>Geberit Sigma 20 betjeningsplade i hvid/krom</t>
  </si>
  <si>
    <t>Allerede prissat</t>
  </si>
  <si>
    <t>Accept Bnord</t>
  </si>
  <si>
    <t>Accept af bygherre i tlf</t>
  </si>
  <si>
    <t>Marts</t>
  </si>
  <si>
    <t>Aconto 3</t>
  </si>
  <si>
    <t>Aconto 3 =</t>
  </si>
  <si>
    <t>Vinduesplade på badeværelse,rørkasse ved bademøbel mv. 5 timer a 585 kr + 300 kr. i materialer</t>
  </si>
  <si>
    <t>Accepteret i telefonen 24.03.25</t>
  </si>
  <si>
    <t>Ægirsgade</t>
  </si>
  <si>
    <t>EC</t>
  </si>
  <si>
    <t>Kontraktssum + ekstra</t>
  </si>
  <si>
    <t>Faktureres særskilt</t>
  </si>
  <si>
    <t>IND</t>
  </si>
  <si>
    <t>UD</t>
  </si>
  <si>
    <t>Resultat</t>
  </si>
  <si>
    <t>%</t>
  </si>
  <si>
    <t>Slut faktura fra Tvis - Fak. No. 1867</t>
  </si>
  <si>
    <t>Opgørelse vedr. udestående Tvis for køkken på Ægirsgade</t>
  </si>
  <si>
    <t>Kontrakt</t>
  </si>
  <si>
    <t>Forgæves kørsel til kontor for at hente køkken 08.05.2025</t>
  </si>
  <si>
    <t>Opbæring af bordplader og skabe (2x1 time a 650 kr.)</t>
  </si>
  <si>
    <t>Udførsel af afslutning af bordpladen med liste (1 time a 650 kr.+materialer)</t>
  </si>
  <si>
    <t>Tilbagegang d. 09.05.2025 = 2 timer a 650 Kr.</t>
  </si>
  <si>
    <t>RETUR:Kanal 6 X HZ9VDSM2,  pris ekskl moms= 361 kr. stk = 6*361 fratrukket 20%</t>
  </si>
  <si>
    <t>RETUR: Bøjning 5 X HZ9VDSB1,  pris ekskl moms= 202 kr. stk = 5*202 fratrukket 20%</t>
  </si>
  <si>
    <t>Tilbagegang d. 28.04.2025 = 2 timer a 650 Kr.</t>
  </si>
  <si>
    <t>Kreditnota ekskl. moms =</t>
  </si>
  <si>
    <t>Modtagelse og afhentning af skabe og bordplade i Glostrup (2 timer a 650 kr.)</t>
  </si>
  <si>
    <t>Restbeløb</t>
  </si>
  <si>
    <t>Slutregning</t>
  </si>
  <si>
    <t>Køkken slut fak.</t>
  </si>
  <si>
    <t>EL - Ekstra</t>
  </si>
  <si>
    <t xml:space="preserve"> - Egne arbejder</t>
  </si>
  <si>
    <t xml:space="preserve"> - Ferrotex</t>
  </si>
  <si>
    <t>VVS 35%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</si>
</sst>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B050"/>
      <name val="Calibri"/>
      <family val="2"/>
      <scheme val="minor"/>
    </font>
    <font>
      <strike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Aptos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5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3" fontId="4" fillId="0" borderId="0" xfId="0" applyNumberFormat="1" applyFont="1"/>
    <xf numFmtId="3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3" fontId="5" fillId="0" borderId="0" xfId="0" applyNumberFormat="1" applyFon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3" fontId="3" fillId="0" borderId="0" xfId="0" applyNumberFormat="1" applyFont="1"/>
    <xf numFmtId="9" fontId="0" fillId="0" borderId="0" xfId="0" applyNumberFormat="1"/>
    <xf numFmtId="0" fontId="2" fillId="0" borderId="0" xfId="0" applyFont="1"/>
    <xf numFmtId="164" fontId="6" fillId="0" borderId="0" xfId="1" applyNumberFormat="1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3" fontId="6" fillId="0" borderId="0" xfId="0" applyNumberFormat="1" applyFont="1"/>
    <xf numFmtId="3" fontId="0" fillId="0" borderId="0" xfId="0" applyNumberFormat="1" applyAlignment="1">
      <alignment horizontal="right"/>
    </xf>
    <xf numFmtId="3" fontId="3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3" fontId="6" fillId="0" borderId="0" xfId="0" applyNumberFormat="1" applyFont="1" applyAlignment="1">
      <alignment horizontal="right"/>
    </xf>
    <xf numFmtId="0" fontId="2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9" fontId="9" fillId="0" borderId="0" xfId="0" applyNumberFormat="1" applyFont="1"/>
    <xf numFmtId="9" fontId="6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3" fontId="9" fillId="0" borderId="0" xfId="0" applyNumberFormat="1" applyFont="1"/>
    <xf numFmtId="3" fontId="8" fillId="0" borderId="0" xfId="0" applyNumberFormat="1" applyFont="1"/>
    <xf numFmtId="9" fontId="8" fillId="0" borderId="0" xfId="0" applyNumberFormat="1" applyFont="1"/>
    <xf numFmtId="164" fontId="8" fillId="0" borderId="0" xfId="1" applyNumberFormat="1" applyFont="1"/>
    <xf numFmtId="9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4" fillId="0" borderId="1" xfId="0" applyFont="1" applyBorder="1"/>
    <xf numFmtId="3" fontId="0" fillId="0" borderId="1" xfId="0" applyNumberFormat="1" applyBorder="1"/>
    <xf numFmtId="0" fontId="0" fillId="0" borderId="1" xfId="0" applyBorder="1"/>
    <xf numFmtId="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9" fontId="0" fillId="2" borderId="0" xfId="0" applyNumberFormat="1" applyFill="1"/>
    <xf numFmtId="0" fontId="0" fillId="2" borderId="0" xfId="0" applyFill="1"/>
    <xf numFmtId="9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2" fillId="0" borderId="0" xfId="0" applyNumberFormat="1" applyFont="1"/>
    <xf numFmtId="0" fontId="0" fillId="0" borderId="0" xfId="0" applyAlignment="1">
      <alignment horizontal="right"/>
    </xf>
    <xf numFmtId="3" fontId="3" fillId="0" borderId="2" xfId="0" applyNumberFormat="1" applyFont="1" applyBorder="1"/>
    <xf numFmtId="0" fontId="3" fillId="0" borderId="2" xfId="0" applyFont="1" applyBorder="1"/>
    <xf numFmtId="9" fontId="0" fillId="2" borderId="0" xfId="0" applyNumberFormat="1" applyFill="1" applyAlignment="1">
      <alignment horizontal="right"/>
    </xf>
    <xf numFmtId="3" fontId="0" fillId="2" borderId="0" xfId="0" applyNumberFormat="1" applyFill="1"/>
    <xf numFmtId="9" fontId="3" fillId="2" borderId="0" xfId="0" applyNumberFormat="1" applyFont="1" applyFill="1" applyAlignment="1">
      <alignment horizontal="right"/>
    </xf>
    <xf numFmtId="3" fontId="3" fillId="2" borderId="2" xfId="0" applyNumberFormat="1" applyFont="1" applyFill="1" applyBorder="1"/>
    <xf numFmtId="9" fontId="0" fillId="3" borderId="0" xfId="0" applyNumberFormat="1" applyFill="1"/>
    <xf numFmtId="3" fontId="0" fillId="3" borderId="0" xfId="0" applyNumberFormat="1" applyFill="1"/>
    <xf numFmtId="9" fontId="9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6" fillId="0" borderId="0" xfId="0" applyNumberFormat="1" applyFont="1" applyAlignment="1">
      <alignment horizontal="center"/>
    </xf>
    <xf numFmtId="0" fontId="0" fillId="4" borderId="0" xfId="0" applyFill="1"/>
    <xf numFmtId="0" fontId="6" fillId="5" borderId="0" xfId="0" applyFont="1" applyFill="1"/>
    <xf numFmtId="4" fontId="11" fillId="5" borderId="0" xfId="0" applyNumberFormat="1" applyFont="1" applyFill="1"/>
    <xf numFmtId="0" fontId="6" fillId="5" borderId="0" xfId="0" applyFont="1" applyFill="1" applyAlignment="1">
      <alignment horizontal="center"/>
    </xf>
    <xf numFmtId="3" fontId="6" fillId="5" borderId="0" xfId="0" applyNumberFormat="1" applyFont="1" applyFill="1" applyAlignment="1">
      <alignment horizontal="center"/>
    </xf>
    <xf numFmtId="3" fontId="6" fillId="5" borderId="0" xfId="0" applyNumberFormat="1" applyFont="1" applyFill="1"/>
    <xf numFmtId="164" fontId="6" fillId="5" borderId="0" xfId="3" applyNumberFormat="1" applyFont="1" applyFill="1" applyAlignment="1">
      <alignment horizontal="center"/>
    </xf>
    <xf numFmtId="0" fontId="12" fillId="0" borderId="1" xfId="0" applyFont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3" fontId="0" fillId="6" borderId="0" xfId="0" applyNumberFormat="1" applyFill="1"/>
    <xf numFmtId="9" fontId="0" fillId="6" borderId="0" xfId="0" applyNumberFormat="1" applyFill="1" applyAlignment="1">
      <alignment horizontal="center"/>
    </xf>
    <xf numFmtId="0" fontId="0" fillId="6" borderId="0" xfId="0" applyFill="1"/>
    <xf numFmtId="9" fontId="13" fillId="6" borderId="0" xfId="0" applyNumberFormat="1" applyFont="1" applyFill="1" applyAlignment="1">
      <alignment horizontal="center"/>
    </xf>
    <xf numFmtId="0" fontId="13" fillId="6" borderId="0" xfId="0" applyFont="1" applyFill="1"/>
    <xf numFmtId="0" fontId="14" fillId="0" borderId="0" xfId="0" applyFont="1" applyAlignment="1">
      <alignment horizontal="right"/>
    </xf>
    <xf numFmtId="3" fontId="3" fillId="6" borderId="2" xfId="0" applyNumberFormat="1" applyFont="1" applyFill="1" applyBorder="1"/>
    <xf numFmtId="3" fontId="14" fillId="0" borderId="0" xfId="0" applyNumberFormat="1" applyFont="1" applyAlignment="1">
      <alignment horizontal="right"/>
    </xf>
    <xf numFmtId="9" fontId="14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9" fontId="2" fillId="0" borderId="0" xfId="0" applyNumberFormat="1" applyFont="1"/>
    <xf numFmtId="3" fontId="0" fillId="4" borderId="0" xfId="0" applyNumberFormat="1" applyFill="1"/>
    <xf numFmtId="0" fontId="2" fillId="0" borderId="0" xfId="0" applyFont="1" applyAlignment="1">
      <alignment horizontal="center" vertical="center"/>
    </xf>
    <xf numFmtId="165" fontId="0" fillId="7" borderId="0" xfId="0" applyNumberFormat="1" applyFill="1" applyAlignment="1">
      <alignment horizontal="left"/>
    </xf>
    <xf numFmtId="0" fontId="0" fillId="7" borderId="0" xfId="0" applyFill="1"/>
    <xf numFmtId="0" fontId="3" fillId="7" borderId="0" xfId="0" applyFont="1" applyFill="1"/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right"/>
    </xf>
    <xf numFmtId="0" fontId="0" fillId="7" borderId="0" xfId="0" applyFill="1" applyAlignment="1">
      <alignment horizontal="center"/>
    </xf>
    <xf numFmtId="9" fontId="0" fillId="7" borderId="0" xfId="2" applyFont="1" applyFill="1"/>
    <xf numFmtId="164" fontId="0" fillId="7" borderId="0" xfId="3" applyNumberFormat="1" applyFont="1" applyFill="1"/>
    <xf numFmtId="0" fontId="0" fillId="7" borderId="3" xfId="0" applyFill="1" applyBorder="1"/>
    <xf numFmtId="164" fontId="0" fillId="7" borderId="0" xfId="3" applyNumberFormat="1" applyFont="1" applyFill="1" applyAlignment="1">
      <alignment horizontal="right"/>
    </xf>
    <xf numFmtId="0" fontId="0" fillId="7" borderId="4" xfId="0" applyFill="1" applyBorder="1"/>
    <xf numFmtId="164" fontId="0" fillId="7" borderId="4" xfId="3" applyNumberFormat="1" applyFont="1" applyFill="1" applyBorder="1" applyAlignment="1">
      <alignment horizontal="right"/>
    </xf>
    <xf numFmtId="43" fontId="0" fillId="7" borderId="0" xfId="3" applyFont="1" applyFill="1"/>
    <xf numFmtId="43" fontId="0" fillId="7" borderId="0" xfId="0" applyNumberFormat="1" applyFill="1"/>
    <xf numFmtId="43" fontId="0" fillId="0" borderId="0" xfId="0" applyNumberFormat="1"/>
    <xf numFmtId="43" fontId="0" fillId="0" borderId="0" xfId="0" applyNumberFormat="1" applyAlignment="1">
      <alignment horizontal="right"/>
    </xf>
    <xf numFmtId="43" fontId="0" fillId="7" borderId="4" xfId="3" applyFont="1" applyFill="1" applyBorder="1"/>
    <xf numFmtId="43" fontId="0" fillId="7" borderId="3" xfId="0" applyNumberFormat="1" applyFill="1" applyBorder="1"/>
    <xf numFmtId="0" fontId="0" fillId="8" borderId="0" xfId="0" applyFill="1"/>
    <xf numFmtId="3" fontId="0" fillId="8" borderId="0" xfId="0" applyNumberFormat="1" applyFill="1"/>
    <xf numFmtId="0" fontId="13" fillId="8" borderId="0" xfId="0" applyFont="1" applyFill="1"/>
    <xf numFmtId="3" fontId="3" fillId="8" borderId="0" xfId="0" applyNumberFormat="1" applyFont="1" applyFill="1"/>
    <xf numFmtId="3" fontId="0" fillId="8" borderId="3" xfId="0" applyNumberFormat="1" applyFill="1" applyBorder="1"/>
    <xf numFmtId="9" fontId="0" fillId="8" borderId="0" xfId="0" applyNumberFormat="1" applyFill="1" applyAlignment="1">
      <alignment horizontal="center"/>
    </xf>
    <xf numFmtId="3" fontId="3" fillId="8" borderId="2" xfId="0" applyNumberFormat="1" applyFont="1" applyFill="1" applyBorder="1"/>
    <xf numFmtId="9" fontId="3" fillId="6" borderId="1" xfId="0" applyNumberFormat="1" applyFont="1" applyFill="1" applyBorder="1" applyAlignment="1">
      <alignment horizontal="center" vertical="center"/>
    </xf>
    <xf numFmtId="3" fontId="3" fillId="6" borderId="1" xfId="0" applyNumberFormat="1" applyFont="1" applyFill="1" applyBorder="1" applyAlignment="1">
      <alignment horizontal="center" vertical="center"/>
    </xf>
    <xf numFmtId="9" fontId="3" fillId="8" borderId="1" xfId="0" applyNumberFormat="1" applyFont="1" applyFill="1" applyBorder="1" applyAlignment="1">
      <alignment horizontal="center" vertical="center"/>
    </xf>
    <xf numFmtId="3" fontId="3" fillId="8" borderId="1" xfId="0" applyNumberFormat="1" applyFont="1" applyFill="1" applyBorder="1" applyAlignment="1">
      <alignment horizontal="center" vertical="center"/>
    </xf>
    <xf numFmtId="0" fontId="13" fillId="0" borderId="0" xfId="0" applyFont="1"/>
    <xf numFmtId="9" fontId="3" fillId="9" borderId="1" xfId="0" applyNumberFormat="1" applyFont="1" applyFill="1" applyBorder="1" applyAlignment="1">
      <alignment horizontal="center" vertical="center"/>
    </xf>
    <xf numFmtId="3" fontId="3" fillId="9" borderId="1" xfId="0" applyNumberFormat="1" applyFont="1" applyFill="1" applyBorder="1" applyAlignment="1">
      <alignment horizontal="center" vertical="center"/>
    </xf>
    <xf numFmtId="0" fontId="0" fillId="9" borderId="0" xfId="0" applyFill="1"/>
    <xf numFmtId="9" fontId="0" fillId="9" borderId="0" xfId="0" applyNumberFormat="1" applyFill="1" applyAlignment="1">
      <alignment horizontal="center"/>
    </xf>
    <xf numFmtId="3" fontId="0" fillId="9" borderId="0" xfId="0" applyNumberFormat="1" applyFill="1"/>
    <xf numFmtId="0" fontId="13" fillId="9" borderId="0" xfId="0" applyFont="1" applyFill="1"/>
    <xf numFmtId="3" fontId="0" fillId="9" borderId="3" xfId="0" applyNumberFormat="1" applyFill="1" applyBorder="1"/>
    <xf numFmtId="3" fontId="3" fillId="9" borderId="2" xfId="0" applyNumberFormat="1" applyFont="1" applyFill="1" applyBorder="1"/>
    <xf numFmtId="2" fontId="0" fillId="3" borderId="0" xfId="0" applyNumberFormat="1" applyFill="1"/>
    <xf numFmtId="0" fontId="0" fillId="3" borderId="0" xfId="0" applyFill="1"/>
    <xf numFmtId="9" fontId="0" fillId="0" borderId="3" xfId="0" applyNumberFormat="1" applyBorder="1" applyAlignment="1">
      <alignment horizontal="center"/>
    </xf>
    <xf numFmtId="0" fontId="0" fillId="0" borderId="3" xfId="0" applyBorder="1"/>
    <xf numFmtId="0" fontId="15" fillId="0" borderId="0" xfId="0" applyFont="1" applyAlignment="1">
      <alignment vertical="center"/>
    </xf>
  </cellXfs>
  <cellStyles count="4">
    <cellStyle name="Komma" xfId="3" builtinId="3"/>
    <cellStyle name="Komma 2" xfId="1" xr:uid="{94C4C297-CB45-456A-AA82-D4ED1DF2BC66}"/>
    <cellStyle name="Normal" xfId="0" builtinId="0"/>
    <cellStyle name="Pro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– 2022 T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BE0D6-B29D-4B52-8F29-354BC7F62295}">
  <sheetPr>
    <pageSetUpPr fitToPage="1"/>
  </sheetPr>
  <dimension ref="B1:Y134"/>
  <sheetViews>
    <sheetView tabSelected="1" zoomScaleNormal="100" workbookViewId="0">
      <selection activeCell="V72" sqref="V72"/>
    </sheetView>
  </sheetViews>
  <sheetFormatPr defaultRowHeight="14.5" x14ac:dyDescent="0.35"/>
  <cols>
    <col min="2" max="2" width="72" customWidth="1"/>
    <col min="3" max="3" width="8.7265625" customWidth="1"/>
    <col min="4" max="4" width="15" hidden="1" customWidth="1"/>
    <col min="5" max="5" width="8.7265625" hidden="1" customWidth="1"/>
    <col min="6" max="6" width="10.7265625" hidden="1" customWidth="1"/>
    <col min="7" max="8" width="8.7265625" hidden="1" customWidth="1"/>
    <col min="9" max="9" width="8.7265625" customWidth="1"/>
    <col min="10" max="10" width="3.7265625" customWidth="1"/>
    <col min="11" max="11" width="8.7265625" customWidth="1"/>
    <col min="12" max="12" width="3.26953125" customWidth="1"/>
    <col min="13" max="13" width="9.7265625" style="77" customWidth="1"/>
    <col min="14" max="14" width="9.453125" customWidth="1"/>
    <col min="15" max="15" width="3.7265625" customWidth="1"/>
    <col min="16" max="16" width="11.1796875" customWidth="1"/>
    <col min="17" max="17" width="12.7265625" customWidth="1"/>
    <col min="18" max="18" width="3.7265625" customWidth="1"/>
    <col min="19" max="19" width="11.1796875" customWidth="1"/>
    <col min="20" max="20" width="12.7265625" customWidth="1"/>
    <col min="21" max="21" width="17.7265625" customWidth="1"/>
    <col min="23" max="23" width="15.81640625" customWidth="1"/>
  </cols>
  <sheetData>
    <row r="1" spans="2:22" ht="18.5" x14ac:dyDescent="0.45">
      <c r="B1" s="1"/>
      <c r="C1" s="2"/>
      <c r="D1" s="1"/>
      <c r="E1" s="1"/>
      <c r="F1" s="1"/>
      <c r="G1" s="3"/>
      <c r="H1" s="1"/>
      <c r="I1" s="4"/>
      <c r="J1" s="4"/>
    </row>
    <row r="2" spans="2:22" ht="21" x14ac:dyDescent="0.5">
      <c r="B2" s="5" t="s">
        <v>128</v>
      </c>
      <c r="C2" s="6"/>
      <c r="D2" s="5"/>
      <c r="E2" s="5"/>
      <c r="F2" s="5"/>
      <c r="G2" s="7"/>
      <c r="H2" s="5"/>
      <c r="I2" s="4"/>
      <c r="J2" s="4"/>
      <c r="N2" s="96" t="s">
        <v>167</v>
      </c>
      <c r="O2" s="96"/>
      <c r="P2" s="96"/>
      <c r="Q2" s="96" t="s">
        <v>204</v>
      </c>
      <c r="R2" s="96"/>
      <c r="S2" s="96"/>
      <c r="T2" s="96" t="s">
        <v>222</v>
      </c>
    </row>
    <row r="3" spans="2:22" x14ac:dyDescent="0.35">
      <c r="B3" t="s">
        <v>129</v>
      </c>
      <c r="C3" s="8"/>
      <c r="G3" s="4"/>
      <c r="I3" s="4"/>
      <c r="J3" s="4"/>
      <c r="M3" s="142"/>
      <c r="N3" s="143"/>
      <c r="O3" s="96"/>
      <c r="P3" s="143"/>
      <c r="Q3" s="143"/>
      <c r="S3" s="143"/>
      <c r="T3" s="143"/>
    </row>
    <row r="4" spans="2:22" ht="15" thickBot="1" x14ac:dyDescent="0.4"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1" t="s">
        <v>5</v>
      </c>
      <c r="I4" s="10" t="s">
        <v>6</v>
      </c>
      <c r="K4" s="10" t="s">
        <v>6</v>
      </c>
      <c r="L4" s="87"/>
      <c r="M4" s="127" t="s">
        <v>131</v>
      </c>
      <c r="N4" s="128" t="s">
        <v>132</v>
      </c>
      <c r="O4" s="96"/>
      <c r="P4" s="129" t="s">
        <v>131</v>
      </c>
      <c r="Q4" s="130" t="s">
        <v>203</v>
      </c>
      <c r="R4" s="87"/>
      <c r="S4" s="132" t="s">
        <v>131</v>
      </c>
      <c r="T4" s="133" t="s">
        <v>223</v>
      </c>
      <c r="V4" s="12" t="s">
        <v>7</v>
      </c>
    </row>
    <row r="5" spans="2:22" x14ac:dyDescent="0.35">
      <c r="C5" s="8"/>
      <c r="G5" s="4"/>
      <c r="I5" s="4"/>
      <c r="J5" s="4"/>
      <c r="M5" s="89"/>
      <c r="N5" s="90"/>
      <c r="O5" s="96"/>
      <c r="P5" s="120"/>
      <c r="Q5" s="120"/>
      <c r="S5" s="134"/>
      <c r="T5" s="134"/>
    </row>
    <row r="6" spans="2:22" x14ac:dyDescent="0.35">
      <c r="B6" s="13" t="s">
        <v>8</v>
      </c>
      <c r="C6" s="14"/>
      <c r="D6" s="13"/>
      <c r="E6" s="13"/>
      <c r="F6" s="13"/>
      <c r="G6" s="15"/>
      <c r="H6" s="13"/>
      <c r="I6" s="4"/>
      <c r="J6" s="4"/>
      <c r="K6" s="15">
        <f>SUM(I7:I13)</f>
        <v>34163.800000000003</v>
      </c>
      <c r="L6" s="15"/>
      <c r="M6" s="89">
        <v>0.6</v>
      </c>
      <c r="N6" s="88">
        <f>M6*K6</f>
        <v>20498.280000000002</v>
      </c>
      <c r="O6" s="96"/>
      <c r="P6" s="125">
        <v>0.8</v>
      </c>
      <c r="Q6" s="121">
        <f>P6*K6</f>
        <v>27331.040000000005</v>
      </c>
      <c r="R6" s="4"/>
      <c r="S6" s="135">
        <v>0.95</v>
      </c>
      <c r="T6" s="136">
        <f>S6*K6</f>
        <v>32455.61</v>
      </c>
    </row>
    <row r="7" spans="2:22" x14ac:dyDescent="0.35">
      <c r="B7" t="s">
        <v>9</v>
      </c>
      <c r="C7" s="8" t="s">
        <v>10</v>
      </c>
      <c r="D7" s="28"/>
      <c r="E7" s="28"/>
      <c r="F7" s="28"/>
      <c r="G7" s="30">
        <v>10000</v>
      </c>
      <c r="H7" s="28"/>
      <c r="I7" s="31">
        <f t="shared" ref="I7:I12" si="0">(G7*H7)+G7</f>
        <v>10000</v>
      </c>
      <c r="J7" s="4"/>
      <c r="M7" s="89"/>
      <c r="N7" s="90"/>
      <c r="O7" s="96"/>
      <c r="P7" s="120"/>
      <c r="Q7" s="120"/>
      <c r="S7" s="134"/>
      <c r="T7" s="134"/>
    </row>
    <row r="8" spans="2:22" x14ac:dyDescent="0.35">
      <c r="B8" t="s">
        <v>11</v>
      </c>
      <c r="C8" s="8" t="s">
        <v>10</v>
      </c>
      <c r="D8" s="28">
        <v>60</v>
      </c>
      <c r="E8" s="28">
        <v>90.2</v>
      </c>
      <c r="F8" s="30"/>
      <c r="G8" s="30">
        <f t="shared" ref="G8:G12" si="1">(D8*E8)+F8</f>
        <v>5412</v>
      </c>
      <c r="H8" s="32">
        <v>0.15</v>
      </c>
      <c r="I8" s="31">
        <f t="shared" si="0"/>
        <v>6223.8</v>
      </c>
      <c r="J8" s="4"/>
      <c r="M8" s="89"/>
      <c r="N8" s="90"/>
      <c r="O8" s="96"/>
      <c r="P8" s="120"/>
      <c r="Q8" s="120"/>
      <c r="S8" s="134"/>
      <c r="T8" s="134"/>
    </row>
    <row r="9" spans="2:22" x14ac:dyDescent="0.35">
      <c r="B9" t="s">
        <v>71</v>
      </c>
      <c r="C9" s="8" t="s">
        <v>48</v>
      </c>
      <c r="D9" s="28">
        <v>6</v>
      </c>
      <c r="E9" s="28">
        <v>750</v>
      </c>
      <c r="F9" s="30"/>
      <c r="G9" s="30">
        <f t="shared" si="1"/>
        <v>4500</v>
      </c>
      <c r="H9" s="32">
        <v>0.15</v>
      </c>
      <c r="I9" s="31">
        <f t="shared" si="0"/>
        <v>5175</v>
      </c>
      <c r="J9" s="4"/>
      <c r="M9" s="89"/>
      <c r="N9" s="90"/>
      <c r="O9" s="96"/>
      <c r="P9" s="120"/>
      <c r="Q9" s="120"/>
      <c r="S9" s="134"/>
      <c r="T9" s="134"/>
    </row>
    <row r="10" spans="2:22" x14ac:dyDescent="0.35">
      <c r="B10" s="25" t="s">
        <v>49</v>
      </c>
      <c r="C10" s="24" t="s">
        <v>10</v>
      </c>
      <c r="D10" s="28">
        <v>6</v>
      </c>
      <c r="E10" s="28">
        <v>575</v>
      </c>
      <c r="F10" s="30"/>
      <c r="G10" s="30">
        <f t="shared" si="1"/>
        <v>3450</v>
      </c>
      <c r="H10" s="32">
        <v>0</v>
      </c>
      <c r="I10" s="31">
        <f t="shared" si="0"/>
        <v>3450</v>
      </c>
      <c r="J10" s="4"/>
      <c r="M10" s="89"/>
      <c r="N10" s="90"/>
      <c r="O10" s="96"/>
      <c r="P10" s="120"/>
      <c r="Q10" s="120"/>
      <c r="S10" s="134"/>
      <c r="T10" s="134"/>
    </row>
    <row r="11" spans="2:22" x14ac:dyDescent="0.35">
      <c r="B11" s="25" t="s">
        <v>72</v>
      </c>
      <c r="C11" s="24" t="s">
        <v>10</v>
      </c>
      <c r="D11" s="28">
        <v>4</v>
      </c>
      <c r="E11" s="28">
        <v>450</v>
      </c>
      <c r="F11" s="30"/>
      <c r="G11" s="30">
        <f t="shared" si="1"/>
        <v>1800</v>
      </c>
      <c r="H11" s="32">
        <v>0.15</v>
      </c>
      <c r="I11" s="31">
        <f t="shared" si="0"/>
        <v>2070</v>
      </c>
      <c r="J11" s="4"/>
      <c r="M11" s="89"/>
      <c r="N11" s="90"/>
      <c r="O11" s="96"/>
      <c r="P11" s="120"/>
      <c r="Q11" s="120"/>
      <c r="S11" s="134"/>
      <c r="T11" s="134"/>
    </row>
    <row r="12" spans="2:22" x14ac:dyDescent="0.35">
      <c r="B12" s="25" t="s">
        <v>50</v>
      </c>
      <c r="C12" s="24" t="s">
        <v>51</v>
      </c>
      <c r="D12" s="28">
        <v>21</v>
      </c>
      <c r="E12" s="28">
        <v>300</v>
      </c>
      <c r="F12" s="28"/>
      <c r="G12" s="30">
        <f t="shared" si="1"/>
        <v>6300</v>
      </c>
      <c r="H12" s="32">
        <v>0.15</v>
      </c>
      <c r="I12" s="31">
        <f t="shared" si="0"/>
        <v>7245</v>
      </c>
      <c r="J12" s="4"/>
      <c r="M12" s="89"/>
      <c r="N12" s="90"/>
      <c r="O12" s="96"/>
      <c r="P12" s="120"/>
      <c r="Q12" s="120"/>
      <c r="S12" s="134"/>
      <c r="T12" s="134"/>
    </row>
    <row r="13" spans="2:22" x14ac:dyDescent="0.35">
      <c r="B13" s="17" t="s">
        <v>70</v>
      </c>
      <c r="C13" s="20" t="s">
        <v>37</v>
      </c>
      <c r="D13" s="29"/>
      <c r="E13" s="29"/>
      <c r="F13" s="29"/>
      <c r="G13" s="29"/>
      <c r="H13" s="29"/>
      <c r="I13" s="29">
        <v>0</v>
      </c>
      <c r="J13" s="4"/>
      <c r="M13" s="89"/>
      <c r="N13" s="90"/>
      <c r="O13" s="96"/>
      <c r="P13" s="120"/>
      <c r="Q13" s="120"/>
      <c r="S13" s="134"/>
      <c r="T13" s="134"/>
    </row>
    <row r="14" spans="2:22" x14ac:dyDescent="0.35">
      <c r="C14" s="8"/>
      <c r="G14" s="4"/>
      <c r="I14" s="4"/>
      <c r="J14" s="4"/>
      <c r="M14" s="89"/>
      <c r="N14" s="90"/>
      <c r="O14" s="96"/>
      <c r="P14" s="120"/>
      <c r="Q14" s="120"/>
      <c r="S14" s="134"/>
      <c r="T14" s="134"/>
    </row>
    <row r="15" spans="2:22" x14ac:dyDescent="0.35">
      <c r="B15" s="13" t="s">
        <v>12</v>
      </c>
      <c r="C15" s="14"/>
      <c r="D15" s="13"/>
      <c r="E15" s="13"/>
      <c r="F15" s="13"/>
      <c r="G15" s="15"/>
      <c r="H15" s="13"/>
      <c r="I15" s="4"/>
      <c r="J15" s="4"/>
      <c r="K15" s="15">
        <f>SUM(I16:I24)</f>
        <v>49612.5</v>
      </c>
      <c r="L15" s="15"/>
      <c r="M15" s="89">
        <v>1</v>
      </c>
      <c r="N15" s="88">
        <f>M15*K15</f>
        <v>49612.5</v>
      </c>
      <c r="O15" s="96"/>
      <c r="P15" s="125">
        <v>1</v>
      </c>
      <c r="Q15" s="121">
        <f>P15*K15</f>
        <v>49612.5</v>
      </c>
      <c r="R15" s="4"/>
      <c r="S15" s="135">
        <v>1</v>
      </c>
      <c r="T15" s="136">
        <f>S15*K15</f>
        <v>49612.5</v>
      </c>
    </row>
    <row r="16" spans="2:22" x14ac:dyDescent="0.35">
      <c r="B16" s="42" t="s">
        <v>75</v>
      </c>
      <c r="C16" s="43" t="s">
        <v>160</v>
      </c>
      <c r="D16" s="44"/>
      <c r="E16" s="44"/>
      <c r="F16" s="45"/>
      <c r="G16" s="45"/>
      <c r="H16" s="46"/>
      <c r="I16" s="31">
        <v>0</v>
      </c>
      <c r="J16" s="4"/>
      <c r="M16" s="89"/>
      <c r="N16" s="90"/>
      <c r="O16" s="96"/>
      <c r="P16" s="120"/>
      <c r="Q16" s="120"/>
      <c r="S16" s="134"/>
      <c r="T16" s="134"/>
    </row>
    <row r="17" spans="2:22" x14ac:dyDescent="0.35">
      <c r="B17" s="25" t="s">
        <v>52</v>
      </c>
      <c r="C17" s="8" t="s">
        <v>10</v>
      </c>
      <c r="D17" s="28">
        <v>8</v>
      </c>
      <c r="E17" s="28">
        <v>575</v>
      </c>
      <c r="F17" s="30">
        <v>800</v>
      </c>
      <c r="G17" s="30">
        <f t="shared" ref="G17:G22" si="2">(D17*E17)+F17</f>
        <v>5400</v>
      </c>
      <c r="H17" s="32">
        <v>0</v>
      </c>
      <c r="I17" s="31">
        <f t="shared" ref="I17:I23" si="3">(G17*H17)+G17</f>
        <v>5400</v>
      </c>
      <c r="J17" s="4"/>
      <c r="M17" s="89"/>
      <c r="N17" s="90"/>
      <c r="O17" s="96"/>
      <c r="P17" s="120"/>
      <c r="Q17" s="120"/>
      <c r="S17" s="134"/>
      <c r="T17" s="134"/>
    </row>
    <row r="18" spans="2:22" x14ac:dyDescent="0.35">
      <c r="B18" s="25" t="s">
        <v>73</v>
      </c>
      <c r="C18" s="8" t="s">
        <v>10</v>
      </c>
      <c r="D18" s="28">
        <v>5</v>
      </c>
      <c r="E18" s="28">
        <v>575</v>
      </c>
      <c r="F18" s="30">
        <v>800</v>
      </c>
      <c r="G18" s="30">
        <f t="shared" si="2"/>
        <v>3675</v>
      </c>
      <c r="H18" s="32">
        <v>0</v>
      </c>
      <c r="I18" s="31">
        <f t="shared" si="3"/>
        <v>3675</v>
      </c>
      <c r="J18" s="4"/>
      <c r="M18" s="89"/>
      <c r="N18" s="90"/>
      <c r="O18" s="96"/>
      <c r="P18" s="120"/>
      <c r="Q18" s="120"/>
      <c r="S18" s="134"/>
      <c r="T18" s="134"/>
      <c r="V18">
        <f>7.5/83.5</f>
        <v>8.9820359281437126E-2</v>
      </c>
    </row>
    <row r="19" spans="2:22" x14ac:dyDescent="0.35">
      <c r="B19" s="25" t="s">
        <v>74</v>
      </c>
      <c r="C19" s="8" t="s">
        <v>10</v>
      </c>
      <c r="D19" s="28">
        <v>7.5</v>
      </c>
      <c r="E19" s="28">
        <v>575</v>
      </c>
      <c r="F19" s="30"/>
      <c r="G19" s="30">
        <f t="shared" si="2"/>
        <v>4312.5</v>
      </c>
      <c r="H19" s="32">
        <v>0</v>
      </c>
      <c r="I19" s="31">
        <f t="shared" si="3"/>
        <v>4312.5</v>
      </c>
      <c r="J19" s="4"/>
      <c r="M19" s="89"/>
      <c r="N19" s="90"/>
      <c r="O19" s="96"/>
      <c r="P19" s="120"/>
      <c r="Q19" s="120"/>
      <c r="S19" s="134"/>
      <c r="T19" s="134"/>
      <c r="V19">
        <f>83.5/7.5</f>
        <v>11.133333333333333</v>
      </c>
    </row>
    <row r="20" spans="2:22" x14ac:dyDescent="0.35">
      <c r="B20" s="25" t="s">
        <v>55</v>
      </c>
      <c r="C20" s="8" t="s">
        <v>10</v>
      </c>
      <c r="D20" s="28">
        <v>21</v>
      </c>
      <c r="E20" s="28">
        <v>575</v>
      </c>
      <c r="F20" s="30"/>
      <c r="G20" s="30">
        <f t="shared" si="2"/>
        <v>12075</v>
      </c>
      <c r="H20" s="32">
        <v>0</v>
      </c>
      <c r="I20" s="31">
        <f t="shared" si="3"/>
        <v>12075</v>
      </c>
      <c r="J20" s="4"/>
      <c r="M20" s="89"/>
      <c r="N20" s="90"/>
      <c r="O20" s="96"/>
      <c r="P20" s="120"/>
      <c r="Q20" s="120"/>
      <c r="S20" s="134"/>
      <c r="T20" s="134"/>
    </row>
    <row r="21" spans="2:22" x14ac:dyDescent="0.35">
      <c r="B21" s="25" t="s">
        <v>53</v>
      </c>
      <c r="C21" s="8" t="s">
        <v>10</v>
      </c>
      <c r="D21" s="28">
        <v>15</v>
      </c>
      <c r="E21" s="28">
        <v>575</v>
      </c>
      <c r="F21" s="30"/>
      <c r="G21" s="30">
        <f t="shared" si="2"/>
        <v>8625</v>
      </c>
      <c r="H21" s="32">
        <v>0</v>
      </c>
      <c r="I21" s="31">
        <f t="shared" si="3"/>
        <v>8625</v>
      </c>
      <c r="J21" s="4"/>
      <c r="M21" s="89"/>
      <c r="N21" s="90"/>
      <c r="O21" s="96"/>
      <c r="P21" s="120"/>
      <c r="Q21" s="120"/>
      <c r="S21" s="134"/>
      <c r="T21" s="134"/>
    </row>
    <row r="22" spans="2:22" x14ac:dyDescent="0.35">
      <c r="B22" s="25" t="s">
        <v>54</v>
      </c>
      <c r="C22" s="8" t="s">
        <v>10</v>
      </c>
      <c r="D22" s="28">
        <v>7</v>
      </c>
      <c r="E22" s="28">
        <v>575</v>
      </c>
      <c r="F22" s="30"/>
      <c r="G22" s="30">
        <f t="shared" si="2"/>
        <v>4025</v>
      </c>
      <c r="H22" s="32">
        <v>0</v>
      </c>
      <c r="I22" s="31">
        <f t="shared" si="3"/>
        <v>4025</v>
      </c>
      <c r="J22" s="4"/>
      <c r="M22" s="89"/>
      <c r="N22" s="90"/>
      <c r="O22" s="96"/>
      <c r="P22" s="120"/>
      <c r="Q22" s="120"/>
      <c r="S22" s="134"/>
      <c r="T22" s="134"/>
    </row>
    <row r="23" spans="2:22" x14ac:dyDescent="0.35">
      <c r="B23" t="s">
        <v>13</v>
      </c>
      <c r="C23" s="8" t="s">
        <v>10</v>
      </c>
      <c r="D23" s="28">
        <v>15</v>
      </c>
      <c r="E23" s="28">
        <v>575</v>
      </c>
      <c r="F23" s="28">
        <v>0</v>
      </c>
      <c r="G23" s="30">
        <f>(D23*E23)+F23</f>
        <v>8625</v>
      </c>
      <c r="H23" s="34"/>
      <c r="I23" s="31">
        <f t="shared" si="3"/>
        <v>8625</v>
      </c>
      <c r="J23" s="4"/>
      <c r="M23" s="89"/>
      <c r="N23" s="90"/>
      <c r="O23" s="96"/>
      <c r="P23" s="120"/>
      <c r="Q23" s="120"/>
      <c r="S23" s="134"/>
      <c r="T23" s="134"/>
    </row>
    <row r="24" spans="2:22" x14ac:dyDescent="0.35">
      <c r="B24" s="25" t="s">
        <v>115</v>
      </c>
      <c r="C24" s="8" t="s">
        <v>10</v>
      </c>
      <c r="D24" s="28">
        <v>5</v>
      </c>
      <c r="E24" s="28">
        <v>575</v>
      </c>
      <c r="F24" s="28">
        <v>0</v>
      </c>
      <c r="G24" s="30">
        <f>(D24*E24)+F24</f>
        <v>2875</v>
      </c>
      <c r="H24" s="34"/>
      <c r="I24" s="31">
        <f t="shared" ref="I24" si="4">(G24*H24)+G24</f>
        <v>2875</v>
      </c>
      <c r="J24" s="4"/>
      <c r="M24" s="89"/>
      <c r="N24" s="90"/>
      <c r="O24" s="96"/>
      <c r="P24" s="120"/>
      <c r="Q24" s="120"/>
      <c r="S24" s="134"/>
      <c r="T24" s="134"/>
    </row>
    <row r="25" spans="2:22" x14ac:dyDescent="0.35">
      <c r="C25" s="8"/>
      <c r="G25" s="4"/>
      <c r="I25" s="4"/>
      <c r="J25" s="4"/>
      <c r="M25" s="89"/>
      <c r="N25" s="90"/>
      <c r="O25" s="96"/>
      <c r="P25" s="120"/>
      <c r="Q25" s="120"/>
      <c r="S25" s="134"/>
      <c r="T25" s="134"/>
    </row>
    <row r="26" spans="2:22" x14ac:dyDescent="0.35">
      <c r="B26" s="13" t="s">
        <v>14</v>
      </c>
      <c r="C26" s="14"/>
      <c r="D26" s="13"/>
      <c r="E26" s="13"/>
      <c r="F26" s="13"/>
      <c r="G26" s="15"/>
      <c r="H26" s="13"/>
      <c r="I26" s="4"/>
      <c r="J26" s="4"/>
      <c r="K26" s="15">
        <f>SUM(I27:I37)</f>
        <v>91775</v>
      </c>
      <c r="L26" s="15"/>
      <c r="M26" s="89">
        <v>0.7</v>
      </c>
      <c r="N26" s="88">
        <f>M26*K26</f>
        <v>64242.499999999993</v>
      </c>
      <c r="O26" s="96"/>
      <c r="P26" s="125">
        <v>0.95</v>
      </c>
      <c r="Q26" s="121">
        <f>P26*K26</f>
        <v>87186.25</v>
      </c>
      <c r="R26" s="4"/>
      <c r="S26" s="135">
        <v>0.95</v>
      </c>
      <c r="T26" s="136">
        <f>S26*K26</f>
        <v>87186.25</v>
      </c>
    </row>
    <row r="27" spans="2:22" x14ac:dyDescent="0.35">
      <c r="B27" t="s">
        <v>93</v>
      </c>
      <c r="C27" s="8" t="s">
        <v>10</v>
      </c>
      <c r="D27" s="28">
        <v>21</v>
      </c>
      <c r="E27" s="28">
        <v>575</v>
      </c>
      <c r="F27" s="30">
        <v>3500</v>
      </c>
      <c r="G27" s="30">
        <f t="shared" ref="G27" si="5">(D27*E27)+F27</f>
        <v>15575</v>
      </c>
      <c r="H27" s="32">
        <v>0</v>
      </c>
      <c r="I27" s="35">
        <f>(G27*H27)+G27</f>
        <v>15575</v>
      </c>
      <c r="J27" s="4"/>
      <c r="M27" s="89"/>
      <c r="N27" s="90"/>
      <c r="O27" s="96"/>
      <c r="P27" s="120"/>
      <c r="Q27" s="120"/>
      <c r="S27" s="134"/>
      <c r="T27" s="134"/>
    </row>
    <row r="28" spans="2:22" x14ac:dyDescent="0.35">
      <c r="B28" t="s">
        <v>76</v>
      </c>
      <c r="C28" s="8" t="s">
        <v>10</v>
      </c>
      <c r="D28" s="28">
        <v>5</v>
      </c>
      <c r="E28" s="28">
        <v>575</v>
      </c>
      <c r="F28" s="30">
        <v>3500</v>
      </c>
      <c r="G28" s="30">
        <f t="shared" ref="G28:G35" si="6">(D28*E28)+F28</f>
        <v>6375</v>
      </c>
      <c r="H28" s="32">
        <v>0</v>
      </c>
      <c r="I28" s="35">
        <f t="shared" ref="I28:I35" si="7">(G28*H28)+G28</f>
        <v>6375</v>
      </c>
      <c r="J28" s="4"/>
      <c r="M28" s="89"/>
      <c r="N28" s="90"/>
      <c r="O28" s="96"/>
      <c r="P28" s="120"/>
      <c r="Q28" s="120"/>
      <c r="S28" s="134"/>
      <c r="T28" s="134"/>
    </row>
    <row r="29" spans="2:22" x14ac:dyDescent="0.35">
      <c r="B29" t="s">
        <v>15</v>
      </c>
      <c r="C29" s="8" t="s">
        <v>10</v>
      </c>
      <c r="D29" s="28">
        <v>10</v>
      </c>
      <c r="E29" s="28">
        <v>575</v>
      </c>
      <c r="F29" s="30">
        <v>2500</v>
      </c>
      <c r="G29" s="30">
        <f t="shared" si="6"/>
        <v>8250</v>
      </c>
      <c r="H29" s="32">
        <v>0</v>
      </c>
      <c r="I29" s="35">
        <f t="shared" si="7"/>
        <v>8250</v>
      </c>
      <c r="J29" s="4"/>
      <c r="M29" s="89"/>
      <c r="N29" s="90"/>
      <c r="O29" s="96"/>
      <c r="P29" s="120"/>
      <c r="Q29" s="120"/>
      <c r="S29" s="134"/>
      <c r="T29" s="134"/>
    </row>
    <row r="30" spans="2:22" x14ac:dyDescent="0.35">
      <c r="B30" t="s">
        <v>16</v>
      </c>
      <c r="C30" s="8" t="s">
        <v>10</v>
      </c>
      <c r="D30" s="28">
        <v>8</v>
      </c>
      <c r="E30" s="28">
        <v>575</v>
      </c>
      <c r="F30" s="30">
        <v>1000</v>
      </c>
      <c r="G30" s="30">
        <f t="shared" si="6"/>
        <v>5600</v>
      </c>
      <c r="H30" s="32">
        <v>0</v>
      </c>
      <c r="I30" s="35">
        <f t="shared" si="7"/>
        <v>5600</v>
      </c>
      <c r="J30" s="4"/>
      <c r="M30" s="89"/>
      <c r="N30" s="90"/>
      <c r="O30" s="96"/>
      <c r="P30" s="120"/>
      <c r="Q30" s="120"/>
      <c r="S30" s="134"/>
      <c r="T30" s="134"/>
      <c r="V30">
        <f>113/7.5</f>
        <v>15.066666666666666</v>
      </c>
    </row>
    <row r="31" spans="2:22" x14ac:dyDescent="0.35">
      <c r="B31" t="s">
        <v>92</v>
      </c>
      <c r="C31" s="8" t="s">
        <v>10</v>
      </c>
      <c r="D31" s="28">
        <v>8</v>
      </c>
      <c r="E31" s="28">
        <v>575</v>
      </c>
      <c r="F31" s="30">
        <v>3500</v>
      </c>
      <c r="G31" s="30">
        <f t="shared" ref="G31" si="8">(D31*E31)+F31</f>
        <v>8100</v>
      </c>
      <c r="H31" s="32">
        <v>0</v>
      </c>
      <c r="I31" s="35">
        <f t="shared" ref="I31" si="9">(G31*H31)+G31</f>
        <v>8100</v>
      </c>
      <c r="J31" s="4"/>
      <c r="M31" s="89"/>
      <c r="N31" s="90"/>
      <c r="O31" s="96"/>
      <c r="P31" s="120"/>
      <c r="Q31" s="120"/>
      <c r="S31" s="134"/>
      <c r="T31" s="134"/>
    </row>
    <row r="32" spans="2:22" x14ac:dyDescent="0.35">
      <c r="B32" t="s">
        <v>17</v>
      </c>
      <c r="C32" s="8" t="s">
        <v>10</v>
      </c>
      <c r="D32" s="28">
        <v>10</v>
      </c>
      <c r="E32" s="28">
        <v>575</v>
      </c>
      <c r="F32" s="30">
        <v>1500</v>
      </c>
      <c r="G32" s="30">
        <f t="shared" si="6"/>
        <v>7250</v>
      </c>
      <c r="H32" s="32">
        <v>0</v>
      </c>
      <c r="I32" s="35">
        <f t="shared" si="7"/>
        <v>7250</v>
      </c>
      <c r="J32" s="4"/>
      <c r="M32" s="89"/>
      <c r="N32" s="90"/>
      <c r="O32" s="96"/>
      <c r="P32" s="120"/>
      <c r="Q32" s="120"/>
      <c r="S32" s="134"/>
      <c r="T32" s="134"/>
    </row>
    <row r="33" spans="2:22" x14ac:dyDescent="0.35">
      <c r="B33" t="s">
        <v>18</v>
      </c>
      <c r="C33" s="8" t="s">
        <v>10</v>
      </c>
      <c r="D33" s="28">
        <v>8</v>
      </c>
      <c r="E33" s="28">
        <v>575</v>
      </c>
      <c r="F33" s="30">
        <v>5000</v>
      </c>
      <c r="G33" s="30">
        <f t="shared" si="6"/>
        <v>9600</v>
      </c>
      <c r="H33" s="32">
        <v>0</v>
      </c>
      <c r="I33" s="35">
        <f t="shared" si="7"/>
        <v>9600</v>
      </c>
      <c r="J33" s="4"/>
      <c r="M33" s="89"/>
      <c r="N33" s="90"/>
      <c r="O33" s="96"/>
      <c r="P33" s="120"/>
      <c r="Q33" s="120"/>
      <c r="S33" s="134"/>
      <c r="T33" s="134"/>
    </row>
    <row r="34" spans="2:22" x14ac:dyDescent="0.35">
      <c r="B34" t="s">
        <v>19</v>
      </c>
      <c r="C34" s="8" t="s">
        <v>10</v>
      </c>
      <c r="D34" s="28">
        <v>5</v>
      </c>
      <c r="E34" s="28">
        <v>575</v>
      </c>
      <c r="F34" s="30">
        <v>2500</v>
      </c>
      <c r="G34" s="30">
        <f t="shared" si="6"/>
        <v>5375</v>
      </c>
      <c r="H34" s="32">
        <v>0</v>
      </c>
      <c r="I34" s="35">
        <f t="shared" si="7"/>
        <v>5375</v>
      </c>
      <c r="J34" s="4"/>
      <c r="M34" s="89"/>
      <c r="N34" s="90"/>
      <c r="O34" s="96"/>
      <c r="P34" s="120"/>
      <c r="Q34" s="120"/>
      <c r="S34" s="134"/>
      <c r="T34" s="134"/>
    </row>
    <row r="35" spans="2:22" x14ac:dyDescent="0.35">
      <c r="B35" t="s">
        <v>20</v>
      </c>
      <c r="C35" s="8" t="s">
        <v>10</v>
      </c>
      <c r="D35" s="28">
        <v>8</v>
      </c>
      <c r="E35" s="28">
        <v>575</v>
      </c>
      <c r="F35" s="30">
        <v>800</v>
      </c>
      <c r="G35" s="30">
        <f t="shared" si="6"/>
        <v>5400</v>
      </c>
      <c r="H35" s="32">
        <v>0</v>
      </c>
      <c r="I35" s="35">
        <f t="shared" si="7"/>
        <v>5400</v>
      </c>
      <c r="J35" s="4"/>
      <c r="M35" s="89"/>
      <c r="N35" s="90"/>
      <c r="O35" s="96"/>
      <c r="P35" s="120"/>
      <c r="Q35" s="120"/>
      <c r="S35" s="134"/>
      <c r="T35" s="134"/>
    </row>
    <row r="36" spans="2:22" x14ac:dyDescent="0.35">
      <c r="B36" s="25" t="s">
        <v>120</v>
      </c>
      <c r="C36" s="24" t="s">
        <v>10</v>
      </c>
      <c r="D36" s="29">
        <v>15</v>
      </c>
      <c r="E36" s="29">
        <v>575</v>
      </c>
      <c r="F36" s="31">
        <v>1500</v>
      </c>
      <c r="G36" s="31">
        <f t="shared" ref="G36" si="10">(D36*E36)+F36</f>
        <v>10125</v>
      </c>
      <c r="H36" s="32">
        <v>0</v>
      </c>
      <c r="I36" s="35">
        <f t="shared" ref="I36" si="11">(G36*H36)+G36</f>
        <v>10125</v>
      </c>
      <c r="J36" s="4"/>
      <c r="M36" s="89"/>
      <c r="N36" s="90"/>
      <c r="O36" s="96"/>
      <c r="P36" s="120"/>
      <c r="Q36" s="120"/>
      <c r="S36" s="134"/>
      <c r="T36" s="134"/>
    </row>
    <row r="37" spans="2:22" x14ac:dyDescent="0.35">
      <c r="B37" s="25" t="s">
        <v>121</v>
      </c>
      <c r="C37" s="24" t="s">
        <v>10</v>
      </c>
      <c r="D37" s="29">
        <v>15</v>
      </c>
      <c r="E37" s="29">
        <v>575</v>
      </c>
      <c r="F37" s="31">
        <v>1500</v>
      </c>
      <c r="G37" s="31">
        <f t="shared" ref="G37" si="12">(D37*E37)+F37</f>
        <v>10125</v>
      </c>
      <c r="H37" s="32">
        <v>0</v>
      </c>
      <c r="I37" s="35">
        <f t="shared" ref="I37" si="13">(G37*H37)+G37</f>
        <v>10125</v>
      </c>
      <c r="J37" s="4"/>
      <c r="M37" s="89"/>
      <c r="N37" s="90"/>
      <c r="O37" s="96"/>
      <c r="P37" s="120"/>
      <c r="Q37" s="120"/>
      <c r="S37" s="134"/>
      <c r="T37" s="134"/>
    </row>
    <row r="38" spans="2:22" x14ac:dyDescent="0.35">
      <c r="C38" s="8"/>
      <c r="G38" s="4"/>
      <c r="I38" s="4"/>
      <c r="J38" s="4"/>
      <c r="M38" s="89"/>
      <c r="N38" s="90"/>
      <c r="O38" s="96"/>
      <c r="P38" s="120"/>
      <c r="Q38" s="120"/>
      <c r="S38" s="134"/>
      <c r="T38" s="134"/>
    </row>
    <row r="39" spans="2:22" x14ac:dyDescent="0.35">
      <c r="B39" s="13" t="s">
        <v>21</v>
      </c>
      <c r="C39" s="14"/>
      <c r="D39" s="13"/>
      <c r="E39" s="13"/>
      <c r="F39" s="13"/>
      <c r="G39" s="15"/>
      <c r="H39" s="13"/>
      <c r="I39" s="4"/>
      <c r="J39" s="4"/>
      <c r="K39" s="15">
        <f>SUM(I40:I45)</f>
        <v>15725</v>
      </c>
      <c r="L39" s="15"/>
      <c r="M39" s="89">
        <v>0</v>
      </c>
      <c r="N39" s="88">
        <f>M39*K39</f>
        <v>0</v>
      </c>
      <c r="O39" s="96"/>
      <c r="P39" s="125">
        <v>0</v>
      </c>
      <c r="Q39" s="121">
        <f>P39*K39</f>
        <v>0</v>
      </c>
      <c r="R39" s="4"/>
      <c r="S39" s="135">
        <v>1</v>
      </c>
      <c r="T39" s="136">
        <f>S39*K39</f>
        <v>15725</v>
      </c>
      <c r="V39" t="s">
        <v>142</v>
      </c>
    </row>
    <row r="40" spans="2:22" x14ac:dyDescent="0.35">
      <c r="B40" s="42" t="s">
        <v>77</v>
      </c>
      <c r="C40" s="43" t="s">
        <v>22</v>
      </c>
      <c r="D40" s="44">
        <v>4</v>
      </c>
      <c r="E40" s="44">
        <v>500</v>
      </c>
      <c r="F40" s="45">
        <v>0</v>
      </c>
      <c r="G40" s="45">
        <f t="shared" ref="G40" si="14">(D40*E40)+F40</f>
        <v>2000</v>
      </c>
      <c r="H40" s="46">
        <v>0.15</v>
      </c>
      <c r="I40" s="35">
        <v>0</v>
      </c>
      <c r="J40" s="4"/>
      <c r="M40" s="89"/>
      <c r="N40" s="90"/>
      <c r="O40" s="96"/>
      <c r="P40" s="120"/>
      <c r="Q40" s="120"/>
      <c r="S40" s="134"/>
      <c r="T40" s="134"/>
      <c r="V40" t="s">
        <v>141</v>
      </c>
    </row>
    <row r="41" spans="2:22" x14ac:dyDescent="0.35">
      <c r="B41" s="42" t="s">
        <v>78</v>
      </c>
      <c r="C41" s="43" t="s">
        <v>22</v>
      </c>
      <c r="D41" s="44">
        <v>6</v>
      </c>
      <c r="E41" s="44">
        <v>500</v>
      </c>
      <c r="F41" s="45">
        <v>0</v>
      </c>
      <c r="G41" s="45">
        <f t="shared" ref="G41" si="15">(D41*E41)+F41</f>
        <v>3000</v>
      </c>
      <c r="H41" s="76">
        <v>0.15</v>
      </c>
      <c r="I41" s="21">
        <v>0</v>
      </c>
      <c r="J41" s="4"/>
      <c r="M41" s="89"/>
      <c r="N41" s="90"/>
      <c r="O41" s="96"/>
      <c r="P41" s="120"/>
      <c r="Q41" s="120"/>
      <c r="S41" s="134"/>
      <c r="T41" s="134"/>
    </row>
    <row r="42" spans="2:22" x14ac:dyDescent="0.35">
      <c r="B42" t="s">
        <v>118</v>
      </c>
      <c r="C42" s="8" t="s">
        <v>22</v>
      </c>
      <c r="D42" s="28">
        <v>10</v>
      </c>
      <c r="E42" s="28">
        <v>300</v>
      </c>
      <c r="F42" s="30">
        <v>0</v>
      </c>
      <c r="G42" s="30">
        <f t="shared" ref="G42" si="16">(D42*E42)+F42</f>
        <v>3000</v>
      </c>
      <c r="H42" s="77">
        <v>0.15</v>
      </c>
      <c r="I42" s="4">
        <f>G42*H42+G42</f>
        <v>3450</v>
      </c>
      <c r="J42" s="4"/>
      <c r="M42" s="89"/>
      <c r="N42" s="90"/>
      <c r="O42" s="96"/>
      <c r="P42" s="120"/>
      <c r="Q42" s="120"/>
      <c r="S42" s="134"/>
      <c r="T42" s="134"/>
    </row>
    <row r="43" spans="2:22" x14ac:dyDescent="0.35">
      <c r="B43" t="s">
        <v>23</v>
      </c>
      <c r="C43" s="8" t="s">
        <v>22</v>
      </c>
      <c r="D43" s="28">
        <v>6</v>
      </c>
      <c r="E43" s="28">
        <v>500</v>
      </c>
      <c r="F43" s="30">
        <v>0</v>
      </c>
      <c r="G43" s="30">
        <f t="shared" ref="G43:G44" si="17">(D43*E43)+F43</f>
        <v>3000</v>
      </c>
      <c r="H43" s="77">
        <v>0.15</v>
      </c>
      <c r="I43" s="4">
        <f>G43*H43+G43</f>
        <v>3450</v>
      </c>
      <c r="J43" s="4"/>
      <c r="M43" s="89"/>
      <c r="N43" s="90"/>
      <c r="O43" s="96"/>
      <c r="P43" s="120"/>
      <c r="Q43" s="120"/>
      <c r="S43" s="134"/>
      <c r="T43" s="134"/>
    </row>
    <row r="44" spans="2:22" x14ac:dyDescent="0.35">
      <c r="B44" t="s">
        <v>24</v>
      </c>
      <c r="C44" s="8" t="s">
        <v>22</v>
      </c>
      <c r="D44" s="28">
        <v>6</v>
      </c>
      <c r="E44" s="28">
        <v>500</v>
      </c>
      <c r="F44" s="30">
        <v>0</v>
      </c>
      <c r="G44" s="30">
        <f t="shared" si="17"/>
        <v>3000</v>
      </c>
      <c r="H44" s="77">
        <v>0.15</v>
      </c>
      <c r="I44" s="4">
        <f>G44*H44+G44</f>
        <v>3450</v>
      </c>
      <c r="J44" s="4"/>
      <c r="M44" s="89"/>
      <c r="N44" s="90"/>
      <c r="O44" s="96"/>
      <c r="P44" s="120"/>
      <c r="Q44" s="120"/>
      <c r="S44" s="134"/>
      <c r="T44" s="134"/>
    </row>
    <row r="45" spans="2:22" x14ac:dyDescent="0.35">
      <c r="B45" s="25" t="s">
        <v>117</v>
      </c>
      <c r="C45" s="24" t="s">
        <v>10</v>
      </c>
      <c r="D45" s="28">
        <v>5</v>
      </c>
      <c r="E45" s="28">
        <v>500</v>
      </c>
      <c r="F45" s="30">
        <v>0</v>
      </c>
      <c r="G45" s="30">
        <f t="shared" ref="G45" si="18">(D45*E45)+F45</f>
        <v>2500</v>
      </c>
      <c r="H45" s="77">
        <v>1.1499999999999999</v>
      </c>
      <c r="I45" s="4">
        <f>G45*H45+G45</f>
        <v>5375</v>
      </c>
      <c r="J45" s="4"/>
      <c r="M45" s="89"/>
      <c r="N45" s="90"/>
      <c r="O45" s="96"/>
      <c r="P45" s="120"/>
      <c r="Q45" s="120"/>
      <c r="S45" s="134"/>
      <c r="T45" s="134"/>
    </row>
    <row r="46" spans="2:22" x14ac:dyDescent="0.35">
      <c r="C46" s="8"/>
      <c r="G46" s="4"/>
      <c r="H46" s="8"/>
      <c r="I46" s="4"/>
      <c r="J46" s="4"/>
      <c r="M46" s="89"/>
      <c r="N46" s="90"/>
      <c r="O46" s="96"/>
      <c r="P46" s="120"/>
      <c r="Q46" s="120"/>
      <c r="S46" s="134"/>
      <c r="T46" s="134"/>
    </row>
    <row r="47" spans="2:22" ht="15" customHeight="1" x14ac:dyDescent="0.35">
      <c r="B47" s="13" t="s">
        <v>25</v>
      </c>
      <c r="C47" s="14"/>
      <c r="D47" s="13"/>
      <c r="F47" s="13"/>
      <c r="G47" s="15"/>
      <c r="H47" s="14"/>
      <c r="I47" s="4"/>
      <c r="J47" s="4"/>
      <c r="K47" s="15">
        <f>SUM(I48:I50)</f>
        <v>9545</v>
      </c>
      <c r="L47" s="15"/>
      <c r="M47" s="89">
        <v>0</v>
      </c>
      <c r="N47" s="88">
        <f>M47*K47</f>
        <v>0</v>
      </c>
      <c r="O47" s="96"/>
      <c r="P47" s="125">
        <v>0.5</v>
      </c>
      <c r="Q47" s="121">
        <f>P47*K47</f>
        <v>4772.5</v>
      </c>
      <c r="R47" s="4"/>
      <c r="S47" s="135">
        <v>1</v>
      </c>
      <c r="T47" s="136">
        <f>S47*K47</f>
        <v>9545</v>
      </c>
    </row>
    <row r="48" spans="2:22" x14ac:dyDescent="0.35">
      <c r="B48" s="25" t="s">
        <v>122</v>
      </c>
      <c r="C48" s="24" t="s">
        <v>10</v>
      </c>
      <c r="D48" s="25"/>
      <c r="E48" s="25"/>
      <c r="F48" s="25"/>
      <c r="G48" s="21">
        <v>0</v>
      </c>
      <c r="H48" s="78">
        <v>0.15</v>
      </c>
      <c r="I48" s="21">
        <v>0</v>
      </c>
      <c r="J48" s="4"/>
      <c r="M48" s="89"/>
      <c r="N48" s="90"/>
      <c r="O48" s="96"/>
      <c r="P48" s="120"/>
      <c r="Q48" s="120"/>
      <c r="S48" s="134"/>
      <c r="T48" s="134"/>
    </row>
    <row r="49" spans="2:20" x14ac:dyDescent="0.35">
      <c r="B49" s="25" t="s">
        <v>79</v>
      </c>
      <c r="C49" s="24" t="s">
        <v>10</v>
      </c>
      <c r="D49" s="29">
        <v>6</v>
      </c>
      <c r="E49" s="29">
        <v>550</v>
      </c>
      <c r="F49" s="31">
        <v>5000</v>
      </c>
      <c r="G49" s="31">
        <f t="shared" ref="G49" si="19">(D49*E49)+F49</f>
        <v>8300</v>
      </c>
      <c r="H49" s="32">
        <v>0.15</v>
      </c>
      <c r="I49" s="35">
        <f t="shared" ref="I49" si="20">(G49*H49)+G49</f>
        <v>9545</v>
      </c>
      <c r="J49" s="4"/>
      <c r="M49" s="89"/>
      <c r="N49" s="90"/>
      <c r="O49" s="96"/>
      <c r="P49" s="120"/>
      <c r="Q49" s="120"/>
      <c r="S49" s="134"/>
      <c r="T49" s="134"/>
    </row>
    <row r="50" spans="2:20" x14ac:dyDescent="0.35">
      <c r="B50" s="25" t="s">
        <v>123</v>
      </c>
      <c r="C50" s="24" t="s">
        <v>10</v>
      </c>
      <c r="D50" s="29">
        <v>6</v>
      </c>
      <c r="E50" s="29">
        <v>550</v>
      </c>
      <c r="F50" s="31">
        <v>5000</v>
      </c>
      <c r="G50" s="31">
        <f t="shared" ref="G50" si="21">(D50*E50)+F50</f>
        <v>8300</v>
      </c>
      <c r="H50" s="78">
        <v>0.15</v>
      </c>
      <c r="I50" s="21">
        <v>0</v>
      </c>
      <c r="J50" s="4"/>
      <c r="M50" s="89"/>
      <c r="N50" s="90"/>
      <c r="O50" s="96"/>
      <c r="P50" s="120"/>
      <c r="Q50" s="120"/>
      <c r="S50" s="134"/>
      <c r="T50" s="134"/>
    </row>
    <row r="51" spans="2:20" x14ac:dyDescent="0.35">
      <c r="C51" s="8"/>
      <c r="G51" s="4"/>
      <c r="I51" s="4"/>
      <c r="J51" s="4"/>
      <c r="M51" s="89"/>
      <c r="N51" s="90"/>
      <c r="O51" s="96"/>
      <c r="P51" s="120"/>
      <c r="Q51" s="120"/>
      <c r="S51" s="134"/>
      <c r="T51" s="134"/>
    </row>
    <row r="52" spans="2:20" x14ac:dyDescent="0.35">
      <c r="B52" s="13" t="s">
        <v>26</v>
      </c>
      <c r="C52" s="14"/>
      <c r="D52" s="13"/>
      <c r="E52" s="13"/>
      <c r="F52" s="13"/>
      <c r="G52" s="15"/>
      <c r="H52" s="13"/>
      <c r="I52" s="4"/>
      <c r="J52" s="4"/>
      <c r="K52" s="15">
        <f>SUM(I53:I57)</f>
        <v>112000</v>
      </c>
      <c r="L52" s="15"/>
      <c r="M52" s="89">
        <v>0.65</v>
      </c>
      <c r="N52" s="88">
        <f>M52*K52</f>
        <v>72800</v>
      </c>
      <c r="O52" s="96"/>
      <c r="P52" s="125">
        <v>0.65</v>
      </c>
      <c r="Q52" s="121">
        <f>P52*K52</f>
        <v>72800</v>
      </c>
      <c r="R52" s="4"/>
      <c r="S52" s="135">
        <v>0.8</v>
      </c>
      <c r="T52" s="136">
        <f>S52*K52</f>
        <v>89600</v>
      </c>
    </row>
    <row r="53" spans="2:20" x14ac:dyDescent="0.35">
      <c r="B53" t="s">
        <v>90</v>
      </c>
      <c r="C53" s="8" t="s">
        <v>111</v>
      </c>
      <c r="G53" s="4">
        <v>15000</v>
      </c>
      <c r="H53" s="77">
        <v>0.15</v>
      </c>
      <c r="I53" s="4">
        <f>G53*H53+G53</f>
        <v>17250</v>
      </c>
      <c r="J53" s="4"/>
      <c r="M53" s="89"/>
      <c r="N53" s="90"/>
      <c r="O53" s="96"/>
      <c r="P53" s="120"/>
      <c r="Q53" s="120"/>
      <c r="S53" s="134"/>
      <c r="T53" s="134"/>
    </row>
    <row r="54" spans="2:20" x14ac:dyDescent="0.35">
      <c r="B54" t="s">
        <v>91</v>
      </c>
      <c r="C54" s="8" t="s">
        <v>111</v>
      </c>
      <c r="G54" s="4">
        <v>20000</v>
      </c>
      <c r="H54" s="77">
        <v>0.15</v>
      </c>
      <c r="I54" s="4">
        <f t="shared" ref="I54:I56" si="22">G54*H54+G54</f>
        <v>23000</v>
      </c>
      <c r="J54" s="4"/>
      <c r="M54" s="89"/>
      <c r="N54" s="90"/>
      <c r="O54" s="96"/>
      <c r="P54" s="120"/>
      <c r="Q54" s="120"/>
      <c r="S54" s="134"/>
      <c r="T54" s="134"/>
    </row>
    <row r="55" spans="2:20" x14ac:dyDescent="0.35">
      <c r="B55" t="s">
        <v>110</v>
      </c>
      <c r="C55" s="8" t="s">
        <v>111</v>
      </c>
      <c r="G55" s="4">
        <v>25000</v>
      </c>
      <c r="H55" s="77">
        <v>0.15</v>
      </c>
      <c r="I55" s="4">
        <f t="shared" si="22"/>
        <v>28750</v>
      </c>
      <c r="J55" s="4"/>
      <c r="M55" s="89"/>
      <c r="N55" s="90"/>
      <c r="O55" s="96"/>
      <c r="P55" s="120"/>
      <c r="Q55" s="120"/>
      <c r="S55" s="134"/>
      <c r="T55" s="134"/>
    </row>
    <row r="56" spans="2:20" x14ac:dyDescent="0.35">
      <c r="B56" t="s">
        <v>109</v>
      </c>
      <c r="C56" s="8" t="s">
        <v>111</v>
      </c>
      <c r="G56" s="4">
        <v>20000</v>
      </c>
      <c r="H56" s="77">
        <v>0.15</v>
      </c>
      <c r="I56" s="4">
        <f t="shared" si="22"/>
        <v>23000</v>
      </c>
      <c r="J56" s="4"/>
      <c r="M56" s="89"/>
      <c r="N56" s="90"/>
      <c r="O56" s="96"/>
      <c r="P56" s="120"/>
      <c r="Q56" s="120"/>
      <c r="S56" s="134"/>
      <c r="T56" s="134"/>
    </row>
    <row r="57" spans="2:20" x14ac:dyDescent="0.35">
      <c r="B57" t="s">
        <v>27</v>
      </c>
      <c r="C57" s="8" t="s">
        <v>10</v>
      </c>
      <c r="G57" s="4">
        <v>20000</v>
      </c>
      <c r="H57" s="77">
        <v>0</v>
      </c>
      <c r="I57" s="4">
        <f>G57*H57+G57</f>
        <v>20000</v>
      </c>
      <c r="J57" s="4"/>
      <c r="M57" s="89"/>
      <c r="N57" s="90"/>
      <c r="O57" s="96"/>
      <c r="P57" s="120"/>
      <c r="Q57" s="120"/>
      <c r="S57" s="134"/>
      <c r="T57" s="134"/>
    </row>
    <row r="58" spans="2:20" x14ac:dyDescent="0.35">
      <c r="C58" s="8"/>
      <c r="G58" s="4"/>
      <c r="I58" s="4"/>
      <c r="J58" s="4"/>
      <c r="M58" s="89"/>
      <c r="N58" s="90"/>
      <c r="O58" s="96"/>
      <c r="P58" s="120"/>
      <c r="Q58" s="120"/>
      <c r="S58" s="134"/>
      <c r="T58" s="134"/>
    </row>
    <row r="59" spans="2:20" x14ac:dyDescent="0.35">
      <c r="B59" s="13" t="s">
        <v>28</v>
      </c>
      <c r="C59" s="14"/>
      <c r="D59" s="13"/>
      <c r="E59" s="13"/>
      <c r="F59" s="13"/>
      <c r="G59" s="15"/>
      <c r="H59" s="13"/>
      <c r="I59" s="4"/>
      <c r="J59" s="4"/>
      <c r="K59" s="15">
        <f>SUM(I60:I70)</f>
        <v>71050</v>
      </c>
      <c r="L59" s="15"/>
      <c r="M59" s="89">
        <v>0</v>
      </c>
      <c r="N59" s="88">
        <f>M59*K59</f>
        <v>0</v>
      </c>
      <c r="O59" s="96"/>
      <c r="P59" s="125">
        <v>0.5</v>
      </c>
      <c r="Q59" s="121">
        <f>P59*K59</f>
        <v>35525</v>
      </c>
      <c r="R59" s="4"/>
      <c r="S59" s="135">
        <v>1</v>
      </c>
      <c r="T59" s="136">
        <f>S59*K59</f>
        <v>71050</v>
      </c>
    </row>
    <row r="60" spans="2:20" x14ac:dyDescent="0.35">
      <c r="B60" t="s">
        <v>80</v>
      </c>
      <c r="C60" s="8" t="s">
        <v>10</v>
      </c>
      <c r="D60">
        <v>8</v>
      </c>
      <c r="E60">
        <v>550</v>
      </c>
      <c r="F60">
        <v>3300</v>
      </c>
      <c r="G60" s="4">
        <f t="shared" ref="G60:G70" si="23">(D60*E60)+F60</f>
        <v>7700</v>
      </c>
      <c r="H60" s="16"/>
      <c r="I60" s="4">
        <f t="shared" ref="I60:I70" si="24">G60*H60+G60</f>
        <v>7700</v>
      </c>
      <c r="J60" s="4"/>
      <c r="K60" s="15"/>
      <c r="L60" s="15"/>
      <c r="M60" s="89"/>
      <c r="N60" s="88"/>
      <c r="O60" s="96"/>
      <c r="P60" s="121"/>
      <c r="Q60" s="121"/>
      <c r="R60" s="4"/>
      <c r="S60" s="136"/>
      <c r="T60" s="136"/>
    </row>
    <row r="61" spans="2:20" x14ac:dyDescent="0.35">
      <c r="B61" t="s">
        <v>63</v>
      </c>
      <c r="C61" s="8" t="s">
        <v>10</v>
      </c>
      <c r="D61">
        <v>14</v>
      </c>
      <c r="E61">
        <v>550</v>
      </c>
      <c r="F61">
        <v>2400</v>
      </c>
      <c r="G61" s="4">
        <f t="shared" si="23"/>
        <v>10100</v>
      </c>
      <c r="H61" s="16"/>
      <c r="I61" s="4">
        <f t="shared" si="24"/>
        <v>10100</v>
      </c>
      <c r="J61" s="4"/>
      <c r="K61" s="15"/>
      <c r="L61" s="15"/>
      <c r="M61" s="89"/>
      <c r="N61" s="88"/>
      <c r="O61" s="96"/>
      <c r="P61" s="121"/>
      <c r="Q61" s="121"/>
      <c r="R61" s="4"/>
      <c r="S61" s="136"/>
      <c r="T61" s="136"/>
    </row>
    <row r="62" spans="2:20" x14ac:dyDescent="0.35">
      <c r="B62" t="s">
        <v>29</v>
      </c>
      <c r="C62" s="8" t="s">
        <v>10</v>
      </c>
      <c r="D62">
        <v>4</v>
      </c>
      <c r="E62">
        <v>550</v>
      </c>
      <c r="F62">
        <v>2400</v>
      </c>
      <c r="G62" s="4">
        <f t="shared" ref="G62" si="25">(D62*E62)+F62</f>
        <v>4600</v>
      </c>
      <c r="H62" s="16"/>
      <c r="I62" s="4">
        <f t="shared" ref="I62" si="26">G62*H62+G62</f>
        <v>4600</v>
      </c>
      <c r="J62" s="4"/>
      <c r="K62" s="15"/>
      <c r="L62" s="15"/>
      <c r="M62" s="89"/>
      <c r="N62" s="88"/>
      <c r="O62" s="96"/>
      <c r="P62" s="121"/>
      <c r="Q62" s="121"/>
      <c r="R62" s="4"/>
      <c r="S62" s="136"/>
      <c r="T62" s="136"/>
    </row>
    <row r="63" spans="2:20" x14ac:dyDescent="0.35">
      <c r="B63" t="s">
        <v>30</v>
      </c>
      <c r="C63" s="8" t="s">
        <v>10</v>
      </c>
      <c r="D63">
        <v>8</v>
      </c>
      <c r="E63">
        <v>550</v>
      </c>
      <c r="F63">
        <v>2800</v>
      </c>
      <c r="G63" s="4">
        <f t="shared" si="23"/>
        <v>7200</v>
      </c>
      <c r="H63" s="16"/>
      <c r="I63" s="4">
        <f t="shared" si="24"/>
        <v>7200</v>
      </c>
      <c r="J63" s="4"/>
      <c r="K63" s="15"/>
      <c r="L63" s="15"/>
      <c r="M63" s="89"/>
      <c r="N63" s="88"/>
      <c r="O63" s="96"/>
      <c r="P63" s="121"/>
      <c r="Q63" s="121"/>
      <c r="R63" s="4"/>
      <c r="S63" s="136"/>
      <c r="T63" s="136"/>
    </row>
    <row r="64" spans="2:20" x14ac:dyDescent="0.35">
      <c r="B64" t="s">
        <v>68</v>
      </c>
      <c r="C64" s="8" t="s">
        <v>10</v>
      </c>
      <c r="D64">
        <v>8</v>
      </c>
      <c r="E64">
        <v>550</v>
      </c>
      <c r="F64">
        <v>800</v>
      </c>
      <c r="G64" s="4">
        <f t="shared" si="23"/>
        <v>5200</v>
      </c>
      <c r="H64" s="16"/>
      <c r="I64" s="4">
        <f t="shared" si="24"/>
        <v>5200</v>
      </c>
      <c r="J64" s="4"/>
      <c r="K64" s="15"/>
      <c r="L64" s="15"/>
      <c r="M64" s="89"/>
      <c r="N64" s="88"/>
      <c r="O64" s="96"/>
      <c r="P64" s="121"/>
      <c r="Q64" s="121"/>
      <c r="R64" s="4"/>
      <c r="S64" s="136"/>
      <c r="T64" s="136"/>
    </row>
    <row r="65" spans="2:23" x14ac:dyDescent="0.35">
      <c r="B65" t="s">
        <v>67</v>
      </c>
      <c r="C65" s="8" t="s">
        <v>10</v>
      </c>
      <c r="D65">
        <v>10</v>
      </c>
      <c r="E65">
        <v>550</v>
      </c>
      <c r="F65">
        <v>800</v>
      </c>
      <c r="G65" s="4">
        <f t="shared" si="23"/>
        <v>6300</v>
      </c>
      <c r="H65" s="16"/>
      <c r="I65" s="4">
        <f t="shared" si="24"/>
        <v>6300</v>
      </c>
      <c r="J65" s="4"/>
      <c r="K65" s="15"/>
      <c r="L65" s="15"/>
      <c r="M65" s="89"/>
      <c r="N65" s="88"/>
      <c r="O65" s="96"/>
      <c r="P65" s="121"/>
      <c r="Q65" s="121"/>
      <c r="R65" s="4"/>
      <c r="S65" s="136"/>
      <c r="T65" s="136"/>
    </row>
    <row r="66" spans="2:23" x14ac:dyDescent="0.35">
      <c r="B66" t="s">
        <v>82</v>
      </c>
      <c r="C66" s="8" t="s">
        <v>10</v>
      </c>
      <c r="D66">
        <v>6</v>
      </c>
      <c r="E66">
        <v>550</v>
      </c>
      <c r="F66">
        <v>1500</v>
      </c>
      <c r="G66" s="4">
        <f t="shared" si="23"/>
        <v>4800</v>
      </c>
      <c r="H66" s="16"/>
      <c r="I66" s="4">
        <f t="shared" si="24"/>
        <v>4800</v>
      </c>
      <c r="J66" s="4"/>
      <c r="K66" s="15"/>
      <c r="L66" s="15"/>
      <c r="M66" s="89"/>
      <c r="N66" s="88"/>
      <c r="O66" s="96"/>
      <c r="P66" s="121"/>
      <c r="Q66" s="121"/>
      <c r="R66" s="4"/>
      <c r="S66" s="136"/>
      <c r="T66" s="136"/>
    </row>
    <row r="67" spans="2:23" x14ac:dyDescent="0.35">
      <c r="B67" t="s">
        <v>81</v>
      </c>
      <c r="C67" s="8" t="s">
        <v>10</v>
      </c>
      <c r="F67">
        <v>5000</v>
      </c>
      <c r="G67" s="4">
        <f t="shared" si="23"/>
        <v>5000</v>
      </c>
      <c r="H67" s="16">
        <v>0.15</v>
      </c>
      <c r="I67" s="4">
        <f t="shared" si="24"/>
        <v>5750</v>
      </c>
      <c r="J67" s="4"/>
      <c r="K67" s="15"/>
      <c r="L67" s="15"/>
      <c r="M67" s="89"/>
      <c r="N67" s="88"/>
      <c r="O67" s="96"/>
      <c r="P67" s="121"/>
      <c r="Q67" s="121"/>
      <c r="R67" s="4"/>
      <c r="S67" s="136"/>
      <c r="T67" s="136"/>
    </row>
    <row r="68" spans="2:23" x14ac:dyDescent="0.35">
      <c r="B68" t="s">
        <v>31</v>
      </c>
      <c r="C68" s="8" t="s">
        <v>10</v>
      </c>
      <c r="D68">
        <v>8</v>
      </c>
      <c r="E68">
        <v>550</v>
      </c>
      <c r="F68">
        <v>1000</v>
      </c>
      <c r="G68" s="4">
        <f t="shared" si="23"/>
        <v>5400</v>
      </c>
      <c r="H68" s="16"/>
      <c r="I68" s="4">
        <f t="shared" si="24"/>
        <v>5400</v>
      </c>
      <c r="J68" s="4"/>
      <c r="K68" s="15"/>
      <c r="L68" s="15"/>
      <c r="M68" s="89"/>
      <c r="N68" s="88"/>
      <c r="O68" s="96"/>
      <c r="P68" s="121"/>
      <c r="Q68" s="121"/>
      <c r="R68" s="4"/>
      <c r="S68" s="136"/>
      <c r="T68" s="136"/>
    </row>
    <row r="69" spans="2:23" x14ac:dyDescent="0.35">
      <c r="B69" t="s">
        <v>32</v>
      </c>
      <c r="C69" s="8" t="s">
        <v>10</v>
      </c>
      <c r="D69">
        <v>16</v>
      </c>
      <c r="E69">
        <v>550</v>
      </c>
      <c r="F69">
        <v>300</v>
      </c>
      <c r="G69" s="4">
        <f t="shared" si="23"/>
        <v>9100</v>
      </c>
      <c r="H69" s="16"/>
      <c r="I69" s="4">
        <f t="shared" si="24"/>
        <v>9100</v>
      </c>
      <c r="J69" s="4"/>
      <c r="K69" s="15"/>
      <c r="L69" s="15"/>
      <c r="M69" s="89"/>
      <c r="N69" s="88"/>
      <c r="O69" s="96"/>
      <c r="P69" s="121"/>
      <c r="Q69" s="121"/>
      <c r="R69" s="4"/>
      <c r="S69" s="136"/>
      <c r="T69" s="136"/>
    </row>
    <row r="70" spans="2:23" x14ac:dyDescent="0.35">
      <c r="B70" t="s">
        <v>33</v>
      </c>
      <c r="C70" s="8" t="s">
        <v>10</v>
      </c>
      <c r="D70">
        <v>8</v>
      </c>
      <c r="E70">
        <v>550</v>
      </c>
      <c r="F70">
        <v>500</v>
      </c>
      <c r="G70" s="4">
        <f t="shared" si="23"/>
        <v>4900</v>
      </c>
      <c r="H70" s="16"/>
      <c r="I70" s="4">
        <f t="shared" si="24"/>
        <v>4900</v>
      </c>
      <c r="J70" s="4"/>
      <c r="K70" s="15"/>
      <c r="L70" s="15"/>
      <c r="M70" s="89"/>
      <c r="N70" s="88"/>
      <c r="O70" s="96"/>
      <c r="P70" s="121"/>
      <c r="Q70" s="121"/>
      <c r="R70" s="4"/>
      <c r="S70" s="136"/>
      <c r="T70" s="136"/>
    </row>
    <row r="71" spans="2:23" x14ac:dyDescent="0.35">
      <c r="C71" s="8"/>
      <c r="G71" s="4"/>
      <c r="I71" s="4"/>
      <c r="J71" s="4"/>
      <c r="M71" s="89"/>
      <c r="N71" s="90"/>
      <c r="O71" s="96"/>
      <c r="P71" s="120"/>
      <c r="Q71" s="120"/>
      <c r="S71" s="134"/>
      <c r="T71" s="134"/>
    </row>
    <row r="72" spans="2:23" x14ac:dyDescent="0.35">
      <c r="B72" s="13" t="s">
        <v>34</v>
      </c>
      <c r="C72" s="14"/>
      <c r="D72" s="13"/>
      <c r="E72" s="13"/>
      <c r="F72" s="13"/>
      <c r="G72" s="15"/>
      <c r="H72" s="13"/>
      <c r="I72" s="4"/>
      <c r="J72" s="4"/>
      <c r="K72" s="15">
        <f>SUM(I73:I83)</f>
        <v>58050</v>
      </c>
      <c r="L72" s="15"/>
      <c r="M72" s="89">
        <v>0.6</v>
      </c>
      <c r="N72" s="88">
        <f>M72*K72</f>
        <v>34830</v>
      </c>
      <c r="O72" s="96"/>
      <c r="P72" s="125">
        <v>0.6</v>
      </c>
      <c r="Q72" s="121">
        <f>P72*K72</f>
        <v>34830</v>
      </c>
      <c r="R72" s="4"/>
      <c r="S72" s="135">
        <v>0.9</v>
      </c>
      <c r="T72" s="136">
        <f>S72*K72</f>
        <v>52245</v>
      </c>
      <c r="V72" s="99">
        <v>43463</v>
      </c>
      <c r="W72" s="79" t="s">
        <v>175</v>
      </c>
    </row>
    <row r="73" spans="2:23" x14ac:dyDescent="0.35">
      <c r="B73" s="27" t="s">
        <v>64</v>
      </c>
      <c r="C73" s="8" t="s">
        <v>10</v>
      </c>
      <c r="D73">
        <v>2</v>
      </c>
      <c r="E73">
        <v>625</v>
      </c>
      <c r="F73">
        <v>800</v>
      </c>
      <c r="G73" s="4">
        <f t="shared" ref="G73" si="27">(D73*E73)+F73</f>
        <v>2050</v>
      </c>
      <c r="H73" s="16"/>
      <c r="I73" s="4">
        <f t="shared" ref="I73:I85" si="28">G73*H73+G73</f>
        <v>2050</v>
      </c>
      <c r="J73" s="4"/>
      <c r="M73" s="89"/>
      <c r="N73" s="90"/>
      <c r="O73" s="96"/>
      <c r="P73" s="120"/>
      <c r="Q73" s="120"/>
      <c r="S73" s="134"/>
      <c r="T73" s="134"/>
    </row>
    <row r="74" spans="2:23" x14ac:dyDescent="0.35">
      <c r="B74" s="27" t="s">
        <v>96</v>
      </c>
      <c r="C74" s="8" t="s">
        <v>10</v>
      </c>
      <c r="D74" s="4">
        <v>4</v>
      </c>
      <c r="E74">
        <v>625</v>
      </c>
      <c r="G74" s="4">
        <f t="shared" ref="G74:G82" si="29">(D74*E74)+F74</f>
        <v>2500</v>
      </c>
      <c r="H74" s="16"/>
      <c r="I74" s="4">
        <f t="shared" si="28"/>
        <v>2500</v>
      </c>
      <c r="J74" s="4"/>
      <c r="M74" s="89"/>
      <c r="N74" s="90"/>
      <c r="O74" s="96"/>
      <c r="P74" s="120"/>
      <c r="Q74" s="120"/>
      <c r="S74" s="134"/>
      <c r="T74" s="134"/>
    </row>
    <row r="75" spans="2:23" x14ac:dyDescent="0.35">
      <c r="B75" s="27" t="s">
        <v>98</v>
      </c>
      <c r="C75" s="8" t="s">
        <v>10</v>
      </c>
      <c r="D75" s="4">
        <v>3</v>
      </c>
      <c r="E75">
        <v>625</v>
      </c>
      <c r="G75" s="4">
        <f t="shared" si="29"/>
        <v>1875</v>
      </c>
      <c r="H75" s="16"/>
      <c r="I75" s="4">
        <f t="shared" si="28"/>
        <v>1875</v>
      </c>
      <c r="J75" s="4"/>
      <c r="M75" s="89"/>
      <c r="N75" s="90"/>
      <c r="O75" s="96"/>
      <c r="P75" s="120"/>
      <c r="Q75" s="120"/>
      <c r="S75" s="134"/>
      <c r="T75" s="134"/>
    </row>
    <row r="76" spans="2:23" x14ac:dyDescent="0.35">
      <c r="B76" s="97" t="s">
        <v>125</v>
      </c>
      <c r="C76" s="8" t="s">
        <v>10</v>
      </c>
      <c r="D76" s="4">
        <v>6</v>
      </c>
      <c r="E76">
        <v>625</v>
      </c>
      <c r="F76">
        <v>200</v>
      </c>
      <c r="G76" s="4">
        <f t="shared" si="29"/>
        <v>3950</v>
      </c>
      <c r="H76" s="16"/>
      <c r="I76" s="4">
        <f t="shared" si="28"/>
        <v>3950</v>
      </c>
      <c r="J76" s="4"/>
      <c r="M76" s="89"/>
      <c r="N76" s="90"/>
      <c r="O76" s="96"/>
      <c r="P76" s="120"/>
      <c r="Q76" s="120"/>
      <c r="S76" s="134"/>
      <c r="T76" s="134"/>
    </row>
    <row r="77" spans="2:23" x14ac:dyDescent="0.35">
      <c r="B77" s="27" t="s">
        <v>97</v>
      </c>
      <c r="C77" s="8" t="s">
        <v>10</v>
      </c>
      <c r="D77" s="4">
        <v>4</v>
      </c>
      <c r="E77">
        <v>625</v>
      </c>
      <c r="F77">
        <v>300</v>
      </c>
      <c r="G77" s="4">
        <f t="shared" si="29"/>
        <v>2800</v>
      </c>
      <c r="H77" s="16"/>
      <c r="I77" s="4">
        <f t="shared" si="28"/>
        <v>2800</v>
      </c>
      <c r="J77" s="4"/>
      <c r="M77" s="89"/>
      <c r="N77" s="90"/>
      <c r="O77" s="96"/>
      <c r="P77" s="120"/>
      <c r="Q77" s="120"/>
      <c r="S77" s="134"/>
      <c r="T77" s="134"/>
    </row>
    <row r="78" spans="2:23" x14ac:dyDescent="0.35">
      <c r="B78" s="27" t="s">
        <v>99</v>
      </c>
      <c r="C78" s="8" t="s">
        <v>10</v>
      </c>
      <c r="D78" s="4">
        <v>5</v>
      </c>
      <c r="E78">
        <v>625</v>
      </c>
      <c r="F78">
        <v>2800</v>
      </c>
      <c r="G78" s="4">
        <f t="shared" si="29"/>
        <v>5925</v>
      </c>
      <c r="H78" s="16"/>
      <c r="I78" s="4">
        <f t="shared" si="28"/>
        <v>5925</v>
      </c>
      <c r="M78" s="89"/>
      <c r="N78" s="90"/>
      <c r="O78" s="96"/>
      <c r="P78" s="120"/>
      <c r="Q78" s="120"/>
      <c r="S78" s="134"/>
      <c r="T78" s="134"/>
    </row>
    <row r="79" spans="2:23" x14ac:dyDescent="0.35">
      <c r="B79" s="27" t="s">
        <v>101</v>
      </c>
      <c r="C79" s="8" t="s">
        <v>10</v>
      </c>
      <c r="D79" s="4">
        <v>11.5</v>
      </c>
      <c r="E79">
        <v>625</v>
      </c>
      <c r="F79">
        <v>4500</v>
      </c>
      <c r="G79" s="4">
        <f t="shared" si="29"/>
        <v>11687.5</v>
      </c>
      <c r="H79" s="16"/>
      <c r="I79" s="4">
        <f t="shared" si="28"/>
        <v>11687.5</v>
      </c>
      <c r="M79" s="89"/>
      <c r="N79" s="90"/>
      <c r="O79" s="96"/>
      <c r="P79" s="120"/>
      <c r="Q79" s="120"/>
      <c r="S79" s="134"/>
      <c r="T79" s="134"/>
    </row>
    <row r="80" spans="2:23" x14ac:dyDescent="0.35">
      <c r="B80" s="27" t="s">
        <v>102</v>
      </c>
      <c r="C80" s="8" t="s">
        <v>10</v>
      </c>
      <c r="D80" s="4">
        <v>11.5</v>
      </c>
      <c r="E80">
        <v>625</v>
      </c>
      <c r="F80">
        <v>5500</v>
      </c>
      <c r="G80" s="4">
        <f t="shared" si="29"/>
        <v>12687.5</v>
      </c>
      <c r="H80" s="16"/>
      <c r="I80" s="4">
        <f t="shared" si="28"/>
        <v>12687.5</v>
      </c>
      <c r="M80" s="89"/>
      <c r="N80" s="90"/>
      <c r="O80" s="96"/>
      <c r="P80" s="120"/>
      <c r="Q80" s="120"/>
      <c r="S80" s="134"/>
      <c r="T80" s="134"/>
    </row>
    <row r="81" spans="2:20" x14ac:dyDescent="0.35">
      <c r="B81" t="s">
        <v>100</v>
      </c>
      <c r="C81" s="8" t="s">
        <v>10</v>
      </c>
      <c r="D81" s="4">
        <v>3</v>
      </c>
      <c r="E81">
        <v>625</v>
      </c>
      <c r="F81">
        <v>800</v>
      </c>
      <c r="G81" s="4">
        <f t="shared" si="29"/>
        <v>2675</v>
      </c>
      <c r="H81" s="16"/>
      <c r="I81" s="4">
        <f t="shared" si="28"/>
        <v>2675</v>
      </c>
      <c r="M81" s="89"/>
      <c r="N81" s="90"/>
      <c r="O81" s="96"/>
      <c r="P81" s="120"/>
      <c r="Q81" s="120"/>
      <c r="S81" s="134"/>
      <c r="T81" s="134"/>
    </row>
    <row r="82" spans="2:20" x14ac:dyDescent="0.35">
      <c r="B82" s="27" t="s">
        <v>104</v>
      </c>
      <c r="C82" s="8" t="s">
        <v>10</v>
      </c>
      <c r="D82" s="4">
        <v>8</v>
      </c>
      <c r="E82">
        <v>625</v>
      </c>
      <c r="F82">
        <v>400</v>
      </c>
      <c r="G82" s="4">
        <f t="shared" si="29"/>
        <v>5400</v>
      </c>
      <c r="H82" s="16"/>
      <c r="I82" s="4">
        <f t="shared" si="28"/>
        <v>5400</v>
      </c>
      <c r="M82" s="89"/>
      <c r="N82" s="90"/>
      <c r="O82" s="96"/>
      <c r="P82" s="120"/>
      <c r="Q82" s="120"/>
      <c r="S82" s="134"/>
      <c r="T82" s="134"/>
    </row>
    <row r="83" spans="2:20" x14ac:dyDescent="0.35">
      <c r="B83" s="27" t="s">
        <v>124</v>
      </c>
      <c r="C83" s="8" t="s">
        <v>10</v>
      </c>
      <c r="D83" s="4"/>
      <c r="G83" s="4"/>
      <c r="H83" s="16"/>
      <c r="I83" s="4">
        <v>6500</v>
      </c>
      <c r="M83" s="89"/>
      <c r="N83" s="90"/>
      <c r="O83" s="96"/>
      <c r="P83" s="120"/>
      <c r="Q83" s="120"/>
      <c r="S83" s="134"/>
      <c r="T83" s="134"/>
    </row>
    <row r="84" spans="2:20" x14ac:dyDescent="0.35">
      <c r="B84" s="27"/>
      <c r="C84" s="8"/>
      <c r="D84" s="4"/>
      <c r="G84" s="4"/>
      <c r="H84" s="16"/>
      <c r="I84" s="4"/>
      <c r="J84" s="4"/>
      <c r="M84" s="89"/>
      <c r="N84" s="90"/>
      <c r="O84" s="96"/>
      <c r="P84" s="120"/>
      <c r="Q84" s="120"/>
      <c r="S84" s="134"/>
      <c r="T84" s="134"/>
    </row>
    <row r="85" spans="2:20" x14ac:dyDescent="0.35">
      <c r="B85" s="36" t="s">
        <v>105</v>
      </c>
      <c r="C85" s="8"/>
      <c r="D85" s="4"/>
      <c r="E85">
        <v>626</v>
      </c>
      <c r="G85" s="4">
        <f t="shared" ref="G85" si="30">(D85*E85)+F85</f>
        <v>0</v>
      </c>
      <c r="H85" s="16"/>
      <c r="I85" s="4">
        <f t="shared" si="28"/>
        <v>0</v>
      </c>
      <c r="J85" s="4"/>
      <c r="M85" s="89"/>
      <c r="N85" s="90"/>
      <c r="O85" s="96"/>
      <c r="P85" s="120"/>
      <c r="Q85" s="120"/>
      <c r="S85" s="134"/>
      <c r="T85" s="134"/>
    </row>
    <row r="86" spans="2:20" x14ac:dyDescent="0.35">
      <c r="B86" s="36" t="s">
        <v>106</v>
      </c>
      <c r="C86" s="8"/>
      <c r="D86" s="4"/>
      <c r="G86" s="4"/>
      <c r="I86" s="18"/>
      <c r="J86" s="4"/>
      <c r="M86" s="89"/>
      <c r="N86" s="90"/>
      <c r="O86" s="96"/>
      <c r="P86" s="120"/>
      <c r="Q86" s="120"/>
      <c r="S86" s="134"/>
      <c r="T86" s="134"/>
    </row>
    <row r="87" spans="2:20" x14ac:dyDescent="0.35">
      <c r="C87" s="8"/>
      <c r="D87" s="4"/>
      <c r="G87" s="4"/>
      <c r="I87" s="18"/>
      <c r="J87" s="4"/>
      <c r="M87" s="89"/>
      <c r="N87" s="90"/>
      <c r="O87" s="96"/>
      <c r="P87" s="120"/>
      <c r="Q87" s="120"/>
      <c r="S87" s="134"/>
      <c r="T87" s="134"/>
    </row>
    <row r="88" spans="2:20" x14ac:dyDescent="0.35">
      <c r="C88" s="4"/>
      <c r="D88" s="4"/>
      <c r="E88" s="19"/>
      <c r="G88" s="4"/>
      <c r="I88" s="4"/>
      <c r="J88" s="4"/>
      <c r="M88" s="89"/>
      <c r="N88" s="90"/>
      <c r="O88" s="96"/>
      <c r="P88" s="120"/>
      <c r="Q88" s="120"/>
      <c r="S88" s="134"/>
      <c r="T88" s="134"/>
    </row>
    <row r="89" spans="2:20" x14ac:dyDescent="0.35">
      <c r="B89" s="13" t="s">
        <v>35</v>
      </c>
      <c r="C89" s="14"/>
      <c r="D89" s="13"/>
      <c r="E89" s="13"/>
      <c r="F89" s="13"/>
      <c r="G89" s="15"/>
      <c r="H89" s="13"/>
      <c r="I89" s="4"/>
      <c r="J89" s="4"/>
      <c r="K89" s="15">
        <f>SUM(I90:I95)</f>
        <v>23825</v>
      </c>
      <c r="L89" s="15"/>
      <c r="M89" s="89">
        <v>0.2</v>
      </c>
      <c r="N89" s="88">
        <f>M89*K89</f>
        <v>4765</v>
      </c>
      <c r="O89" s="96"/>
      <c r="P89" s="125">
        <v>0.4</v>
      </c>
      <c r="Q89" s="121">
        <f>P89*K89</f>
        <v>9530</v>
      </c>
      <c r="R89" s="4"/>
      <c r="S89" s="135">
        <v>1</v>
      </c>
      <c r="T89" s="136">
        <f>S89*K89</f>
        <v>23825</v>
      </c>
    </row>
    <row r="90" spans="2:20" x14ac:dyDescent="0.35">
      <c r="B90" t="s">
        <v>103</v>
      </c>
      <c r="C90" s="8" t="s">
        <v>10</v>
      </c>
      <c r="D90" s="13"/>
      <c r="E90" s="13"/>
      <c r="F90" s="13"/>
      <c r="G90" s="18">
        <v>27500</v>
      </c>
      <c r="H90" s="13"/>
      <c r="I90" s="4">
        <f>G90*H90+G90</f>
        <v>27500</v>
      </c>
      <c r="J90" s="4"/>
      <c r="K90" s="15"/>
      <c r="L90" s="15"/>
      <c r="M90" s="89"/>
      <c r="N90" s="88"/>
      <c r="O90" s="96"/>
      <c r="P90" s="121"/>
      <c r="Q90" s="121"/>
      <c r="R90" s="4"/>
      <c r="S90" s="136"/>
      <c r="T90" s="136"/>
    </row>
    <row r="91" spans="2:20" ht="15.5" x14ac:dyDescent="0.35">
      <c r="B91" t="s">
        <v>38</v>
      </c>
      <c r="C91" s="8" t="s">
        <v>10</v>
      </c>
      <c r="G91" s="18">
        <v>2400</v>
      </c>
      <c r="H91" s="16">
        <v>0.15</v>
      </c>
      <c r="I91" s="4">
        <f>G91*H91+G91</f>
        <v>2760</v>
      </c>
      <c r="J91" s="26"/>
      <c r="K91" s="26"/>
      <c r="L91" s="26"/>
      <c r="M91" s="91"/>
      <c r="N91" s="92"/>
      <c r="O91" s="96"/>
      <c r="P91" s="122"/>
      <c r="Q91" s="122"/>
      <c r="R91" s="131"/>
      <c r="S91" s="137"/>
      <c r="T91" s="137"/>
    </row>
    <row r="92" spans="2:20" x14ac:dyDescent="0.35">
      <c r="B92" s="25" t="s">
        <v>83</v>
      </c>
      <c r="C92" s="8" t="s">
        <v>10</v>
      </c>
      <c r="G92" s="18">
        <v>1500</v>
      </c>
      <c r="H92" s="16">
        <v>0.15</v>
      </c>
      <c r="I92" s="4">
        <f>G92*H92+G92</f>
        <v>1725</v>
      </c>
      <c r="J92" s="4"/>
      <c r="M92" s="89"/>
      <c r="N92" s="90"/>
      <c r="O92" s="96"/>
      <c r="P92" s="120"/>
      <c r="Q92" s="120"/>
      <c r="S92" s="134"/>
      <c r="T92" s="134"/>
    </row>
    <row r="93" spans="2:20" x14ac:dyDescent="0.35">
      <c r="B93" t="s">
        <v>39</v>
      </c>
      <c r="C93" s="8" t="s">
        <v>10</v>
      </c>
      <c r="G93" s="18">
        <v>800</v>
      </c>
      <c r="H93" s="16">
        <v>0.15</v>
      </c>
      <c r="I93" s="4">
        <f>G93*H93+G93</f>
        <v>920</v>
      </c>
      <c r="J93" s="4"/>
      <c r="M93" s="89"/>
      <c r="N93" s="90"/>
      <c r="O93" s="96"/>
      <c r="P93" s="120"/>
      <c r="Q93" s="120"/>
      <c r="S93" s="134"/>
      <c r="T93" s="134"/>
    </row>
    <row r="94" spans="2:20" x14ac:dyDescent="0.35">
      <c r="B94" s="25" t="s">
        <v>84</v>
      </c>
      <c r="C94" s="24" t="s">
        <v>10</v>
      </c>
      <c r="G94" s="18">
        <v>800</v>
      </c>
      <c r="H94" s="16">
        <v>0.15</v>
      </c>
      <c r="I94" s="4">
        <f>G94*H94+G94</f>
        <v>920</v>
      </c>
      <c r="J94" s="4"/>
      <c r="M94" s="89"/>
      <c r="N94" s="90"/>
      <c r="O94" s="96"/>
      <c r="P94" s="120"/>
      <c r="Q94" s="120"/>
      <c r="S94" s="134"/>
      <c r="T94" s="134"/>
    </row>
    <row r="95" spans="2:20" x14ac:dyDescent="0.35">
      <c r="B95" s="17" t="s">
        <v>127</v>
      </c>
      <c r="C95" s="20" t="s">
        <v>10</v>
      </c>
      <c r="D95" s="17"/>
      <c r="E95" s="17"/>
      <c r="F95" s="17"/>
      <c r="G95" s="19">
        <v>801</v>
      </c>
      <c r="H95" s="98">
        <v>0</v>
      </c>
      <c r="I95" s="66">
        <v>-10000</v>
      </c>
      <c r="J95" s="4"/>
      <c r="M95" s="89"/>
      <c r="N95" s="90"/>
      <c r="O95" s="96"/>
      <c r="P95" s="120"/>
      <c r="Q95" s="120"/>
      <c r="S95" s="134"/>
      <c r="T95" s="134"/>
    </row>
    <row r="96" spans="2:20" x14ac:dyDescent="0.35">
      <c r="B96" s="25" t="s">
        <v>36</v>
      </c>
      <c r="C96" s="24" t="s">
        <v>37</v>
      </c>
      <c r="M96" s="89"/>
      <c r="N96" s="90"/>
      <c r="O96" s="96"/>
      <c r="P96" s="120"/>
      <c r="Q96" s="120"/>
      <c r="S96" s="134"/>
      <c r="T96" s="134"/>
    </row>
    <row r="97" spans="2:25" x14ac:dyDescent="0.35">
      <c r="B97" s="25" t="s">
        <v>85</v>
      </c>
      <c r="C97" s="24" t="s">
        <v>37</v>
      </c>
      <c r="G97" s="21"/>
      <c r="I97" s="4"/>
      <c r="J97" s="4"/>
      <c r="M97" s="89"/>
      <c r="N97" s="90"/>
      <c r="O97" s="96"/>
      <c r="P97" s="120"/>
      <c r="Q97" s="120"/>
      <c r="S97" s="134"/>
      <c r="T97" s="134"/>
    </row>
    <row r="98" spans="2:25" x14ac:dyDescent="0.35">
      <c r="B98" s="25" t="s">
        <v>86</v>
      </c>
      <c r="C98" s="24" t="s">
        <v>37</v>
      </c>
      <c r="G98" s="21"/>
      <c r="I98" s="4"/>
      <c r="J98" s="4"/>
      <c r="M98" s="89"/>
      <c r="N98" s="90"/>
      <c r="O98" s="96"/>
      <c r="P98" s="120"/>
      <c r="Q98" s="120"/>
      <c r="S98" s="134"/>
      <c r="T98" s="134"/>
    </row>
    <row r="99" spans="2:25" x14ac:dyDescent="0.35">
      <c r="C99" s="8"/>
      <c r="G99" s="21"/>
      <c r="I99" s="4"/>
      <c r="J99" s="4"/>
      <c r="M99" s="89"/>
      <c r="N99" s="90"/>
      <c r="O99" s="96"/>
      <c r="P99" s="120"/>
      <c r="Q99" s="120"/>
      <c r="S99" s="134"/>
      <c r="T99" s="134"/>
    </row>
    <row r="100" spans="2:25" x14ac:dyDescent="0.35">
      <c r="C100" s="8"/>
      <c r="G100" s="21"/>
      <c r="I100" s="4"/>
      <c r="J100" s="4"/>
      <c r="M100" s="89"/>
      <c r="N100" s="90"/>
      <c r="O100" s="96"/>
      <c r="P100" s="120"/>
      <c r="Q100" s="120"/>
      <c r="S100" s="134"/>
      <c r="T100" s="134"/>
    </row>
    <row r="101" spans="2:25" x14ac:dyDescent="0.35">
      <c r="B101" s="13" t="s">
        <v>40</v>
      </c>
      <c r="C101" s="14"/>
      <c r="D101" s="13"/>
      <c r="E101" s="13"/>
      <c r="F101" s="13"/>
      <c r="G101" s="13"/>
      <c r="H101" s="13"/>
      <c r="I101" s="13"/>
      <c r="J101" s="4"/>
      <c r="K101" s="15">
        <f>SUM(I101:I116)</f>
        <v>66326.25</v>
      </c>
      <c r="L101" s="15"/>
      <c r="M101" s="89">
        <v>0.6</v>
      </c>
      <c r="N101" s="88">
        <f>M101*K101</f>
        <v>39795.75</v>
      </c>
      <c r="O101" s="96"/>
      <c r="P101" s="125">
        <v>0.7</v>
      </c>
      <c r="Q101" s="121">
        <f>P101*K101</f>
        <v>46428.375</v>
      </c>
      <c r="R101" s="4"/>
      <c r="S101" s="135">
        <v>0.95</v>
      </c>
      <c r="T101" s="136">
        <f>S101*K101</f>
        <v>63009.9375</v>
      </c>
      <c r="V101" t="s">
        <v>94</v>
      </c>
    </row>
    <row r="102" spans="2:25" x14ac:dyDescent="0.35">
      <c r="B102" s="27" t="s">
        <v>56</v>
      </c>
      <c r="C102" s="8" t="s">
        <v>112</v>
      </c>
      <c r="D102" s="28">
        <v>4</v>
      </c>
      <c r="E102" s="28">
        <v>650</v>
      </c>
      <c r="F102" s="28">
        <v>500</v>
      </c>
      <c r="G102" s="30">
        <f t="shared" ref="G102:G110" si="31">(D102*E102)+F102</f>
        <v>3100</v>
      </c>
      <c r="H102" s="32">
        <v>0.15</v>
      </c>
      <c r="I102" s="31">
        <f>(G102*H102)+G102</f>
        <v>3565</v>
      </c>
      <c r="J102" s="4"/>
      <c r="M102" s="89"/>
      <c r="N102" s="90"/>
      <c r="O102" s="96"/>
      <c r="P102" s="120"/>
      <c r="Q102" s="120"/>
      <c r="S102" s="134"/>
      <c r="T102" s="134"/>
      <c r="V102" t="s">
        <v>95</v>
      </c>
    </row>
    <row r="103" spans="2:25" x14ac:dyDescent="0.35">
      <c r="B103" t="s">
        <v>61</v>
      </c>
      <c r="C103" s="8" t="s">
        <v>112</v>
      </c>
      <c r="D103" s="28">
        <v>4</v>
      </c>
      <c r="E103" s="28">
        <v>650</v>
      </c>
      <c r="F103" s="28">
        <v>500</v>
      </c>
      <c r="G103" s="30">
        <f t="shared" si="31"/>
        <v>3100</v>
      </c>
      <c r="H103" s="33">
        <v>0.15</v>
      </c>
      <c r="I103" s="30">
        <f t="shared" ref="I103:I110" si="32">(G103*H103)+G103</f>
        <v>3565</v>
      </c>
      <c r="J103" s="4"/>
      <c r="M103" s="89"/>
      <c r="N103" s="90"/>
      <c r="O103" s="96"/>
      <c r="P103" s="120"/>
      <c r="Q103" s="120"/>
      <c r="S103" s="134"/>
      <c r="T103" s="134"/>
    </row>
    <row r="104" spans="2:25" x14ac:dyDescent="0.35">
      <c r="B104" s="27" t="s">
        <v>60</v>
      </c>
      <c r="C104" s="8" t="s">
        <v>112</v>
      </c>
      <c r="D104" s="28">
        <v>7.5</v>
      </c>
      <c r="E104" s="28">
        <v>650</v>
      </c>
      <c r="F104" s="28">
        <v>500</v>
      </c>
      <c r="G104" s="30">
        <f t="shared" si="31"/>
        <v>5375</v>
      </c>
      <c r="H104" s="32">
        <v>0.15</v>
      </c>
      <c r="I104" s="31">
        <f t="shared" si="32"/>
        <v>6181.25</v>
      </c>
      <c r="J104" s="4"/>
      <c r="M104" s="89"/>
      <c r="N104" s="90"/>
      <c r="O104" s="96"/>
      <c r="P104" s="120"/>
      <c r="Q104" s="120"/>
      <c r="S104" s="134"/>
      <c r="T104" s="134"/>
    </row>
    <row r="105" spans="2:25" x14ac:dyDescent="0.35">
      <c r="B105" s="27" t="s">
        <v>87</v>
      </c>
      <c r="C105" s="8" t="s">
        <v>112</v>
      </c>
      <c r="D105" s="28">
        <v>3</v>
      </c>
      <c r="E105" s="28">
        <v>650</v>
      </c>
      <c r="F105" s="28">
        <v>6000</v>
      </c>
      <c r="G105" s="30">
        <f t="shared" si="31"/>
        <v>7950</v>
      </c>
      <c r="H105" s="32">
        <v>0.15</v>
      </c>
      <c r="I105" s="31">
        <f t="shared" si="32"/>
        <v>9142.5</v>
      </c>
      <c r="J105" s="4"/>
      <c r="M105" s="89"/>
      <c r="N105" s="90"/>
      <c r="O105" s="96"/>
      <c r="P105" s="120"/>
      <c r="Q105" s="120"/>
      <c r="S105" s="134"/>
      <c r="T105" s="134"/>
    </row>
    <row r="106" spans="2:25" x14ac:dyDescent="0.35">
      <c r="B106" s="27" t="s">
        <v>57</v>
      </c>
      <c r="C106" s="8" t="s">
        <v>112</v>
      </c>
      <c r="D106" s="28">
        <v>3</v>
      </c>
      <c r="E106" s="28">
        <v>650</v>
      </c>
      <c r="F106" s="28">
        <v>2000</v>
      </c>
      <c r="G106" s="30">
        <f t="shared" si="31"/>
        <v>3950</v>
      </c>
      <c r="H106" s="32">
        <v>0.15</v>
      </c>
      <c r="I106" s="31">
        <f t="shared" si="32"/>
        <v>4542.5</v>
      </c>
      <c r="J106" s="4"/>
      <c r="M106" s="89"/>
      <c r="N106" s="90"/>
      <c r="O106" s="96"/>
      <c r="P106" s="120"/>
      <c r="Q106" s="120"/>
      <c r="S106" s="134"/>
      <c r="T106" s="134"/>
    </row>
    <row r="107" spans="2:25" x14ac:dyDescent="0.35">
      <c r="B107" s="27" t="s">
        <v>114</v>
      </c>
      <c r="C107" s="8" t="s">
        <v>112</v>
      </c>
      <c r="D107" s="28">
        <v>4</v>
      </c>
      <c r="E107" s="28">
        <v>650</v>
      </c>
      <c r="F107" s="28">
        <f>150*6</f>
        <v>900</v>
      </c>
      <c r="G107" s="30">
        <f t="shared" si="31"/>
        <v>3500</v>
      </c>
      <c r="H107" s="32">
        <v>0.15</v>
      </c>
      <c r="I107" s="31">
        <f t="shared" si="32"/>
        <v>4025</v>
      </c>
      <c r="J107" s="4"/>
      <c r="M107" s="89"/>
      <c r="N107" s="90"/>
      <c r="O107" s="96"/>
      <c r="P107" s="120"/>
      <c r="Q107" s="120"/>
      <c r="S107" s="134"/>
      <c r="T107" s="134"/>
    </row>
    <row r="108" spans="2:25" x14ac:dyDescent="0.35">
      <c r="B108" s="27" t="s">
        <v>58</v>
      </c>
      <c r="C108" s="8" t="s">
        <v>112</v>
      </c>
      <c r="D108" s="28">
        <v>1</v>
      </c>
      <c r="E108" s="28">
        <v>650</v>
      </c>
      <c r="F108" s="28">
        <v>1000</v>
      </c>
      <c r="G108" s="30">
        <f t="shared" si="31"/>
        <v>1650</v>
      </c>
      <c r="H108" s="32">
        <v>0.15</v>
      </c>
      <c r="I108" s="31">
        <f t="shared" si="32"/>
        <v>1897.5</v>
      </c>
      <c r="J108" s="4"/>
      <c r="M108" s="89"/>
      <c r="N108" s="90"/>
      <c r="O108" s="96"/>
      <c r="P108" s="120"/>
      <c r="Q108" s="120"/>
      <c r="S108" s="134"/>
      <c r="T108" s="134"/>
      <c r="W108" t="s">
        <v>139</v>
      </c>
      <c r="X108">
        <v>9600</v>
      </c>
      <c r="Y108">
        <f>X108*1.25</f>
        <v>12000</v>
      </c>
    </row>
    <row r="109" spans="2:25" x14ac:dyDescent="0.35">
      <c r="B109" s="25" t="s">
        <v>62</v>
      </c>
      <c r="C109" s="8" t="s">
        <v>112</v>
      </c>
      <c r="D109" s="28">
        <v>2</v>
      </c>
      <c r="E109" s="28">
        <v>650</v>
      </c>
      <c r="F109" s="28">
        <v>1000</v>
      </c>
      <c r="G109" s="30">
        <f t="shared" si="31"/>
        <v>2300</v>
      </c>
      <c r="H109" s="33">
        <v>0.15</v>
      </c>
      <c r="I109" s="30">
        <f t="shared" si="32"/>
        <v>2645</v>
      </c>
      <c r="J109" s="4"/>
      <c r="M109" s="89"/>
      <c r="N109" s="90"/>
      <c r="O109" s="96"/>
      <c r="P109" s="120"/>
      <c r="Q109" s="120"/>
      <c r="S109" s="134"/>
      <c r="T109" s="134"/>
      <c r="W109" t="s">
        <v>140</v>
      </c>
      <c r="X109">
        <v>3048</v>
      </c>
      <c r="Y109">
        <f>X109*1.25</f>
        <v>3810</v>
      </c>
    </row>
    <row r="110" spans="2:25" x14ac:dyDescent="0.35">
      <c r="B110" s="27" t="s">
        <v>88</v>
      </c>
      <c r="C110" s="8" t="s">
        <v>112</v>
      </c>
      <c r="D110" s="28">
        <v>2</v>
      </c>
      <c r="E110" s="28">
        <v>650</v>
      </c>
      <c r="F110" s="28">
        <v>1000</v>
      </c>
      <c r="G110" s="30">
        <f t="shared" si="31"/>
        <v>2300</v>
      </c>
      <c r="H110" s="32">
        <v>0.15</v>
      </c>
      <c r="I110" s="31">
        <f t="shared" si="32"/>
        <v>2645</v>
      </c>
      <c r="J110" s="4"/>
      <c r="M110" s="89"/>
      <c r="N110" s="90"/>
      <c r="O110" s="96"/>
      <c r="P110" s="120"/>
      <c r="Q110" s="120"/>
      <c r="S110" s="134"/>
      <c r="T110" s="134"/>
      <c r="X110">
        <f>X108-X109</f>
        <v>6552</v>
      </c>
      <c r="Y110">
        <f>Y108-Y109</f>
        <v>8190</v>
      </c>
    </row>
    <row r="111" spans="2:25" x14ac:dyDescent="0.35">
      <c r="B111" s="27" t="s">
        <v>126</v>
      </c>
      <c r="C111" s="8" t="s">
        <v>112</v>
      </c>
      <c r="D111" s="28">
        <v>3</v>
      </c>
      <c r="E111" s="28">
        <v>650</v>
      </c>
      <c r="F111" s="28">
        <v>200</v>
      </c>
      <c r="G111" s="30">
        <f t="shared" ref="G111" si="33">(D111*E111)+F111</f>
        <v>2150</v>
      </c>
      <c r="H111" s="34">
        <v>0.15</v>
      </c>
      <c r="I111" s="30">
        <f t="shared" ref="I111" si="34">(G111*H111)+G111</f>
        <v>2472.5</v>
      </c>
      <c r="J111" s="4"/>
      <c r="M111" s="89"/>
      <c r="N111" s="90"/>
      <c r="O111" s="96"/>
      <c r="P111" s="120"/>
      <c r="Q111" s="120"/>
      <c r="S111" s="134"/>
      <c r="T111" s="134"/>
    </row>
    <row r="112" spans="2:25" x14ac:dyDescent="0.35">
      <c r="B112" s="27" t="s">
        <v>59</v>
      </c>
      <c r="C112" s="8" t="s">
        <v>112</v>
      </c>
      <c r="D112" s="28">
        <v>2</v>
      </c>
      <c r="E112" s="28">
        <v>650</v>
      </c>
      <c r="F112" s="28">
        <v>1000</v>
      </c>
      <c r="G112" s="30">
        <f t="shared" ref="G112:G114" si="35">(D112*E112)+F112</f>
        <v>2300</v>
      </c>
      <c r="H112" s="32">
        <v>0.15</v>
      </c>
      <c r="I112" s="31">
        <f t="shared" ref="I112:I114" si="36">(G112*H112)+G112</f>
        <v>2645</v>
      </c>
      <c r="J112" s="4"/>
      <c r="M112" s="89"/>
      <c r="N112" s="90"/>
      <c r="O112" s="96"/>
      <c r="P112" s="120"/>
      <c r="Q112" s="120"/>
      <c r="S112" s="134"/>
      <c r="T112" s="134"/>
    </row>
    <row r="113" spans="2:24" x14ac:dyDescent="0.35">
      <c r="B113" t="s">
        <v>41</v>
      </c>
      <c r="C113" s="8" t="s">
        <v>112</v>
      </c>
      <c r="D113" s="28">
        <v>1</v>
      </c>
      <c r="E113" s="28">
        <v>650</v>
      </c>
      <c r="F113" s="28">
        <v>2000</v>
      </c>
      <c r="G113" s="30">
        <f t="shared" si="35"/>
        <v>2650</v>
      </c>
      <c r="H113" s="32">
        <v>0.15</v>
      </c>
      <c r="I113" s="31">
        <f>(G113*H113)+G113</f>
        <v>3047.5</v>
      </c>
      <c r="J113" s="4"/>
      <c r="M113" s="89"/>
      <c r="N113" s="90"/>
      <c r="O113" s="96"/>
      <c r="P113" s="120"/>
      <c r="Q113" s="120"/>
      <c r="S113" s="134"/>
      <c r="T113" s="134"/>
    </row>
    <row r="114" spans="2:24" x14ac:dyDescent="0.35">
      <c r="B114" s="25" t="s">
        <v>42</v>
      </c>
      <c r="C114" s="24" t="s">
        <v>112</v>
      </c>
      <c r="D114" s="29">
        <v>7.5</v>
      </c>
      <c r="E114" s="29">
        <v>650</v>
      </c>
      <c r="F114" s="29">
        <v>1500</v>
      </c>
      <c r="G114" s="31">
        <f t="shared" si="35"/>
        <v>6375</v>
      </c>
      <c r="H114" s="32">
        <v>0.15</v>
      </c>
      <c r="I114" s="31">
        <f t="shared" si="36"/>
        <v>7331.25</v>
      </c>
      <c r="J114" s="4"/>
      <c r="M114" s="89"/>
      <c r="N114" s="90"/>
      <c r="O114" s="96"/>
      <c r="P114" s="120"/>
      <c r="Q114" s="120"/>
      <c r="S114" s="134"/>
      <c r="T114" s="134"/>
    </row>
    <row r="115" spans="2:24" x14ac:dyDescent="0.35">
      <c r="B115" s="27" t="s">
        <v>89</v>
      </c>
      <c r="C115" s="24" t="s">
        <v>112</v>
      </c>
      <c r="D115" s="29">
        <v>7.5</v>
      </c>
      <c r="E115" s="29">
        <v>650</v>
      </c>
      <c r="F115" s="29">
        <v>2000</v>
      </c>
      <c r="G115" s="31">
        <f t="shared" ref="G115" si="37">(D115*E115)+F115</f>
        <v>6875</v>
      </c>
      <c r="H115" s="32">
        <v>0.15</v>
      </c>
      <c r="I115" s="31">
        <f t="shared" ref="I115" si="38">(G115*H115)+G115</f>
        <v>7906.25</v>
      </c>
      <c r="J115" s="4"/>
      <c r="M115" s="89"/>
      <c r="N115" s="90"/>
      <c r="O115" s="96"/>
      <c r="P115" s="120"/>
      <c r="Q115" s="120"/>
      <c r="S115" s="134"/>
      <c r="T115" s="134"/>
    </row>
    <row r="116" spans="2:24" x14ac:dyDescent="0.35">
      <c r="B116" s="27" t="s">
        <v>119</v>
      </c>
      <c r="C116" s="24" t="s">
        <v>112</v>
      </c>
      <c r="D116" s="29">
        <v>4</v>
      </c>
      <c r="E116" s="29">
        <v>650</v>
      </c>
      <c r="F116" s="29">
        <v>1500</v>
      </c>
      <c r="G116" s="31">
        <f t="shared" ref="G116" si="39">(D116*E116)+F116</f>
        <v>4100</v>
      </c>
      <c r="H116" s="32">
        <v>0.15</v>
      </c>
      <c r="I116" s="31">
        <f t="shared" ref="I116" si="40">(G116*H116)+G116</f>
        <v>4715</v>
      </c>
      <c r="J116" s="4"/>
      <c r="M116" s="89"/>
      <c r="N116" s="90"/>
      <c r="O116" s="96"/>
      <c r="P116" s="120"/>
      <c r="Q116" s="120"/>
      <c r="S116" s="134"/>
      <c r="T116" s="134"/>
    </row>
    <row r="117" spans="2:24" x14ac:dyDescent="0.35">
      <c r="B117" s="25"/>
      <c r="C117" s="24"/>
      <c r="D117" s="25"/>
      <c r="E117" s="25"/>
      <c r="F117" s="25"/>
      <c r="G117" s="25"/>
      <c r="H117" s="25"/>
      <c r="I117" s="21"/>
      <c r="J117" s="4"/>
      <c r="M117" s="89"/>
      <c r="N117" s="90"/>
      <c r="O117" s="96"/>
      <c r="P117" s="120"/>
      <c r="Q117" s="120"/>
      <c r="S117" s="134"/>
      <c r="T117" s="134"/>
    </row>
    <row r="118" spans="2:24" x14ac:dyDescent="0.35">
      <c r="B118" s="49" t="s">
        <v>43</v>
      </c>
      <c r="C118" s="50"/>
      <c r="D118" s="49"/>
      <c r="E118" s="49"/>
      <c r="F118" s="49"/>
      <c r="G118" s="49"/>
      <c r="H118" s="49"/>
      <c r="I118" s="49"/>
      <c r="J118" s="4"/>
      <c r="K118" s="15">
        <f>SUM(I118:I123)</f>
        <v>28800</v>
      </c>
      <c r="L118" s="15"/>
      <c r="M118" s="89">
        <v>0</v>
      </c>
      <c r="N118" s="88">
        <f>M118*K118</f>
        <v>0</v>
      </c>
      <c r="O118" s="96"/>
      <c r="P118" s="125">
        <v>0</v>
      </c>
      <c r="Q118" s="121">
        <f>P118*K118</f>
        <v>0</v>
      </c>
      <c r="R118" s="4"/>
      <c r="S118" s="135">
        <v>1</v>
      </c>
      <c r="T118" s="136">
        <f>S118*K118</f>
        <v>28800</v>
      </c>
      <c r="X118" t="s">
        <v>107</v>
      </c>
    </row>
    <row r="119" spans="2:24" x14ac:dyDescent="0.35">
      <c r="B119" s="42" t="s">
        <v>66</v>
      </c>
      <c r="C119" s="43" t="s">
        <v>113</v>
      </c>
      <c r="D119" s="42">
        <v>7.5</v>
      </c>
      <c r="E119" s="42">
        <v>550</v>
      </c>
      <c r="F119" s="42">
        <v>0</v>
      </c>
      <c r="G119" s="51">
        <f t="shared" ref="G119" si="41">(D119*E119)+F119</f>
        <v>4125</v>
      </c>
      <c r="H119" s="47"/>
      <c r="I119" s="51">
        <v>0</v>
      </c>
      <c r="J119" s="4"/>
      <c r="M119" s="89"/>
      <c r="N119" s="90"/>
      <c r="O119" s="96"/>
      <c r="P119" s="120"/>
      <c r="Q119" s="120"/>
      <c r="S119" s="134"/>
      <c r="T119" s="134"/>
      <c r="X119" t="s">
        <v>108</v>
      </c>
    </row>
    <row r="120" spans="2:24" x14ac:dyDescent="0.35">
      <c r="B120" s="25" t="s">
        <v>69</v>
      </c>
      <c r="C120" s="24" t="s">
        <v>113</v>
      </c>
      <c r="D120" s="25">
        <v>10</v>
      </c>
      <c r="E120" s="25">
        <v>550</v>
      </c>
      <c r="F120" s="25">
        <v>6500</v>
      </c>
      <c r="G120" s="21">
        <f t="shared" ref="G120:G122" si="42">(D120*E120)+F120</f>
        <v>12000</v>
      </c>
      <c r="H120" s="48"/>
      <c r="I120" s="21">
        <v>8000</v>
      </c>
      <c r="J120" s="4"/>
      <c r="M120" s="89"/>
      <c r="N120" s="90"/>
      <c r="O120" s="96"/>
      <c r="P120" s="120"/>
      <c r="Q120" s="120"/>
      <c r="S120" s="134"/>
      <c r="T120" s="134"/>
      <c r="X120">
        <f>26500*1.15</f>
        <v>30474.999999999996</v>
      </c>
    </row>
    <row r="121" spans="2:24" x14ac:dyDescent="0.35">
      <c r="B121" s="25" t="s">
        <v>65</v>
      </c>
      <c r="C121" s="24" t="s">
        <v>113</v>
      </c>
      <c r="D121" s="25">
        <v>10</v>
      </c>
      <c r="E121" s="25">
        <v>550</v>
      </c>
      <c r="F121" s="25">
        <v>3300</v>
      </c>
      <c r="G121" s="21">
        <f t="shared" si="42"/>
        <v>8800</v>
      </c>
      <c r="H121" s="48"/>
      <c r="I121" s="21">
        <v>5000</v>
      </c>
      <c r="J121" s="4"/>
      <c r="M121" s="89"/>
      <c r="N121" s="90"/>
      <c r="O121" s="96"/>
      <c r="P121" s="120"/>
      <c r="Q121" s="120"/>
      <c r="S121" s="134"/>
      <c r="T121" s="134"/>
    </row>
    <row r="122" spans="2:24" x14ac:dyDescent="0.35">
      <c r="B122" s="25" t="s">
        <v>44</v>
      </c>
      <c r="C122" s="24" t="s">
        <v>113</v>
      </c>
      <c r="D122" s="25">
        <v>10</v>
      </c>
      <c r="E122" s="25">
        <v>550</v>
      </c>
      <c r="F122" s="25">
        <v>3300</v>
      </c>
      <c r="G122" s="21">
        <f t="shared" si="42"/>
        <v>8800</v>
      </c>
      <c r="H122" s="48"/>
      <c r="I122" s="21">
        <f t="shared" ref="I122" si="43">G122*H122+G122</f>
        <v>8800</v>
      </c>
      <c r="J122" s="4"/>
      <c r="M122" s="89"/>
      <c r="N122" s="90"/>
      <c r="O122" s="96"/>
      <c r="P122" s="120"/>
      <c r="Q122" s="120"/>
      <c r="S122" s="134"/>
      <c r="T122" s="134"/>
    </row>
    <row r="123" spans="2:24" x14ac:dyDescent="0.35">
      <c r="B123" s="25" t="s">
        <v>116</v>
      </c>
      <c r="C123" s="8" t="s">
        <v>113</v>
      </c>
      <c r="D123">
        <v>10</v>
      </c>
      <c r="E123">
        <v>550</v>
      </c>
      <c r="F123">
        <v>1500</v>
      </c>
      <c r="G123" s="4">
        <f t="shared" ref="G123" si="44">(D123*E123)+F123</f>
        <v>7000</v>
      </c>
      <c r="H123" s="16"/>
      <c r="I123" s="4">
        <f t="shared" ref="I123" si="45">G123*H123+G123</f>
        <v>7000</v>
      </c>
      <c r="J123" s="4"/>
      <c r="M123" s="89"/>
      <c r="N123" s="90"/>
      <c r="O123" s="96"/>
      <c r="P123" s="120"/>
      <c r="Q123" s="120"/>
      <c r="S123" s="134"/>
      <c r="T123" s="134"/>
    </row>
    <row r="124" spans="2:24" x14ac:dyDescent="0.35">
      <c r="C124" s="8"/>
      <c r="G124" s="4"/>
      <c r="I124" s="4"/>
      <c r="J124" s="4"/>
      <c r="M124" s="89"/>
      <c r="N124" s="90"/>
      <c r="O124" s="96"/>
      <c r="P124" s="120"/>
      <c r="Q124" s="120"/>
      <c r="S124" s="134"/>
      <c r="T124" s="134"/>
    </row>
    <row r="125" spans="2:24" x14ac:dyDescent="0.35">
      <c r="C125" s="8"/>
      <c r="G125" s="4"/>
      <c r="I125" s="4"/>
      <c r="J125" s="22" t="s">
        <v>45</v>
      </c>
      <c r="K125" s="4">
        <f>SUM(K6:K124)</f>
        <v>560872.55000000005</v>
      </c>
      <c r="L125" s="4"/>
      <c r="M125" s="89" t="s">
        <v>166</v>
      </c>
      <c r="N125" s="88">
        <f>SUM(N6:N124)</f>
        <v>286544.03000000003</v>
      </c>
      <c r="O125" s="96"/>
      <c r="P125" s="125" t="s">
        <v>166</v>
      </c>
      <c r="Q125" s="121">
        <f>SUM(Q6:Q124)</f>
        <v>368015.66500000004</v>
      </c>
      <c r="R125" s="4"/>
      <c r="S125" s="135" t="s">
        <v>166</v>
      </c>
      <c r="T125" s="136">
        <f>SUM(T6:T124)</f>
        <v>523054.29749999999</v>
      </c>
    </row>
    <row r="126" spans="2:24" x14ac:dyDescent="0.35">
      <c r="C126" s="8"/>
      <c r="G126" s="4"/>
      <c r="I126" s="4"/>
      <c r="J126" s="22" t="s">
        <v>46</v>
      </c>
      <c r="K126" s="4">
        <f>K125/100*25</f>
        <v>140218.13750000001</v>
      </c>
      <c r="L126" s="4"/>
      <c r="M126" s="89" t="s">
        <v>46</v>
      </c>
      <c r="N126" s="88">
        <f>N125/100*25</f>
        <v>71636.007500000007</v>
      </c>
      <c r="O126" s="96"/>
      <c r="P126" s="125" t="s">
        <v>136</v>
      </c>
      <c r="Q126" s="124">
        <f>-N125</f>
        <v>-286544.03000000003</v>
      </c>
      <c r="R126" s="4"/>
      <c r="S126" s="135" t="s">
        <v>136</v>
      </c>
      <c r="T126" s="136">
        <f>-N125</f>
        <v>-286544.03000000003</v>
      </c>
    </row>
    <row r="127" spans="2:24" ht="15" thickBot="1" x14ac:dyDescent="0.4">
      <c r="C127" s="8"/>
      <c r="G127" s="4"/>
      <c r="I127" s="4"/>
      <c r="J127" s="23" t="s">
        <v>47</v>
      </c>
      <c r="K127" s="15">
        <f>SUM(K125:K126)</f>
        <v>701090.6875</v>
      </c>
      <c r="L127" s="15"/>
      <c r="M127" s="89" t="s">
        <v>136</v>
      </c>
      <c r="N127" s="94">
        <f>SUM(N125:N126)</f>
        <v>358180.03750000003</v>
      </c>
      <c r="O127" s="96"/>
      <c r="P127" s="125"/>
      <c r="Q127" s="123">
        <f>SUM(Q125:Q126)</f>
        <v>81471.635000000009</v>
      </c>
      <c r="R127" s="15"/>
      <c r="S127" s="135" t="s">
        <v>205</v>
      </c>
      <c r="T127" s="138">
        <f>-Q127</f>
        <v>-81471.635000000009</v>
      </c>
    </row>
    <row r="128" spans="2:24" ht="15" thickTop="1" x14ac:dyDescent="0.35">
      <c r="C128" s="8"/>
      <c r="G128" s="4"/>
      <c r="I128" s="4"/>
      <c r="J128" s="4"/>
      <c r="O128" s="96"/>
      <c r="P128" s="125" t="s">
        <v>46</v>
      </c>
      <c r="Q128" s="121">
        <f>Q127/100*25</f>
        <v>20367.908750000002</v>
      </c>
      <c r="R128" s="4"/>
      <c r="S128" s="135"/>
      <c r="T128" s="136">
        <f>SUM(T125:T127)</f>
        <v>155038.63249999995</v>
      </c>
    </row>
    <row r="129" spans="3:20" ht="15" thickBot="1" x14ac:dyDescent="0.4">
      <c r="C129" s="8"/>
      <c r="G129" s="4"/>
      <c r="I129" s="4"/>
      <c r="J129" s="4"/>
      <c r="M129" s="93" t="s">
        <v>207</v>
      </c>
      <c r="N129" s="95">
        <f>K125-N125</f>
        <v>274328.52</v>
      </c>
      <c r="O129" s="96"/>
      <c r="P129" s="125" t="s">
        <v>205</v>
      </c>
      <c r="Q129" s="126">
        <f>SUM(Q127:Q128)</f>
        <v>101839.54375000001</v>
      </c>
      <c r="R129" s="15"/>
      <c r="S129" s="135" t="s">
        <v>46</v>
      </c>
      <c r="T129" s="136">
        <f>T128/100*25</f>
        <v>38759.658124999987</v>
      </c>
    </row>
    <row r="130" spans="3:20" ht="15.5" thickTop="1" thickBot="1" x14ac:dyDescent="0.4">
      <c r="C130" s="8"/>
      <c r="G130" s="4"/>
      <c r="I130" s="4"/>
      <c r="J130" s="4"/>
      <c r="O130" s="96"/>
      <c r="S130" s="135" t="s">
        <v>224</v>
      </c>
      <c r="T130" s="139">
        <f>SUM(T128:T129)</f>
        <v>193798.29062499994</v>
      </c>
    </row>
    <row r="131" spans="3:20" ht="15" thickTop="1" x14ac:dyDescent="0.35">
      <c r="C131" s="8"/>
      <c r="G131" s="4"/>
      <c r="I131" s="4"/>
      <c r="J131" s="4"/>
      <c r="P131" s="93" t="s">
        <v>206</v>
      </c>
      <c r="Q131" s="95">
        <f>K125-Q125</f>
        <v>192856.88500000001</v>
      </c>
      <c r="R131" s="95"/>
    </row>
    <row r="132" spans="3:20" x14ac:dyDescent="0.35">
      <c r="C132" s="8"/>
      <c r="G132" s="4"/>
      <c r="I132" s="4"/>
      <c r="J132" s="4"/>
      <c r="S132" s="93" t="s">
        <v>206</v>
      </c>
      <c r="T132" s="95">
        <f>K125-T125</f>
        <v>37818.252500000061</v>
      </c>
    </row>
    <row r="133" spans="3:20" x14ac:dyDescent="0.35">
      <c r="C133" s="8"/>
      <c r="G133" s="4"/>
      <c r="I133" s="4"/>
      <c r="J133" s="4"/>
    </row>
    <row r="134" spans="3:20" x14ac:dyDescent="0.35">
      <c r="C134" s="8"/>
      <c r="G134" s="4"/>
      <c r="I134" s="4"/>
      <c r="J134" s="4"/>
    </row>
  </sheetData>
  <pageMargins left="0.7" right="0.7" top="0.75" bottom="0.75" header="0.3" footer="0.3"/>
  <pageSetup paperSize="9" scale="3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39437-4063-4057-90B3-7BC1E0292249}">
  <dimension ref="C5:F25"/>
  <sheetViews>
    <sheetView zoomScale="120" zoomScaleNormal="120" workbookViewId="0">
      <selection activeCell="C18" sqref="C18:G18"/>
    </sheetView>
  </sheetViews>
  <sheetFormatPr defaultRowHeight="14.5" x14ac:dyDescent="0.35"/>
  <cols>
    <col min="3" max="3" width="22.7265625" customWidth="1"/>
  </cols>
  <sheetData>
    <row r="5" spans="3:5" x14ac:dyDescent="0.35">
      <c r="C5" t="s">
        <v>227</v>
      </c>
    </row>
    <row r="7" spans="3:5" x14ac:dyDescent="0.35">
      <c r="C7" s="13" t="s">
        <v>231</v>
      </c>
    </row>
    <row r="8" spans="3:5" x14ac:dyDescent="0.35">
      <c r="C8" t="s">
        <v>228</v>
      </c>
      <c r="E8" s="4">
        <v>92044</v>
      </c>
    </row>
    <row r="9" spans="3:5" x14ac:dyDescent="0.35">
      <c r="C9" t="s">
        <v>248</v>
      </c>
      <c r="E9" s="4">
        <v>37818</v>
      </c>
    </row>
    <row r="10" spans="3:5" x14ac:dyDescent="0.35">
      <c r="E10" s="15">
        <f>SUM(E8:E9)</f>
        <v>129862</v>
      </c>
    </row>
    <row r="12" spans="3:5" x14ac:dyDescent="0.35">
      <c r="C12" t="s">
        <v>229</v>
      </c>
      <c r="E12" s="15">
        <f>546856+E9</f>
        <v>584674</v>
      </c>
    </row>
    <row r="14" spans="3:5" x14ac:dyDescent="0.35">
      <c r="C14" s="13" t="s">
        <v>232</v>
      </c>
    </row>
    <row r="15" spans="3:5" x14ac:dyDescent="0.35">
      <c r="C15" t="s">
        <v>249</v>
      </c>
      <c r="E15" s="4">
        <v>22073</v>
      </c>
    </row>
    <row r="16" spans="3:5" x14ac:dyDescent="0.35">
      <c r="C16" t="s">
        <v>112</v>
      </c>
      <c r="E16" s="4">
        <v>49700</v>
      </c>
    </row>
    <row r="17" spans="3:6" x14ac:dyDescent="0.35">
      <c r="C17" t="s">
        <v>250</v>
      </c>
    </row>
    <row r="18" spans="3:6" x14ac:dyDescent="0.35">
      <c r="C18" t="s">
        <v>253</v>
      </c>
    </row>
    <row r="19" spans="3:6" x14ac:dyDescent="0.35">
      <c r="C19" t="s">
        <v>251</v>
      </c>
    </row>
    <row r="20" spans="3:6" x14ac:dyDescent="0.35">
      <c r="C20" t="s">
        <v>252</v>
      </c>
    </row>
    <row r="21" spans="3:6" x14ac:dyDescent="0.35">
      <c r="E21" s="15">
        <f>SUM(E15:E20)</f>
        <v>71773</v>
      </c>
    </row>
    <row r="24" spans="3:6" x14ac:dyDescent="0.35">
      <c r="C24" t="s">
        <v>233</v>
      </c>
      <c r="E24" s="4">
        <f>E10-E21</f>
        <v>58089</v>
      </c>
    </row>
    <row r="25" spans="3:6" x14ac:dyDescent="0.35">
      <c r="E25" s="140">
        <f>E24/E12*100</f>
        <v>9.9352801732247382</v>
      </c>
      <c r="F25" s="141" t="s">
        <v>234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90AF5-3826-43BA-9F9C-EEFDCEA13664}">
  <sheetPr>
    <pageSetUpPr fitToPage="1"/>
  </sheetPr>
  <dimension ref="A3:N80"/>
  <sheetViews>
    <sheetView topLeftCell="A55" zoomScale="110" zoomScaleNormal="110" workbookViewId="0">
      <selection activeCell="A45" sqref="A45:XFD45"/>
    </sheetView>
  </sheetViews>
  <sheetFormatPr defaultRowHeight="14.5" x14ac:dyDescent="0.35"/>
  <cols>
    <col min="1" max="1" width="5.453125" style="8" customWidth="1"/>
    <col min="2" max="2" width="97.26953125" customWidth="1"/>
    <col min="3" max="3" width="9.7265625" style="4" customWidth="1"/>
    <col min="4" max="4" width="9.26953125" customWidth="1"/>
    <col min="5" max="5" width="35.453125" customWidth="1"/>
    <col min="6" max="6" width="3.26953125" customWidth="1"/>
    <col min="7" max="7" width="9.7265625" style="16" customWidth="1"/>
    <col min="8" max="8" width="9.7265625" customWidth="1"/>
    <col min="10" max="10" width="13.7265625" customWidth="1"/>
    <col min="11" max="11" width="16.26953125" customWidth="1"/>
    <col min="13" max="13" width="10.26953125" bestFit="1" customWidth="1"/>
  </cols>
  <sheetData>
    <row r="3" spans="1:14" ht="24.75" customHeight="1" thickBot="1" x14ac:dyDescent="0.4">
      <c r="B3" s="86" t="s">
        <v>138</v>
      </c>
    </row>
    <row r="4" spans="1:14" ht="19" thickBot="1" x14ac:dyDescent="0.5">
      <c r="B4" s="57" t="s">
        <v>130</v>
      </c>
      <c r="C4" s="58"/>
      <c r="D4" s="59"/>
      <c r="E4" s="59"/>
      <c r="J4" s="80"/>
      <c r="K4" s="80" t="s">
        <v>111</v>
      </c>
      <c r="L4" s="80"/>
      <c r="M4" s="80"/>
      <c r="N4" s="80"/>
    </row>
    <row r="5" spans="1:14" x14ac:dyDescent="0.35">
      <c r="J5" s="80" t="s">
        <v>151</v>
      </c>
      <c r="K5" s="81">
        <v>129643.3</v>
      </c>
      <c r="L5" s="82">
        <f>15%</f>
        <v>0.15</v>
      </c>
      <c r="M5" s="85">
        <f>K5*L5</f>
        <v>19446.494999999999</v>
      </c>
      <c r="N5" s="83">
        <f>K5+M5</f>
        <v>149089.79500000001</v>
      </c>
    </row>
    <row r="6" spans="1:14" x14ac:dyDescent="0.35">
      <c r="A6" s="20">
        <v>1</v>
      </c>
      <c r="B6" s="17" t="s">
        <v>143</v>
      </c>
      <c r="C6" s="66">
        <v>-8100</v>
      </c>
      <c r="D6" t="s">
        <v>133</v>
      </c>
      <c r="E6" s="79" t="s">
        <v>145</v>
      </c>
      <c r="J6" s="80" t="s">
        <v>6</v>
      </c>
      <c r="K6" s="80">
        <v>92000</v>
      </c>
      <c r="L6" s="80"/>
      <c r="M6" s="80"/>
      <c r="N6" s="80">
        <f>92000*1.25</f>
        <v>115000</v>
      </c>
    </row>
    <row r="7" spans="1:14" x14ac:dyDescent="0.35">
      <c r="A7"/>
      <c r="D7" s="4"/>
      <c r="J7" s="80"/>
      <c r="K7" s="80"/>
      <c r="L7" s="80"/>
      <c r="M7" s="80"/>
      <c r="N7" s="80"/>
    </row>
    <row r="8" spans="1:14" x14ac:dyDescent="0.35">
      <c r="A8" s="28">
        <v>2</v>
      </c>
      <c r="B8" t="s">
        <v>144</v>
      </c>
      <c r="C8" s="21">
        <v>2750</v>
      </c>
      <c r="D8" t="s">
        <v>133</v>
      </c>
      <c r="E8" s="79" t="s">
        <v>145</v>
      </c>
      <c r="J8" s="80" t="s">
        <v>159</v>
      </c>
      <c r="K8" s="80"/>
      <c r="L8" s="80"/>
      <c r="M8" s="80"/>
      <c r="N8" s="84">
        <f>N5-N6</f>
        <v>34089.795000000013</v>
      </c>
    </row>
    <row r="9" spans="1:14" x14ac:dyDescent="0.35">
      <c r="A9" s="28"/>
    </row>
    <row r="10" spans="1:14" x14ac:dyDescent="0.35">
      <c r="A10" s="28">
        <v>3</v>
      </c>
      <c r="B10" t="s">
        <v>153</v>
      </c>
      <c r="C10" s="21">
        <v>0</v>
      </c>
      <c r="D10" t="s">
        <v>133</v>
      </c>
      <c r="E10" s="79" t="s">
        <v>152</v>
      </c>
    </row>
    <row r="11" spans="1:14" x14ac:dyDescent="0.35">
      <c r="A11" s="28"/>
      <c r="C11" s="21"/>
    </row>
    <row r="12" spans="1:14" x14ac:dyDescent="0.35">
      <c r="A12" s="28">
        <v>4</v>
      </c>
      <c r="B12" t="s">
        <v>146</v>
      </c>
      <c r="C12" s="21">
        <v>9600</v>
      </c>
      <c r="D12" t="s">
        <v>133</v>
      </c>
      <c r="E12" s="79" t="s">
        <v>154</v>
      </c>
    </row>
    <row r="13" spans="1:14" x14ac:dyDescent="0.35">
      <c r="A13" s="28"/>
      <c r="C13" s="21"/>
    </row>
    <row r="14" spans="1:14" x14ac:dyDescent="0.35">
      <c r="A14" s="100">
        <v>5</v>
      </c>
      <c r="B14" s="17" t="s">
        <v>147</v>
      </c>
      <c r="C14" s="66">
        <v>-3048</v>
      </c>
      <c r="D14" t="s">
        <v>133</v>
      </c>
      <c r="E14" s="79" t="s">
        <v>154</v>
      </c>
    </row>
    <row r="15" spans="1:14" x14ac:dyDescent="0.35">
      <c r="A15" s="28"/>
      <c r="C15" s="66"/>
      <c r="D15" s="66"/>
      <c r="E15" s="66"/>
      <c r="J15">
        <v>4200</v>
      </c>
    </row>
    <row r="16" spans="1:14" x14ac:dyDescent="0.35">
      <c r="A16" s="28">
        <v>6</v>
      </c>
      <c r="B16" t="s">
        <v>148</v>
      </c>
      <c r="C16" s="21">
        <f>585*1.5</f>
        <v>877.5</v>
      </c>
      <c r="D16" t="s">
        <v>133</v>
      </c>
      <c r="E16" s="79" t="s">
        <v>145</v>
      </c>
    </row>
    <row r="18" spans="1:10" x14ac:dyDescent="0.35">
      <c r="A18" s="28">
        <v>7</v>
      </c>
      <c r="B18" t="s">
        <v>150</v>
      </c>
      <c r="C18" s="21">
        <f>585*1.5</f>
        <v>877.5</v>
      </c>
      <c r="D18" t="s">
        <v>133</v>
      </c>
      <c r="E18" s="79" t="s">
        <v>155</v>
      </c>
    </row>
    <row r="20" spans="1:10" x14ac:dyDescent="0.35">
      <c r="A20" s="8">
        <v>7</v>
      </c>
      <c r="B20" t="s">
        <v>156</v>
      </c>
      <c r="C20" s="4">
        <f>900</f>
        <v>900</v>
      </c>
      <c r="D20" t="s">
        <v>133</v>
      </c>
      <c r="E20" s="79" t="s">
        <v>163</v>
      </c>
    </row>
    <row r="22" spans="1:10" x14ac:dyDescent="0.35">
      <c r="A22" s="8">
        <v>8</v>
      </c>
      <c r="B22" t="s">
        <v>157</v>
      </c>
      <c r="C22" s="4">
        <f>585*2</f>
        <v>1170</v>
      </c>
      <c r="D22" t="s">
        <v>133</v>
      </c>
      <c r="E22" s="79" t="s">
        <v>163</v>
      </c>
    </row>
    <row r="23" spans="1:10" x14ac:dyDescent="0.35">
      <c r="D23" s="4"/>
    </row>
    <row r="24" spans="1:10" x14ac:dyDescent="0.35">
      <c r="A24" s="8">
        <v>9</v>
      </c>
      <c r="B24" t="s">
        <v>158</v>
      </c>
      <c r="C24" s="4">
        <f>(6*585)+1000</f>
        <v>4510</v>
      </c>
      <c r="D24" t="s">
        <v>133</v>
      </c>
      <c r="E24" s="79" t="s">
        <v>163</v>
      </c>
    </row>
    <row r="26" spans="1:10" x14ac:dyDescent="0.35">
      <c r="A26" s="8">
        <v>10</v>
      </c>
      <c r="B26" t="s">
        <v>149</v>
      </c>
      <c r="C26" s="4">
        <f>34090*0.8</f>
        <v>27272</v>
      </c>
      <c r="D26" t="s">
        <v>133</v>
      </c>
      <c r="E26" s="79" t="s">
        <v>163</v>
      </c>
    </row>
    <row r="27" spans="1:10" x14ac:dyDescent="0.35">
      <c r="B27" s="17" t="s">
        <v>162</v>
      </c>
      <c r="C27" s="66">
        <v>-3500</v>
      </c>
      <c r="D27" t="s">
        <v>133</v>
      </c>
      <c r="E27" s="79" t="s">
        <v>163</v>
      </c>
    </row>
    <row r="29" spans="1:10" x14ac:dyDescent="0.35">
      <c r="A29" s="8">
        <v>11</v>
      </c>
      <c r="B29" t="s">
        <v>161</v>
      </c>
      <c r="C29" s="4">
        <v>6000</v>
      </c>
      <c r="D29" t="s">
        <v>133</v>
      </c>
      <c r="E29" s="79" t="s">
        <v>165</v>
      </c>
      <c r="J29" t="s">
        <v>164</v>
      </c>
    </row>
    <row r="30" spans="1:10" x14ac:dyDescent="0.35">
      <c r="D30" s="66"/>
    </row>
    <row r="31" spans="1:10" x14ac:dyDescent="0.35">
      <c r="A31" s="8">
        <v>12</v>
      </c>
      <c r="B31" t="s">
        <v>174</v>
      </c>
      <c r="E31" s="79" t="s">
        <v>230</v>
      </c>
    </row>
    <row r="33" spans="1:5" x14ac:dyDescent="0.35">
      <c r="A33" s="8">
        <v>13</v>
      </c>
      <c r="B33" t="s">
        <v>179</v>
      </c>
      <c r="C33" s="4">
        <f>(10147*1.15)-(5000*1.15)</f>
        <v>5919.0499999999993</v>
      </c>
      <c r="D33" t="s">
        <v>133</v>
      </c>
      <c r="E33" s="79" t="s">
        <v>185</v>
      </c>
    </row>
    <row r="35" spans="1:5" x14ac:dyDescent="0.35">
      <c r="A35" s="20">
        <v>14</v>
      </c>
      <c r="B35" s="17" t="s">
        <v>178</v>
      </c>
      <c r="C35" s="66">
        <v>0</v>
      </c>
      <c r="D35" t="s">
        <v>133</v>
      </c>
      <c r="E35" s="79" t="s">
        <v>219</v>
      </c>
    </row>
    <row r="37" spans="1:5" x14ac:dyDescent="0.35">
      <c r="A37" s="20">
        <v>15</v>
      </c>
      <c r="B37" s="17" t="s">
        <v>176</v>
      </c>
      <c r="C37" s="66">
        <f>1035*1.15</f>
        <v>1190.25</v>
      </c>
      <c r="D37" t="s">
        <v>133</v>
      </c>
      <c r="E37" s="79" t="s">
        <v>177</v>
      </c>
    </row>
    <row r="39" spans="1:5" x14ac:dyDescent="0.35">
      <c r="A39" s="20">
        <v>16</v>
      </c>
      <c r="B39" s="36" t="s">
        <v>186</v>
      </c>
      <c r="C39" s="66">
        <v>0</v>
      </c>
      <c r="D39" t="s">
        <v>133</v>
      </c>
      <c r="E39" s="79" t="s">
        <v>177</v>
      </c>
    </row>
    <row r="41" spans="1:5" x14ac:dyDescent="0.35">
      <c r="A41" s="20">
        <v>17</v>
      </c>
      <c r="B41" s="36" t="s">
        <v>180</v>
      </c>
      <c r="C41" s="66">
        <v>-4715</v>
      </c>
      <c r="D41" t="s">
        <v>133</v>
      </c>
      <c r="E41" s="79" t="s">
        <v>177</v>
      </c>
    </row>
    <row r="42" spans="1:5" x14ac:dyDescent="0.35">
      <c r="A42" s="20"/>
      <c r="B42" s="36"/>
      <c r="C42" s="66"/>
    </row>
    <row r="43" spans="1:5" x14ac:dyDescent="0.35">
      <c r="A43" s="20">
        <v>18</v>
      </c>
      <c r="B43" s="36" t="s">
        <v>182</v>
      </c>
      <c r="C43" s="66">
        <v>-1897</v>
      </c>
      <c r="D43" t="s">
        <v>133</v>
      </c>
      <c r="E43" s="79" t="s">
        <v>177</v>
      </c>
    </row>
    <row r="44" spans="1:5" ht="13.5" customHeight="1" x14ac:dyDescent="0.35">
      <c r="A44" s="20"/>
      <c r="B44" s="36"/>
      <c r="C44" s="66"/>
    </row>
    <row r="45" spans="1:5" x14ac:dyDescent="0.35">
      <c r="A45" s="24">
        <v>19</v>
      </c>
      <c r="B45" s="27" t="s">
        <v>181</v>
      </c>
      <c r="C45" s="4">
        <v>0</v>
      </c>
      <c r="D45" t="s">
        <v>133</v>
      </c>
      <c r="E45" s="79" t="s">
        <v>220</v>
      </c>
    </row>
    <row r="47" spans="1:5" x14ac:dyDescent="0.35">
      <c r="A47" s="20">
        <v>20</v>
      </c>
      <c r="B47" s="17" t="s">
        <v>183</v>
      </c>
      <c r="C47" s="66">
        <f>-6*575</f>
        <v>-3450</v>
      </c>
      <c r="D47" t="s">
        <v>133</v>
      </c>
      <c r="E47" s="79" t="s">
        <v>177</v>
      </c>
    </row>
    <row r="48" spans="1:5" x14ac:dyDescent="0.35">
      <c r="A48" s="20"/>
      <c r="B48" s="17"/>
    </row>
    <row r="49" spans="1:5" x14ac:dyDescent="0.35">
      <c r="A49" s="20">
        <v>21</v>
      </c>
      <c r="B49" s="17" t="s">
        <v>184</v>
      </c>
      <c r="C49" s="66">
        <v>-6375</v>
      </c>
      <c r="D49" t="s">
        <v>133</v>
      </c>
      <c r="E49" s="79" t="s">
        <v>177</v>
      </c>
    </row>
    <row r="51" spans="1:5" x14ac:dyDescent="0.35">
      <c r="A51" s="20">
        <v>22</v>
      </c>
      <c r="B51" s="17" t="s">
        <v>217</v>
      </c>
      <c r="C51" s="66">
        <v>-3450</v>
      </c>
      <c r="D51" t="s">
        <v>133</v>
      </c>
      <c r="E51" s="79" t="s">
        <v>187</v>
      </c>
    </row>
    <row r="53" spans="1:5" x14ac:dyDescent="0.35">
      <c r="A53" s="8">
        <v>23</v>
      </c>
      <c r="B53" t="s">
        <v>188</v>
      </c>
      <c r="C53" s="4">
        <f>(4*585)+300</f>
        <v>2640</v>
      </c>
      <c r="D53" t="s">
        <v>133</v>
      </c>
      <c r="E53" s="79" t="s">
        <v>190</v>
      </c>
    </row>
    <row r="55" spans="1:5" x14ac:dyDescent="0.35">
      <c r="A55" s="8">
        <v>24</v>
      </c>
      <c r="B55" t="s">
        <v>189</v>
      </c>
      <c r="C55" s="4">
        <v>875</v>
      </c>
      <c r="D55" t="s">
        <v>133</v>
      </c>
      <c r="E55" s="79" t="s">
        <v>221</v>
      </c>
    </row>
    <row r="57" spans="1:5" x14ac:dyDescent="0.35">
      <c r="A57" s="20">
        <v>25</v>
      </c>
      <c r="B57" s="17" t="s">
        <v>201</v>
      </c>
      <c r="C57" s="66">
        <v>-2800.25</v>
      </c>
      <c r="D57" t="s">
        <v>133</v>
      </c>
      <c r="E57" s="79" t="s">
        <v>202</v>
      </c>
    </row>
    <row r="58" spans="1:5" x14ac:dyDescent="0.35">
      <c r="A58" s="20"/>
      <c r="B58" s="17"/>
      <c r="C58" s="66"/>
    </row>
    <row r="59" spans="1:5" x14ac:dyDescent="0.35">
      <c r="A59" s="24">
        <v>26</v>
      </c>
      <c r="B59" s="25" t="s">
        <v>208</v>
      </c>
      <c r="C59" s="21">
        <v>800</v>
      </c>
      <c r="D59" t="s">
        <v>133</v>
      </c>
      <c r="E59" s="79" t="s">
        <v>209</v>
      </c>
    </row>
    <row r="60" spans="1:5" x14ac:dyDescent="0.35">
      <c r="A60" s="20"/>
      <c r="B60" s="17"/>
      <c r="C60" s="66"/>
    </row>
    <row r="61" spans="1:5" x14ac:dyDescent="0.35">
      <c r="A61" s="20">
        <v>27</v>
      </c>
      <c r="B61" s="17" t="s">
        <v>210</v>
      </c>
      <c r="C61" s="66">
        <v>-400</v>
      </c>
      <c r="D61" t="s">
        <v>133</v>
      </c>
      <c r="E61" s="79" t="s">
        <v>215</v>
      </c>
    </row>
    <row r="62" spans="1:5" x14ac:dyDescent="0.35">
      <c r="A62" s="20"/>
      <c r="B62" s="17"/>
      <c r="C62" s="66"/>
    </row>
    <row r="63" spans="1:5" x14ac:dyDescent="0.35">
      <c r="A63" s="20">
        <v>28</v>
      </c>
      <c r="B63" s="17" t="s">
        <v>211</v>
      </c>
      <c r="C63" s="66"/>
      <c r="E63" s="79" t="s">
        <v>215</v>
      </c>
    </row>
    <row r="64" spans="1:5" x14ac:dyDescent="0.35">
      <c r="A64" s="20"/>
      <c r="B64" s="17"/>
    </row>
    <row r="65" spans="1:5" x14ac:dyDescent="0.35">
      <c r="A65" s="20">
        <v>29</v>
      </c>
      <c r="B65" s="17" t="s">
        <v>212</v>
      </c>
      <c r="C65" s="66">
        <v>-800</v>
      </c>
      <c r="D65" t="s">
        <v>133</v>
      </c>
      <c r="E65" s="79" t="s">
        <v>215</v>
      </c>
    </row>
    <row r="66" spans="1:5" x14ac:dyDescent="0.35">
      <c r="A66" s="20"/>
      <c r="B66" s="17"/>
      <c r="C66" s="66"/>
    </row>
    <row r="67" spans="1:5" x14ac:dyDescent="0.35">
      <c r="A67" s="20">
        <v>30</v>
      </c>
      <c r="B67" s="17" t="s">
        <v>213</v>
      </c>
      <c r="C67" s="66">
        <v>-1650</v>
      </c>
      <c r="D67" t="s">
        <v>133</v>
      </c>
      <c r="E67" s="79" t="s">
        <v>215</v>
      </c>
    </row>
    <row r="68" spans="1:5" x14ac:dyDescent="0.35">
      <c r="A68" s="20"/>
      <c r="B68" s="17"/>
      <c r="C68" s="66"/>
    </row>
    <row r="69" spans="1:5" x14ac:dyDescent="0.35">
      <c r="A69" s="20">
        <v>31</v>
      </c>
      <c r="B69" s="17" t="s">
        <v>214</v>
      </c>
      <c r="C69" s="66">
        <v>-750</v>
      </c>
      <c r="D69" t="s">
        <v>133</v>
      </c>
      <c r="E69" s="79" t="s">
        <v>215</v>
      </c>
    </row>
    <row r="70" spans="1:5" x14ac:dyDescent="0.35">
      <c r="A70" s="20"/>
      <c r="B70" s="17"/>
      <c r="C70" s="66"/>
    </row>
    <row r="71" spans="1:5" x14ac:dyDescent="0.35">
      <c r="A71" s="20">
        <v>32</v>
      </c>
      <c r="B71" s="17" t="s">
        <v>216</v>
      </c>
      <c r="C71" s="66">
        <v>-2645</v>
      </c>
      <c r="D71" t="s">
        <v>133</v>
      </c>
      <c r="E71" s="79" t="s">
        <v>215</v>
      </c>
    </row>
    <row r="73" spans="1:5" x14ac:dyDescent="0.35">
      <c r="A73" s="8">
        <v>33</v>
      </c>
      <c r="B73" t="s">
        <v>225</v>
      </c>
      <c r="C73" s="4">
        <f>5*585+300</f>
        <v>3225</v>
      </c>
      <c r="E73" s="79" t="s">
        <v>226</v>
      </c>
    </row>
    <row r="75" spans="1:5" ht="15" thickBot="1" x14ac:dyDescent="0.4">
      <c r="B75" s="67" t="s">
        <v>134</v>
      </c>
      <c r="C75" s="68">
        <f>SUM(C6:C71)</f>
        <v>21801.050000000003</v>
      </c>
      <c r="D75" s="69" t="s">
        <v>133</v>
      </c>
    </row>
    <row r="76" spans="1:5" ht="15" thickTop="1" x14ac:dyDescent="0.35"/>
    <row r="78" spans="1:5" x14ac:dyDescent="0.35">
      <c r="A78" s="8">
        <v>12</v>
      </c>
      <c r="B78" t="s">
        <v>174</v>
      </c>
      <c r="C78" s="4">
        <v>2000</v>
      </c>
      <c r="D78" t="s">
        <v>133</v>
      </c>
      <c r="E78" s="79" t="s">
        <v>168</v>
      </c>
    </row>
    <row r="79" spans="1:5" ht="15" thickBot="1" x14ac:dyDescent="0.4">
      <c r="C79" s="68">
        <f>SUM(C77:C78)</f>
        <v>2000</v>
      </c>
      <c r="D79" s="69" t="s">
        <v>133</v>
      </c>
    </row>
    <row r="80" spans="1:5" ht="15" thickTop="1" x14ac:dyDescent="0.35"/>
  </sheetData>
  <pageMargins left="0.7" right="0.7" top="0.75" bottom="0.75" header="0.3" footer="0.3"/>
  <pageSetup paperSize="9" scale="3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92F29-87C8-461F-BBD2-C13847CF904E}">
  <dimension ref="B4:G26"/>
  <sheetViews>
    <sheetView workbookViewId="0">
      <selection activeCell="G27" sqref="G27"/>
    </sheetView>
  </sheetViews>
  <sheetFormatPr defaultRowHeight="14.5" x14ac:dyDescent="0.35"/>
  <cols>
    <col min="4" max="4" width="71.1796875" customWidth="1"/>
    <col min="5" max="5" width="12.54296875" customWidth="1"/>
  </cols>
  <sheetData>
    <row r="4" spans="2:7" x14ac:dyDescent="0.35">
      <c r="C4">
        <v>129643</v>
      </c>
    </row>
    <row r="5" spans="2:7" x14ac:dyDescent="0.35">
      <c r="B5" t="s">
        <v>237</v>
      </c>
      <c r="C5" s="4">
        <f>C4*0.8</f>
        <v>103714.40000000001</v>
      </c>
    </row>
    <row r="9" spans="2:7" x14ac:dyDescent="0.35">
      <c r="D9" s="13" t="s">
        <v>236</v>
      </c>
    </row>
    <row r="11" spans="2:7" x14ac:dyDescent="0.35">
      <c r="D11" t="s">
        <v>235</v>
      </c>
      <c r="F11" s="4">
        <v>31114</v>
      </c>
      <c r="G11" t="s">
        <v>133</v>
      </c>
    </row>
    <row r="12" spans="2:7" x14ac:dyDescent="0.35">
      <c r="F12" s="4"/>
    </row>
    <row r="13" spans="2:7" x14ac:dyDescent="0.35">
      <c r="D13" s="144" t="s">
        <v>242</v>
      </c>
      <c r="F13" s="4">
        <f>-((6*361)*0.8)</f>
        <v>-1732.8000000000002</v>
      </c>
    </row>
    <row r="14" spans="2:7" x14ac:dyDescent="0.35">
      <c r="D14" s="144" t="s">
        <v>243</v>
      </c>
      <c r="F14" s="4">
        <f>-((5*202)*0.8)</f>
        <v>-808</v>
      </c>
    </row>
    <row r="15" spans="2:7" x14ac:dyDescent="0.35">
      <c r="F15" s="4"/>
    </row>
    <row r="16" spans="2:7" x14ac:dyDescent="0.35">
      <c r="D16" t="s">
        <v>246</v>
      </c>
      <c r="F16" s="4">
        <f>-650*2</f>
        <v>-1300</v>
      </c>
    </row>
    <row r="17" spans="4:7" x14ac:dyDescent="0.35">
      <c r="D17" t="s">
        <v>239</v>
      </c>
      <c r="F17" s="4">
        <f>-650*2</f>
        <v>-1300</v>
      </c>
    </row>
    <row r="18" spans="4:7" x14ac:dyDescent="0.35">
      <c r="D18" t="s">
        <v>244</v>
      </c>
      <c r="F18" s="4">
        <f>-650*2</f>
        <v>-1300</v>
      </c>
    </row>
    <row r="19" spans="4:7" x14ac:dyDescent="0.35">
      <c r="D19" t="s">
        <v>240</v>
      </c>
      <c r="F19" s="4">
        <v>-750</v>
      </c>
    </row>
    <row r="20" spans="4:7" x14ac:dyDescent="0.35">
      <c r="D20" t="s">
        <v>238</v>
      </c>
      <c r="F20" s="4">
        <v>-550</v>
      </c>
    </row>
    <row r="21" spans="4:7" x14ac:dyDescent="0.35">
      <c r="D21" t="s">
        <v>241</v>
      </c>
      <c r="F21" s="4">
        <f>-650*2</f>
        <v>-1300</v>
      </c>
    </row>
    <row r="23" spans="4:7" x14ac:dyDescent="0.35">
      <c r="D23" t="s">
        <v>245</v>
      </c>
      <c r="F23" s="15">
        <f>SUM(F13:F22)</f>
        <v>-9040.7999999999993</v>
      </c>
      <c r="G23" s="13" t="s">
        <v>133</v>
      </c>
    </row>
    <row r="26" spans="4:7" x14ac:dyDescent="0.35">
      <c r="F26" s="4">
        <f>F11+F23</f>
        <v>22073.200000000001</v>
      </c>
      <c r="G26" t="s">
        <v>247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D38EC-16C0-40F2-9585-26961AD13A6C}">
  <dimension ref="B1:O16"/>
  <sheetViews>
    <sheetView workbookViewId="0">
      <selection activeCell="K21" sqref="K21"/>
    </sheetView>
  </sheetViews>
  <sheetFormatPr defaultRowHeight="14.5" x14ac:dyDescent="0.35"/>
  <cols>
    <col min="2" max="2" width="53.7265625" bestFit="1" customWidth="1"/>
    <col min="4" max="4" width="15.54296875" bestFit="1" customWidth="1"/>
    <col min="5" max="6" width="8.81640625" customWidth="1"/>
    <col min="7" max="7" width="4.453125" customWidth="1"/>
    <col min="8" max="8" width="9.1796875" bestFit="1" customWidth="1"/>
    <col min="11" max="11" width="21.54296875" bestFit="1" customWidth="1"/>
    <col min="12" max="12" width="14" bestFit="1" customWidth="1"/>
    <col min="13" max="13" width="7.453125" bestFit="1" customWidth="1"/>
    <col min="14" max="14" width="17.1796875" customWidth="1"/>
  </cols>
  <sheetData>
    <row r="1" spans="2:15" x14ac:dyDescent="0.35">
      <c r="B1" s="102"/>
      <c r="C1" s="102"/>
      <c r="D1" s="102"/>
      <c r="E1" s="102"/>
      <c r="F1" s="102"/>
      <c r="G1" s="102"/>
      <c r="H1" s="102"/>
      <c r="I1" s="102"/>
    </row>
    <row r="2" spans="2:15" x14ac:dyDescent="0.35">
      <c r="B2" s="101">
        <f ca="1">TODAY()</f>
        <v>45826</v>
      </c>
      <c r="C2" s="102"/>
      <c r="D2" s="102"/>
      <c r="E2" s="102"/>
      <c r="F2" s="102"/>
      <c r="G2" s="102"/>
      <c r="H2" s="102"/>
      <c r="I2" s="102"/>
    </row>
    <row r="3" spans="2:15" x14ac:dyDescent="0.35">
      <c r="B3" s="103" t="s">
        <v>191</v>
      </c>
      <c r="C3" s="104" t="s">
        <v>192</v>
      </c>
      <c r="D3" s="105" t="s">
        <v>193</v>
      </c>
      <c r="E3" s="103" t="s">
        <v>194</v>
      </c>
      <c r="F3" s="106"/>
      <c r="G3" s="102"/>
      <c r="H3" s="106" t="s">
        <v>195</v>
      </c>
      <c r="I3" s="102"/>
    </row>
    <row r="4" spans="2:15" x14ac:dyDescent="0.35">
      <c r="B4" s="102" t="s">
        <v>218</v>
      </c>
      <c r="C4" s="107">
        <v>1</v>
      </c>
      <c r="D4" s="102">
        <v>617080150</v>
      </c>
      <c r="E4" s="108">
        <v>0.15</v>
      </c>
      <c r="F4" s="109">
        <v>418.91</v>
      </c>
      <c r="G4" s="109"/>
      <c r="H4" s="114">
        <f>+F4*C4+(E4*F4)</f>
        <v>481.74650000000003</v>
      </c>
      <c r="I4" s="115"/>
      <c r="J4" s="116"/>
      <c r="M4" s="116"/>
      <c r="N4" s="116"/>
      <c r="O4" s="116"/>
    </row>
    <row r="5" spans="2:15" x14ac:dyDescent="0.35">
      <c r="B5" s="102" t="s">
        <v>196</v>
      </c>
      <c r="C5" s="107">
        <v>1</v>
      </c>
      <c r="D5" s="102">
        <v>613040400</v>
      </c>
      <c r="E5" s="108">
        <v>0.15</v>
      </c>
      <c r="F5" s="109">
        <v>1900</v>
      </c>
      <c r="G5" s="109"/>
      <c r="H5" s="114">
        <f>+F5*C5+(E5*F5)</f>
        <v>2185</v>
      </c>
      <c r="I5" s="115"/>
      <c r="J5" s="116"/>
      <c r="M5" s="116"/>
      <c r="N5" s="116"/>
      <c r="O5" s="116"/>
    </row>
    <row r="6" spans="2:15" x14ac:dyDescent="0.35">
      <c r="B6" s="102"/>
      <c r="C6" s="102"/>
      <c r="D6" s="102"/>
      <c r="E6" s="102"/>
      <c r="F6" s="109"/>
      <c r="G6" s="109"/>
      <c r="H6" s="114"/>
      <c r="I6" s="115"/>
      <c r="J6" s="116"/>
      <c r="M6" s="116"/>
      <c r="N6" s="116"/>
      <c r="O6" s="116"/>
    </row>
    <row r="7" spans="2:15" x14ac:dyDescent="0.35">
      <c r="B7" s="103" t="s">
        <v>197</v>
      </c>
      <c r="C7" s="102"/>
      <c r="D7" s="102"/>
      <c r="E7" s="102"/>
      <c r="F7" s="109"/>
      <c r="G7" s="109"/>
      <c r="H7" s="114"/>
      <c r="I7" s="115"/>
      <c r="J7" s="116"/>
      <c r="M7" s="116"/>
      <c r="N7" s="116"/>
      <c r="O7" s="116"/>
    </row>
    <row r="8" spans="2:15" x14ac:dyDescent="0.35">
      <c r="B8" s="102" t="s">
        <v>38</v>
      </c>
      <c r="C8" s="102"/>
      <c r="D8" s="102"/>
      <c r="E8" s="108">
        <v>0.15</v>
      </c>
      <c r="F8" s="109">
        <v>2400</v>
      </c>
      <c r="G8" s="109"/>
      <c r="H8" s="114">
        <f>-F8-(E8*F8)</f>
        <v>-2760</v>
      </c>
      <c r="I8" s="115"/>
      <c r="J8" s="116"/>
      <c r="M8" s="116"/>
      <c r="N8" s="117"/>
      <c r="O8" s="116"/>
    </row>
    <row r="9" spans="2:15" x14ac:dyDescent="0.35">
      <c r="B9" s="102" t="s">
        <v>83</v>
      </c>
      <c r="C9" s="102"/>
      <c r="D9" s="102"/>
      <c r="E9" s="108">
        <v>0.15</v>
      </c>
      <c r="F9" s="109">
        <v>1500</v>
      </c>
      <c r="G9" s="109"/>
      <c r="H9" s="114">
        <f>-F9-(E9*F9)</f>
        <v>-1725</v>
      </c>
      <c r="I9" s="115"/>
      <c r="J9" s="116"/>
      <c r="M9" s="116"/>
      <c r="N9" s="117"/>
      <c r="O9" s="116"/>
    </row>
    <row r="10" spans="2:15" x14ac:dyDescent="0.35">
      <c r="B10" s="102" t="s">
        <v>39</v>
      </c>
      <c r="C10" s="102"/>
      <c r="D10" s="102"/>
      <c r="E10" s="108">
        <v>0.15</v>
      </c>
      <c r="F10" s="109">
        <v>800</v>
      </c>
      <c r="G10" s="109"/>
      <c r="H10" s="114">
        <f>-F10-(E10*F10)</f>
        <v>-920</v>
      </c>
      <c r="I10" s="115"/>
      <c r="J10" s="116"/>
      <c r="M10" s="116"/>
      <c r="N10" s="117"/>
      <c r="O10" s="116"/>
    </row>
    <row r="11" spans="2:15" x14ac:dyDescent="0.35">
      <c r="B11" s="102"/>
      <c r="C11" s="112"/>
      <c r="D11" s="113" t="s">
        <v>198</v>
      </c>
      <c r="E11" s="112"/>
      <c r="F11" s="112"/>
      <c r="G11" s="112"/>
      <c r="H11" s="118">
        <f>SUM(H4:H10)</f>
        <v>-2738.2534999999998</v>
      </c>
      <c r="I11" s="115"/>
      <c r="J11" s="116"/>
      <c r="M11" s="116"/>
      <c r="N11" s="116"/>
      <c r="O11" s="116"/>
    </row>
    <row r="12" spans="2:15" x14ac:dyDescent="0.35">
      <c r="B12" s="102"/>
      <c r="C12" s="102"/>
      <c r="D12" s="111" t="s">
        <v>199</v>
      </c>
      <c r="E12" s="102"/>
      <c r="F12" s="102"/>
      <c r="G12" s="102"/>
      <c r="H12" s="114">
        <f>+H11*0.25</f>
        <v>-684.56337499999995</v>
      </c>
      <c r="I12" s="115"/>
      <c r="J12" s="116"/>
      <c r="M12" s="116"/>
      <c r="N12" s="116"/>
      <c r="O12" s="116"/>
    </row>
    <row r="13" spans="2:15" x14ac:dyDescent="0.35">
      <c r="B13" s="102"/>
      <c r="C13" s="102"/>
      <c r="D13" s="111" t="s">
        <v>200</v>
      </c>
      <c r="E13" s="102"/>
      <c r="F13" s="102"/>
      <c r="G13" s="102"/>
      <c r="H13" s="114">
        <f>+H12+H11</f>
        <v>-3422.8168749999995</v>
      </c>
      <c r="I13" s="115"/>
      <c r="J13" s="116"/>
      <c r="M13" s="116"/>
      <c r="N13" s="116"/>
      <c r="O13" s="116"/>
    </row>
    <row r="14" spans="2:15" x14ac:dyDescent="0.35">
      <c r="B14" s="102"/>
      <c r="C14" s="110"/>
      <c r="D14" s="110"/>
      <c r="E14" s="110"/>
      <c r="F14" s="110"/>
      <c r="G14" s="110"/>
      <c r="H14" s="119"/>
      <c r="I14" s="115"/>
      <c r="J14" s="116"/>
      <c r="M14" s="116"/>
      <c r="N14" s="116"/>
      <c r="O14" s="116"/>
    </row>
    <row r="15" spans="2:15" x14ac:dyDescent="0.35">
      <c r="B15" s="102"/>
      <c r="C15" s="102"/>
      <c r="D15" s="102"/>
      <c r="E15" s="102"/>
      <c r="F15" s="102"/>
      <c r="G15" s="102"/>
      <c r="H15" s="102"/>
      <c r="I15" s="102"/>
    </row>
    <row r="16" spans="2:15" x14ac:dyDescent="0.35">
      <c r="B16" s="102"/>
      <c r="C16" s="102"/>
      <c r="D16" s="102"/>
      <c r="E16" s="102"/>
      <c r="F16" s="102"/>
      <c r="G16" s="102"/>
      <c r="H16" s="102"/>
      <c r="I16" s="10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6057B-65F4-467F-AFC1-832FD9BA78E3}">
  <dimension ref="D5:J13"/>
  <sheetViews>
    <sheetView workbookViewId="0">
      <selection activeCell="E13" sqref="E13"/>
    </sheetView>
  </sheetViews>
  <sheetFormatPr defaultRowHeight="14.5" x14ac:dyDescent="0.35"/>
  <cols>
    <col min="4" max="4" width="21.81640625" customWidth="1"/>
    <col min="5" max="6" width="8.7265625" style="8"/>
  </cols>
  <sheetData>
    <row r="5" spans="4:10" x14ac:dyDescent="0.35">
      <c r="D5" t="s">
        <v>169</v>
      </c>
      <c r="E5" s="8">
        <f>(0.9*3)*2.6*1.2</f>
        <v>8.4239999999999995</v>
      </c>
      <c r="F5" s="8" t="s">
        <v>170</v>
      </c>
      <c r="H5">
        <f>0.6*0.6</f>
        <v>0.36</v>
      </c>
      <c r="J5">
        <f>H5*36</f>
        <v>12.959999999999999</v>
      </c>
    </row>
    <row r="6" spans="4:10" x14ac:dyDescent="0.35">
      <c r="D6" t="s">
        <v>172</v>
      </c>
      <c r="E6" s="8">
        <v>7.2</v>
      </c>
      <c r="F6" s="8" t="s">
        <v>173</v>
      </c>
    </row>
    <row r="7" spans="4:10" x14ac:dyDescent="0.35">
      <c r="D7" t="s">
        <v>171</v>
      </c>
      <c r="E7" s="8">
        <f>3.6*1.2</f>
        <v>4.32</v>
      </c>
      <c r="F7" s="8" t="s">
        <v>170</v>
      </c>
    </row>
    <row r="13" spans="4:10" x14ac:dyDescent="0.35">
      <c r="E13" s="8">
        <f>7.2/1.2*1.15</f>
        <v>6.8999999999999995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00AB-670F-4917-8928-BBFD633D8485}">
  <sheetPr>
    <pageSetUpPr fitToPage="1"/>
  </sheetPr>
  <dimension ref="B1:N130"/>
  <sheetViews>
    <sheetView topLeftCell="A48" zoomScale="90" zoomScaleNormal="90" workbookViewId="0">
      <selection activeCell="K98" sqref="K98"/>
    </sheetView>
  </sheetViews>
  <sheetFormatPr defaultRowHeight="14.5" x14ac:dyDescent="0.35"/>
  <cols>
    <col min="2" max="2" width="69.7265625" customWidth="1"/>
    <col min="4" max="4" width="15" customWidth="1"/>
    <col min="5" max="5" width="8.7265625" customWidth="1"/>
    <col min="6" max="6" width="10.7265625" customWidth="1"/>
    <col min="7" max="9" width="8.7265625" customWidth="1"/>
    <col min="12" max="12" width="1.54296875" customWidth="1"/>
    <col min="13" max="13" width="12.26953125" style="16" customWidth="1"/>
    <col min="14" max="14" width="9.7265625" customWidth="1"/>
  </cols>
  <sheetData>
    <row r="1" spans="2:14" ht="18.5" x14ac:dyDescent="0.45">
      <c r="B1" s="1"/>
      <c r="C1" s="2"/>
      <c r="D1" s="1"/>
      <c r="E1" s="1"/>
      <c r="F1" s="1"/>
      <c r="G1" s="3"/>
      <c r="H1" s="1"/>
      <c r="I1" s="4"/>
      <c r="J1" s="4"/>
    </row>
    <row r="2" spans="2:14" ht="21" x14ac:dyDescent="0.5">
      <c r="B2" s="5" t="s">
        <v>128</v>
      </c>
      <c r="C2" s="6"/>
      <c r="D2" s="5"/>
      <c r="E2" s="5"/>
      <c r="F2" s="5"/>
      <c r="G2" s="7"/>
      <c r="H2" s="5"/>
      <c r="I2" s="4"/>
      <c r="J2" s="4"/>
    </row>
    <row r="3" spans="2:14" ht="15" thickBot="1" x14ac:dyDescent="0.4">
      <c r="B3" t="s">
        <v>129</v>
      </c>
      <c r="C3" s="8"/>
      <c r="G3" s="4"/>
      <c r="I3" s="4"/>
      <c r="J3" s="4"/>
      <c r="M3" s="55"/>
      <c r="N3" s="56"/>
    </row>
    <row r="4" spans="2:14" ht="15" thickBot="1" x14ac:dyDescent="0.4"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1" t="s">
        <v>5</v>
      </c>
      <c r="I4" s="10" t="s">
        <v>6</v>
      </c>
      <c r="K4" s="10" t="s">
        <v>6</v>
      </c>
      <c r="M4" s="60" t="s">
        <v>131</v>
      </c>
      <c r="N4" s="61" t="s">
        <v>132</v>
      </c>
    </row>
    <row r="5" spans="2:14" x14ac:dyDescent="0.35">
      <c r="C5" s="8"/>
      <c r="G5" s="4"/>
      <c r="I5" s="4"/>
      <c r="J5" s="4"/>
      <c r="M5" s="62"/>
      <c r="N5" s="63"/>
    </row>
    <row r="6" spans="2:14" x14ac:dyDescent="0.35">
      <c r="B6" s="13" t="s">
        <v>8</v>
      </c>
      <c r="C6" s="14"/>
      <c r="D6" s="13"/>
      <c r="E6" s="13"/>
      <c r="F6" s="13"/>
      <c r="G6" s="15"/>
      <c r="H6" s="13"/>
      <c r="I6" s="4"/>
      <c r="J6" s="4"/>
      <c r="K6" s="15">
        <f>SUM(I7:I13)</f>
        <v>34163.800000000003</v>
      </c>
      <c r="M6" s="64">
        <v>0</v>
      </c>
      <c r="N6" s="65">
        <f>K6*M6</f>
        <v>0</v>
      </c>
    </row>
    <row r="7" spans="2:14" x14ac:dyDescent="0.35">
      <c r="B7" t="s">
        <v>9</v>
      </c>
      <c r="C7" s="8" t="s">
        <v>10</v>
      </c>
      <c r="D7" s="28"/>
      <c r="E7" s="28"/>
      <c r="F7" s="28"/>
      <c r="G7" s="30">
        <v>10000</v>
      </c>
      <c r="H7" s="28"/>
      <c r="I7" s="31">
        <f t="shared" ref="I7:I12" si="0">(G7*H7)+G7</f>
        <v>10000</v>
      </c>
      <c r="J7" s="4"/>
      <c r="M7" s="64"/>
      <c r="N7" s="65"/>
    </row>
    <row r="8" spans="2:14" x14ac:dyDescent="0.35">
      <c r="B8" t="s">
        <v>11</v>
      </c>
      <c r="C8" s="8" t="s">
        <v>10</v>
      </c>
      <c r="D8" s="28">
        <v>60</v>
      </c>
      <c r="E8" s="28">
        <v>90.2</v>
      </c>
      <c r="F8" s="30"/>
      <c r="G8" s="30">
        <f t="shared" ref="G8:G12" si="1">(D8*E8)+F8</f>
        <v>5412</v>
      </c>
      <c r="H8" s="32">
        <v>0.15</v>
      </c>
      <c r="I8" s="31">
        <f t="shared" si="0"/>
        <v>6223.8</v>
      </c>
      <c r="J8" s="4"/>
      <c r="M8" s="64"/>
      <c r="N8" s="65"/>
    </row>
    <row r="9" spans="2:14" x14ac:dyDescent="0.35">
      <c r="B9" t="s">
        <v>71</v>
      </c>
      <c r="C9" s="8" t="s">
        <v>48</v>
      </c>
      <c r="D9" s="28">
        <v>6</v>
      </c>
      <c r="E9" s="28">
        <v>750</v>
      </c>
      <c r="F9" s="30"/>
      <c r="G9" s="30">
        <f t="shared" si="1"/>
        <v>4500</v>
      </c>
      <c r="H9" s="32">
        <v>0.15</v>
      </c>
      <c r="I9" s="31">
        <f t="shared" si="0"/>
        <v>5175</v>
      </c>
      <c r="J9" s="4"/>
      <c r="M9" s="62"/>
      <c r="N9" s="63"/>
    </row>
    <row r="10" spans="2:14" x14ac:dyDescent="0.35">
      <c r="B10" s="25" t="s">
        <v>49</v>
      </c>
      <c r="C10" s="24" t="s">
        <v>10</v>
      </c>
      <c r="D10" s="28">
        <v>6</v>
      </c>
      <c r="E10" s="28">
        <v>575</v>
      </c>
      <c r="F10" s="30"/>
      <c r="G10" s="30">
        <f t="shared" si="1"/>
        <v>3450</v>
      </c>
      <c r="H10" s="32">
        <v>0</v>
      </c>
      <c r="I10" s="31">
        <f t="shared" si="0"/>
        <v>3450</v>
      </c>
      <c r="J10" s="4"/>
      <c r="M10" s="62"/>
      <c r="N10" s="63"/>
    </row>
    <row r="11" spans="2:14" x14ac:dyDescent="0.35">
      <c r="B11" s="25" t="s">
        <v>72</v>
      </c>
      <c r="C11" s="24" t="s">
        <v>10</v>
      </c>
      <c r="D11" s="28">
        <v>4</v>
      </c>
      <c r="E11" s="28">
        <v>450</v>
      </c>
      <c r="F11" s="30"/>
      <c r="G11" s="30">
        <f t="shared" si="1"/>
        <v>1800</v>
      </c>
      <c r="H11" s="32">
        <v>0.15</v>
      </c>
      <c r="I11" s="31">
        <f t="shared" si="0"/>
        <v>2070</v>
      </c>
      <c r="J11" s="4"/>
      <c r="M11" s="62"/>
      <c r="N11" s="63"/>
    </row>
    <row r="12" spans="2:14" x14ac:dyDescent="0.35">
      <c r="B12" s="25" t="s">
        <v>50</v>
      </c>
      <c r="C12" s="24" t="s">
        <v>51</v>
      </c>
      <c r="D12" s="28">
        <v>21</v>
      </c>
      <c r="E12" s="28">
        <v>300</v>
      </c>
      <c r="F12" s="28"/>
      <c r="G12" s="30">
        <f t="shared" si="1"/>
        <v>6300</v>
      </c>
      <c r="H12" s="32">
        <v>0.15</v>
      </c>
      <c r="I12" s="31">
        <f t="shared" si="0"/>
        <v>7245</v>
      </c>
      <c r="J12" s="4"/>
      <c r="M12" s="62"/>
      <c r="N12" s="63"/>
    </row>
    <row r="13" spans="2:14" x14ac:dyDescent="0.35">
      <c r="B13" s="25" t="s">
        <v>70</v>
      </c>
      <c r="C13" s="24" t="s">
        <v>37</v>
      </c>
      <c r="D13" s="29"/>
      <c r="E13" s="29"/>
      <c r="F13" s="29"/>
      <c r="G13" s="29"/>
      <c r="H13" s="29"/>
      <c r="I13" s="29">
        <v>0</v>
      </c>
      <c r="J13" s="4"/>
      <c r="M13" s="62"/>
      <c r="N13" s="63"/>
    </row>
    <row r="14" spans="2:14" x14ac:dyDescent="0.35">
      <c r="C14" s="8"/>
      <c r="G14" s="4"/>
      <c r="I14" s="4"/>
      <c r="J14" s="4"/>
      <c r="M14" s="62"/>
      <c r="N14" s="63"/>
    </row>
    <row r="15" spans="2:14" x14ac:dyDescent="0.35">
      <c r="B15" s="13" t="s">
        <v>12</v>
      </c>
      <c r="C15" s="14"/>
      <c r="D15" s="13"/>
      <c r="E15" s="13"/>
      <c r="F15" s="13"/>
      <c r="G15" s="15"/>
      <c r="H15" s="13"/>
      <c r="I15" s="4"/>
      <c r="J15" s="4"/>
      <c r="K15" s="15">
        <f>SUM(I16:I23)</f>
        <v>49612.5</v>
      </c>
      <c r="M15" s="64">
        <v>0</v>
      </c>
      <c r="N15" s="65">
        <f>K15*M15</f>
        <v>0</v>
      </c>
    </row>
    <row r="16" spans="2:14" x14ac:dyDescent="0.35">
      <c r="B16" s="25" t="s">
        <v>52</v>
      </c>
      <c r="C16" s="8" t="s">
        <v>10</v>
      </c>
      <c r="D16" s="28">
        <v>8</v>
      </c>
      <c r="E16" s="28">
        <v>575</v>
      </c>
      <c r="F16" s="30">
        <v>800</v>
      </c>
      <c r="G16" s="30">
        <f t="shared" ref="G16:G21" si="2">(D16*E16)+F16</f>
        <v>5400</v>
      </c>
      <c r="H16" s="32">
        <v>0</v>
      </c>
      <c r="I16" s="31">
        <f t="shared" ref="I16:I23" si="3">(G16*H16)+G16</f>
        <v>5400</v>
      </c>
      <c r="J16" s="4"/>
      <c r="M16" s="62"/>
      <c r="N16" s="63"/>
    </row>
    <row r="17" spans="2:14" x14ac:dyDescent="0.35">
      <c r="B17" s="25" t="s">
        <v>73</v>
      </c>
      <c r="C17" s="8" t="s">
        <v>10</v>
      </c>
      <c r="D17" s="28">
        <v>5</v>
      </c>
      <c r="E17" s="28">
        <v>575</v>
      </c>
      <c r="F17" s="30">
        <v>800</v>
      </c>
      <c r="G17" s="30">
        <f t="shared" si="2"/>
        <v>3675</v>
      </c>
      <c r="H17" s="32">
        <v>0</v>
      </c>
      <c r="I17" s="31">
        <f t="shared" si="3"/>
        <v>3675</v>
      </c>
      <c r="J17" s="4"/>
      <c r="M17" s="64"/>
      <c r="N17" s="65"/>
    </row>
    <row r="18" spans="2:14" x14ac:dyDescent="0.35">
      <c r="B18" s="25" t="s">
        <v>74</v>
      </c>
      <c r="C18" s="8" t="s">
        <v>10</v>
      </c>
      <c r="D18" s="28">
        <v>7.5</v>
      </c>
      <c r="E18" s="28">
        <v>575</v>
      </c>
      <c r="F18" s="30"/>
      <c r="G18" s="30">
        <f t="shared" si="2"/>
        <v>4312.5</v>
      </c>
      <c r="H18" s="32">
        <v>0</v>
      </c>
      <c r="I18" s="31">
        <f t="shared" si="3"/>
        <v>4312.5</v>
      </c>
      <c r="J18" s="4"/>
      <c r="M18" s="64"/>
      <c r="N18" s="65"/>
    </row>
    <row r="19" spans="2:14" x14ac:dyDescent="0.35">
      <c r="B19" s="25" t="s">
        <v>55</v>
      </c>
      <c r="C19" s="8" t="s">
        <v>10</v>
      </c>
      <c r="D19" s="28">
        <v>21</v>
      </c>
      <c r="E19" s="28">
        <v>575</v>
      </c>
      <c r="F19" s="30"/>
      <c r="G19" s="30">
        <f t="shared" si="2"/>
        <v>12075</v>
      </c>
      <c r="H19" s="32">
        <v>0</v>
      </c>
      <c r="I19" s="31">
        <f t="shared" si="3"/>
        <v>12075</v>
      </c>
      <c r="J19" s="4"/>
      <c r="M19" s="62"/>
      <c r="N19" s="63"/>
    </row>
    <row r="20" spans="2:14" x14ac:dyDescent="0.35">
      <c r="B20" s="25" t="s">
        <v>53</v>
      </c>
      <c r="C20" s="8" t="s">
        <v>10</v>
      </c>
      <c r="D20" s="28">
        <v>15</v>
      </c>
      <c r="E20" s="28">
        <v>575</v>
      </c>
      <c r="F20" s="30"/>
      <c r="G20" s="30">
        <f t="shared" si="2"/>
        <v>8625</v>
      </c>
      <c r="H20" s="32">
        <v>0</v>
      </c>
      <c r="I20" s="31">
        <f t="shared" si="3"/>
        <v>8625</v>
      </c>
      <c r="J20" s="4"/>
      <c r="M20" s="62"/>
      <c r="N20" s="63"/>
    </row>
    <row r="21" spans="2:14" x14ac:dyDescent="0.35">
      <c r="B21" s="25" t="s">
        <v>54</v>
      </c>
      <c r="C21" s="8" t="s">
        <v>10</v>
      </c>
      <c r="D21" s="28">
        <v>7</v>
      </c>
      <c r="E21" s="28">
        <v>575</v>
      </c>
      <c r="F21" s="30"/>
      <c r="G21" s="30">
        <f t="shared" si="2"/>
        <v>4025</v>
      </c>
      <c r="H21" s="32">
        <v>0</v>
      </c>
      <c r="I21" s="31">
        <f t="shared" si="3"/>
        <v>4025</v>
      </c>
      <c r="J21" s="4"/>
      <c r="M21" s="62"/>
      <c r="N21" s="63"/>
    </row>
    <row r="22" spans="2:14" x14ac:dyDescent="0.35">
      <c r="B22" t="s">
        <v>13</v>
      </c>
      <c r="C22" s="8" t="s">
        <v>10</v>
      </c>
      <c r="D22" s="28">
        <v>15</v>
      </c>
      <c r="E22" s="28">
        <v>575</v>
      </c>
      <c r="F22" s="28">
        <v>0</v>
      </c>
      <c r="G22" s="30">
        <f>(D22*E22)+F22</f>
        <v>8625</v>
      </c>
      <c r="H22" s="34"/>
      <c r="I22" s="31">
        <f t="shared" si="3"/>
        <v>8625</v>
      </c>
      <c r="J22" s="4"/>
      <c r="M22" s="62"/>
      <c r="N22" s="63"/>
    </row>
    <row r="23" spans="2:14" x14ac:dyDescent="0.35">
      <c r="B23" s="25" t="s">
        <v>115</v>
      </c>
      <c r="C23" s="8" t="s">
        <v>10</v>
      </c>
      <c r="D23" s="28">
        <v>5</v>
      </c>
      <c r="E23" s="28">
        <v>575</v>
      </c>
      <c r="F23" s="28">
        <v>0</v>
      </c>
      <c r="G23" s="30">
        <f>(D23*E23)+F23</f>
        <v>2875</v>
      </c>
      <c r="H23" s="34"/>
      <c r="I23" s="31">
        <f t="shared" si="3"/>
        <v>2875</v>
      </c>
      <c r="J23" s="4"/>
      <c r="M23" s="62"/>
      <c r="N23" s="63"/>
    </row>
    <row r="24" spans="2:14" x14ac:dyDescent="0.35">
      <c r="C24" s="8"/>
      <c r="G24" s="4"/>
      <c r="I24" s="4"/>
      <c r="J24" s="4"/>
      <c r="M24" s="62"/>
      <c r="N24" s="63"/>
    </row>
    <row r="25" spans="2:14" x14ac:dyDescent="0.35">
      <c r="B25" s="13" t="s">
        <v>14</v>
      </c>
      <c r="C25" s="14"/>
      <c r="D25" s="13"/>
      <c r="E25" s="13"/>
      <c r="F25" s="13"/>
      <c r="G25" s="15"/>
      <c r="H25" s="13"/>
      <c r="I25" s="4"/>
      <c r="J25" s="4"/>
      <c r="K25" s="15">
        <f>SUM(I26:I36)</f>
        <v>91775</v>
      </c>
      <c r="M25" s="64">
        <v>0</v>
      </c>
      <c r="N25" s="65">
        <f>K25*M25</f>
        <v>0</v>
      </c>
    </row>
    <row r="26" spans="2:14" x14ac:dyDescent="0.35">
      <c r="B26" t="s">
        <v>93</v>
      </c>
      <c r="C26" s="8" t="s">
        <v>10</v>
      </c>
      <c r="D26" s="28">
        <v>21</v>
      </c>
      <c r="E26" s="28">
        <v>575</v>
      </c>
      <c r="F26" s="30">
        <v>3500</v>
      </c>
      <c r="G26" s="30">
        <f t="shared" ref="G26:G36" si="4">(D26*E26)+F26</f>
        <v>15575</v>
      </c>
      <c r="H26" s="32">
        <v>0</v>
      </c>
      <c r="I26" s="35">
        <f>(G26*H26)+G26</f>
        <v>15575</v>
      </c>
      <c r="J26" s="4"/>
      <c r="M26" s="62"/>
      <c r="N26" s="63"/>
    </row>
    <row r="27" spans="2:14" x14ac:dyDescent="0.35">
      <c r="B27" t="s">
        <v>76</v>
      </c>
      <c r="C27" s="8" t="s">
        <v>10</v>
      </c>
      <c r="D27" s="28">
        <v>5</v>
      </c>
      <c r="E27" s="28">
        <v>575</v>
      </c>
      <c r="F27" s="30">
        <v>3500</v>
      </c>
      <c r="G27" s="30">
        <f t="shared" si="4"/>
        <v>6375</v>
      </c>
      <c r="H27" s="32">
        <v>0</v>
      </c>
      <c r="I27" s="35">
        <f t="shared" ref="I27:I36" si="5">(G27*H27)+G27</f>
        <v>6375</v>
      </c>
      <c r="J27" s="4"/>
      <c r="M27" s="62"/>
      <c r="N27" s="63"/>
    </row>
    <row r="28" spans="2:14" x14ac:dyDescent="0.35">
      <c r="B28" t="s">
        <v>15</v>
      </c>
      <c r="C28" s="8" t="s">
        <v>10</v>
      </c>
      <c r="D28" s="28">
        <v>10</v>
      </c>
      <c r="E28" s="28">
        <v>575</v>
      </c>
      <c r="F28" s="30">
        <v>2500</v>
      </c>
      <c r="G28" s="30">
        <f t="shared" si="4"/>
        <v>8250</v>
      </c>
      <c r="H28" s="32">
        <v>0</v>
      </c>
      <c r="I28" s="35">
        <f t="shared" si="5"/>
        <v>8250</v>
      </c>
      <c r="J28" s="4"/>
      <c r="M28" s="62"/>
      <c r="N28" s="63"/>
    </row>
    <row r="29" spans="2:14" x14ac:dyDescent="0.35">
      <c r="B29" t="s">
        <v>16</v>
      </c>
      <c r="C29" s="8" t="s">
        <v>10</v>
      </c>
      <c r="D29" s="28">
        <v>8</v>
      </c>
      <c r="E29" s="28">
        <v>575</v>
      </c>
      <c r="F29" s="30">
        <v>1000</v>
      </c>
      <c r="G29" s="30">
        <f t="shared" si="4"/>
        <v>5600</v>
      </c>
      <c r="H29" s="32">
        <v>0</v>
      </c>
      <c r="I29" s="35">
        <f t="shared" si="5"/>
        <v>5600</v>
      </c>
      <c r="J29" s="4"/>
      <c r="M29" s="62"/>
      <c r="N29" s="63"/>
    </row>
    <row r="30" spans="2:14" x14ac:dyDescent="0.35">
      <c r="B30" t="s">
        <v>92</v>
      </c>
      <c r="C30" s="8" t="s">
        <v>10</v>
      </c>
      <c r="D30" s="28">
        <v>8</v>
      </c>
      <c r="E30" s="28">
        <v>575</v>
      </c>
      <c r="F30" s="30">
        <v>3500</v>
      </c>
      <c r="G30" s="30">
        <f t="shared" si="4"/>
        <v>8100</v>
      </c>
      <c r="H30" s="32">
        <v>0</v>
      </c>
      <c r="I30" s="35">
        <f t="shared" si="5"/>
        <v>8100</v>
      </c>
      <c r="J30" s="4"/>
      <c r="M30" s="62"/>
      <c r="N30" s="63"/>
    </row>
    <row r="31" spans="2:14" x14ac:dyDescent="0.35">
      <c r="B31" t="s">
        <v>17</v>
      </c>
      <c r="C31" s="8" t="s">
        <v>10</v>
      </c>
      <c r="D31" s="28">
        <v>10</v>
      </c>
      <c r="E31" s="28">
        <v>575</v>
      </c>
      <c r="F31" s="30">
        <v>1500</v>
      </c>
      <c r="G31" s="30">
        <f t="shared" si="4"/>
        <v>7250</v>
      </c>
      <c r="H31" s="32">
        <v>0</v>
      </c>
      <c r="I31" s="35">
        <f t="shared" si="5"/>
        <v>7250</v>
      </c>
      <c r="J31" s="4"/>
      <c r="M31" s="62"/>
      <c r="N31" s="63"/>
    </row>
    <row r="32" spans="2:14" x14ac:dyDescent="0.35">
      <c r="B32" t="s">
        <v>18</v>
      </c>
      <c r="C32" s="8" t="s">
        <v>10</v>
      </c>
      <c r="D32" s="28">
        <v>8</v>
      </c>
      <c r="E32" s="28">
        <v>575</v>
      </c>
      <c r="F32" s="30">
        <v>5000</v>
      </c>
      <c r="G32" s="30">
        <f t="shared" si="4"/>
        <v>9600</v>
      </c>
      <c r="H32" s="32">
        <v>0</v>
      </c>
      <c r="I32" s="35">
        <f t="shared" si="5"/>
        <v>9600</v>
      </c>
      <c r="J32" s="4"/>
      <c r="M32" s="62"/>
      <c r="N32" s="63"/>
    </row>
    <row r="33" spans="2:14" x14ac:dyDescent="0.35">
      <c r="B33" t="s">
        <v>19</v>
      </c>
      <c r="C33" s="8" t="s">
        <v>10</v>
      </c>
      <c r="D33" s="28">
        <v>5</v>
      </c>
      <c r="E33" s="28">
        <v>575</v>
      </c>
      <c r="F33" s="30">
        <v>2500</v>
      </c>
      <c r="G33" s="30">
        <f t="shared" si="4"/>
        <v>5375</v>
      </c>
      <c r="H33" s="32">
        <v>0</v>
      </c>
      <c r="I33" s="35">
        <f t="shared" si="5"/>
        <v>5375</v>
      </c>
      <c r="J33" s="4"/>
      <c r="M33" s="62"/>
      <c r="N33" s="63"/>
    </row>
    <row r="34" spans="2:14" x14ac:dyDescent="0.35">
      <c r="B34" t="s">
        <v>20</v>
      </c>
      <c r="C34" s="8" t="s">
        <v>10</v>
      </c>
      <c r="D34" s="28">
        <v>8</v>
      </c>
      <c r="E34" s="28">
        <v>575</v>
      </c>
      <c r="F34" s="30">
        <v>800</v>
      </c>
      <c r="G34" s="30">
        <f t="shared" si="4"/>
        <v>5400</v>
      </c>
      <c r="H34" s="32">
        <v>0</v>
      </c>
      <c r="I34" s="35">
        <f t="shared" si="5"/>
        <v>5400</v>
      </c>
      <c r="J34" s="4"/>
      <c r="M34" s="62"/>
      <c r="N34" s="63"/>
    </row>
    <row r="35" spans="2:14" x14ac:dyDescent="0.35">
      <c r="B35" s="25" t="s">
        <v>120</v>
      </c>
      <c r="C35" s="24" t="s">
        <v>10</v>
      </c>
      <c r="D35" s="29">
        <v>15</v>
      </c>
      <c r="E35" s="29">
        <v>575</v>
      </c>
      <c r="F35" s="31">
        <v>1500</v>
      </c>
      <c r="G35" s="31">
        <f t="shared" si="4"/>
        <v>10125</v>
      </c>
      <c r="H35" s="32">
        <v>0</v>
      </c>
      <c r="I35" s="35">
        <f t="shared" si="5"/>
        <v>10125</v>
      </c>
      <c r="J35" s="4"/>
      <c r="M35" s="62"/>
      <c r="N35" s="63"/>
    </row>
    <row r="36" spans="2:14" x14ac:dyDescent="0.35">
      <c r="B36" s="25" t="s">
        <v>121</v>
      </c>
      <c r="C36" s="24" t="s">
        <v>10</v>
      </c>
      <c r="D36" s="29">
        <v>15</v>
      </c>
      <c r="E36" s="29">
        <v>575</v>
      </c>
      <c r="F36" s="31">
        <v>1500</v>
      </c>
      <c r="G36" s="31">
        <f t="shared" si="4"/>
        <v>10125</v>
      </c>
      <c r="H36" s="32">
        <v>0</v>
      </c>
      <c r="I36" s="35">
        <f t="shared" si="5"/>
        <v>10125</v>
      </c>
      <c r="J36" s="4"/>
      <c r="M36" s="62"/>
      <c r="N36" s="63"/>
    </row>
    <row r="37" spans="2:14" x14ac:dyDescent="0.35">
      <c r="C37" s="8"/>
      <c r="G37" s="4"/>
      <c r="I37" s="4"/>
      <c r="J37" s="4"/>
      <c r="M37" s="62"/>
      <c r="N37" s="63"/>
    </row>
    <row r="38" spans="2:14" x14ac:dyDescent="0.35">
      <c r="B38" s="13" t="s">
        <v>21</v>
      </c>
      <c r="C38" s="14"/>
      <c r="D38" s="13"/>
      <c r="E38" s="13"/>
      <c r="F38" s="13"/>
      <c r="G38" s="15"/>
      <c r="H38" s="13"/>
      <c r="I38" s="4"/>
      <c r="J38" s="4"/>
      <c r="K38" s="15">
        <f>SUM(I39:I42)</f>
        <v>15725</v>
      </c>
      <c r="M38" s="64">
        <v>0</v>
      </c>
      <c r="N38" s="65">
        <f>K38*M38</f>
        <v>0</v>
      </c>
    </row>
    <row r="39" spans="2:14" x14ac:dyDescent="0.35">
      <c r="B39" t="s">
        <v>118</v>
      </c>
      <c r="C39" s="8" t="s">
        <v>22</v>
      </c>
      <c r="D39" s="28">
        <v>10</v>
      </c>
      <c r="E39" s="28">
        <v>300</v>
      </c>
      <c r="F39" s="30">
        <v>0</v>
      </c>
      <c r="G39" s="30">
        <f t="shared" ref="G39:G42" si="6">(D39*E39)+F39</f>
        <v>3000</v>
      </c>
      <c r="H39" s="16">
        <v>0.15</v>
      </c>
      <c r="I39" s="4">
        <f>G39*H39+G39</f>
        <v>3450</v>
      </c>
      <c r="J39" s="4"/>
      <c r="M39" s="62"/>
      <c r="N39" s="63"/>
    </row>
    <row r="40" spans="2:14" x14ac:dyDescent="0.35">
      <c r="B40" t="s">
        <v>23</v>
      </c>
      <c r="C40" s="8" t="s">
        <v>22</v>
      </c>
      <c r="D40" s="28">
        <v>6</v>
      </c>
      <c r="E40" s="28">
        <v>500</v>
      </c>
      <c r="F40" s="30">
        <v>0</v>
      </c>
      <c r="G40" s="30">
        <f t="shared" si="6"/>
        <v>3000</v>
      </c>
      <c r="H40" s="16">
        <v>0.15</v>
      </c>
      <c r="I40" s="4">
        <f>G40*H40+G40</f>
        <v>3450</v>
      </c>
      <c r="J40" s="4"/>
      <c r="M40" s="62"/>
      <c r="N40" s="63"/>
    </row>
    <row r="41" spans="2:14" x14ac:dyDescent="0.35">
      <c r="B41" t="s">
        <v>24</v>
      </c>
      <c r="C41" s="8" t="s">
        <v>22</v>
      </c>
      <c r="D41" s="28">
        <v>6</v>
      </c>
      <c r="E41" s="28">
        <v>500</v>
      </c>
      <c r="F41" s="30">
        <v>0</v>
      </c>
      <c r="G41" s="30">
        <f t="shared" si="6"/>
        <v>3000</v>
      </c>
      <c r="H41" s="16">
        <v>0.15</v>
      </c>
      <c r="I41" s="4">
        <f>G41*H41+G41</f>
        <v>3450</v>
      </c>
      <c r="J41" s="4"/>
      <c r="M41" s="62"/>
      <c r="N41" s="63"/>
    </row>
    <row r="42" spans="2:14" x14ac:dyDescent="0.35">
      <c r="B42" s="25" t="s">
        <v>117</v>
      </c>
      <c r="C42" s="24" t="s">
        <v>10</v>
      </c>
      <c r="D42" s="28">
        <v>5</v>
      </c>
      <c r="E42" s="28">
        <v>500</v>
      </c>
      <c r="F42" s="30">
        <v>0</v>
      </c>
      <c r="G42" s="30">
        <f t="shared" si="6"/>
        <v>2500</v>
      </c>
      <c r="H42" s="16">
        <v>1.1499999999999999</v>
      </c>
      <c r="I42" s="4">
        <f>G42*H42+G42</f>
        <v>5375</v>
      </c>
      <c r="J42" s="4"/>
      <c r="M42" s="62"/>
      <c r="N42" s="63"/>
    </row>
    <row r="43" spans="2:14" x14ac:dyDescent="0.35">
      <c r="C43" s="8"/>
      <c r="G43" s="4"/>
      <c r="I43" s="4"/>
      <c r="J43" s="4"/>
      <c r="M43" s="62"/>
      <c r="N43" s="63"/>
    </row>
    <row r="44" spans="2:14" x14ac:dyDescent="0.35">
      <c r="B44" s="13" t="s">
        <v>25</v>
      </c>
      <c r="C44" s="14"/>
      <c r="D44" s="13"/>
      <c r="F44" s="13"/>
      <c r="G44" s="15"/>
      <c r="H44" s="13"/>
      <c r="I44" s="4"/>
      <c r="J44" s="4"/>
      <c r="K44" s="15">
        <f>SUM(I45:I47)</f>
        <v>9545</v>
      </c>
      <c r="M44" s="64">
        <v>0</v>
      </c>
      <c r="N44" s="65">
        <f>K44*M44</f>
        <v>0</v>
      </c>
    </row>
    <row r="45" spans="2:14" x14ac:dyDescent="0.35">
      <c r="B45" s="25" t="s">
        <v>122</v>
      </c>
      <c r="C45" s="24" t="s">
        <v>10</v>
      </c>
      <c r="D45" s="25"/>
      <c r="E45" s="25"/>
      <c r="F45" s="25"/>
      <c r="G45" s="21">
        <v>0</v>
      </c>
      <c r="H45" s="48">
        <v>0.15</v>
      </c>
      <c r="I45" s="21">
        <v>0</v>
      </c>
      <c r="J45" s="4"/>
      <c r="M45" s="62"/>
      <c r="N45" s="63"/>
    </row>
    <row r="46" spans="2:14" x14ac:dyDescent="0.35">
      <c r="B46" s="25" t="s">
        <v>79</v>
      </c>
      <c r="C46" s="24" t="s">
        <v>10</v>
      </c>
      <c r="D46" s="29">
        <v>6</v>
      </c>
      <c r="E46" s="29">
        <v>550</v>
      </c>
      <c r="F46" s="31">
        <v>5000</v>
      </c>
      <c r="G46" s="31">
        <f t="shared" ref="G46:G47" si="7">(D46*E46)+F46</f>
        <v>8300</v>
      </c>
      <c r="H46" s="32">
        <v>0.15</v>
      </c>
      <c r="I46" s="35">
        <f t="shared" ref="I46" si="8">(G46*H46)+G46</f>
        <v>9545</v>
      </c>
      <c r="J46" s="4"/>
      <c r="M46" s="62"/>
      <c r="N46" s="63"/>
    </row>
    <row r="47" spans="2:14" x14ac:dyDescent="0.35">
      <c r="B47" s="25" t="s">
        <v>123</v>
      </c>
      <c r="C47" s="24" t="s">
        <v>10</v>
      </c>
      <c r="D47" s="29">
        <v>6</v>
      </c>
      <c r="E47" s="29">
        <v>550</v>
      </c>
      <c r="F47" s="31">
        <v>5000</v>
      </c>
      <c r="G47" s="31">
        <f t="shared" si="7"/>
        <v>8300</v>
      </c>
      <c r="H47" s="48">
        <v>0.15</v>
      </c>
      <c r="I47" s="21">
        <v>0</v>
      </c>
      <c r="J47" s="4"/>
      <c r="M47" s="62"/>
      <c r="N47" s="63"/>
    </row>
    <row r="48" spans="2:14" x14ac:dyDescent="0.35">
      <c r="C48" s="8"/>
      <c r="G48" s="4"/>
      <c r="I48" s="4"/>
      <c r="J48" s="4"/>
      <c r="M48" s="62"/>
      <c r="N48" s="63"/>
    </row>
    <row r="49" spans="2:14" x14ac:dyDescent="0.35">
      <c r="B49" s="13" t="s">
        <v>26</v>
      </c>
      <c r="C49" s="14"/>
      <c r="D49" s="13"/>
      <c r="E49" s="13"/>
      <c r="F49" s="13"/>
      <c r="G49" s="15"/>
      <c r="H49" s="13"/>
      <c r="I49" s="4"/>
      <c r="J49" s="4"/>
      <c r="K49" s="15">
        <f>SUM(I50:I54)</f>
        <v>112000</v>
      </c>
      <c r="M49" s="64">
        <v>0</v>
      </c>
      <c r="N49" s="65">
        <f>K49*M49</f>
        <v>0</v>
      </c>
    </row>
    <row r="50" spans="2:14" x14ac:dyDescent="0.35">
      <c r="B50" t="s">
        <v>90</v>
      </c>
      <c r="C50" s="8" t="s">
        <v>111</v>
      </c>
      <c r="G50" s="4">
        <v>15000</v>
      </c>
      <c r="H50" s="16">
        <v>0.15</v>
      </c>
      <c r="I50" s="4">
        <f>G50*H50+G50</f>
        <v>17250</v>
      </c>
      <c r="J50" s="4"/>
      <c r="M50" s="62"/>
      <c r="N50" s="63"/>
    </row>
    <row r="51" spans="2:14" x14ac:dyDescent="0.35">
      <c r="B51" t="s">
        <v>91</v>
      </c>
      <c r="C51" s="8" t="s">
        <v>111</v>
      </c>
      <c r="G51" s="4">
        <v>20000</v>
      </c>
      <c r="H51" s="16">
        <v>0.15</v>
      </c>
      <c r="I51" s="4">
        <f t="shared" ref="I51:I53" si="9">G51*H51+G51</f>
        <v>23000</v>
      </c>
      <c r="J51" s="4"/>
      <c r="M51" s="62"/>
      <c r="N51" s="63"/>
    </row>
    <row r="52" spans="2:14" x14ac:dyDescent="0.35">
      <c r="B52" t="s">
        <v>110</v>
      </c>
      <c r="C52" s="8" t="s">
        <v>111</v>
      </c>
      <c r="G52" s="4">
        <v>25000</v>
      </c>
      <c r="H52" s="16">
        <v>0.15</v>
      </c>
      <c r="I52" s="4">
        <f t="shared" si="9"/>
        <v>28750</v>
      </c>
      <c r="J52" s="4"/>
      <c r="M52" s="62"/>
      <c r="N52" s="63"/>
    </row>
    <row r="53" spans="2:14" x14ac:dyDescent="0.35">
      <c r="B53" t="s">
        <v>109</v>
      </c>
      <c r="C53" s="8" t="s">
        <v>111</v>
      </c>
      <c r="G53" s="4">
        <v>20000</v>
      </c>
      <c r="H53" s="16">
        <v>0.15</v>
      </c>
      <c r="I53" s="4">
        <f t="shared" si="9"/>
        <v>23000</v>
      </c>
      <c r="J53" s="4"/>
      <c r="M53" s="62"/>
      <c r="N53" s="63"/>
    </row>
    <row r="54" spans="2:14" x14ac:dyDescent="0.35">
      <c r="B54" t="s">
        <v>27</v>
      </c>
      <c r="C54" s="8" t="s">
        <v>10</v>
      </c>
      <c r="G54" s="4">
        <v>20000</v>
      </c>
      <c r="H54" s="16">
        <v>0</v>
      </c>
      <c r="I54" s="4">
        <f>G54*H54+G54</f>
        <v>20000</v>
      </c>
      <c r="J54" s="4"/>
      <c r="M54" s="62"/>
      <c r="N54" s="63"/>
    </row>
    <row r="55" spans="2:14" x14ac:dyDescent="0.35">
      <c r="C55" s="8"/>
      <c r="G55" s="4"/>
      <c r="I55" s="4"/>
      <c r="J55" s="4"/>
      <c r="M55" s="62"/>
      <c r="N55" s="63"/>
    </row>
    <row r="56" spans="2:14" x14ac:dyDescent="0.35">
      <c r="B56" s="13" t="s">
        <v>28</v>
      </c>
      <c r="C56" s="14"/>
      <c r="D56" s="13"/>
      <c r="E56" s="13"/>
      <c r="F56" s="13"/>
      <c r="G56" s="15"/>
      <c r="H56" s="13"/>
      <c r="I56" s="4"/>
      <c r="J56" s="4"/>
      <c r="K56" s="15">
        <f>SUM(I57:I67)</f>
        <v>71050</v>
      </c>
      <c r="M56" s="64">
        <v>0</v>
      </c>
      <c r="N56" s="65">
        <f>K57*M56</f>
        <v>0</v>
      </c>
    </row>
    <row r="57" spans="2:14" x14ac:dyDescent="0.35">
      <c r="B57" t="s">
        <v>80</v>
      </c>
      <c r="C57" s="8" t="s">
        <v>10</v>
      </c>
      <c r="D57">
        <v>8</v>
      </c>
      <c r="E57">
        <v>550</v>
      </c>
      <c r="F57">
        <v>3300</v>
      </c>
      <c r="G57" s="4">
        <f t="shared" ref="G57:G67" si="10">(D57*E57)+F57</f>
        <v>7700</v>
      </c>
      <c r="H57" s="16"/>
      <c r="I57" s="4">
        <f t="shared" ref="I57:I67" si="11">G57*H57+G57</f>
        <v>7700</v>
      </c>
      <c r="J57" s="4"/>
      <c r="K57" s="15"/>
      <c r="M57" s="62"/>
      <c r="N57" s="63"/>
    </row>
    <row r="58" spans="2:14" x14ac:dyDescent="0.35">
      <c r="B58" t="s">
        <v>63</v>
      </c>
      <c r="C58" s="8" t="s">
        <v>10</v>
      </c>
      <c r="D58">
        <v>14</v>
      </c>
      <c r="E58">
        <v>550</v>
      </c>
      <c r="F58">
        <v>2400</v>
      </c>
      <c r="G58" s="4">
        <f t="shared" si="10"/>
        <v>10100</v>
      </c>
      <c r="H58" s="16"/>
      <c r="I58" s="4">
        <f t="shared" si="11"/>
        <v>10100</v>
      </c>
      <c r="J58" s="4"/>
      <c r="K58" s="15"/>
      <c r="M58" s="62"/>
      <c r="N58" s="63"/>
    </row>
    <row r="59" spans="2:14" x14ac:dyDescent="0.35">
      <c r="B59" t="s">
        <v>29</v>
      </c>
      <c r="C59" s="8" t="s">
        <v>10</v>
      </c>
      <c r="D59">
        <v>4</v>
      </c>
      <c r="E59">
        <v>550</v>
      </c>
      <c r="F59">
        <v>2400</v>
      </c>
      <c r="G59" s="4">
        <f t="shared" si="10"/>
        <v>4600</v>
      </c>
      <c r="H59" s="16"/>
      <c r="I59" s="4">
        <f t="shared" si="11"/>
        <v>4600</v>
      </c>
      <c r="J59" s="4"/>
      <c r="K59" s="15"/>
      <c r="M59" s="62"/>
      <c r="N59" s="63"/>
    </row>
    <row r="60" spans="2:14" x14ac:dyDescent="0.35">
      <c r="B60" t="s">
        <v>30</v>
      </c>
      <c r="C60" s="8" t="s">
        <v>10</v>
      </c>
      <c r="D60">
        <v>8</v>
      </c>
      <c r="E60">
        <v>550</v>
      </c>
      <c r="F60">
        <v>2800</v>
      </c>
      <c r="G60" s="4">
        <f t="shared" si="10"/>
        <v>7200</v>
      </c>
      <c r="H60" s="16"/>
      <c r="I60" s="4">
        <f t="shared" si="11"/>
        <v>7200</v>
      </c>
      <c r="J60" s="4"/>
      <c r="K60" s="15"/>
      <c r="M60" s="62"/>
      <c r="N60" s="63"/>
    </row>
    <row r="61" spans="2:14" x14ac:dyDescent="0.35">
      <c r="B61" t="s">
        <v>68</v>
      </c>
      <c r="C61" s="8" t="s">
        <v>10</v>
      </c>
      <c r="D61">
        <v>8</v>
      </c>
      <c r="E61">
        <v>550</v>
      </c>
      <c r="F61">
        <v>800</v>
      </c>
      <c r="G61" s="4">
        <f t="shared" si="10"/>
        <v>5200</v>
      </c>
      <c r="H61" s="16"/>
      <c r="I61" s="4">
        <f t="shared" si="11"/>
        <v>5200</v>
      </c>
      <c r="J61" s="4"/>
      <c r="K61" s="15"/>
      <c r="M61" s="62"/>
      <c r="N61" s="63"/>
    </row>
    <row r="62" spans="2:14" x14ac:dyDescent="0.35">
      <c r="B62" t="s">
        <v>67</v>
      </c>
      <c r="C62" s="8" t="s">
        <v>10</v>
      </c>
      <c r="D62">
        <v>10</v>
      </c>
      <c r="E62">
        <v>550</v>
      </c>
      <c r="F62">
        <v>800</v>
      </c>
      <c r="G62" s="4">
        <f t="shared" si="10"/>
        <v>6300</v>
      </c>
      <c r="H62" s="16"/>
      <c r="I62" s="4">
        <f t="shared" si="11"/>
        <v>6300</v>
      </c>
      <c r="J62" s="4"/>
      <c r="K62" s="15"/>
      <c r="M62" s="62"/>
      <c r="N62" s="63"/>
    </row>
    <row r="63" spans="2:14" x14ac:dyDescent="0.35">
      <c r="B63" t="s">
        <v>82</v>
      </c>
      <c r="C63" s="8" t="s">
        <v>10</v>
      </c>
      <c r="D63">
        <v>6</v>
      </c>
      <c r="E63">
        <v>550</v>
      </c>
      <c r="F63">
        <v>1500</v>
      </c>
      <c r="G63" s="4">
        <f t="shared" si="10"/>
        <v>4800</v>
      </c>
      <c r="H63" s="16"/>
      <c r="I63" s="4">
        <f t="shared" si="11"/>
        <v>4800</v>
      </c>
      <c r="J63" s="4"/>
      <c r="K63" s="15"/>
      <c r="M63" s="62"/>
      <c r="N63" s="63"/>
    </row>
    <row r="64" spans="2:14" x14ac:dyDescent="0.35">
      <c r="B64" t="s">
        <v>81</v>
      </c>
      <c r="C64" s="8" t="s">
        <v>10</v>
      </c>
      <c r="F64">
        <v>5000</v>
      </c>
      <c r="G64" s="4">
        <f t="shared" si="10"/>
        <v>5000</v>
      </c>
      <c r="H64" s="16">
        <v>0.15</v>
      </c>
      <c r="I64" s="4">
        <f t="shared" si="11"/>
        <v>5750</v>
      </c>
      <c r="J64" s="4"/>
      <c r="K64" s="15"/>
      <c r="M64" s="62"/>
      <c r="N64" s="63"/>
    </row>
    <row r="65" spans="2:14" x14ac:dyDescent="0.35">
      <c r="B65" t="s">
        <v>31</v>
      </c>
      <c r="C65" s="8" t="s">
        <v>10</v>
      </c>
      <c r="D65">
        <v>8</v>
      </c>
      <c r="E65">
        <v>550</v>
      </c>
      <c r="F65">
        <v>1000</v>
      </c>
      <c r="G65" s="4">
        <f t="shared" si="10"/>
        <v>5400</v>
      </c>
      <c r="H65" s="16"/>
      <c r="I65" s="4">
        <f t="shared" si="11"/>
        <v>5400</v>
      </c>
      <c r="J65" s="4"/>
      <c r="K65" s="15"/>
      <c r="M65" s="62"/>
      <c r="N65" s="63"/>
    </row>
    <row r="66" spans="2:14" x14ac:dyDescent="0.35">
      <c r="B66" t="s">
        <v>32</v>
      </c>
      <c r="C66" s="8" t="s">
        <v>10</v>
      </c>
      <c r="D66">
        <v>16</v>
      </c>
      <c r="E66">
        <v>550</v>
      </c>
      <c r="F66">
        <v>300</v>
      </c>
      <c r="G66" s="4">
        <f t="shared" si="10"/>
        <v>9100</v>
      </c>
      <c r="H66" s="16"/>
      <c r="I66" s="4">
        <f t="shared" si="11"/>
        <v>9100</v>
      </c>
      <c r="J66" s="4"/>
      <c r="K66" s="15"/>
      <c r="M66" s="62"/>
      <c r="N66" s="63"/>
    </row>
    <row r="67" spans="2:14" x14ac:dyDescent="0.35">
      <c r="B67" t="s">
        <v>33</v>
      </c>
      <c r="C67" s="8" t="s">
        <v>10</v>
      </c>
      <c r="D67">
        <v>8</v>
      </c>
      <c r="E67">
        <v>550</v>
      </c>
      <c r="F67">
        <v>500</v>
      </c>
      <c r="G67" s="4">
        <f t="shared" si="10"/>
        <v>4900</v>
      </c>
      <c r="H67" s="16"/>
      <c r="I67" s="4">
        <f t="shared" si="11"/>
        <v>4900</v>
      </c>
      <c r="J67" s="4"/>
      <c r="K67" s="15"/>
      <c r="M67" s="62"/>
      <c r="N67" s="63"/>
    </row>
    <row r="68" spans="2:14" x14ac:dyDescent="0.35">
      <c r="C68" s="8"/>
      <c r="G68" s="4"/>
      <c r="I68" s="4"/>
      <c r="J68" s="4"/>
      <c r="M68" s="62"/>
      <c r="N68" s="63"/>
    </row>
    <row r="69" spans="2:14" x14ac:dyDescent="0.35">
      <c r="B69" s="13" t="s">
        <v>34</v>
      </c>
      <c r="C69" s="14"/>
      <c r="D69" s="13"/>
      <c r="E69" s="13"/>
      <c r="F69" s="13"/>
      <c r="G69" s="15"/>
      <c r="H69" s="13"/>
      <c r="I69" s="4"/>
      <c r="J69" s="4"/>
      <c r="K69" s="15">
        <f>SUM(I70:I80)</f>
        <v>58050</v>
      </c>
      <c r="M69" s="64">
        <v>0</v>
      </c>
      <c r="N69" s="65">
        <f>K69*M69</f>
        <v>0</v>
      </c>
    </row>
    <row r="70" spans="2:14" x14ac:dyDescent="0.35">
      <c r="B70" s="27" t="s">
        <v>64</v>
      </c>
      <c r="C70" s="8" t="s">
        <v>10</v>
      </c>
      <c r="D70">
        <v>2</v>
      </c>
      <c r="E70">
        <v>625</v>
      </c>
      <c r="F70">
        <v>800</v>
      </c>
      <c r="G70" s="4">
        <f t="shared" ref="G70:G79" si="12">(D70*E70)+F70</f>
        <v>2050</v>
      </c>
      <c r="H70" s="16"/>
      <c r="I70" s="4">
        <f t="shared" ref="I70:I82" si="13">G70*H70+G70</f>
        <v>2050</v>
      </c>
      <c r="J70" s="4"/>
      <c r="M70" s="62"/>
      <c r="N70" s="63"/>
    </row>
    <row r="71" spans="2:14" x14ac:dyDescent="0.35">
      <c r="B71" s="27" t="s">
        <v>96</v>
      </c>
      <c r="C71" s="8" t="s">
        <v>10</v>
      </c>
      <c r="D71" s="4">
        <v>4</v>
      </c>
      <c r="E71">
        <v>625</v>
      </c>
      <c r="G71" s="4">
        <f t="shared" si="12"/>
        <v>2500</v>
      </c>
      <c r="H71" s="16"/>
      <c r="I71" s="4">
        <f t="shared" si="13"/>
        <v>2500</v>
      </c>
      <c r="J71" s="4"/>
      <c r="M71" s="62"/>
      <c r="N71" s="63"/>
    </row>
    <row r="72" spans="2:14" x14ac:dyDescent="0.35">
      <c r="B72" s="27" t="s">
        <v>98</v>
      </c>
      <c r="C72" s="8" t="s">
        <v>10</v>
      </c>
      <c r="D72" s="4">
        <v>3</v>
      </c>
      <c r="E72">
        <v>625</v>
      </c>
      <c r="G72" s="4">
        <f t="shared" si="12"/>
        <v>1875</v>
      </c>
      <c r="H72" s="16"/>
      <c r="I72" s="4">
        <f t="shared" si="13"/>
        <v>1875</v>
      </c>
      <c r="J72" s="4"/>
      <c r="M72" s="62"/>
      <c r="N72" s="63"/>
    </row>
    <row r="73" spans="2:14" x14ac:dyDescent="0.35">
      <c r="B73" s="27" t="s">
        <v>125</v>
      </c>
      <c r="C73" s="38" t="s">
        <v>10</v>
      </c>
      <c r="D73" s="52">
        <v>6</v>
      </c>
      <c r="E73" s="37">
        <v>625</v>
      </c>
      <c r="F73" s="37">
        <v>200</v>
      </c>
      <c r="G73" s="52">
        <f t="shared" si="12"/>
        <v>3950</v>
      </c>
      <c r="H73" s="53"/>
      <c r="I73" s="52">
        <f t="shared" si="13"/>
        <v>3950</v>
      </c>
      <c r="J73" s="4"/>
      <c r="M73" s="62"/>
      <c r="N73" s="63"/>
    </row>
    <row r="74" spans="2:14" x14ac:dyDescent="0.35">
      <c r="B74" s="27" t="s">
        <v>97</v>
      </c>
      <c r="C74" s="8" t="s">
        <v>10</v>
      </c>
      <c r="D74" s="4">
        <v>4</v>
      </c>
      <c r="E74">
        <v>625</v>
      </c>
      <c r="F74">
        <v>300</v>
      </c>
      <c r="G74" s="4">
        <f t="shared" si="12"/>
        <v>2800</v>
      </c>
      <c r="H74" s="16"/>
      <c r="I74" s="4">
        <f t="shared" si="13"/>
        <v>2800</v>
      </c>
      <c r="J74" s="4"/>
      <c r="M74" s="62"/>
      <c r="N74" s="63"/>
    </row>
    <row r="75" spans="2:14" x14ac:dyDescent="0.35">
      <c r="B75" s="27" t="s">
        <v>99</v>
      </c>
      <c r="C75" s="8" t="s">
        <v>10</v>
      </c>
      <c r="D75" s="4">
        <v>5</v>
      </c>
      <c r="E75">
        <v>625</v>
      </c>
      <c r="F75">
        <v>2800</v>
      </c>
      <c r="G75" s="4">
        <f t="shared" si="12"/>
        <v>5925</v>
      </c>
      <c r="H75" s="16"/>
      <c r="I75" s="4">
        <f t="shared" si="13"/>
        <v>5925</v>
      </c>
      <c r="J75" s="4"/>
      <c r="M75" s="62"/>
      <c r="N75" s="63"/>
    </row>
    <row r="76" spans="2:14" x14ac:dyDescent="0.35">
      <c r="B76" s="27" t="s">
        <v>101</v>
      </c>
      <c r="C76" s="8" t="s">
        <v>10</v>
      </c>
      <c r="D76" s="4">
        <v>11.5</v>
      </c>
      <c r="E76">
        <v>625</v>
      </c>
      <c r="F76">
        <v>4500</v>
      </c>
      <c r="G76" s="4">
        <f t="shared" si="12"/>
        <v>11687.5</v>
      </c>
      <c r="H76" s="16"/>
      <c r="I76" s="4">
        <f t="shared" si="13"/>
        <v>11687.5</v>
      </c>
      <c r="J76" s="4"/>
      <c r="M76" s="62"/>
      <c r="N76" s="63"/>
    </row>
    <row r="77" spans="2:14" x14ac:dyDescent="0.35">
      <c r="B77" s="27" t="s">
        <v>102</v>
      </c>
      <c r="C77" s="8" t="s">
        <v>10</v>
      </c>
      <c r="D77" s="4">
        <v>11.5</v>
      </c>
      <c r="E77">
        <v>625</v>
      </c>
      <c r="F77">
        <v>5500</v>
      </c>
      <c r="G77" s="4">
        <f t="shared" si="12"/>
        <v>12687.5</v>
      </c>
      <c r="H77" s="16"/>
      <c r="I77" s="4">
        <f t="shared" si="13"/>
        <v>12687.5</v>
      </c>
      <c r="J77" s="4"/>
      <c r="M77" s="62"/>
      <c r="N77" s="63"/>
    </row>
    <row r="78" spans="2:14" x14ac:dyDescent="0.35">
      <c r="B78" t="s">
        <v>100</v>
      </c>
      <c r="C78" s="8" t="s">
        <v>10</v>
      </c>
      <c r="D78" s="4">
        <v>3</v>
      </c>
      <c r="E78">
        <v>625</v>
      </c>
      <c r="F78">
        <v>800</v>
      </c>
      <c r="G78" s="4">
        <f t="shared" si="12"/>
        <v>2675</v>
      </c>
      <c r="H78" s="16"/>
      <c r="I78" s="4">
        <f t="shared" si="13"/>
        <v>2675</v>
      </c>
      <c r="J78" s="4"/>
      <c r="M78" s="62"/>
      <c r="N78" s="63"/>
    </row>
    <row r="79" spans="2:14" x14ac:dyDescent="0.35">
      <c r="B79" s="27" t="s">
        <v>104</v>
      </c>
      <c r="C79" s="8" t="s">
        <v>10</v>
      </c>
      <c r="D79" s="4">
        <v>8</v>
      </c>
      <c r="E79">
        <v>625</v>
      </c>
      <c r="F79">
        <v>400</v>
      </c>
      <c r="G79" s="4">
        <f t="shared" si="12"/>
        <v>5400</v>
      </c>
      <c r="H79" s="16"/>
      <c r="I79" s="4">
        <f t="shared" si="13"/>
        <v>5400</v>
      </c>
      <c r="J79" s="4"/>
      <c r="M79" s="62"/>
      <c r="N79" s="63"/>
    </row>
    <row r="80" spans="2:14" x14ac:dyDescent="0.35">
      <c r="B80" s="27" t="s">
        <v>124</v>
      </c>
      <c r="C80" s="8" t="s">
        <v>10</v>
      </c>
      <c r="D80" s="4"/>
      <c r="G80" s="4"/>
      <c r="H80" s="16"/>
      <c r="I80" s="4">
        <v>6500</v>
      </c>
      <c r="J80" s="4"/>
      <c r="M80" s="62"/>
      <c r="N80" s="63"/>
    </row>
    <row r="81" spans="2:14" x14ac:dyDescent="0.35">
      <c r="B81" s="27"/>
      <c r="C81" s="8"/>
      <c r="D81" s="4"/>
      <c r="G81" s="4"/>
      <c r="H81" s="16"/>
      <c r="I81" s="4"/>
      <c r="J81" s="4"/>
      <c r="M81" s="62"/>
      <c r="N81" s="63"/>
    </row>
    <row r="82" spans="2:14" x14ac:dyDescent="0.35">
      <c r="B82" s="36" t="s">
        <v>105</v>
      </c>
      <c r="C82" s="8"/>
      <c r="D82" s="4"/>
      <c r="E82">
        <v>626</v>
      </c>
      <c r="G82" s="4">
        <f t="shared" ref="G82" si="14">(D82*E82)+F82</f>
        <v>0</v>
      </c>
      <c r="H82" s="16"/>
      <c r="I82" s="4">
        <f t="shared" si="13"/>
        <v>0</v>
      </c>
      <c r="J82" s="4"/>
      <c r="M82" s="62"/>
      <c r="N82" s="63"/>
    </row>
    <row r="83" spans="2:14" x14ac:dyDescent="0.35">
      <c r="B83" s="36" t="s">
        <v>106</v>
      </c>
      <c r="C83" s="8"/>
      <c r="D83" s="4"/>
      <c r="G83" s="4"/>
      <c r="I83" s="18"/>
      <c r="J83" s="4"/>
      <c r="M83" s="62"/>
      <c r="N83" s="63"/>
    </row>
    <row r="84" spans="2:14" x14ac:dyDescent="0.35">
      <c r="C84" s="8"/>
      <c r="D84" s="4"/>
      <c r="G84" s="4"/>
      <c r="I84" s="18"/>
      <c r="J84" s="4"/>
      <c r="M84" s="62"/>
      <c r="N84" s="63"/>
    </row>
    <row r="85" spans="2:14" x14ac:dyDescent="0.35">
      <c r="C85" s="4"/>
      <c r="D85" s="4"/>
      <c r="E85" s="19"/>
      <c r="G85" s="4"/>
      <c r="I85" s="4"/>
      <c r="J85" s="4"/>
      <c r="M85" s="62"/>
      <c r="N85" s="63"/>
    </row>
    <row r="86" spans="2:14" x14ac:dyDescent="0.35">
      <c r="B86" s="13" t="s">
        <v>35</v>
      </c>
      <c r="C86" s="14"/>
      <c r="D86" s="13"/>
      <c r="E86" s="13"/>
      <c r="F86" s="13"/>
      <c r="G86" s="15"/>
      <c r="H86" s="13"/>
      <c r="I86" s="4"/>
      <c r="J86" s="4"/>
      <c r="K86" s="15">
        <f>SUM(I87:I92)</f>
        <v>23825</v>
      </c>
      <c r="M86" s="64">
        <v>0</v>
      </c>
      <c r="N86" s="65">
        <f>K86*M86</f>
        <v>0</v>
      </c>
    </row>
    <row r="87" spans="2:14" x14ac:dyDescent="0.35">
      <c r="B87" t="s">
        <v>103</v>
      </c>
      <c r="C87" s="8" t="s">
        <v>10</v>
      </c>
      <c r="D87" s="13"/>
      <c r="E87" s="13"/>
      <c r="F87" s="13"/>
      <c r="G87" s="18">
        <v>27500</v>
      </c>
      <c r="H87" s="13"/>
      <c r="I87" s="4">
        <f>G87*H87+G87</f>
        <v>27500</v>
      </c>
      <c r="J87" s="4"/>
      <c r="K87" s="15"/>
      <c r="M87" s="62"/>
      <c r="N87" s="63"/>
    </row>
    <row r="88" spans="2:14" ht="15.5" x14ac:dyDescent="0.35">
      <c r="B88" t="s">
        <v>38</v>
      </c>
      <c r="C88" s="8" t="s">
        <v>10</v>
      </c>
      <c r="G88" s="18">
        <v>2400</v>
      </c>
      <c r="H88" s="16">
        <v>0.15</v>
      </c>
      <c r="I88" s="4">
        <f>G88*H88+G88</f>
        <v>2760</v>
      </c>
      <c r="J88" s="26"/>
      <c r="K88" s="26"/>
      <c r="M88" s="62"/>
      <c r="N88" s="63"/>
    </row>
    <row r="89" spans="2:14" x14ac:dyDescent="0.35">
      <c r="B89" s="25" t="s">
        <v>83</v>
      </c>
      <c r="C89" s="8" t="s">
        <v>10</v>
      </c>
      <c r="G89" s="18">
        <v>1500</v>
      </c>
      <c r="H89" s="16">
        <v>0.15</v>
      </c>
      <c r="I89" s="4">
        <f>G89*H89+G89</f>
        <v>1725</v>
      </c>
      <c r="J89" s="4"/>
      <c r="M89" s="62"/>
      <c r="N89" s="63"/>
    </row>
    <row r="90" spans="2:14" x14ac:dyDescent="0.35">
      <c r="B90" s="25" t="s">
        <v>39</v>
      </c>
      <c r="C90" s="8" t="s">
        <v>10</v>
      </c>
      <c r="G90" s="18">
        <v>800</v>
      </c>
      <c r="H90" s="16">
        <v>0.15</v>
      </c>
      <c r="I90" s="4">
        <f>G90*H90+G90</f>
        <v>920</v>
      </c>
      <c r="J90" s="4"/>
      <c r="M90" s="62"/>
      <c r="N90" s="63"/>
    </row>
    <row r="91" spans="2:14" x14ac:dyDescent="0.35">
      <c r="B91" s="25" t="s">
        <v>84</v>
      </c>
      <c r="C91" s="24" t="s">
        <v>10</v>
      </c>
      <c r="G91" s="18">
        <v>800</v>
      </c>
      <c r="H91" s="16">
        <v>0.15</v>
      </c>
      <c r="I91" s="4">
        <f>G91*H91+G91</f>
        <v>920</v>
      </c>
      <c r="J91" s="4"/>
      <c r="M91" s="62"/>
      <c r="N91" s="63"/>
    </row>
    <row r="92" spans="2:14" x14ac:dyDescent="0.35">
      <c r="B92" s="25" t="s">
        <v>127</v>
      </c>
      <c r="C92" s="24" t="s">
        <v>10</v>
      </c>
      <c r="D92" s="37"/>
      <c r="E92" s="37"/>
      <c r="F92" s="37"/>
      <c r="G92" s="54">
        <v>801</v>
      </c>
      <c r="H92" s="53">
        <v>0</v>
      </c>
      <c r="I92" s="52">
        <v>-10000</v>
      </c>
      <c r="J92" s="4"/>
      <c r="M92" s="62"/>
      <c r="N92" s="63"/>
    </row>
    <row r="93" spans="2:14" x14ac:dyDescent="0.35">
      <c r="B93" s="25" t="s">
        <v>36</v>
      </c>
      <c r="C93" s="24" t="s">
        <v>37</v>
      </c>
      <c r="M93" s="62"/>
      <c r="N93" s="63"/>
    </row>
    <row r="94" spans="2:14" x14ac:dyDescent="0.35">
      <c r="B94" s="25" t="s">
        <v>85</v>
      </c>
      <c r="C94" s="24" t="s">
        <v>37</v>
      </c>
      <c r="G94" s="21"/>
      <c r="I94" s="4"/>
      <c r="J94" s="4"/>
      <c r="M94" s="62"/>
      <c r="N94" s="63"/>
    </row>
    <row r="95" spans="2:14" x14ac:dyDescent="0.35">
      <c r="B95" s="25" t="s">
        <v>86</v>
      </c>
      <c r="C95" s="24" t="s">
        <v>37</v>
      </c>
      <c r="G95" s="21"/>
      <c r="I95" s="4"/>
      <c r="J95" s="4"/>
      <c r="M95" s="62"/>
      <c r="N95" s="63"/>
    </row>
    <row r="96" spans="2:14" x14ac:dyDescent="0.35">
      <c r="B96" s="25"/>
      <c r="C96" s="8"/>
      <c r="G96" s="21"/>
      <c r="I96" s="4"/>
      <c r="J96" s="4"/>
      <c r="M96" s="62"/>
      <c r="N96" s="63"/>
    </row>
    <row r="97" spans="2:14" x14ac:dyDescent="0.35">
      <c r="B97" s="25"/>
      <c r="C97" s="8"/>
      <c r="G97" s="21"/>
      <c r="I97" s="4"/>
      <c r="J97" s="4"/>
      <c r="M97" s="62"/>
      <c r="N97" s="63"/>
    </row>
    <row r="98" spans="2:14" x14ac:dyDescent="0.35">
      <c r="B98" s="49" t="s">
        <v>40</v>
      </c>
      <c r="C98" s="14"/>
      <c r="D98" s="13"/>
      <c r="E98" s="13"/>
      <c r="F98" s="13"/>
      <c r="G98" s="13"/>
      <c r="H98" s="13"/>
      <c r="I98" s="13"/>
      <c r="J98" s="4"/>
      <c r="K98" s="15">
        <f>SUM(I98:I113)</f>
        <v>66326.25</v>
      </c>
      <c r="M98" s="64">
        <v>0</v>
      </c>
      <c r="N98" s="65">
        <f>K98*M98</f>
        <v>0</v>
      </c>
    </row>
    <row r="99" spans="2:14" x14ac:dyDescent="0.35">
      <c r="B99" s="27" t="s">
        <v>56</v>
      </c>
      <c r="C99" s="8" t="s">
        <v>112</v>
      </c>
      <c r="D99" s="28">
        <v>4</v>
      </c>
      <c r="E99" s="28">
        <v>650</v>
      </c>
      <c r="F99" s="28">
        <v>500</v>
      </c>
      <c r="G99" s="30">
        <f t="shared" ref="G99:G113" si="15">(D99*E99)+F99</f>
        <v>3100</v>
      </c>
      <c r="H99" s="32">
        <v>0.15</v>
      </c>
      <c r="I99" s="31">
        <f>(G99*H99)+G99</f>
        <v>3565</v>
      </c>
      <c r="J99" s="4"/>
      <c r="M99" s="62"/>
      <c r="N99" s="63"/>
    </row>
    <row r="100" spans="2:14" x14ac:dyDescent="0.35">
      <c r="B100" s="25" t="s">
        <v>61</v>
      </c>
      <c r="C100" s="8" t="s">
        <v>112</v>
      </c>
      <c r="D100" s="28">
        <v>4</v>
      </c>
      <c r="E100" s="28">
        <v>650</v>
      </c>
      <c r="F100" s="28">
        <v>500</v>
      </c>
      <c r="G100" s="30">
        <f t="shared" si="15"/>
        <v>3100</v>
      </c>
      <c r="H100" s="33">
        <v>0.15</v>
      </c>
      <c r="I100" s="30">
        <f t="shared" ref="I100:I113" si="16">(G100*H100)+G100</f>
        <v>3565</v>
      </c>
      <c r="J100" s="4"/>
      <c r="M100" s="62"/>
      <c r="N100" s="63"/>
    </row>
    <row r="101" spans="2:14" x14ac:dyDescent="0.35">
      <c r="B101" s="27" t="s">
        <v>60</v>
      </c>
      <c r="C101" s="8" t="s">
        <v>112</v>
      </c>
      <c r="D101" s="28">
        <v>7.5</v>
      </c>
      <c r="E101" s="28">
        <v>650</v>
      </c>
      <c r="F101" s="28">
        <v>500</v>
      </c>
      <c r="G101" s="30">
        <f t="shared" si="15"/>
        <v>5375</v>
      </c>
      <c r="H101" s="32">
        <v>0.15</v>
      </c>
      <c r="I101" s="31">
        <f t="shared" si="16"/>
        <v>6181.25</v>
      </c>
      <c r="J101" s="4"/>
      <c r="M101" s="62"/>
      <c r="N101" s="63"/>
    </row>
    <row r="102" spans="2:14" x14ac:dyDescent="0.35">
      <c r="B102" s="27" t="s">
        <v>87</v>
      </c>
      <c r="C102" s="8" t="s">
        <v>112</v>
      </c>
      <c r="D102" s="28">
        <v>3</v>
      </c>
      <c r="E102" s="28">
        <v>650</v>
      </c>
      <c r="F102" s="28">
        <v>6000</v>
      </c>
      <c r="G102" s="30">
        <f t="shared" si="15"/>
        <v>7950</v>
      </c>
      <c r="H102" s="32">
        <v>0.15</v>
      </c>
      <c r="I102" s="31">
        <f t="shared" si="16"/>
        <v>9142.5</v>
      </c>
      <c r="J102" s="4"/>
      <c r="M102" s="62"/>
      <c r="N102" s="63"/>
    </row>
    <row r="103" spans="2:14" x14ac:dyDescent="0.35">
      <c r="B103" s="27" t="s">
        <v>57</v>
      </c>
      <c r="C103" s="8" t="s">
        <v>112</v>
      </c>
      <c r="D103" s="28">
        <v>3</v>
      </c>
      <c r="E103" s="28">
        <v>650</v>
      </c>
      <c r="F103" s="28">
        <v>2000</v>
      </c>
      <c r="G103" s="30">
        <f t="shared" si="15"/>
        <v>3950</v>
      </c>
      <c r="H103" s="32">
        <v>0.15</v>
      </c>
      <c r="I103" s="31">
        <f t="shared" si="16"/>
        <v>4542.5</v>
      </c>
      <c r="J103" s="4"/>
      <c r="M103" s="62"/>
      <c r="N103" s="63"/>
    </row>
    <row r="104" spans="2:14" x14ac:dyDescent="0.35">
      <c r="B104" s="27" t="s">
        <v>114</v>
      </c>
      <c r="C104" s="8" t="s">
        <v>112</v>
      </c>
      <c r="D104" s="28">
        <v>4</v>
      </c>
      <c r="E104" s="28">
        <v>650</v>
      </c>
      <c r="F104" s="28">
        <f>150*6</f>
        <v>900</v>
      </c>
      <c r="G104" s="30">
        <f t="shared" si="15"/>
        <v>3500</v>
      </c>
      <c r="H104" s="32">
        <v>0.15</v>
      </c>
      <c r="I104" s="31">
        <f t="shared" si="16"/>
        <v>4025</v>
      </c>
      <c r="J104" s="4"/>
      <c r="M104" s="62"/>
      <c r="N104" s="63"/>
    </row>
    <row r="105" spans="2:14" x14ac:dyDescent="0.35">
      <c r="B105" s="27" t="s">
        <v>58</v>
      </c>
      <c r="C105" s="8" t="s">
        <v>112</v>
      </c>
      <c r="D105" s="28">
        <v>1</v>
      </c>
      <c r="E105" s="28">
        <v>650</v>
      </c>
      <c r="F105" s="28">
        <v>1000</v>
      </c>
      <c r="G105" s="30">
        <f t="shared" si="15"/>
        <v>1650</v>
      </c>
      <c r="H105" s="32">
        <v>0.15</v>
      </c>
      <c r="I105" s="31">
        <f t="shared" si="16"/>
        <v>1897.5</v>
      </c>
      <c r="J105" s="4"/>
      <c r="M105" s="62"/>
      <c r="N105" s="63"/>
    </row>
    <row r="106" spans="2:14" x14ac:dyDescent="0.35">
      <c r="B106" s="25" t="s">
        <v>62</v>
      </c>
      <c r="C106" s="8" t="s">
        <v>112</v>
      </c>
      <c r="D106" s="28">
        <v>2</v>
      </c>
      <c r="E106" s="28">
        <v>650</v>
      </c>
      <c r="F106" s="28">
        <v>1000</v>
      </c>
      <c r="G106" s="30">
        <f t="shared" si="15"/>
        <v>2300</v>
      </c>
      <c r="H106" s="33">
        <v>0.15</v>
      </c>
      <c r="I106" s="30">
        <f t="shared" si="16"/>
        <v>2645</v>
      </c>
      <c r="J106" s="4"/>
      <c r="M106" s="62"/>
      <c r="N106" s="63"/>
    </row>
    <row r="107" spans="2:14" x14ac:dyDescent="0.35">
      <c r="B107" s="27" t="s">
        <v>88</v>
      </c>
      <c r="C107" s="8" t="s">
        <v>112</v>
      </c>
      <c r="D107" s="28">
        <v>2</v>
      </c>
      <c r="E107" s="28">
        <v>650</v>
      </c>
      <c r="F107" s="28">
        <v>1000</v>
      </c>
      <c r="G107" s="30">
        <f t="shared" si="15"/>
        <v>2300</v>
      </c>
      <c r="H107" s="32">
        <v>0.15</v>
      </c>
      <c r="I107" s="31">
        <f t="shared" si="16"/>
        <v>2645</v>
      </c>
      <c r="J107" s="4"/>
      <c r="M107" s="62"/>
      <c r="N107" s="63"/>
    </row>
    <row r="108" spans="2:14" x14ac:dyDescent="0.35">
      <c r="B108" s="27" t="s">
        <v>126</v>
      </c>
      <c r="C108" s="38" t="s">
        <v>112</v>
      </c>
      <c r="D108" s="39">
        <v>3</v>
      </c>
      <c r="E108" s="39">
        <v>650</v>
      </c>
      <c r="F108" s="39">
        <v>200</v>
      </c>
      <c r="G108" s="40">
        <f t="shared" si="15"/>
        <v>2150</v>
      </c>
      <c r="H108" s="41">
        <v>0.15</v>
      </c>
      <c r="I108" s="40">
        <f t="shared" si="16"/>
        <v>2472.5</v>
      </c>
      <c r="J108" s="4"/>
      <c r="M108" s="62"/>
      <c r="N108" s="63"/>
    </row>
    <row r="109" spans="2:14" x14ac:dyDescent="0.35">
      <c r="B109" s="27" t="s">
        <v>59</v>
      </c>
      <c r="C109" s="8" t="s">
        <v>112</v>
      </c>
      <c r="D109" s="28">
        <v>2</v>
      </c>
      <c r="E109" s="28">
        <v>650</v>
      </c>
      <c r="F109" s="28">
        <v>1000</v>
      </c>
      <c r="G109" s="30">
        <f t="shared" si="15"/>
        <v>2300</v>
      </c>
      <c r="H109" s="32">
        <v>0.15</v>
      </c>
      <c r="I109" s="31">
        <f t="shared" si="16"/>
        <v>2645</v>
      </c>
      <c r="J109" s="4"/>
      <c r="M109" s="62"/>
      <c r="N109" s="63"/>
    </row>
    <row r="110" spans="2:14" x14ac:dyDescent="0.35">
      <c r="B110" s="25" t="s">
        <v>41</v>
      </c>
      <c r="C110" s="8" t="s">
        <v>112</v>
      </c>
      <c r="D110" s="28">
        <v>1</v>
      </c>
      <c r="E110" s="28">
        <v>650</v>
      </c>
      <c r="F110" s="28">
        <v>2000</v>
      </c>
      <c r="G110" s="30">
        <f t="shared" si="15"/>
        <v>2650</v>
      </c>
      <c r="H110" s="32">
        <v>0.15</v>
      </c>
      <c r="I110" s="31">
        <f>(G110*H110)+G110</f>
        <v>3047.5</v>
      </c>
      <c r="J110" s="4"/>
      <c r="M110" s="62"/>
      <c r="N110" s="63"/>
    </row>
    <row r="111" spans="2:14" x14ac:dyDescent="0.35">
      <c r="B111" s="25" t="s">
        <v>42</v>
      </c>
      <c r="C111" s="24" t="s">
        <v>112</v>
      </c>
      <c r="D111" s="29">
        <v>7.5</v>
      </c>
      <c r="E111" s="29">
        <v>650</v>
      </c>
      <c r="F111" s="29">
        <v>1500</v>
      </c>
      <c r="G111" s="31">
        <f t="shared" si="15"/>
        <v>6375</v>
      </c>
      <c r="H111" s="32">
        <v>0.15</v>
      </c>
      <c r="I111" s="31">
        <f t="shared" si="16"/>
        <v>7331.25</v>
      </c>
      <c r="J111" s="4"/>
      <c r="M111" s="62"/>
      <c r="N111" s="63"/>
    </row>
    <row r="112" spans="2:14" x14ac:dyDescent="0.35">
      <c r="B112" s="27" t="s">
        <v>89</v>
      </c>
      <c r="C112" s="24" t="s">
        <v>112</v>
      </c>
      <c r="D112" s="29">
        <v>7.5</v>
      </c>
      <c r="E112" s="29">
        <v>650</v>
      </c>
      <c r="F112" s="29">
        <v>2000</v>
      </c>
      <c r="G112" s="31">
        <f t="shared" si="15"/>
        <v>6875</v>
      </c>
      <c r="H112" s="32">
        <v>0.15</v>
      </c>
      <c r="I112" s="31">
        <f t="shared" si="16"/>
        <v>7906.25</v>
      </c>
      <c r="J112" s="4"/>
      <c r="M112" s="62"/>
      <c r="N112" s="63"/>
    </row>
    <row r="113" spans="2:14" x14ac:dyDescent="0.35">
      <c r="B113" s="27" t="s">
        <v>119</v>
      </c>
      <c r="C113" s="24" t="s">
        <v>112</v>
      </c>
      <c r="D113" s="29">
        <v>4</v>
      </c>
      <c r="E113" s="29">
        <v>650</v>
      </c>
      <c r="F113" s="29">
        <v>1500</v>
      </c>
      <c r="G113" s="31">
        <f t="shared" si="15"/>
        <v>4100</v>
      </c>
      <c r="H113" s="32">
        <v>0.15</v>
      </c>
      <c r="I113" s="31">
        <f t="shared" si="16"/>
        <v>4715</v>
      </c>
      <c r="J113" s="4"/>
      <c r="M113" s="62"/>
      <c r="N113" s="63"/>
    </row>
    <row r="114" spans="2:14" x14ac:dyDescent="0.35">
      <c r="B114" s="25"/>
      <c r="C114" s="24"/>
      <c r="D114" s="25"/>
      <c r="E114" s="25"/>
      <c r="F114" s="25"/>
      <c r="G114" s="25"/>
      <c r="H114" s="25"/>
      <c r="I114" s="21"/>
      <c r="J114" s="4"/>
      <c r="M114" s="62"/>
      <c r="N114" s="63"/>
    </row>
    <row r="115" spans="2:14" x14ac:dyDescent="0.35">
      <c r="B115" s="49" t="s">
        <v>43</v>
      </c>
      <c r="C115" s="50"/>
      <c r="D115" s="49"/>
      <c r="E115" s="49"/>
      <c r="F115" s="49"/>
      <c r="G115" s="49"/>
      <c r="H115" s="49"/>
      <c r="I115" s="49"/>
      <c r="J115" s="4"/>
      <c r="K115" s="15">
        <f>SUM(I115:I119)</f>
        <v>28800</v>
      </c>
      <c r="M115" s="64">
        <v>0</v>
      </c>
      <c r="N115" s="65">
        <f>K115*M115</f>
        <v>0</v>
      </c>
    </row>
    <row r="116" spans="2:14" x14ac:dyDescent="0.35">
      <c r="B116" s="25" t="s">
        <v>69</v>
      </c>
      <c r="C116" s="24" t="s">
        <v>113</v>
      </c>
      <c r="D116" s="25">
        <v>10</v>
      </c>
      <c r="E116" s="25">
        <v>550</v>
      </c>
      <c r="F116" s="25">
        <v>6500</v>
      </c>
      <c r="G116" s="21">
        <f t="shared" ref="G116:G119" si="17">(D116*E116)+F116</f>
        <v>12000</v>
      </c>
      <c r="H116" s="48"/>
      <c r="I116" s="21">
        <v>8000</v>
      </c>
      <c r="J116" s="4"/>
      <c r="M116" s="62"/>
      <c r="N116" s="63"/>
    </row>
    <row r="117" spans="2:14" x14ac:dyDescent="0.35">
      <c r="B117" s="25" t="s">
        <v>65</v>
      </c>
      <c r="C117" s="24" t="s">
        <v>113</v>
      </c>
      <c r="D117" s="25">
        <v>10</v>
      </c>
      <c r="E117" s="25">
        <v>550</v>
      </c>
      <c r="F117" s="25">
        <v>3300</v>
      </c>
      <c r="G117" s="21">
        <f t="shared" si="17"/>
        <v>8800</v>
      </c>
      <c r="H117" s="48"/>
      <c r="I117" s="21">
        <v>5000</v>
      </c>
      <c r="J117" s="4"/>
      <c r="M117" s="62"/>
      <c r="N117" s="63"/>
    </row>
    <row r="118" spans="2:14" x14ac:dyDescent="0.35">
      <c r="B118" s="25" t="s">
        <v>44</v>
      </c>
      <c r="C118" s="24" t="s">
        <v>113</v>
      </c>
      <c r="D118" s="25">
        <v>10</v>
      </c>
      <c r="E118" s="25">
        <v>550</v>
      </c>
      <c r="F118" s="25">
        <v>3300</v>
      </c>
      <c r="G118" s="21">
        <f t="shared" si="17"/>
        <v>8800</v>
      </c>
      <c r="H118" s="48"/>
      <c r="I118" s="21">
        <f t="shared" ref="I118:I119" si="18">G118*H118+G118</f>
        <v>8800</v>
      </c>
      <c r="J118" s="4"/>
      <c r="M118" s="62"/>
      <c r="N118" s="63"/>
    </row>
    <row r="119" spans="2:14" x14ac:dyDescent="0.35">
      <c r="B119" s="25" t="s">
        <v>116</v>
      </c>
      <c r="C119" s="8" t="s">
        <v>113</v>
      </c>
      <c r="D119">
        <v>10</v>
      </c>
      <c r="E119">
        <v>550</v>
      </c>
      <c r="F119">
        <v>1500</v>
      </c>
      <c r="G119" s="4">
        <f t="shared" si="17"/>
        <v>7000</v>
      </c>
      <c r="H119" s="16"/>
      <c r="I119" s="4">
        <f t="shared" si="18"/>
        <v>7000</v>
      </c>
      <c r="J119" s="4"/>
      <c r="M119" s="62"/>
      <c r="N119" s="63"/>
    </row>
    <row r="120" spans="2:14" x14ac:dyDescent="0.35">
      <c r="C120" s="8"/>
      <c r="G120" s="4"/>
      <c r="I120" s="4"/>
      <c r="J120" s="4"/>
      <c r="M120" s="70" t="s">
        <v>135</v>
      </c>
      <c r="N120" s="71">
        <f>SUM(N5:N77)</f>
        <v>0</v>
      </c>
    </row>
    <row r="121" spans="2:14" x14ac:dyDescent="0.35">
      <c r="C121" s="8"/>
      <c r="G121" s="4"/>
      <c r="I121" s="4"/>
      <c r="J121" s="22" t="s">
        <v>45</v>
      </c>
      <c r="K121" s="4">
        <f>SUM(K6:K120)</f>
        <v>560872.55000000005</v>
      </c>
      <c r="M121" s="70" t="s">
        <v>46</v>
      </c>
      <c r="N121" s="71">
        <f>N120/100*25</f>
        <v>0</v>
      </c>
    </row>
    <row r="122" spans="2:14" ht="15" thickBot="1" x14ac:dyDescent="0.4">
      <c r="C122" s="8"/>
      <c r="G122" s="4"/>
      <c r="I122" s="4"/>
      <c r="J122" s="22" t="s">
        <v>46</v>
      </c>
      <c r="K122" s="4">
        <f>K121/100*25</f>
        <v>140218.13750000001</v>
      </c>
      <c r="M122" s="72" t="s">
        <v>136</v>
      </c>
      <c r="N122" s="73">
        <f>SUM(N120:N121)</f>
        <v>0</v>
      </c>
    </row>
    <row r="123" spans="2:14" ht="15" thickTop="1" x14ac:dyDescent="0.35">
      <c r="C123" s="8"/>
      <c r="G123" s="4"/>
      <c r="I123" s="4"/>
      <c r="J123" s="23" t="s">
        <v>47</v>
      </c>
      <c r="K123" s="15">
        <f>SUM(K121:K122)</f>
        <v>701090.6875</v>
      </c>
    </row>
    <row r="124" spans="2:14" x14ac:dyDescent="0.35">
      <c r="C124" s="8"/>
      <c r="G124" s="4"/>
      <c r="I124" s="4"/>
      <c r="J124" s="4"/>
      <c r="M124" s="74" t="s">
        <v>137</v>
      </c>
      <c r="N124" s="75">
        <f>K123-N120</f>
        <v>701090.6875</v>
      </c>
    </row>
    <row r="125" spans="2:14" x14ac:dyDescent="0.35">
      <c r="C125" s="8"/>
      <c r="G125" s="4"/>
      <c r="I125" s="4"/>
      <c r="J125" s="4"/>
    </row>
    <row r="126" spans="2:14" x14ac:dyDescent="0.35">
      <c r="C126" s="8"/>
      <c r="G126" s="4"/>
      <c r="I126" s="4"/>
      <c r="J126" s="4"/>
    </row>
    <row r="127" spans="2:14" x14ac:dyDescent="0.35">
      <c r="C127" s="8"/>
      <c r="G127" s="4"/>
      <c r="I127" s="4"/>
      <c r="J127" s="4"/>
    </row>
    <row r="128" spans="2:14" x14ac:dyDescent="0.35">
      <c r="C128" s="8"/>
      <c r="G128" s="4"/>
      <c r="I128" s="4"/>
      <c r="J128" s="4"/>
    </row>
    <row r="129" spans="3:10" x14ac:dyDescent="0.35">
      <c r="C129" s="8"/>
      <c r="G129" s="4"/>
      <c r="I129" s="4"/>
      <c r="J129" s="4"/>
    </row>
    <row r="130" spans="3:10" x14ac:dyDescent="0.35">
      <c r="C130" s="8"/>
      <c r="G130" s="4"/>
      <c r="I130" s="4"/>
      <c r="J130" s="4"/>
    </row>
  </sheetData>
  <pageMargins left="0.7" right="0.7" top="0.75" bottom="0.75" header="0.3" footer="0.3"/>
  <pageSetup paperSize="9" scale="46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2DED09EA814A04AA67D21CE1BFB72BA" ma:contentTypeVersion="28" ma:contentTypeDescription="Opret et nyt dokument." ma:contentTypeScope="" ma:versionID="14d0c3fe0f2d66b6e7d68860b761c4a7">
  <xsd:schema xmlns:xsd="http://www.w3.org/2001/XMLSchema" xmlns:xs="http://www.w3.org/2001/XMLSchema" xmlns:p="http://schemas.microsoft.com/office/2006/metadata/properties" xmlns:ns2="938a5ba8-a2de-49f6-b885-4b123066ec6f" xmlns:ns3="19205e70-9770-44fc-a5b3-72b4caaab09a" targetNamespace="http://schemas.microsoft.com/office/2006/metadata/properties" ma:root="true" ma:fieldsID="a75d620c3b60ca538953e21cc33c3a9a" ns2:_="" ns3:_="">
    <xsd:import namespace="938a5ba8-a2de-49f6-b885-4b123066ec6f"/>
    <xsd:import namespace="19205e70-9770-44fc-a5b3-72b4caaab0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Placering" minOccurs="0"/>
                <xsd:element ref="ns2:e5d13b3b-7d87-48b2-a732-17d34f76a21bCountryOrRegion" minOccurs="0"/>
                <xsd:element ref="ns2:e5d13b3b-7d87-48b2-a732-17d34f76a21bState" minOccurs="0"/>
                <xsd:element ref="ns2:e5d13b3b-7d87-48b2-a732-17d34f76a21bCity" minOccurs="0"/>
                <xsd:element ref="ns2:e5d13b3b-7d87-48b2-a732-17d34f76a21bPostalCode" minOccurs="0"/>
                <xsd:element ref="ns2:e5d13b3b-7d87-48b2-a732-17d34f76a21bStreet" minOccurs="0"/>
                <xsd:element ref="ns2:e5d13b3b-7d87-48b2-a732-17d34f76a21bGeoLoc" minOccurs="0"/>
                <xsd:element ref="ns2:e5d13b3b-7d87-48b2-a732-17d34f76a21bDispName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TaxCatchAll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8a5ba8-a2de-49f6-b885-4b123066ec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Placering" ma:index="16" nillable="true" ma:displayName="Placering" ma:format="Dropdown" ma:internalName="Placering">
      <xsd:simpleType>
        <xsd:restriction base="dms:Unknown"/>
      </xsd:simpleType>
    </xsd:element>
    <xsd:element name="e5d13b3b-7d87-48b2-a732-17d34f76a21bCountryOrRegion" ma:index="17" nillable="true" ma:displayName="Placering: Land/område" ma:internalName="CountryOrRegion" ma:readOnly="true">
      <xsd:simpleType>
        <xsd:restriction base="dms:Text"/>
      </xsd:simpleType>
    </xsd:element>
    <xsd:element name="e5d13b3b-7d87-48b2-a732-17d34f76a21bState" ma:index="18" nillable="true" ma:displayName="Placering: Delstat" ma:internalName="State" ma:readOnly="true">
      <xsd:simpleType>
        <xsd:restriction base="dms:Text"/>
      </xsd:simpleType>
    </xsd:element>
    <xsd:element name="e5d13b3b-7d87-48b2-a732-17d34f76a21bCity" ma:index="19" nillable="true" ma:displayName="Placering: By" ma:internalName="City" ma:readOnly="true">
      <xsd:simpleType>
        <xsd:restriction base="dms:Text"/>
      </xsd:simpleType>
    </xsd:element>
    <xsd:element name="e5d13b3b-7d87-48b2-a732-17d34f76a21bPostalCode" ma:index="20" nillable="true" ma:displayName="Placering: Postnummer" ma:internalName="PostalCode" ma:readOnly="true">
      <xsd:simpleType>
        <xsd:restriction base="dms:Text"/>
      </xsd:simpleType>
    </xsd:element>
    <xsd:element name="e5d13b3b-7d87-48b2-a732-17d34f76a21bStreet" ma:index="21" nillable="true" ma:displayName="Placering: Gade" ma:internalName="Street" ma:readOnly="true">
      <xsd:simpleType>
        <xsd:restriction base="dms:Text"/>
      </xsd:simpleType>
    </xsd:element>
    <xsd:element name="e5d13b3b-7d87-48b2-a732-17d34f76a21bGeoLoc" ma:index="22" nillable="true" ma:displayName="Placering: Koordinater" ma:internalName="GeoLoc" ma:readOnly="true">
      <xsd:simpleType>
        <xsd:restriction base="dms:Unknown"/>
      </xsd:simpleType>
    </xsd:element>
    <xsd:element name="e5d13b3b-7d87-48b2-a732-17d34f76a21bDispName" ma:index="23" nillable="true" ma:displayName="Placering: Navn" ma:internalName="DispName" ma:readOnly="true">
      <xsd:simpleType>
        <xsd:restriction base="dms:Text"/>
      </xsd:simpleType>
    </xsd:element>
    <xsd:element name="MediaServiceGenerationTime" ma:index="2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2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31" nillable="true" ma:taxonomy="true" ma:internalName="lcf76f155ced4ddcb4097134ff3c332f" ma:taxonomyFieldName="MediaServiceImageTags" ma:displayName="Billedmærker" ma:readOnly="false" ma:fieldId="{5cf76f15-5ced-4ddc-b409-7134ff3c332f}" ma:taxonomyMulti="true" ma:sspId="cd9d3e45-4d42-40fe-b6c0-42e381ab4c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205e70-9770-44fc-a5b3-72b4caaab09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9" nillable="true" ma:displayName="Taxonomy Catch All Column" ma:hidden="true" ma:list="{2fd65098-851f-4145-804d-10d71047d329}" ma:internalName="TaxCatchAll" ma:showField="CatchAllData" ma:web="19205e70-9770-44fc-a5b3-72b4caaab0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lacering xmlns="938a5ba8-a2de-49f6-b885-4b123066ec6f" xsi:nil="true"/>
    <TaxCatchAll xmlns="19205e70-9770-44fc-a5b3-72b4caaab09a" xsi:nil="true"/>
    <lcf76f155ced4ddcb4097134ff3c332f xmlns="938a5ba8-a2de-49f6-b885-4b123066ec6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3F760FA-CEE1-40DB-A81F-D1CE5A47F7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4FE7C2-E54C-42CF-8037-F408BF06C6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8a5ba8-a2de-49f6-b885-4b123066ec6f"/>
    <ds:schemaRef ds:uri="19205e70-9770-44fc-a5b3-72b4caaab0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4AFEAE-C61D-4817-9403-14E3B428191A}">
  <ds:schemaRefs>
    <ds:schemaRef ds:uri="http://schemas.microsoft.com/office/2006/metadata/properties"/>
    <ds:schemaRef ds:uri="http://schemas.microsoft.com/office/infopath/2007/PartnerControls"/>
    <ds:schemaRef ds:uri="938a5ba8-a2de-49f6-b885-4b123066ec6f"/>
    <ds:schemaRef ds:uri="19205e70-9770-44fc-a5b3-72b4caaab0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Accepteret tilbud</vt:lpstr>
      <vt:lpstr>Fremskrivning</vt:lpstr>
      <vt:lpstr>Ekstraarbejde</vt:lpstr>
      <vt:lpstr>Opgørelse Køkken</vt:lpstr>
      <vt:lpstr>Sanitets liste</vt:lpstr>
      <vt:lpstr>Fliser</vt:lpstr>
      <vt:lpstr>Fakturering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Emil Mikkelsen</dc:creator>
  <cp:lastModifiedBy>Christian Blankholm</cp:lastModifiedBy>
  <cp:lastPrinted>2025-03-28T12:20:38Z</cp:lastPrinted>
  <dcterms:created xsi:type="dcterms:W3CDTF">2024-02-19T09:14:58Z</dcterms:created>
  <dcterms:modified xsi:type="dcterms:W3CDTF">2025-06-18T04:58:47Z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0x01010092DED09EA814A04AA67D21CE1BFB72BA</vt:lpwstr>
  </property>
  <property fmtid="{D5CDD505-2E9C-101B-9397-08002B2CF9AE}" pid="3" name="MediaServiceImageTags">
    <vt:lpwstr/>
  </property>
</Properties>
</file>