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snord.sharepoint.com/sites/bnord/Delte dokumenter/0  SAGER/3 Afsluttede sager/1942 Pilehøjvej 53A 2750 Ballerup/Kalkulation/"/>
    </mc:Choice>
  </mc:AlternateContent>
  <xr:revisionPtr revIDLastSave="557" documentId="13_ncr:1_{E91358FA-C8DE-490E-8357-797220A3D802}" xr6:coauthVersionLast="47" xr6:coauthVersionMax="47" xr10:uidLastSave="{4214EBE4-44FE-4D9F-97DD-81FB14302A41}"/>
  <bookViews>
    <workbookView xWindow="1080" yWindow="285" windowWidth="24720" windowHeight="19005" xr2:uid="{16247F5F-BE43-44DA-9088-9AE0A81B8720}"/>
  </bookViews>
  <sheets>
    <sheet name="Tilbud" sheetId="1" r:id="rId1"/>
    <sheet name="Efter Kalk" sheetId="5" r:id="rId2"/>
    <sheet name="Sanitets liste" sheetId="3" r:id="rId3"/>
    <sheet name="Ekstr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" l="1"/>
  <c r="F9" i="5" l="1"/>
  <c r="F10" i="5"/>
  <c r="F11" i="5"/>
  <c r="F8" i="5"/>
  <c r="E11" i="5"/>
  <c r="E10" i="5"/>
  <c r="E9" i="5"/>
  <c r="E8" i="5"/>
  <c r="C13" i="5"/>
  <c r="D13" i="5"/>
  <c r="I59" i="5"/>
  <c r="M21" i="5"/>
  <c r="M28" i="5"/>
  <c r="M30" i="5" s="1"/>
  <c r="L14" i="5"/>
  <c r="I44" i="5"/>
  <c r="I23" i="5"/>
  <c r="F13" i="5" l="1"/>
  <c r="E13" i="5"/>
  <c r="I51" i="5"/>
  <c r="D15" i="2"/>
  <c r="D25" i="2"/>
  <c r="L10" i="3"/>
  <c r="I16" i="3"/>
  <c r="I15" i="3"/>
  <c r="L15" i="3" s="1"/>
  <c r="I14" i="3"/>
  <c r="L14" i="3" s="1"/>
  <c r="I13" i="3"/>
  <c r="L13" i="3" s="1"/>
  <c r="I9" i="3"/>
  <c r="L9" i="3" s="1"/>
  <c r="I8" i="3"/>
  <c r="L8" i="3" s="1"/>
  <c r="I7" i="3"/>
  <c r="L7" i="3" s="1"/>
  <c r="I6" i="3"/>
  <c r="L6" i="3" s="1"/>
  <c r="G5" i="3"/>
  <c r="I5" i="3" s="1"/>
  <c r="I4" i="3"/>
  <c r="C2" i="3"/>
  <c r="L4" i="3" l="1"/>
  <c r="N13" i="3" s="1"/>
  <c r="I18" i="3"/>
  <c r="I19" i="3" s="1"/>
  <c r="I20" i="3" s="1"/>
  <c r="N15" i="3"/>
  <c r="N7" i="3"/>
  <c r="N14" i="3"/>
  <c r="L5" i="3"/>
  <c r="D9" i="2" l="1"/>
  <c r="D39" i="2" s="1"/>
  <c r="H70" i="1"/>
  <c r="J70" i="1" s="1"/>
  <c r="H69" i="1"/>
  <c r="J69" i="1" s="1"/>
  <c r="H38" i="1"/>
  <c r="J38" i="1" s="1"/>
  <c r="G75" i="1"/>
  <c r="H68" i="1" l="1"/>
  <c r="J68" i="1" s="1"/>
  <c r="H78" i="1"/>
  <c r="J78" i="1" s="1"/>
  <c r="H80" i="1"/>
  <c r="J80" i="1" s="1"/>
  <c r="H79" i="1"/>
  <c r="J79" i="1" s="1"/>
  <c r="H77" i="1" l="1"/>
  <c r="J77" i="1" s="1"/>
  <c r="H76" i="1"/>
  <c r="J76" i="1" s="1"/>
  <c r="H75" i="1"/>
  <c r="J75" i="1" s="1"/>
  <c r="H74" i="1"/>
  <c r="J74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L73" i="1" l="1"/>
  <c r="L60" i="1"/>
  <c r="J84" i="1"/>
  <c r="L83" i="1" s="1"/>
  <c r="R83" i="1" s="1"/>
  <c r="H95" i="1"/>
  <c r="J95" i="1" s="1"/>
  <c r="L94" i="1" s="1"/>
  <c r="H47" i="1"/>
  <c r="J47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3" i="1"/>
  <c r="J33" i="1" s="1"/>
  <c r="H35" i="1"/>
  <c r="J35" i="1" s="1"/>
  <c r="H34" i="1"/>
  <c r="J34" i="1" s="1"/>
  <c r="H54" i="1"/>
  <c r="J54" i="1" s="1"/>
  <c r="H46" i="1"/>
  <c r="J46" i="1" s="1"/>
  <c r="H32" i="1"/>
  <c r="J32" i="1" s="1"/>
  <c r="H55" i="1"/>
  <c r="J55" i="1" s="1"/>
  <c r="H52" i="1"/>
  <c r="J52" i="1" s="1"/>
  <c r="H53" i="1"/>
  <c r="J53" i="1" s="1"/>
  <c r="H51" i="1"/>
  <c r="J51" i="1" s="1"/>
  <c r="H50" i="1"/>
  <c r="J50" i="1" s="1"/>
  <c r="H56" i="1"/>
  <c r="J56" i="1" s="1"/>
  <c r="H58" i="1"/>
  <c r="J58" i="1" s="1"/>
  <c r="H57" i="1"/>
  <c r="J57" i="1" s="1"/>
  <c r="L26" i="1"/>
  <c r="H24" i="1"/>
  <c r="J24" i="1" s="1"/>
  <c r="L23" i="1" s="1"/>
  <c r="J21" i="1"/>
  <c r="J20" i="1"/>
  <c r="J19" i="1"/>
  <c r="H16" i="1"/>
  <c r="J16" i="1" s="1"/>
  <c r="H15" i="1"/>
  <c r="J15" i="1" s="1"/>
  <c r="H14" i="1"/>
  <c r="J14" i="1" s="1"/>
  <c r="J9" i="1"/>
  <c r="J8" i="1"/>
  <c r="J7" i="1"/>
  <c r="O94" i="1" l="1"/>
  <c r="R94" i="1"/>
  <c r="O23" i="1"/>
  <c r="R23" i="1"/>
  <c r="O83" i="1"/>
  <c r="O60" i="1"/>
  <c r="R60" i="1"/>
  <c r="O73" i="1"/>
  <c r="R73" i="1"/>
  <c r="L49" i="1"/>
  <c r="L37" i="1"/>
  <c r="L31" i="1"/>
  <c r="L13" i="1"/>
  <c r="L18" i="1"/>
  <c r="L6" i="1"/>
  <c r="O31" i="1" l="1"/>
  <c r="R31" i="1"/>
  <c r="O6" i="1"/>
  <c r="R6" i="1"/>
  <c r="O37" i="1"/>
  <c r="R37" i="1"/>
  <c r="O18" i="1"/>
  <c r="R18" i="1"/>
  <c r="O13" i="1"/>
  <c r="R13" i="1"/>
  <c r="O49" i="1"/>
  <c r="R49" i="1"/>
  <c r="L99" i="1"/>
  <c r="O99" i="1" l="1"/>
  <c r="O100" i="1" s="1"/>
  <c r="O101" i="1" s="1"/>
  <c r="R99" i="1"/>
  <c r="L100" i="1"/>
  <c r="L101" i="1" s="1"/>
  <c r="R100" i="1" l="1"/>
  <c r="R101" i="1" s="1"/>
  <c r="R102" i="1"/>
  <c r="R103" i="1" l="1"/>
</calcChain>
</file>

<file path=xl/sharedStrings.xml><?xml version="1.0" encoding="utf-8"?>
<sst xmlns="http://schemas.openxmlformats.org/spreadsheetml/2006/main" count="317" uniqueCount="185">
  <si>
    <t>FAG</t>
  </si>
  <si>
    <t>Timer/Antal</t>
  </si>
  <si>
    <t>Takst</t>
  </si>
  <si>
    <t>Materialer</t>
  </si>
  <si>
    <t>Kostpris</t>
  </si>
  <si>
    <t>Påslag</t>
  </si>
  <si>
    <t>Tilbud</t>
  </si>
  <si>
    <t>Projekt, Dokumentation og Administration</t>
  </si>
  <si>
    <t>Projektledelse og Administration</t>
  </si>
  <si>
    <t>Bnord</t>
  </si>
  <si>
    <t>Bygherre</t>
  </si>
  <si>
    <t>Håndværker rengøring ved aflevering</t>
  </si>
  <si>
    <t>Nedrivning</t>
  </si>
  <si>
    <t>VVS</t>
  </si>
  <si>
    <t>Tømrer</t>
  </si>
  <si>
    <t>Cisternekasse i gips til toilet stativ og Orbital Core unit</t>
  </si>
  <si>
    <t>EL</t>
  </si>
  <si>
    <t>Stikkontakt ved vask</t>
  </si>
  <si>
    <t>Lampeusdtag i loft</t>
  </si>
  <si>
    <t>Afbryder til lampe udtag</t>
  </si>
  <si>
    <t>Maler</t>
  </si>
  <si>
    <t>Der udføres ikke malerarbejder i kælder</t>
  </si>
  <si>
    <t>Murer</t>
  </si>
  <si>
    <t>Arbejder i stueetagen</t>
  </si>
  <si>
    <t>Arbejder i kælder (Udføres først)</t>
  </si>
  <si>
    <t>Påsætning af nyt greb og toilet besætning (Afsat materialer 500 Kr.)</t>
  </si>
  <si>
    <t>EL-Ent.</t>
  </si>
  <si>
    <t>Tilbud - Pilehøjvej 53A, 2750 Ballerup</t>
  </si>
  <si>
    <t>Nedrivning af badeværelse gulv</t>
  </si>
  <si>
    <t>Optagning af trægulv i badeværelsesudviddelsen</t>
  </si>
  <si>
    <t>Nedrivning af fliser på vægge</t>
  </si>
  <si>
    <t>Nedrivning af inventar på badeværelse</t>
  </si>
  <si>
    <t>Demontering af Sanitet og rør i badeværelse</t>
  </si>
  <si>
    <t>Hultagning i væg mellem badeværlse og stue (Indgang til bruseniche)</t>
  </si>
  <si>
    <t>Oplægning af ståltegl i murværk</t>
  </si>
  <si>
    <t>Opretning af vægge efter nedrivning</t>
  </si>
  <si>
    <t>Lukning af huller ved rørgennemføringer til kælder</t>
  </si>
  <si>
    <t>Støbning af nyt gulv</t>
  </si>
  <si>
    <t>Lukning af riller i væg til El og VVS installationer</t>
  </si>
  <si>
    <t>Vådrum i badeværelse</t>
  </si>
  <si>
    <t>Opsætning af Klinker, Fliser og Sokkelklinker</t>
  </si>
  <si>
    <t>Fugning af fliser hård og blød fuge</t>
  </si>
  <si>
    <t>VVS Sanitet</t>
  </si>
  <si>
    <t>Understøtning af trægulv i stuen mod badeværelsesudvidelsen</t>
  </si>
  <si>
    <t>Opbygning af nye gipsvægge omkrig brusenichen</t>
  </si>
  <si>
    <t>Cisternekasse ved hængetoilet, topplade udføres i gips</t>
  </si>
  <si>
    <t>Nyt nedhængt loft i gips</t>
  </si>
  <si>
    <t>Opsætning af badeværelsesmøbel</t>
  </si>
  <si>
    <t>Fodpanel mod nye vægge</t>
  </si>
  <si>
    <t>Afbryder til spotlys i loft</t>
  </si>
  <si>
    <t>Afbryder til ventilation</t>
  </si>
  <si>
    <t>Afbryder til lys i spejl</t>
  </si>
  <si>
    <t>Dobbeltstikkontakt ved halvvæg ved cisternekasse</t>
  </si>
  <si>
    <t>Dobbeltstikkontakt ved badeværelsesmøbel</t>
  </si>
  <si>
    <t>Indkøb og tilslutning af ny ventilator i badeværelse</t>
  </si>
  <si>
    <t>Indkøb og tilslutning af 5 spots i loft</t>
  </si>
  <si>
    <t>Indkøb af  Klinker, Fliser og Sokkelklinker (Afsat beløb 8.000 Kr.)</t>
  </si>
  <si>
    <t>Påsætning af indfatninger på inv. Side af dør i badeværelse</t>
  </si>
  <si>
    <t>Spartling, filtning og maling af vægge og lofter</t>
  </si>
  <si>
    <t>Maling af vindue, dørkarm og paneler</t>
  </si>
  <si>
    <t>Der udføres kun malerarbejde på indvendig side i badeværelset</t>
  </si>
  <si>
    <t>EL-Entpr.</t>
  </si>
  <si>
    <t>Affald og bortkørsel</t>
  </si>
  <si>
    <t>Vandinstallationer til Toilet, Orbital Shower og håndvask i badeværelse</t>
  </si>
  <si>
    <t>Vandinstallationer til Toilet og håndvask i kælder</t>
  </si>
  <si>
    <t>Afløbsinstallationer til Toilet og håndvask  i kælder</t>
  </si>
  <si>
    <t>2 stk. Toilet + skylleknap (Afsat beløb 4.800)</t>
  </si>
  <si>
    <t>Kroge, wc rulle holder og diverse (afsat 1.200 kr)</t>
  </si>
  <si>
    <t>Håndvask til toilet i kælder (Afsat beløb 2.500 kr.)</t>
  </si>
  <si>
    <t>Demontering af radiator i badeværelse og køkken</t>
  </si>
  <si>
    <t>2 stk. Håndvask batterier (Afsat beløb 2.000,-)</t>
  </si>
  <si>
    <t>2 stk. Geberit Sigma/omega Duofix frontbetjent cisterne</t>
  </si>
  <si>
    <t>Spejl med lys (afsat beløb (1.500 kr.)</t>
  </si>
  <si>
    <t>Spejl i kælder leveres af bygherrer</t>
  </si>
  <si>
    <t>Arbejder i kælder udføres først</t>
  </si>
  <si>
    <t>Afløbsinstallationer til Toilet, Orbital Shower og håndvask i badeværelse.</t>
  </si>
  <si>
    <t>Skift af faldstamme fra fodbøjning i kælder til og med badeværelse, udføres i støjredu. Plast.</t>
  </si>
  <si>
    <t>Mont. af wc skåle, trykplade, håndvask batteri samt brusesystem og bad tilbehør i stue etage</t>
  </si>
  <si>
    <t>Mont. af wc skåle, trykplade, håndvask batteri, håndvask og tilbehør i kld. etage</t>
  </si>
  <si>
    <t xml:space="preserve">Diverse murer reperationer i loft og vægge </t>
  </si>
  <si>
    <t>Pris ekskl, moms =</t>
  </si>
  <si>
    <t>Moms =</t>
  </si>
  <si>
    <t>Pris inkl. moms =</t>
  </si>
  <si>
    <t>Indøb og opsætning af ny dør (Afsat til dør og dørkarm 4000 Kr.)</t>
  </si>
  <si>
    <t>Indkøb og montering af unidrain</t>
  </si>
  <si>
    <t>Bruser, afsat beløb 8.000 kr.</t>
  </si>
  <si>
    <t>Dato: 2025.26.01 - Byggeselskabet Nord ApS</t>
  </si>
  <si>
    <t>Indkøb af badeværelsesmøbel (Afsat beløb 6.000 Kr.)</t>
  </si>
  <si>
    <t>Opsætning og tilslutning af spejl med lys</t>
  </si>
  <si>
    <t>Tillægs- og fradragsarbejder - Pilehøjvej 53A, 2750 Ballerup</t>
  </si>
  <si>
    <t>Flytning af gulvvarme styring i WC i kælderen</t>
  </si>
  <si>
    <t>Dobbeltstik i stedet for enkelt stik i badeværelse</t>
  </si>
  <si>
    <t xml:space="preserve"> + Moms</t>
  </si>
  <si>
    <t>Accepteret i tlf. til CB 06.02.2025</t>
  </si>
  <si>
    <t>Accepteret til Rune 05.02.2025</t>
  </si>
  <si>
    <t>Gulvvarme</t>
  </si>
  <si>
    <t>Pris Sune 22.700</t>
  </si>
  <si>
    <t>Sunes pris 2.500 Kr.</t>
  </si>
  <si>
    <t>Badeværelses tilbehør</t>
  </si>
  <si>
    <t>stk</t>
  </si>
  <si>
    <t xml:space="preserve">VVS Nr </t>
  </si>
  <si>
    <t>påslag</t>
  </si>
  <si>
    <t>Pris</t>
  </si>
  <si>
    <t>Afsat i tilbud</t>
  </si>
  <si>
    <t>Pris eskl moms</t>
  </si>
  <si>
    <t>Moms</t>
  </si>
  <si>
    <t>Pris inkls moms</t>
  </si>
  <si>
    <t>Grohe Essence håndvaskarmatur</t>
  </si>
  <si>
    <t xml:space="preserve">LAUFEN PRO Compact Rimless inkl. sæde </t>
  </si>
  <si>
    <t>Grohe push-up bundventil, krom</t>
  </si>
  <si>
    <t xml:space="preserve">2 stk. Håndvask batterier (Afsat beløb 2.000,-) </t>
  </si>
  <si>
    <t xml:space="preserve">Kroge, wc rulle holder og diverse (afsat 1.200 kr) </t>
  </si>
  <si>
    <t>Nedlægning af faldstamme i bryggers i kælder.</t>
  </si>
  <si>
    <t>GROHE Euphoria 310 Brusesystem med termostat</t>
  </si>
  <si>
    <t>Geberit Sigma 01 betjeningsplade i krom</t>
  </si>
  <si>
    <t>Sanitetsliste jf mail af 10 februar</t>
  </si>
  <si>
    <t>Accepteret til Rune 12.02.2025</t>
  </si>
  <si>
    <t>Montage af ny dør ny dør til badeværelset i stueetagen (Dør leveres af bygherre)</t>
  </si>
  <si>
    <t>Accept tlf. CB 12.02.2025</t>
  </si>
  <si>
    <t xml:space="preserve">Tilbud på shampoo hylde </t>
  </si>
  <si>
    <t>Tilbud på ventilation udtræk i kælder bad</t>
  </si>
  <si>
    <t xml:space="preserve">Pressalit toiletpapirholder poleret rustfrit stål </t>
  </si>
  <si>
    <t>Stade</t>
  </si>
  <si>
    <t>Aconto 1</t>
  </si>
  <si>
    <t>Moms=</t>
  </si>
  <si>
    <t>Aconto 1=</t>
  </si>
  <si>
    <t>Rest =140.677</t>
  </si>
  <si>
    <t>Udgået</t>
  </si>
  <si>
    <t>Merpris på tilvalg af 2 farver mørtel fuge</t>
  </si>
  <si>
    <t xml:space="preserve">udvidelse af dørhul </t>
  </si>
  <si>
    <t>Accepteret til Rune 13.03.2025</t>
  </si>
  <si>
    <t>Ny installation til køkkens nye placering</t>
  </si>
  <si>
    <t>Accepteret til Rune 26.03.2025</t>
  </si>
  <si>
    <t>Unidrian 900mm, Classic, rustfrit stål</t>
  </si>
  <si>
    <t>Accepteret til TRH 19.02.2025</t>
  </si>
  <si>
    <t>Justering af pris for fliser efter flisevalg (Afsat 9.200) Forbrug = 9.549</t>
  </si>
  <si>
    <t>Fliser købt d. 10.03.2025</t>
  </si>
  <si>
    <t>Aconto 2</t>
  </si>
  <si>
    <t>Stade d.d.</t>
  </si>
  <si>
    <t>Aconto 2=</t>
  </si>
  <si>
    <t>Rest = 14.950</t>
  </si>
  <si>
    <t>Indkøb af dør + dørkarm, leveret af bygherre</t>
  </si>
  <si>
    <t>Accepteret CB 03.04.2025</t>
  </si>
  <si>
    <t>Indkøb af spejl, leveret af bygherre</t>
  </si>
  <si>
    <t>Indkøb af badeværelsesmøbel, leveret af bygherre</t>
  </si>
  <si>
    <t>Fodpanel på nye vægge, udgår</t>
  </si>
  <si>
    <t>Udskiftning af greb på dør i stuen. Leveres og monteres af bygherre</t>
  </si>
  <si>
    <t>Udskiftning af greb på kælderdør, leveres og monteres af bygherre</t>
  </si>
  <si>
    <t>Tømrer kælder</t>
  </si>
  <si>
    <t>Tømrer stuen</t>
  </si>
  <si>
    <t>Lukning af El riller i vægge</t>
  </si>
  <si>
    <t>Genetableing af hul i skorsten</t>
  </si>
  <si>
    <t>Reparation af vægge hvor der fjernes fodpaneler</t>
  </si>
  <si>
    <t>Opretning af vægge efter nedrivning af fliser</t>
  </si>
  <si>
    <t>Ubærelag for nyt betob gulv</t>
  </si>
  <si>
    <t>Støbning af nyt gulv udlægning af rionet</t>
  </si>
  <si>
    <t>Vådrum</t>
  </si>
  <si>
    <t>Udførsel af fliser på alle vægge fra gulv til loft</t>
  </si>
  <si>
    <t>Udførsel af gulvklinker</t>
  </si>
  <si>
    <t>Indkøb af fliser</t>
  </si>
  <si>
    <t>Udførsel af hårde- og blødefuger</t>
  </si>
  <si>
    <t>Murer stuen</t>
  </si>
  <si>
    <t>Salgspris</t>
  </si>
  <si>
    <t xml:space="preserve">Salgspris - </t>
  </si>
  <si>
    <t>Maler. Har vi selv lavet</t>
  </si>
  <si>
    <t>Murer timer (Murer, Tømrer og Maler)</t>
  </si>
  <si>
    <t>Tømrer timer</t>
  </si>
  <si>
    <t>Materialer, tømrer,murer og maler</t>
  </si>
  <si>
    <t>UDFØRSELSPRIS</t>
  </si>
  <si>
    <t>El Kælder</t>
  </si>
  <si>
    <t>El Stuen</t>
  </si>
  <si>
    <t>Kost</t>
  </si>
  <si>
    <t>VVS Timer</t>
  </si>
  <si>
    <t>Leje af værktøj</t>
  </si>
  <si>
    <t>VVS Små materialer</t>
  </si>
  <si>
    <t>VVS Arbejder</t>
  </si>
  <si>
    <t>SALG</t>
  </si>
  <si>
    <t>Projekt</t>
  </si>
  <si>
    <t>Projekt, salgspris</t>
  </si>
  <si>
    <t>Projekt, udførsel, Affald</t>
  </si>
  <si>
    <t>Opsummering</t>
  </si>
  <si>
    <t>Tømrer,murer, maler og nedriv</t>
  </si>
  <si>
    <t>Dækning %</t>
  </si>
  <si>
    <t>DG</t>
  </si>
  <si>
    <t>Pilehøjvej 53A, Ballerup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</si>
</sst>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0\ _k_r_._-;\-* #,##0.00\ _k_r_._-;_-* &quot;-&quot;??\ _k_r_._-;_-@_-"/>
    <numFmt numFmtId="166" formatCode="[$-F800]dddd\,\ mmmm\ dd\,\ yyyy"/>
  </numFmts>
  <fonts count="11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i/>
      <sz val="11"/>
      <color theme="1"/>
      <name val="Aptos Narrow"/>
      <family val="2"/>
      <scheme val="minor"/>
    </font>
    <font>
      <sz val="12"/>
      <color rgb="FFFF000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0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3" fontId="2" fillId="0" borderId="2" xfId="0" applyNumberFormat="1" applyFont="1" applyBorder="1"/>
    <xf numFmtId="0" fontId="6" fillId="0" borderId="0" xfId="0" applyFont="1"/>
    <xf numFmtId="0" fontId="0" fillId="2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9" fontId="0" fillId="3" borderId="0" xfId="2" applyFont="1" applyFill="1"/>
    <xf numFmtId="164" fontId="0" fillId="3" borderId="0" xfId="1" applyNumberFormat="1" applyFont="1" applyFill="1"/>
    <xf numFmtId="0" fontId="0" fillId="3" borderId="3" xfId="0" applyFill="1" applyBorder="1"/>
    <xf numFmtId="164" fontId="0" fillId="3" borderId="0" xfId="1" applyNumberFormat="1" applyFont="1" applyFill="1" applyAlignment="1">
      <alignment horizontal="right"/>
    </xf>
    <xf numFmtId="0" fontId="8" fillId="0" borderId="0" xfId="0" applyFont="1"/>
    <xf numFmtId="0" fontId="0" fillId="3" borderId="0" xfId="0" applyFill="1" applyAlignment="1">
      <alignment horizontal="center" vertical="center"/>
    </xf>
    <xf numFmtId="43" fontId="0" fillId="3" borderId="0" xfId="1" applyFont="1" applyFill="1"/>
    <xf numFmtId="165" fontId="0" fillId="0" borderId="0" xfId="0" applyNumberFormat="1"/>
    <xf numFmtId="165" fontId="0" fillId="0" borderId="0" xfId="0" applyNumberFormat="1" applyAlignment="1">
      <alignment horizontal="right"/>
    </xf>
    <xf numFmtId="164" fontId="0" fillId="0" borderId="0" xfId="1" applyNumberFormat="1" applyFont="1"/>
    <xf numFmtId="166" fontId="0" fillId="3" borderId="0" xfId="0" applyNumberFormat="1" applyFill="1" applyAlignment="1">
      <alignment horizontal="left"/>
    </xf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/>
    <xf numFmtId="9" fontId="0" fillId="0" borderId="0" xfId="0" applyNumberFormat="1"/>
    <xf numFmtId="9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9" fontId="0" fillId="4" borderId="0" xfId="0" applyNumberFormat="1" applyFill="1"/>
    <xf numFmtId="0" fontId="0" fillId="4" borderId="0" xfId="0" applyFill="1"/>
    <xf numFmtId="9" fontId="0" fillId="4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right"/>
    </xf>
    <xf numFmtId="3" fontId="0" fillId="4" borderId="0" xfId="0" applyNumberFormat="1" applyFill="1"/>
    <xf numFmtId="9" fontId="2" fillId="4" borderId="0" xfId="0" applyNumberFormat="1" applyFont="1" applyFill="1" applyAlignment="1">
      <alignment horizontal="right"/>
    </xf>
    <xf numFmtId="3" fontId="2" fillId="4" borderId="2" xfId="0" applyNumberFormat="1" applyFont="1" applyFill="1" applyBorder="1"/>
    <xf numFmtId="0" fontId="9" fillId="0" borderId="0" xfId="0" applyFont="1"/>
    <xf numFmtId="0" fontId="10" fillId="0" borderId="0" xfId="0" applyFont="1"/>
    <xf numFmtId="0" fontId="0" fillId="5" borderId="0" xfId="0" applyFill="1"/>
    <xf numFmtId="9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9" fontId="0" fillId="5" borderId="0" xfId="0" applyNumberFormat="1" applyFill="1"/>
    <xf numFmtId="9" fontId="0" fillId="5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9" fontId="0" fillId="5" borderId="0" xfId="0" applyNumberFormat="1" applyFill="1" applyAlignment="1">
      <alignment horizontal="right"/>
    </xf>
    <xf numFmtId="3" fontId="0" fillId="5" borderId="0" xfId="0" applyNumberFormat="1" applyFill="1"/>
    <xf numFmtId="9" fontId="2" fillId="5" borderId="0" xfId="0" applyNumberFormat="1" applyFont="1" applyFill="1" applyAlignment="1">
      <alignment horizontal="right"/>
    </xf>
    <xf numFmtId="3" fontId="2" fillId="5" borderId="2" xfId="0" applyNumberFormat="1" applyFont="1" applyFill="1" applyBorder="1"/>
    <xf numFmtId="0" fontId="0" fillId="6" borderId="0" xfId="0" applyFill="1"/>
    <xf numFmtId="3" fontId="0" fillId="6" borderId="0" xfId="0" applyNumberFormat="1" applyFill="1" applyAlignment="1">
      <alignment horizontal="center"/>
    </xf>
    <xf numFmtId="0" fontId="1" fillId="6" borderId="0" xfId="0" applyFont="1" applyFill="1"/>
    <xf numFmtId="3" fontId="0" fillId="0" borderId="0" xfId="0" applyNumberFormat="1" applyAlignment="1">
      <alignment horizontal="right"/>
    </xf>
    <xf numFmtId="3" fontId="0" fillId="6" borderId="0" xfId="0" applyNumberFormat="1" applyFill="1" applyAlignment="1">
      <alignment horizontal="right"/>
    </xf>
    <xf numFmtId="3" fontId="1" fillId="6" borderId="0" xfId="0" applyNumberFormat="1" applyFont="1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3" fontId="0" fillId="7" borderId="0" xfId="0" applyNumberFormat="1" applyFill="1" applyAlignment="1">
      <alignment horizontal="right"/>
    </xf>
    <xf numFmtId="0" fontId="0" fillId="0" borderId="4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7" borderId="4" xfId="0" applyNumberForma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2" fillId="0" borderId="4" xfId="0" applyNumberFormat="1" applyFont="1" applyBorder="1" applyAlignment="1">
      <alignment horizontal="right"/>
    </xf>
    <xf numFmtId="0" fontId="2" fillId="7" borderId="0" xfId="0" applyFont="1" applyFill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</cellXfs>
  <cellStyles count="3">
    <cellStyle name="Komma" xfId="1" builtinId="3"/>
    <cellStyle name="Normal" xfId="0" builtinId="0"/>
    <cellStyle name="Pro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F51D2-2E47-42F4-ADB7-F88327354C03}">
  <sheetPr>
    <pageSetUpPr fitToPage="1"/>
  </sheetPr>
  <dimension ref="B3:U105"/>
  <sheetViews>
    <sheetView tabSelected="1" topLeftCell="A63" zoomScale="90" zoomScaleNormal="90" workbookViewId="0">
      <selection activeCell="U6" sqref="U6"/>
    </sheetView>
  </sheetViews>
  <sheetFormatPr defaultRowHeight="14.4" x14ac:dyDescent="0.3"/>
  <cols>
    <col min="2" max="2" width="71.33203125" customWidth="1"/>
    <col min="3" max="3" width="3.5546875" customWidth="1"/>
    <col min="5" max="5" width="10.5546875" customWidth="1"/>
    <col min="6" max="8" width="8.6640625" customWidth="1"/>
    <col min="9" max="9" width="6.6640625" customWidth="1"/>
    <col min="11" max="11" width="3" customWidth="1"/>
    <col min="13" max="13" width="3.6640625" customWidth="1"/>
    <col min="14" max="14" width="10.5546875" style="43" customWidth="1"/>
    <col min="15" max="15" width="12.6640625" customWidth="1"/>
    <col min="16" max="16" width="3.33203125" customWidth="1"/>
    <col min="17" max="17" width="10.5546875" style="43" customWidth="1"/>
    <col min="18" max="18" width="12.6640625" customWidth="1"/>
    <col min="19" max="19" width="4.33203125" customWidth="1"/>
    <col min="20" max="20" width="15" customWidth="1"/>
  </cols>
  <sheetData>
    <row r="3" spans="2:21" ht="21.6" thickBot="1" x14ac:dyDescent="0.45">
      <c r="B3" s="1" t="s">
        <v>27</v>
      </c>
      <c r="D3" s="2"/>
      <c r="E3" s="2"/>
      <c r="F3" s="2"/>
      <c r="G3" s="3"/>
      <c r="H3" s="3"/>
      <c r="I3" s="4"/>
      <c r="J3" s="3"/>
      <c r="L3" s="3"/>
      <c r="M3" s="11"/>
      <c r="N3" s="4"/>
      <c r="O3" s="3"/>
      <c r="Q3" s="4"/>
      <c r="R3" s="3"/>
    </row>
    <row r="4" spans="2:21" ht="15" thickBot="1" x14ac:dyDescent="0.35">
      <c r="B4" s="5" t="s">
        <v>86</v>
      </c>
      <c r="D4" s="6" t="s">
        <v>0</v>
      </c>
      <c r="E4" s="6" t="s">
        <v>1</v>
      </c>
      <c r="F4" s="6" t="s">
        <v>2</v>
      </c>
      <c r="G4" s="7" t="s">
        <v>3</v>
      </c>
      <c r="H4" s="7" t="s">
        <v>4</v>
      </c>
      <c r="I4" s="8" t="s">
        <v>5</v>
      </c>
      <c r="J4" s="7" t="s">
        <v>6</v>
      </c>
      <c r="L4" s="7" t="s">
        <v>6</v>
      </c>
      <c r="M4" s="41"/>
      <c r="N4" s="44" t="s">
        <v>122</v>
      </c>
      <c r="O4" s="45" t="s">
        <v>123</v>
      </c>
      <c r="Q4" s="57" t="s">
        <v>122</v>
      </c>
      <c r="R4" s="58" t="s">
        <v>137</v>
      </c>
    </row>
    <row r="5" spans="2:21" x14ac:dyDescent="0.3">
      <c r="N5" s="46"/>
      <c r="O5" s="47"/>
      <c r="Q5" s="59"/>
      <c r="R5" s="56"/>
    </row>
    <row r="6" spans="2:21" x14ac:dyDescent="0.3">
      <c r="B6" s="9" t="s">
        <v>7</v>
      </c>
      <c r="D6" s="10"/>
      <c r="E6" s="10"/>
      <c r="F6" s="10"/>
      <c r="G6" s="10"/>
      <c r="H6" s="11"/>
      <c r="I6" s="10"/>
      <c r="J6" s="11"/>
      <c r="L6" s="12">
        <f>SUM(J7:J9)</f>
        <v>21400</v>
      </c>
      <c r="M6" s="12"/>
      <c r="N6" s="48">
        <v>0.55000000000000004</v>
      </c>
      <c r="O6" s="49">
        <f>L6*N6</f>
        <v>11770.000000000002</v>
      </c>
      <c r="Q6" s="60">
        <v>1</v>
      </c>
      <c r="R6" s="61">
        <f>L6*Q6</f>
        <v>21400</v>
      </c>
      <c r="U6">
        <f>U70</f>
        <v>0</v>
      </c>
    </row>
    <row r="7" spans="2:21" x14ac:dyDescent="0.3">
      <c r="B7" t="s">
        <v>8</v>
      </c>
      <c r="D7" s="10" t="s">
        <v>9</v>
      </c>
      <c r="E7" s="10"/>
      <c r="F7" s="10"/>
      <c r="G7" s="10"/>
      <c r="H7" s="11">
        <v>12000</v>
      </c>
      <c r="I7" s="13"/>
      <c r="J7" s="11">
        <f>H7*I7+H7</f>
        <v>12000</v>
      </c>
      <c r="L7" s="12"/>
      <c r="M7" s="12"/>
      <c r="N7" s="48"/>
      <c r="O7" s="49"/>
      <c r="Q7" s="60"/>
      <c r="R7" s="61"/>
    </row>
    <row r="8" spans="2:21" x14ac:dyDescent="0.3">
      <c r="B8" t="s">
        <v>62</v>
      </c>
      <c r="D8" s="10" t="s">
        <v>9</v>
      </c>
      <c r="E8" s="11"/>
      <c r="F8" s="11"/>
      <c r="G8" s="11"/>
      <c r="H8" s="11">
        <v>6900</v>
      </c>
      <c r="I8" s="10"/>
      <c r="J8" s="11">
        <f>H8*I8+H8</f>
        <v>6900</v>
      </c>
      <c r="L8" s="9"/>
      <c r="M8" s="9"/>
      <c r="N8" s="46"/>
      <c r="O8" s="47"/>
      <c r="Q8" s="59"/>
      <c r="R8" s="56"/>
    </row>
    <row r="9" spans="2:21" x14ac:dyDescent="0.3">
      <c r="B9" t="s">
        <v>11</v>
      </c>
      <c r="C9" s="14"/>
      <c r="D9" s="10" t="s">
        <v>9</v>
      </c>
      <c r="E9" s="11"/>
      <c r="F9" s="11"/>
      <c r="G9" s="11"/>
      <c r="H9" s="11">
        <v>2500</v>
      </c>
      <c r="I9" s="10"/>
      <c r="J9" s="11">
        <f t="shared" ref="J9" si="0">H9*I9+H9</f>
        <v>2500</v>
      </c>
      <c r="L9" s="9"/>
      <c r="M9" s="9"/>
      <c r="N9" s="46"/>
      <c r="O9" s="47"/>
      <c r="Q9" s="59"/>
      <c r="R9" s="56"/>
    </row>
    <row r="10" spans="2:21" x14ac:dyDescent="0.3">
      <c r="E10" s="10"/>
      <c r="F10" s="10"/>
      <c r="G10" s="10"/>
      <c r="H10" s="11"/>
      <c r="I10" s="10"/>
      <c r="L10" s="9"/>
      <c r="M10" s="9"/>
      <c r="N10" s="46"/>
      <c r="O10" s="47"/>
      <c r="Q10" s="59"/>
      <c r="R10" s="56"/>
    </row>
    <row r="11" spans="2:21" ht="21" x14ac:dyDescent="0.4">
      <c r="B11" s="1" t="s">
        <v>24</v>
      </c>
      <c r="N11" s="46"/>
      <c r="O11" s="47"/>
      <c r="Q11" s="59"/>
      <c r="R11" s="56"/>
    </row>
    <row r="12" spans="2:21" x14ac:dyDescent="0.3">
      <c r="N12" s="46"/>
      <c r="O12" s="47"/>
      <c r="Q12" s="59"/>
      <c r="R12" s="56"/>
    </row>
    <row r="13" spans="2:21" x14ac:dyDescent="0.3">
      <c r="B13" s="9" t="s">
        <v>14</v>
      </c>
      <c r="L13" s="12">
        <f>SUM(J14:J16)</f>
        <v>14445.25</v>
      </c>
      <c r="M13" s="12"/>
      <c r="N13" s="48">
        <v>0.9</v>
      </c>
      <c r="O13" s="49">
        <f>L13*N13</f>
        <v>13000.725</v>
      </c>
      <c r="Q13" s="60">
        <v>1</v>
      </c>
      <c r="R13" s="61">
        <f>L13*Q13</f>
        <v>14445.25</v>
      </c>
    </row>
    <row r="14" spans="2:21" x14ac:dyDescent="0.3">
      <c r="B14" t="s">
        <v>83</v>
      </c>
      <c r="D14" s="10" t="s">
        <v>9</v>
      </c>
      <c r="E14" s="11">
        <v>6</v>
      </c>
      <c r="F14" s="11">
        <v>585</v>
      </c>
      <c r="G14" s="11">
        <v>4500</v>
      </c>
      <c r="H14" s="11">
        <f>(E14*F14)+G14</f>
        <v>8010</v>
      </c>
      <c r="I14" s="10"/>
      <c r="J14" s="11">
        <f t="shared" ref="J14" si="1">H14*I14+H14</f>
        <v>8010</v>
      </c>
      <c r="N14" s="46"/>
      <c r="O14" s="47"/>
      <c r="Q14" s="59"/>
      <c r="R14" s="56"/>
    </row>
    <row r="15" spans="2:21" x14ac:dyDescent="0.3">
      <c r="B15" t="s">
        <v>25</v>
      </c>
      <c r="D15" s="10" t="s">
        <v>9</v>
      </c>
      <c r="E15" s="11">
        <v>1</v>
      </c>
      <c r="F15" s="11">
        <v>585</v>
      </c>
      <c r="G15" s="11">
        <v>500</v>
      </c>
      <c r="H15" s="11">
        <f>(E15*F15)+G15</f>
        <v>1085</v>
      </c>
      <c r="I15" s="13">
        <v>0.15</v>
      </c>
      <c r="J15" s="11">
        <f t="shared" ref="J15" si="2">H15*I15+H15</f>
        <v>1247.75</v>
      </c>
      <c r="N15" s="46"/>
      <c r="O15" s="47"/>
      <c r="Q15" s="59"/>
      <c r="R15" s="56"/>
    </row>
    <row r="16" spans="2:21" x14ac:dyDescent="0.3">
      <c r="B16" t="s">
        <v>15</v>
      </c>
      <c r="D16" s="10" t="s">
        <v>9</v>
      </c>
      <c r="E16" s="11">
        <v>7.5</v>
      </c>
      <c r="F16" s="11">
        <v>585</v>
      </c>
      <c r="G16" s="11">
        <v>800</v>
      </c>
      <c r="H16" s="11">
        <f>(E16*F16)+G16</f>
        <v>5187.5</v>
      </c>
      <c r="I16" s="13"/>
      <c r="J16" s="11">
        <f t="shared" ref="J16" si="3">H16*I16+H16</f>
        <v>5187.5</v>
      </c>
      <c r="N16" s="46"/>
      <c r="O16" s="47"/>
      <c r="Q16" s="59"/>
      <c r="R16" s="56"/>
    </row>
    <row r="17" spans="2:18" x14ac:dyDescent="0.3">
      <c r="N17" s="46"/>
      <c r="O17" s="47"/>
      <c r="Q17" s="59"/>
      <c r="R17" s="56"/>
    </row>
    <row r="18" spans="2:18" x14ac:dyDescent="0.3">
      <c r="B18" s="9" t="s">
        <v>16</v>
      </c>
      <c r="L18" s="12">
        <f>SUM(J19:J21)</f>
        <v>3450</v>
      </c>
      <c r="M18" s="12"/>
      <c r="N18" s="48">
        <v>1</v>
      </c>
      <c r="O18" s="49">
        <f>L18*N18</f>
        <v>3450</v>
      </c>
      <c r="Q18" s="60">
        <v>1</v>
      </c>
      <c r="R18" s="61">
        <f>L18*Q18</f>
        <v>3450</v>
      </c>
    </row>
    <row r="19" spans="2:18" x14ac:dyDescent="0.3">
      <c r="B19" t="s">
        <v>17</v>
      </c>
      <c r="D19" s="10" t="s">
        <v>26</v>
      </c>
      <c r="E19" s="11"/>
      <c r="F19" s="11"/>
      <c r="G19" s="11"/>
      <c r="H19" s="11">
        <v>1000</v>
      </c>
      <c r="I19" s="13">
        <v>0.15</v>
      </c>
      <c r="J19" s="11">
        <f t="shared" ref="J19" si="4">H19*I19+H19</f>
        <v>1150</v>
      </c>
      <c r="N19" s="46"/>
      <c r="O19" s="47"/>
      <c r="Q19" s="59"/>
      <c r="R19" s="56"/>
    </row>
    <row r="20" spans="2:18" x14ac:dyDescent="0.3">
      <c r="B20" t="s">
        <v>18</v>
      </c>
      <c r="D20" s="10" t="s">
        <v>26</v>
      </c>
      <c r="E20" s="11"/>
      <c r="F20" s="11"/>
      <c r="G20" s="11"/>
      <c r="H20" s="11">
        <v>1000</v>
      </c>
      <c r="I20" s="13">
        <v>0.15</v>
      </c>
      <c r="J20" s="11">
        <f t="shared" ref="J20:J21" si="5">H20*I20+H20</f>
        <v>1150</v>
      </c>
      <c r="N20" s="46"/>
      <c r="O20" s="47"/>
      <c r="Q20" s="59"/>
      <c r="R20" s="56"/>
    </row>
    <row r="21" spans="2:18" x14ac:dyDescent="0.3">
      <c r="B21" t="s">
        <v>19</v>
      </c>
      <c r="D21" s="10" t="s">
        <v>26</v>
      </c>
      <c r="E21" s="11"/>
      <c r="F21" s="11"/>
      <c r="G21" s="11"/>
      <c r="H21" s="11">
        <v>1000</v>
      </c>
      <c r="I21" s="13">
        <v>0.15</v>
      </c>
      <c r="J21" s="11">
        <f t="shared" si="5"/>
        <v>1150</v>
      </c>
      <c r="N21" s="46"/>
      <c r="O21" s="47"/>
      <c r="Q21" s="59"/>
      <c r="R21" s="56"/>
    </row>
    <row r="22" spans="2:18" x14ac:dyDescent="0.3">
      <c r="N22" s="46"/>
      <c r="O22" s="47"/>
      <c r="Q22" s="59"/>
      <c r="R22" s="56"/>
    </row>
    <row r="23" spans="2:18" x14ac:dyDescent="0.3">
      <c r="B23" s="9" t="s">
        <v>22</v>
      </c>
      <c r="L23" s="12">
        <f>SUM(J24:J25)</f>
        <v>1470</v>
      </c>
      <c r="M23" s="12"/>
      <c r="N23" s="48">
        <v>1</v>
      </c>
      <c r="O23" s="49">
        <f>L23*N23</f>
        <v>1470</v>
      </c>
      <c r="Q23" s="60">
        <v>1</v>
      </c>
      <c r="R23" s="61">
        <f>L23*Q23</f>
        <v>1470</v>
      </c>
    </row>
    <row r="24" spans="2:18" x14ac:dyDescent="0.3">
      <c r="B24" t="s">
        <v>79</v>
      </c>
      <c r="D24" s="10" t="s">
        <v>9</v>
      </c>
      <c r="E24" s="11">
        <v>2</v>
      </c>
      <c r="F24" s="11">
        <v>585</v>
      </c>
      <c r="G24" s="11">
        <v>300</v>
      </c>
      <c r="H24" s="11">
        <f>(E24*F24)+G24</f>
        <v>1470</v>
      </c>
      <c r="I24" s="10"/>
      <c r="J24" s="11">
        <f t="shared" ref="J24" si="6">H24*I24+H24</f>
        <v>1470</v>
      </c>
      <c r="N24" s="46"/>
      <c r="O24" s="47"/>
      <c r="Q24" s="59"/>
      <c r="R24" s="56"/>
    </row>
    <row r="25" spans="2:18" x14ac:dyDescent="0.3">
      <c r="N25" s="46"/>
      <c r="O25" s="47"/>
      <c r="Q25" s="59"/>
      <c r="R25" s="56"/>
    </row>
    <row r="26" spans="2:18" x14ac:dyDescent="0.3">
      <c r="B26" s="9" t="s">
        <v>20</v>
      </c>
      <c r="L26" s="12">
        <f>SUM(J27:J28)</f>
        <v>0</v>
      </c>
      <c r="M26" s="12"/>
      <c r="N26" s="48"/>
      <c r="O26" s="49"/>
      <c r="Q26" s="60"/>
      <c r="R26" s="61"/>
    </row>
    <row r="27" spans="2:18" x14ac:dyDescent="0.3">
      <c r="B27" s="14" t="s">
        <v>21</v>
      </c>
      <c r="D27" s="14" t="s">
        <v>10</v>
      </c>
      <c r="J27" s="15">
        <v>0</v>
      </c>
      <c r="N27" s="46"/>
      <c r="O27" s="47"/>
      <c r="Q27" s="59"/>
      <c r="R27" s="56"/>
    </row>
    <row r="28" spans="2:18" x14ac:dyDescent="0.3">
      <c r="N28" s="46"/>
      <c r="O28" s="47"/>
      <c r="Q28" s="59"/>
      <c r="R28" s="56"/>
    </row>
    <row r="29" spans="2:18" ht="21" x14ac:dyDescent="0.4">
      <c r="B29" s="1" t="s">
        <v>23</v>
      </c>
      <c r="N29" s="46"/>
      <c r="O29" s="47"/>
      <c r="Q29" s="59"/>
      <c r="R29" s="56"/>
    </row>
    <row r="30" spans="2:18" x14ac:dyDescent="0.3">
      <c r="N30" s="46"/>
      <c r="O30" s="47"/>
      <c r="Q30" s="59"/>
      <c r="R30" s="56"/>
    </row>
    <row r="31" spans="2:18" x14ac:dyDescent="0.3">
      <c r="B31" s="9" t="s">
        <v>12</v>
      </c>
      <c r="L31" s="12">
        <f>SUM(J32:J35)</f>
        <v>11115</v>
      </c>
      <c r="M31" s="12"/>
      <c r="N31" s="48">
        <v>1</v>
      </c>
      <c r="O31" s="49">
        <f>L31*N31</f>
        <v>11115</v>
      </c>
      <c r="Q31" s="60">
        <v>1</v>
      </c>
      <c r="R31" s="61">
        <f>L31*Q31</f>
        <v>11115</v>
      </c>
    </row>
    <row r="32" spans="2:18" x14ac:dyDescent="0.3">
      <c r="B32" t="s">
        <v>28</v>
      </c>
      <c r="D32" s="10" t="s">
        <v>9</v>
      </c>
      <c r="E32" s="11">
        <v>6</v>
      </c>
      <c r="F32" s="11">
        <v>585</v>
      </c>
      <c r="G32" s="11"/>
      <c r="H32" s="11">
        <f>(E32*F32)+G32</f>
        <v>3510</v>
      </c>
      <c r="I32" s="10"/>
      <c r="J32" s="11">
        <f t="shared" ref="J32" si="7">H32*I32+H32</f>
        <v>3510</v>
      </c>
      <c r="N32" s="46"/>
      <c r="O32" s="47"/>
      <c r="Q32" s="59"/>
      <c r="R32" s="56"/>
    </row>
    <row r="33" spans="2:18" x14ac:dyDescent="0.3">
      <c r="B33" t="s">
        <v>30</v>
      </c>
      <c r="D33" s="10" t="s">
        <v>9</v>
      </c>
      <c r="E33" s="11">
        <v>5</v>
      </c>
      <c r="F33" s="11">
        <v>585</v>
      </c>
      <c r="G33" s="11"/>
      <c r="H33" s="11">
        <f>(E33*F33)+G33</f>
        <v>2925</v>
      </c>
      <c r="I33" s="10"/>
      <c r="J33" s="11">
        <f t="shared" ref="J33" si="8">H33*I33+H33</f>
        <v>2925</v>
      </c>
      <c r="N33" s="46"/>
      <c r="O33" s="47"/>
      <c r="Q33" s="59"/>
      <c r="R33" s="56"/>
    </row>
    <row r="34" spans="2:18" x14ac:dyDescent="0.3">
      <c r="B34" t="s">
        <v>31</v>
      </c>
      <c r="D34" s="10" t="s">
        <v>9</v>
      </c>
      <c r="E34" s="11">
        <v>4</v>
      </c>
      <c r="F34" s="11">
        <v>585</v>
      </c>
      <c r="G34" s="11"/>
      <c r="H34" s="11">
        <f>(E34*F34)+G34</f>
        <v>2340</v>
      </c>
      <c r="I34" s="10"/>
      <c r="J34" s="11">
        <f t="shared" ref="J34:J35" si="9">H34*I34+H34</f>
        <v>2340</v>
      </c>
      <c r="N34" s="46"/>
      <c r="O34" s="47"/>
      <c r="Q34" s="59"/>
      <c r="R34" s="56"/>
    </row>
    <row r="35" spans="2:18" x14ac:dyDescent="0.3">
      <c r="B35" t="s">
        <v>29</v>
      </c>
      <c r="D35" s="10" t="s">
        <v>9</v>
      </c>
      <c r="E35" s="11">
        <v>4</v>
      </c>
      <c r="F35" s="11">
        <v>585</v>
      </c>
      <c r="G35" s="11"/>
      <c r="H35" s="11">
        <f>(E35*F35)+G35</f>
        <v>2340</v>
      </c>
      <c r="I35" s="10"/>
      <c r="J35" s="11">
        <f t="shared" si="9"/>
        <v>2340</v>
      </c>
      <c r="N35" s="46"/>
      <c r="O35" s="47"/>
      <c r="Q35" s="59"/>
      <c r="R35" s="56"/>
    </row>
    <row r="36" spans="2:18" x14ac:dyDescent="0.3">
      <c r="N36" s="46"/>
      <c r="O36" s="47"/>
      <c r="Q36" s="59"/>
      <c r="R36" s="56"/>
    </row>
    <row r="37" spans="2:18" x14ac:dyDescent="0.3">
      <c r="B37" s="9" t="s">
        <v>22</v>
      </c>
      <c r="L37" s="12">
        <f>SUM(J38:J47)</f>
        <v>79298.25</v>
      </c>
      <c r="M37" s="12"/>
      <c r="N37" s="48">
        <v>0.45</v>
      </c>
      <c r="O37" s="49">
        <f>L37*N37</f>
        <v>35684.212500000001</v>
      </c>
      <c r="Q37" s="60">
        <v>1</v>
      </c>
      <c r="R37" s="61">
        <f>L37*Q37</f>
        <v>79298.25</v>
      </c>
    </row>
    <row r="38" spans="2:18" x14ac:dyDescent="0.3">
      <c r="B38" t="s">
        <v>33</v>
      </c>
      <c r="D38" s="10" t="s">
        <v>9</v>
      </c>
      <c r="E38" s="11">
        <v>12</v>
      </c>
      <c r="F38" s="11">
        <v>585</v>
      </c>
      <c r="G38" s="11">
        <v>1000</v>
      </c>
      <c r="H38" s="11">
        <f>(E38*F38)+G38</f>
        <v>8020</v>
      </c>
      <c r="I38" s="13">
        <v>0.15</v>
      </c>
      <c r="J38" s="11">
        <f>H38*I38+H38</f>
        <v>9223</v>
      </c>
      <c r="N38" s="46"/>
      <c r="O38" s="47"/>
      <c r="Q38" s="59"/>
      <c r="R38" s="56"/>
    </row>
    <row r="39" spans="2:18" x14ac:dyDescent="0.3">
      <c r="B39" t="s">
        <v>34</v>
      </c>
      <c r="D39" s="10" t="s">
        <v>9</v>
      </c>
      <c r="E39" s="11">
        <v>5</v>
      </c>
      <c r="F39" s="11">
        <v>585</v>
      </c>
      <c r="G39" s="11">
        <v>2500</v>
      </c>
      <c r="H39" s="11">
        <f t="shared" ref="H39:H47" si="10">(E39*F39)+G39</f>
        <v>5425</v>
      </c>
      <c r="I39" s="13">
        <v>0.15</v>
      </c>
      <c r="J39" s="11">
        <f t="shared" ref="J39" si="11">H39*I39+H39</f>
        <v>6238.75</v>
      </c>
      <c r="N39" s="46"/>
      <c r="O39" s="47"/>
      <c r="Q39" s="59"/>
      <c r="R39" s="56"/>
    </row>
    <row r="40" spans="2:18" x14ac:dyDescent="0.3">
      <c r="B40" t="s">
        <v>35</v>
      </c>
      <c r="D40" s="10" t="s">
        <v>9</v>
      </c>
      <c r="E40" s="11">
        <v>5</v>
      </c>
      <c r="F40" s="11">
        <v>585</v>
      </c>
      <c r="G40" s="11">
        <v>400</v>
      </c>
      <c r="H40" s="11">
        <f t="shared" si="10"/>
        <v>3325</v>
      </c>
      <c r="I40" s="13">
        <v>0.15</v>
      </c>
      <c r="J40" s="11">
        <f t="shared" ref="J40" si="12">H40*I40+H40</f>
        <v>3823.75</v>
      </c>
      <c r="N40" s="46"/>
      <c r="O40" s="47"/>
      <c r="Q40" s="59"/>
      <c r="R40" s="56"/>
    </row>
    <row r="41" spans="2:18" x14ac:dyDescent="0.3">
      <c r="B41" t="s">
        <v>36</v>
      </c>
      <c r="D41" s="10" t="s">
        <v>9</v>
      </c>
      <c r="E41" s="11">
        <v>2</v>
      </c>
      <c r="F41" s="11">
        <v>585</v>
      </c>
      <c r="G41" s="11">
        <v>400</v>
      </c>
      <c r="H41" s="11">
        <f t="shared" si="10"/>
        <v>1570</v>
      </c>
      <c r="I41" s="13">
        <v>0.15</v>
      </c>
      <c r="J41" s="11">
        <f t="shared" ref="J41" si="13">H41*I41+H41</f>
        <v>1805.5</v>
      </c>
      <c r="N41" s="46"/>
      <c r="O41" s="47"/>
      <c r="Q41" s="59"/>
      <c r="R41" s="56"/>
    </row>
    <row r="42" spans="2:18" x14ac:dyDescent="0.3">
      <c r="B42" t="s">
        <v>37</v>
      </c>
      <c r="D42" s="10" t="s">
        <v>9</v>
      </c>
      <c r="E42" s="11">
        <v>10</v>
      </c>
      <c r="F42" s="11">
        <v>585</v>
      </c>
      <c r="G42" s="11">
        <v>2500</v>
      </c>
      <c r="H42" s="11">
        <f t="shared" si="10"/>
        <v>8350</v>
      </c>
      <c r="I42" s="13">
        <v>0.15</v>
      </c>
      <c r="J42" s="11">
        <f t="shared" ref="J42:J44" si="14">H42*I42+H42</f>
        <v>9602.5</v>
      </c>
      <c r="N42" s="46"/>
      <c r="O42" s="47"/>
      <c r="Q42" s="59"/>
      <c r="R42" s="56"/>
    </row>
    <row r="43" spans="2:18" x14ac:dyDescent="0.3">
      <c r="B43" t="s">
        <v>38</v>
      </c>
      <c r="D43" s="10" t="s">
        <v>9</v>
      </c>
      <c r="E43" s="11">
        <v>2</v>
      </c>
      <c r="F43" s="11">
        <v>585</v>
      </c>
      <c r="G43" s="11">
        <v>400</v>
      </c>
      <c r="H43" s="11">
        <f t="shared" si="10"/>
        <v>1570</v>
      </c>
      <c r="I43" s="13">
        <v>0.15</v>
      </c>
      <c r="J43" s="11">
        <f t="shared" si="14"/>
        <v>1805.5</v>
      </c>
      <c r="N43" s="46"/>
      <c r="O43" s="47"/>
      <c r="Q43" s="59"/>
      <c r="R43" s="56"/>
    </row>
    <row r="44" spans="2:18" x14ac:dyDescent="0.3">
      <c r="B44" t="s">
        <v>39</v>
      </c>
      <c r="D44" s="10" t="s">
        <v>9</v>
      </c>
      <c r="E44" s="11">
        <v>6</v>
      </c>
      <c r="F44" s="11">
        <v>585</v>
      </c>
      <c r="G44" s="11">
        <v>2400</v>
      </c>
      <c r="H44" s="11">
        <f t="shared" si="10"/>
        <v>5910</v>
      </c>
      <c r="I44" s="13">
        <v>0.15</v>
      </c>
      <c r="J44" s="11">
        <f t="shared" si="14"/>
        <v>6796.5</v>
      </c>
      <c r="N44" s="46"/>
      <c r="O44" s="47"/>
      <c r="Q44" s="59"/>
      <c r="R44" s="56"/>
    </row>
    <row r="45" spans="2:18" x14ac:dyDescent="0.3">
      <c r="B45" t="s">
        <v>40</v>
      </c>
      <c r="D45" s="10" t="s">
        <v>9</v>
      </c>
      <c r="E45" s="11">
        <v>35</v>
      </c>
      <c r="F45" s="11">
        <v>585</v>
      </c>
      <c r="G45" s="11">
        <v>1800</v>
      </c>
      <c r="H45" s="11">
        <f t="shared" si="10"/>
        <v>22275</v>
      </c>
      <c r="I45" s="13">
        <v>0.15</v>
      </c>
      <c r="J45" s="11">
        <f t="shared" ref="J45" si="15">H45*I45+H45</f>
        <v>25616.25</v>
      </c>
      <c r="N45" s="46"/>
      <c r="O45" s="47"/>
      <c r="Q45" s="59"/>
      <c r="R45" s="56"/>
    </row>
    <row r="46" spans="2:18" x14ac:dyDescent="0.3">
      <c r="B46" t="s">
        <v>56</v>
      </c>
      <c r="D46" s="10" t="s">
        <v>9</v>
      </c>
      <c r="E46" s="11"/>
      <c r="F46" s="11"/>
      <c r="G46" s="11">
        <v>8000</v>
      </c>
      <c r="H46" s="11">
        <f t="shared" si="10"/>
        <v>8000</v>
      </c>
      <c r="I46" s="13">
        <v>0.15</v>
      </c>
      <c r="J46" s="11">
        <f t="shared" ref="J46:J47" si="16">H46*I46+H46</f>
        <v>9200</v>
      </c>
      <c r="N46" s="46"/>
      <c r="O46" s="47"/>
      <c r="Q46" s="59"/>
      <c r="R46" s="56"/>
    </row>
    <row r="47" spans="2:18" x14ac:dyDescent="0.3">
      <c r="B47" t="s">
        <v>41</v>
      </c>
      <c r="D47" s="10" t="s">
        <v>9</v>
      </c>
      <c r="E47" s="11">
        <v>6</v>
      </c>
      <c r="F47" s="11">
        <v>585</v>
      </c>
      <c r="G47" s="11">
        <v>1000</v>
      </c>
      <c r="H47" s="11">
        <f t="shared" si="10"/>
        <v>4510</v>
      </c>
      <c r="I47" s="13">
        <v>0.15</v>
      </c>
      <c r="J47" s="11">
        <f t="shared" si="16"/>
        <v>5186.5</v>
      </c>
      <c r="N47" s="46"/>
      <c r="O47" s="47"/>
      <c r="Q47" s="59"/>
      <c r="R47" s="56"/>
    </row>
    <row r="48" spans="2:18" x14ac:dyDescent="0.3">
      <c r="N48" s="46"/>
      <c r="O48" s="47"/>
      <c r="Q48" s="59"/>
      <c r="R48" s="56"/>
    </row>
    <row r="49" spans="2:18" x14ac:dyDescent="0.3">
      <c r="B49" s="9" t="s">
        <v>14</v>
      </c>
      <c r="L49" s="12">
        <f>SUM(J50:J58)</f>
        <v>52350.875</v>
      </c>
      <c r="M49" s="12"/>
      <c r="N49" s="48">
        <v>0.7</v>
      </c>
      <c r="O49" s="49">
        <f>L49*N49</f>
        <v>36645.612499999996</v>
      </c>
      <c r="Q49" s="60">
        <v>1</v>
      </c>
      <c r="R49" s="61">
        <f>L49*Q49</f>
        <v>52350.875</v>
      </c>
    </row>
    <row r="50" spans="2:18" x14ac:dyDescent="0.3">
      <c r="B50" t="s">
        <v>43</v>
      </c>
      <c r="D50" s="10" t="s">
        <v>9</v>
      </c>
      <c r="E50" s="11">
        <v>4</v>
      </c>
      <c r="F50" s="11">
        <v>585</v>
      </c>
      <c r="G50" s="11">
        <v>500</v>
      </c>
      <c r="H50" s="11">
        <f t="shared" ref="H50:H58" si="17">(E50*F50)+G50</f>
        <v>2840</v>
      </c>
      <c r="I50" s="13">
        <v>0.15</v>
      </c>
      <c r="J50" s="11">
        <f t="shared" ref="J50" si="18">H50*I50+H50</f>
        <v>3266</v>
      </c>
      <c r="N50" s="46"/>
      <c r="O50" s="47"/>
      <c r="Q50" s="59"/>
      <c r="R50" s="56"/>
    </row>
    <row r="51" spans="2:18" x14ac:dyDescent="0.3">
      <c r="B51" t="s">
        <v>44</v>
      </c>
      <c r="D51" s="10" t="s">
        <v>9</v>
      </c>
      <c r="E51" s="11">
        <v>30</v>
      </c>
      <c r="F51" s="11">
        <v>585</v>
      </c>
      <c r="G51" s="11">
        <v>2000</v>
      </c>
      <c r="H51" s="11">
        <f t="shared" si="17"/>
        <v>19550</v>
      </c>
      <c r="I51" s="13">
        <v>0.15</v>
      </c>
      <c r="J51" s="11">
        <f t="shared" ref="J51" si="19">H51*I51+H51</f>
        <v>22482.5</v>
      </c>
      <c r="N51" s="46"/>
      <c r="O51" s="47"/>
      <c r="Q51" s="59"/>
      <c r="R51" s="56"/>
    </row>
    <row r="52" spans="2:18" x14ac:dyDescent="0.3">
      <c r="B52" t="s">
        <v>48</v>
      </c>
      <c r="D52" s="10" t="s">
        <v>9</v>
      </c>
      <c r="E52" s="11">
        <v>3</v>
      </c>
      <c r="F52" s="11">
        <v>585</v>
      </c>
      <c r="G52" s="11">
        <v>300</v>
      </c>
      <c r="H52" s="11">
        <f t="shared" si="17"/>
        <v>2055</v>
      </c>
      <c r="I52" s="13">
        <v>0.15</v>
      </c>
      <c r="J52" s="11">
        <f t="shared" ref="J52" si="20">H52*I52+H52</f>
        <v>2363.25</v>
      </c>
      <c r="N52" s="46"/>
      <c r="O52" s="47"/>
      <c r="Q52" s="59"/>
      <c r="R52" s="56"/>
    </row>
    <row r="53" spans="2:18" x14ac:dyDescent="0.3">
      <c r="B53" t="s">
        <v>25</v>
      </c>
      <c r="D53" s="10" t="s">
        <v>9</v>
      </c>
      <c r="E53" s="11">
        <v>1</v>
      </c>
      <c r="F53" s="11">
        <v>585</v>
      </c>
      <c r="G53" s="11">
        <v>500</v>
      </c>
      <c r="H53" s="11">
        <f t="shared" si="17"/>
        <v>1085</v>
      </c>
      <c r="I53" s="13">
        <v>0.15</v>
      </c>
      <c r="J53" s="11">
        <f t="shared" ref="J53" si="21">H53*I53+H53</f>
        <v>1247.75</v>
      </c>
      <c r="N53" s="46"/>
      <c r="O53" s="47"/>
      <c r="Q53" s="59"/>
      <c r="R53" s="56"/>
    </row>
    <row r="54" spans="2:18" x14ac:dyDescent="0.3">
      <c r="B54" t="s">
        <v>57</v>
      </c>
      <c r="D54" s="10" t="s">
        <v>9</v>
      </c>
      <c r="E54" s="11">
        <v>2</v>
      </c>
      <c r="F54" s="11">
        <v>585</v>
      </c>
      <c r="G54" s="11"/>
      <c r="H54" s="11">
        <f t="shared" si="17"/>
        <v>1170</v>
      </c>
      <c r="I54" s="13">
        <v>0.15</v>
      </c>
      <c r="J54" s="11">
        <f t="shared" ref="J54" si="22">H54*I54+H54</f>
        <v>1345.5</v>
      </c>
      <c r="N54" s="46"/>
      <c r="O54" s="47"/>
      <c r="Q54" s="59"/>
      <c r="R54" s="56"/>
    </row>
    <row r="55" spans="2:18" x14ac:dyDescent="0.3">
      <c r="B55" t="s">
        <v>45</v>
      </c>
      <c r="D55" s="10" t="s">
        <v>9</v>
      </c>
      <c r="E55" s="11">
        <v>6</v>
      </c>
      <c r="F55" s="11">
        <v>585</v>
      </c>
      <c r="G55" s="11">
        <v>800</v>
      </c>
      <c r="H55" s="11">
        <f t="shared" si="17"/>
        <v>4310</v>
      </c>
      <c r="I55" s="13">
        <v>0.15</v>
      </c>
      <c r="J55" s="11">
        <f t="shared" ref="J55" si="23">H55*I55+H55</f>
        <v>4956.5</v>
      </c>
      <c r="N55" s="46"/>
      <c r="O55" s="47"/>
      <c r="Q55" s="59"/>
      <c r="R55" s="56"/>
    </row>
    <row r="56" spans="2:18" x14ac:dyDescent="0.3">
      <c r="B56" t="s">
        <v>46</v>
      </c>
      <c r="D56" s="10" t="s">
        <v>9</v>
      </c>
      <c r="E56" s="11">
        <v>10</v>
      </c>
      <c r="F56" s="11">
        <v>585</v>
      </c>
      <c r="G56" s="11">
        <v>1000</v>
      </c>
      <c r="H56" s="11">
        <f t="shared" si="17"/>
        <v>6850</v>
      </c>
      <c r="I56" s="13">
        <v>0.15</v>
      </c>
      <c r="J56" s="11">
        <f t="shared" ref="J56" si="24">H56*I56+H56</f>
        <v>7877.5</v>
      </c>
      <c r="N56" s="46"/>
      <c r="O56" s="47"/>
      <c r="Q56" s="59"/>
      <c r="R56" s="56"/>
    </row>
    <row r="57" spans="2:18" x14ac:dyDescent="0.3">
      <c r="B57" t="s">
        <v>47</v>
      </c>
      <c r="D57" s="10" t="s">
        <v>9</v>
      </c>
      <c r="E57" s="11">
        <v>2.5</v>
      </c>
      <c r="F57" s="11">
        <v>585</v>
      </c>
      <c r="G57" s="11">
        <v>200</v>
      </c>
      <c r="H57" s="11">
        <f t="shared" si="17"/>
        <v>1662.5</v>
      </c>
      <c r="I57" s="13">
        <v>0.15</v>
      </c>
      <c r="J57" s="11">
        <f t="shared" ref="J57" si="25">H57*I57+H57</f>
        <v>1911.875</v>
      </c>
      <c r="N57" s="46"/>
      <c r="O57" s="47"/>
      <c r="Q57" s="59"/>
      <c r="R57" s="56"/>
    </row>
    <row r="58" spans="2:18" x14ac:dyDescent="0.3">
      <c r="B58" t="s">
        <v>87</v>
      </c>
      <c r="D58" s="10" t="s">
        <v>9</v>
      </c>
      <c r="E58" s="11"/>
      <c r="F58" s="11"/>
      <c r="G58" s="11">
        <v>6000</v>
      </c>
      <c r="H58" s="11">
        <f t="shared" si="17"/>
        <v>6000</v>
      </c>
      <c r="I58" s="13">
        <v>0.15</v>
      </c>
      <c r="J58" s="11">
        <f t="shared" ref="J58" si="26">H58*I58+H58</f>
        <v>6900</v>
      </c>
      <c r="N58" s="46"/>
      <c r="O58" s="47"/>
      <c r="Q58" s="59"/>
      <c r="R58" s="56"/>
    </row>
    <row r="59" spans="2:18" x14ac:dyDescent="0.3">
      <c r="N59" s="46"/>
      <c r="O59" s="47"/>
      <c r="Q59" s="59"/>
      <c r="R59" s="56"/>
    </row>
    <row r="60" spans="2:18" x14ac:dyDescent="0.3">
      <c r="B60" s="9" t="s">
        <v>13</v>
      </c>
      <c r="L60" s="12">
        <f>SUM(J61:J70)</f>
        <v>63050</v>
      </c>
      <c r="M60" s="12"/>
      <c r="N60" s="48">
        <v>0.6</v>
      </c>
      <c r="O60" s="49">
        <f>L60*N60</f>
        <v>37830</v>
      </c>
      <c r="Q60" s="60">
        <v>0.9</v>
      </c>
      <c r="R60" s="61">
        <f>L60*Q60</f>
        <v>56745</v>
      </c>
    </row>
    <row r="61" spans="2:18" x14ac:dyDescent="0.3">
      <c r="B61" t="s">
        <v>69</v>
      </c>
      <c r="D61" s="10" t="s">
        <v>9</v>
      </c>
      <c r="E61">
        <v>4</v>
      </c>
      <c r="F61">
        <v>650</v>
      </c>
      <c r="G61" s="11">
        <v>400</v>
      </c>
      <c r="H61" s="11">
        <f t="shared" ref="H61:H68" si="27">(E61*F61)+G61</f>
        <v>3000</v>
      </c>
      <c r="I61" s="13"/>
      <c r="J61" s="11">
        <f t="shared" ref="J61:J68" si="28">H61*I61+H61</f>
        <v>3000</v>
      </c>
      <c r="N61" s="46"/>
      <c r="O61" s="47"/>
      <c r="Q61" s="59"/>
      <c r="R61" s="56"/>
    </row>
    <row r="62" spans="2:18" x14ac:dyDescent="0.3">
      <c r="B62" t="s">
        <v>32</v>
      </c>
      <c r="D62" s="10" t="s">
        <v>9</v>
      </c>
      <c r="E62">
        <v>5</v>
      </c>
      <c r="F62">
        <v>650</v>
      </c>
      <c r="G62" s="11">
        <v>400</v>
      </c>
      <c r="H62" s="11">
        <f t="shared" si="27"/>
        <v>3650</v>
      </c>
      <c r="I62" s="13"/>
      <c r="J62" s="11">
        <f t="shared" si="28"/>
        <v>3650</v>
      </c>
      <c r="N62" s="46"/>
      <c r="O62" s="47"/>
      <c r="Q62" s="59"/>
      <c r="R62" s="56"/>
    </row>
    <row r="63" spans="2:18" x14ac:dyDescent="0.3">
      <c r="B63" t="s">
        <v>63</v>
      </c>
      <c r="D63" s="10" t="s">
        <v>9</v>
      </c>
      <c r="E63">
        <v>15</v>
      </c>
      <c r="F63">
        <v>650</v>
      </c>
      <c r="G63" s="11">
        <v>5500</v>
      </c>
      <c r="H63" s="11">
        <f t="shared" si="27"/>
        <v>15250</v>
      </c>
      <c r="I63" s="13"/>
      <c r="J63" s="11">
        <f t="shared" si="28"/>
        <v>15250</v>
      </c>
      <c r="N63" s="46"/>
      <c r="O63" s="47"/>
      <c r="Q63" s="59"/>
      <c r="R63" s="56"/>
    </row>
    <row r="64" spans="2:18" x14ac:dyDescent="0.3">
      <c r="B64" t="s">
        <v>75</v>
      </c>
      <c r="D64" s="10" t="s">
        <v>9</v>
      </c>
      <c r="E64">
        <v>10</v>
      </c>
      <c r="F64">
        <v>650</v>
      </c>
      <c r="G64" s="11">
        <v>2000</v>
      </c>
      <c r="H64" s="11">
        <f t="shared" si="27"/>
        <v>8500</v>
      </c>
      <c r="I64" s="13"/>
      <c r="J64" s="11">
        <f t="shared" si="28"/>
        <v>8500</v>
      </c>
      <c r="N64" s="46"/>
      <c r="O64" s="47"/>
      <c r="Q64" s="59"/>
      <c r="R64" s="56"/>
    </row>
    <row r="65" spans="2:18" x14ac:dyDescent="0.3">
      <c r="B65" t="s">
        <v>76</v>
      </c>
      <c r="D65" s="10" t="s">
        <v>9</v>
      </c>
      <c r="E65">
        <v>8</v>
      </c>
      <c r="F65">
        <v>650</v>
      </c>
      <c r="G65" s="11">
        <v>4000</v>
      </c>
      <c r="H65" s="11">
        <f t="shared" si="27"/>
        <v>9200</v>
      </c>
      <c r="I65" s="13"/>
      <c r="J65" s="11">
        <f t="shared" si="28"/>
        <v>9200</v>
      </c>
      <c r="N65" s="46"/>
      <c r="O65" s="47"/>
      <c r="Q65" s="59"/>
      <c r="R65" s="56"/>
    </row>
    <row r="66" spans="2:18" x14ac:dyDescent="0.3">
      <c r="B66" t="s">
        <v>64</v>
      </c>
      <c r="D66" s="10" t="s">
        <v>9</v>
      </c>
      <c r="E66">
        <v>5</v>
      </c>
      <c r="F66">
        <v>650</v>
      </c>
      <c r="G66" s="11">
        <v>1500</v>
      </c>
      <c r="H66" s="11">
        <f t="shared" si="27"/>
        <v>4750</v>
      </c>
      <c r="I66" s="13"/>
      <c r="J66" s="11">
        <f t="shared" si="28"/>
        <v>4750</v>
      </c>
      <c r="N66" s="46"/>
      <c r="O66" s="47"/>
      <c r="Q66" s="59"/>
      <c r="R66" s="56"/>
    </row>
    <row r="67" spans="2:18" x14ac:dyDescent="0.3">
      <c r="B67" t="s">
        <v>65</v>
      </c>
      <c r="D67" s="10" t="s">
        <v>9</v>
      </c>
      <c r="E67">
        <v>3</v>
      </c>
      <c r="F67">
        <v>650</v>
      </c>
      <c r="G67" s="11">
        <v>2000</v>
      </c>
      <c r="H67" s="11">
        <f t="shared" si="27"/>
        <v>3950</v>
      </c>
      <c r="I67" s="13"/>
      <c r="J67" s="11">
        <f t="shared" si="28"/>
        <v>3950</v>
      </c>
      <c r="N67" s="46"/>
      <c r="O67" s="47"/>
      <c r="Q67" s="59"/>
      <c r="R67" s="56"/>
    </row>
    <row r="68" spans="2:18" x14ac:dyDescent="0.3">
      <c r="B68" t="s">
        <v>77</v>
      </c>
      <c r="D68" s="10" t="s">
        <v>9</v>
      </c>
      <c r="E68">
        <v>5</v>
      </c>
      <c r="F68">
        <v>650</v>
      </c>
      <c r="G68" s="11">
        <v>1000</v>
      </c>
      <c r="H68" s="11">
        <f t="shared" si="27"/>
        <v>4250</v>
      </c>
      <c r="I68" s="13"/>
      <c r="J68" s="11">
        <f t="shared" si="28"/>
        <v>4250</v>
      </c>
      <c r="N68" s="46"/>
      <c r="O68" s="47"/>
      <c r="Q68" s="59"/>
      <c r="R68" s="56"/>
    </row>
    <row r="69" spans="2:18" x14ac:dyDescent="0.3">
      <c r="B69" t="s">
        <v>78</v>
      </c>
      <c r="D69" s="10" t="s">
        <v>9</v>
      </c>
      <c r="E69">
        <v>5</v>
      </c>
      <c r="F69">
        <v>650</v>
      </c>
      <c r="G69" s="11">
        <v>500</v>
      </c>
      <c r="H69" s="11">
        <f t="shared" ref="H69" si="29">(E69*F69)+G69</f>
        <v>3750</v>
      </c>
      <c r="I69" s="13"/>
      <c r="J69" s="11">
        <f t="shared" ref="J69" si="30">H69*I69+H69</f>
        <v>3750</v>
      </c>
      <c r="N69" s="46"/>
      <c r="O69" s="47"/>
      <c r="Q69" s="59"/>
      <c r="R69" s="56"/>
    </row>
    <row r="70" spans="2:18" x14ac:dyDescent="0.3">
      <c r="B70" t="s">
        <v>84</v>
      </c>
      <c r="D70" s="10" t="s">
        <v>9</v>
      </c>
      <c r="E70">
        <v>5</v>
      </c>
      <c r="F70">
        <v>650</v>
      </c>
      <c r="G70" s="11">
        <v>3500</v>
      </c>
      <c r="H70" s="11">
        <f t="shared" ref="H70" si="31">(E70*F70)+G70</f>
        <v>6750</v>
      </c>
      <c r="I70" s="13"/>
      <c r="J70" s="11">
        <f t="shared" ref="J70" si="32">H70*I70+H70</f>
        <v>6750</v>
      </c>
      <c r="N70" s="46"/>
      <c r="O70" s="47"/>
      <c r="Q70" s="59"/>
      <c r="R70" s="56"/>
    </row>
    <row r="71" spans="2:18" x14ac:dyDescent="0.3">
      <c r="B71" s="18" t="s">
        <v>74</v>
      </c>
      <c r="H71" s="11"/>
      <c r="I71" s="13"/>
      <c r="N71" s="46"/>
      <c r="O71" s="47"/>
      <c r="Q71" s="59"/>
      <c r="R71" s="56"/>
    </row>
    <row r="72" spans="2:18" x14ac:dyDescent="0.3">
      <c r="B72" s="18"/>
      <c r="H72" s="11"/>
      <c r="I72" s="13"/>
      <c r="N72" s="46"/>
      <c r="O72" s="47"/>
      <c r="Q72" s="59"/>
      <c r="R72" s="56"/>
    </row>
    <row r="73" spans="2:18" x14ac:dyDescent="0.3">
      <c r="B73" s="9" t="s">
        <v>42</v>
      </c>
      <c r="H73" s="11"/>
      <c r="I73" s="13"/>
      <c r="J73" s="11"/>
      <c r="L73" s="12">
        <f>SUM(J73:J81)</f>
        <v>27140</v>
      </c>
      <c r="M73" s="12"/>
      <c r="N73" s="48">
        <v>0.3</v>
      </c>
      <c r="O73" s="49">
        <f>L73*N73</f>
        <v>8142</v>
      </c>
      <c r="Q73" s="60">
        <v>0.8</v>
      </c>
      <c r="R73" s="61">
        <f>L73*Q73</f>
        <v>21712</v>
      </c>
    </row>
    <row r="74" spans="2:18" x14ac:dyDescent="0.3">
      <c r="B74" t="s">
        <v>85</v>
      </c>
      <c r="D74" s="10" t="s">
        <v>9</v>
      </c>
      <c r="G74" s="11">
        <v>8000</v>
      </c>
      <c r="H74" s="11">
        <f t="shared" ref="H74:H77" si="33">(E74*F74)+G74</f>
        <v>8000</v>
      </c>
      <c r="I74" s="13">
        <v>0.15</v>
      </c>
      <c r="J74" s="11">
        <f t="shared" ref="J74:J77" si="34">H74*I74+H74</f>
        <v>9200</v>
      </c>
      <c r="N74" s="46"/>
      <c r="O74" s="47"/>
      <c r="Q74" s="59"/>
      <c r="R74" s="56"/>
    </row>
    <row r="75" spans="2:18" x14ac:dyDescent="0.3">
      <c r="B75" s="5" t="s">
        <v>71</v>
      </c>
      <c r="D75" s="10" t="s">
        <v>9</v>
      </c>
      <c r="G75" s="11">
        <f>2*1800</f>
        <v>3600</v>
      </c>
      <c r="H75" s="11">
        <f t="shared" si="33"/>
        <v>3600</v>
      </c>
      <c r="I75" s="13">
        <v>0.15</v>
      </c>
      <c r="J75" s="11">
        <f t="shared" si="34"/>
        <v>4140</v>
      </c>
      <c r="N75" s="46"/>
      <c r="O75" s="47"/>
      <c r="Q75" s="59"/>
      <c r="R75" s="56"/>
    </row>
    <row r="76" spans="2:18" x14ac:dyDescent="0.3">
      <c r="B76" t="s">
        <v>66</v>
      </c>
      <c r="D76" s="10" t="s">
        <v>9</v>
      </c>
      <c r="G76" s="11">
        <v>4800</v>
      </c>
      <c r="H76" s="11">
        <f t="shared" si="33"/>
        <v>4800</v>
      </c>
      <c r="I76" s="13">
        <v>0.15</v>
      </c>
      <c r="J76" s="11">
        <f t="shared" si="34"/>
        <v>5520</v>
      </c>
      <c r="N76" s="46"/>
      <c r="O76" s="47"/>
      <c r="Q76" s="59"/>
      <c r="R76" s="56"/>
    </row>
    <row r="77" spans="2:18" x14ac:dyDescent="0.3">
      <c r="B77" s="5" t="s">
        <v>70</v>
      </c>
      <c r="D77" s="10" t="s">
        <v>9</v>
      </c>
      <c r="G77" s="11">
        <v>2000</v>
      </c>
      <c r="H77" s="11">
        <f t="shared" si="33"/>
        <v>2000</v>
      </c>
      <c r="I77" s="13">
        <v>0.15</v>
      </c>
      <c r="J77" s="11">
        <f t="shared" si="34"/>
        <v>2300</v>
      </c>
      <c r="N77" s="46"/>
      <c r="O77" s="47"/>
      <c r="Q77" s="59"/>
      <c r="R77" s="56"/>
    </row>
    <row r="78" spans="2:18" x14ac:dyDescent="0.3">
      <c r="B78" s="5" t="s">
        <v>72</v>
      </c>
      <c r="D78" s="10" t="s">
        <v>9</v>
      </c>
      <c r="G78" s="11">
        <v>1500</v>
      </c>
      <c r="H78" s="11">
        <f t="shared" ref="H78" si="35">(E78*F78)+G78</f>
        <v>1500</v>
      </c>
      <c r="I78" s="13">
        <v>0.15</v>
      </c>
      <c r="J78" s="11">
        <f t="shared" ref="J78" si="36">H78*I78+H78</f>
        <v>1725</v>
      </c>
      <c r="N78" s="46"/>
      <c r="O78" s="47"/>
      <c r="Q78" s="59"/>
      <c r="R78" s="56"/>
    </row>
    <row r="79" spans="2:18" x14ac:dyDescent="0.3">
      <c r="B79" s="5" t="s">
        <v>68</v>
      </c>
      <c r="D79" s="10" t="s">
        <v>9</v>
      </c>
      <c r="G79" s="11">
        <v>2500</v>
      </c>
      <c r="H79" s="11">
        <f>(E79*F79)+G79</f>
        <v>2500</v>
      </c>
      <c r="I79" s="13">
        <v>0.15</v>
      </c>
      <c r="J79" s="11">
        <f>H79*I79+H79</f>
        <v>2875</v>
      </c>
      <c r="N79" s="46"/>
      <c r="O79" s="47"/>
      <c r="Q79" s="59"/>
      <c r="R79" s="56"/>
    </row>
    <row r="80" spans="2:18" x14ac:dyDescent="0.3">
      <c r="B80" s="5" t="s">
        <v>67</v>
      </c>
      <c r="D80" s="10" t="s">
        <v>9</v>
      </c>
      <c r="G80" s="11">
        <v>1200</v>
      </c>
      <c r="H80" s="11">
        <f>(E80*F80)+G80</f>
        <v>1200</v>
      </c>
      <c r="I80" s="13">
        <v>0.15</v>
      </c>
      <c r="J80" s="11">
        <f>H80*I80+H80</f>
        <v>1380</v>
      </c>
      <c r="N80" s="46"/>
      <c r="O80" s="47"/>
      <c r="Q80" s="59"/>
      <c r="R80" s="56"/>
    </row>
    <row r="81" spans="2:20" x14ac:dyDescent="0.3">
      <c r="B81" s="14" t="s">
        <v>73</v>
      </c>
      <c r="D81" s="17" t="s">
        <v>10</v>
      </c>
      <c r="J81" s="17">
        <v>0</v>
      </c>
      <c r="N81" s="46"/>
      <c r="O81" s="47"/>
      <c r="Q81" s="59"/>
      <c r="R81" s="56"/>
    </row>
    <row r="82" spans="2:20" x14ac:dyDescent="0.3">
      <c r="N82" s="46"/>
      <c r="O82" s="47"/>
      <c r="Q82" s="59"/>
      <c r="R82" s="56"/>
    </row>
    <row r="83" spans="2:20" x14ac:dyDescent="0.3">
      <c r="B83" s="9" t="s">
        <v>16</v>
      </c>
      <c r="L83" s="12">
        <f>SUM(J84)</f>
        <v>24955</v>
      </c>
      <c r="M83" s="12"/>
      <c r="N83" s="48">
        <v>0.6</v>
      </c>
      <c r="O83" s="49">
        <f>L83*N83</f>
        <v>14973</v>
      </c>
      <c r="Q83" s="60">
        <v>1</v>
      </c>
      <c r="R83" s="61">
        <f>L83*Q83</f>
        <v>24955</v>
      </c>
    </row>
    <row r="84" spans="2:20" x14ac:dyDescent="0.3">
      <c r="B84" t="s">
        <v>49</v>
      </c>
      <c r="D84" s="10" t="s">
        <v>61</v>
      </c>
      <c r="E84" s="11"/>
      <c r="F84" s="11"/>
      <c r="G84" s="11"/>
      <c r="H84" s="11">
        <v>21700</v>
      </c>
      <c r="I84" s="13">
        <v>0.15</v>
      </c>
      <c r="J84" s="11">
        <f t="shared" ref="J84" si="37">H84*I84+H84</f>
        <v>24955</v>
      </c>
      <c r="N84" s="46"/>
      <c r="O84" s="47"/>
      <c r="Q84" s="59"/>
      <c r="R84" s="56"/>
      <c r="T84" s="23" t="s">
        <v>96</v>
      </c>
    </row>
    <row r="85" spans="2:20" x14ac:dyDescent="0.3">
      <c r="B85" t="s">
        <v>51</v>
      </c>
      <c r="D85" s="10" t="s">
        <v>61</v>
      </c>
      <c r="N85" s="46"/>
      <c r="O85" s="47"/>
      <c r="Q85" s="59"/>
      <c r="R85" s="56"/>
    </row>
    <row r="86" spans="2:20" x14ac:dyDescent="0.3">
      <c r="B86" t="s">
        <v>50</v>
      </c>
      <c r="D86" s="10" t="s">
        <v>61</v>
      </c>
      <c r="N86" s="46"/>
      <c r="O86" s="47"/>
      <c r="Q86" s="59"/>
      <c r="R86" s="56"/>
    </row>
    <row r="87" spans="2:20" x14ac:dyDescent="0.3">
      <c r="B87" t="s">
        <v>53</v>
      </c>
      <c r="D87" s="10" t="s">
        <v>61</v>
      </c>
      <c r="N87" s="46"/>
      <c r="O87" s="47"/>
      <c r="Q87" s="59"/>
      <c r="R87" s="56"/>
    </row>
    <row r="88" spans="2:20" x14ac:dyDescent="0.3">
      <c r="B88" t="s">
        <v>52</v>
      </c>
      <c r="D88" s="10" t="s">
        <v>61</v>
      </c>
      <c r="N88" s="46"/>
      <c r="O88" s="47"/>
      <c r="Q88" s="59"/>
      <c r="R88" s="56"/>
    </row>
    <row r="89" spans="2:20" x14ac:dyDescent="0.3">
      <c r="B89" t="s">
        <v>54</v>
      </c>
      <c r="D89" s="10" t="s">
        <v>61</v>
      </c>
      <c r="N89" s="46"/>
      <c r="O89" s="47"/>
      <c r="Q89" s="59"/>
      <c r="R89" s="56"/>
    </row>
    <row r="90" spans="2:20" x14ac:dyDescent="0.3">
      <c r="B90" t="s">
        <v>88</v>
      </c>
      <c r="D90" s="10" t="s">
        <v>61</v>
      </c>
      <c r="N90" s="46"/>
      <c r="O90" s="47"/>
      <c r="Q90" s="59"/>
      <c r="R90" s="56"/>
    </row>
    <row r="91" spans="2:20" x14ac:dyDescent="0.3">
      <c r="B91" t="s">
        <v>55</v>
      </c>
      <c r="D91" s="10" t="s">
        <v>61</v>
      </c>
      <c r="N91" s="46"/>
      <c r="O91" s="47"/>
      <c r="Q91" s="59"/>
      <c r="R91" s="56"/>
    </row>
    <row r="92" spans="2:20" x14ac:dyDescent="0.3">
      <c r="B92" t="s">
        <v>95</v>
      </c>
      <c r="D92" s="10" t="s">
        <v>61</v>
      </c>
      <c r="N92" s="46"/>
      <c r="O92" s="47"/>
      <c r="Q92" s="59"/>
      <c r="R92" s="56"/>
    </row>
    <row r="93" spans="2:20" x14ac:dyDescent="0.3">
      <c r="N93" s="46"/>
      <c r="O93" s="47"/>
      <c r="Q93" s="59"/>
      <c r="R93" s="56"/>
    </row>
    <row r="94" spans="2:20" x14ac:dyDescent="0.3">
      <c r="B94" s="9" t="s">
        <v>20</v>
      </c>
      <c r="L94" s="12">
        <f>SUM(J95)</f>
        <v>16082.75</v>
      </c>
      <c r="M94" s="12"/>
      <c r="N94" s="48">
        <v>0</v>
      </c>
      <c r="O94" s="49">
        <f>L94*N94</f>
        <v>0</v>
      </c>
      <c r="Q94" s="60">
        <v>0.8</v>
      </c>
      <c r="R94" s="61">
        <f>L94*Q94</f>
        <v>12866.2</v>
      </c>
    </row>
    <row r="95" spans="2:20" x14ac:dyDescent="0.3">
      <c r="B95" t="s">
        <v>58</v>
      </c>
      <c r="D95" s="10" t="s">
        <v>9</v>
      </c>
      <c r="E95" s="11">
        <v>21</v>
      </c>
      <c r="F95" s="11">
        <v>585</v>
      </c>
      <c r="G95" s="11">
        <v>1700</v>
      </c>
      <c r="H95" s="11">
        <f>(E95*F95)+G95</f>
        <v>13985</v>
      </c>
      <c r="I95" s="13">
        <v>0.15</v>
      </c>
      <c r="J95" s="11">
        <f t="shared" ref="J95" si="38">H95*I95+H95</f>
        <v>16082.75</v>
      </c>
      <c r="N95" s="46"/>
      <c r="O95" s="47"/>
      <c r="Q95" s="59"/>
      <c r="R95" s="56"/>
    </row>
    <row r="96" spans="2:20" x14ac:dyDescent="0.3">
      <c r="B96" t="s">
        <v>59</v>
      </c>
      <c r="D96" s="10" t="s">
        <v>9</v>
      </c>
      <c r="N96" s="46"/>
      <c r="O96" s="47"/>
      <c r="Q96" s="59"/>
      <c r="R96" s="56"/>
    </row>
    <row r="97" spans="2:18" x14ac:dyDescent="0.3">
      <c r="B97" s="14" t="s">
        <v>60</v>
      </c>
      <c r="N97" s="46"/>
      <c r="O97" s="47"/>
      <c r="Q97" s="59"/>
      <c r="R97" s="56"/>
    </row>
    <row r="98" spans="2:18" x14ac:dyDescent="0.3">
      <c r="N98" s="46"/>
      <c r="O98" s="47"/>
      <c r="Q98" s="59"/>
      <c r="R98" s="56"/>
    </row>
    <row r="99" spans="2:18" x14ac:dyDescent="0.3">
      <c r="J99" s="16"/>
      <c r="K99" s="20" t="s">
        <v>80</v>
      </c>
      <c r="L99" s="16">
        <f>SUM(L4:L98)</f>
        <v>314757.125</v>
      </c>
      <c r="M99" s="16"/>
      <c r="N99" s="50" t="s">
        <v>125</v>
      </c>
      <c r="O99" s="51">
        <f>SUM(O5:O98)</f>
        <v>174080.55</v>
      </c>
      <c r="Q99" s="62" t="s">
        <v>138</v>
      </c>
      <c r="R99" s="63">
        <f>SUM(R5:R98)</f>
        <v>299807.57500000001</v>
      </c>
    </row>
    <row r="100" spans="2:18" x14ac:dyDescent="0.3">
      <c r="K100" s="20" t="s">
        <v>81</v>
      </c>
      <c r="L100" s="16">
        <f>SUM(L99)/100*25</f>
        <v>78689.28125</v>
      </c>
      <c r="M100" s="16"/>
      <c r="N100" s="50" t="s">
        <v>124</v>
      </c>
      <c r="O100" s="51">
        <f>SUM(O99)/100*25</f>
        <v>43520.137499999997</v>
      </c>
      <c r="Q100" s="62" t="s">
        <v>125</v>
      </c>
      <c r="R100" s="63">
        <f>-O99</f>
        <v>-174080.55</v>
      </c>
    </row>
    <row r="101" spans="2:18" ht="15" thickBot="1" x14ac:dyDescent="0.35">
      <c r="K101" s="19" t="s">
        <v>82</v>
      </c>
      <c r="L101" s="21">
        <f>SUM(L99:L100)</f>
        <v>393446.40625</v>
      </c>
      <c r="M101" s="42"/>
      <c r="N101" s="52" t="s">
        <v>125</v>
      </c>
      <c r="O101" s="53">
        <f>SUM(O99:O100)</f>
        <v>217600.6875</v>
      </c>
      <c r="Q101" s="59"/>
      <c r="R101" s="63">
        <f>SUM(R99:R100)</f>
        <v>125727.02500000002</v>
      </c>
    </row>
    <row r="102" spans="2:18" ht="15" thickTop="1" x14ac:dyDescent="0.3">
      <c r="Q102" s="62" t="s">
        <v>124</v>
      </c>
      <c r="R102" s="63">
        <f>SUM(R99)/100*25</f>
        <v>74951.893750000003</v>
      </c>
    </row>
    <row r="103" spans="2:18" ht="15" thickBot="1" x14ac:dyDescent="0.35">
      <c r="O103" s="54" t="s">
        <v>126</v>
      </c>
      <c r="Q103" s="64" t="s">
        <v>139</v>
      </c>
      <c r="R103" s="65">
        <f>SUM(R101:R102)</f>
        <v>200678.91875000001</v>
      </c>
    </row>
    <row r="104" spans="2:18" ht="15" thickTop="1" x14ac:dyDescent="0.3"/>
    <row r="105" spans="2:18" x14ac:dyDescent="0.3">
      <c r="R105" s="54" t="s">
        <v>140</v>
      </c>
    </row>
  </sheetData>
  <pageMargins left="0.7" right="0.7" top="0.75" bottom="0.75" header="0.3" footer="0.3"/>
  <pageSetup paperSize="9" scale="3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DC60-67E9-433A-89F6-8080031D81C2}">
  <dimension ref="B2:M59"/>
  <sheetViews>
    <sheetView zoomScale="90" zoomScaleNormal="90" workbookViewId="0">
      <selection activeCell="B16" sqref="B16"/>
    </sheetView>
  </sheetViews>
  <sheetFormatPr defaultRowHeight="14.4" x14ac:dyDescent="0.3"/>
  <cols>
    <col min="2" max="2" width="32.88671875" customWidth="1"/>
    <col min="3" max="3" width="10" style="16" bestFit="1" customWidth="1"/>
    <col min="4" max="4" width="8.88671875" style="16"/>
    <col min="5" max="5" width="12" style="82" bestFit="1" customWidth="1"/>
    <col min="7" max="7" width="3.33203125" customWidth="1"/>
    <col min="8" max="8" width="64.5546875" customWidth="1"/>
    <col min="9" max="9" width="8.88671875" style="20"/>
    <col min="10" max="10" width="5.21875" customWidth="1"/>
    <col min="11" max="11" width="46.77734375" customWidth="1"/>
  </cols>
  <sheetData>
    <row r="2" spans="2:13" x14ac:dyDescent="0.3">
      <c r="H2" s="9" t="s">
        <v>177</v>
      </c>
    </row>
    <row r="3" spans="2:13" x14ac:dyDescent="0.3">
      <c r="H3" t="s">
        <v>178</v>
      </c>
      <c r="I3" s="12">
        <v>21400</v>
      </c>
    </row>
    <row r="4" spans="2:13" x14ac:dyDescent="0.3">
      <c r="B4" t="s">
        <v>184</v>
      </c>
      <c r="H4" t="s">
        <v>179</v>
      </c>
      <c r="I4" s="20">
        <v>3000</v>
      </c>
    </row>
    <row r="6" spans="2:13" x14ac:dyDescent="0.3">
      <c r="B6" s="9" t="s">
        <v>180</v>
      </c>
      <c r="C6" s="42" t="s">
        <v>162</v>
      </c>
      <c r="D6" s="42" t="s">
        <v>4</v>
      </c>
      <c r="E6" s="83" t="s">
        <v>182</v>
      </c>
      <c r="F6" s="83" t="s">
        <v>183</v>
      </c>
    </row>
    <row r="7" spans="2:13" x14ac:dyDescent="0.3">
      <c r="I7" s="20" t="s">
        <v>162</v>
      </c>
    </row>
    <row r="8" spans="2:13" x14ac:dyDescent="0.3">
      <c r="B8" t="s">
        <v>177</v>
      </c>
      <c r="C8" s="16">
        <v>21400</v>
      </c>
      <c r="D8" s="16">
        <v>3000</v>
      </c>
      <c r="E8" s="82">
        <f>100-(D8/C8*100)</f>
        <v>85.981308411214954</v>
      </c>
      <c r="F8" s="16">
        <f>C8-D8</f>
        <v>18400</v>
      </c>
    </row>
    <row r="9" spans="2:13" x14ac:dyDescent="0.3">
      <c r="B9" t="s">
        <v>181</v>
      </c>
      <c r="C9" s="16">
        <v>170464</v>
      </c>
      <c r="D9" s="16">
        <v>130864</v>
      </c>
      <c r="E9" s="82">
        <f>100-(D9/C9*100)</f>
        <v>23.230711469870471</v>
      </c>
      <c r="F9" s="16">
        <f t="shared" ref="F9:F11" si="0">C9-D9</f>
        <v>39600</v>
      </c>
      <c r="H9" s="9" t="s">
        <v>148</v>
      </c>
      <c r="I9" s="69">
        <v>14445.25</v>
      </c>
      <c r="K9" s="9" t="s">
        <v>16</v>
      </c>
      <c r="L9" s="19" t="s">
        <v>162</v>
      </c>
      <c r="M9" s="19" t="s">
        <v>171</v>
      </c>
    </row>
    <row r="10" spans="2:13" x14ac:dyDescent="0.3">
      <c r="B10" t="s">
        <v>16</v>
      </c>
      <c r="C10" s="16">
        <v>32205</v>
      </c>
      <c r="D10" s="16">
        <v>28200</v>
      </c>
      <c r="E10" s="82">
        <f>100-(D10/C10*100)</f>
        <v>12.435957149510941</v>
      </c>
      <c r="F10" s="16">
        <f t="shared" si="0"/>
        <v>4005</v>
      </c>
      <c r="H10" t="s">
        <v>83</v>
      </c>
      <c r="I10" s="69"/>
      <c r="K10" t="s">
        <v>169</v>
      </c>
      <c r="L10" s="11">
        <v>3450</v>
      </c>
    </row>
    <row r="11" spans="2:13" x14ac:dyDescent="0.3">
      <c r="B11" t="s">
        <v>13</v>
      </c>
      <c r="C11" s="16">
        <v>97469</v>
      </c>
      <c r="D11" s="16">
        <v>52966</v>
      </c>
      <c r="E11" s="82">
        <f>100-(D11/C11*100)</f>
        <v>45.658619663687936</v>
      </c>
      <c r="F11" s="16">
        <f t="shared" si="0"/>
        <v>44503</v>
      </c>
      <c r="H11" t="s">
        <v>25</v>
      </c>
      <c r="I11" s="69"/>
      <c r="K11" t="s">
        <v>170</v>
      </c>
      <c r="L11" s="11">
        <v>24955</v>
      </c>
    </row>
    <row r="12" spans="2:13" x14ac:dyDescent="0.3">
      <c r="H12" t="s">
        <v>15</v>
      </c>
      <c r="I12" s="69"/>
      <c r="K12" s="66" t="s">
        <v>90</v>
      </c>
      <c r="L12" s="67">
        <v>2900</v>
      </c>
    </row>
    <row r="13" spans="2:13" x14ac:dyDescent="0.3">
      <c r="C13" s="16">
        <f>SUM(C8:C12)</f>
        <v>321538</v>
      </c>
      <c r="D13" s="16">
        <f>SUM(D8:D12)</f>
        <v>215030</v>
      </c>
      <c r="E13" s="82">
        <f>100-(D13/C13*100)</f>
        <v>33.1245451548495</v>
      </c>
      <c r="F13" s="16">
        <f>SUM(F8:F12)</f>
        <v>106508</v>
      </c>
      <c r="H13" s="9" t="s">
        <v>149</v>
      </c>
      <c r="I13" s="69">
        <v>52350.875</v>
      </c>
      <c r="K13" t="s">
        <v>91</v>
      </c>
      <c r="L13" s="11">
        <v>900</v>
      </c>
    </row>
    <row r="14" spans="2:13" x14ac:dyDescent="0.3">
      <c r="H14" t="s">
        <v>43</v>
      </c>
      <c r="L14" s="16">
        <f>SUM(L10:L13)</f>
        <v>32205</v>
      </c>
      <c r="M14" s="16">
        <v>28200</v>
      </c>
    </row>
    <row r="15" spans="2:13" x14ac:dyDescent="0.3">
      <c r="H15" t="s">
        <v>44</v>
      </c>
    </row>
    <row r="16" spans="2:13" x14ac:dyDescent="0.3">
      <c r="H16" t="s">
        <v>48</v>
      </c>
      <c r="L16" s="11"/>
    </row>
    <row r="17" spans="8:13" x14ac:dyDescent="0.3">
      <c r="H17" t="s">
        <v>25</v>
      </c>
      <c r="K17" s="9" t="s">
        <v>13</v>
      </c>
      <c r="L17" s="11"/>
      <c r="M17" s="19" t="s">
        <v>171</v>
      </c>
    </row>
    <row r="18" spans="8:13" x14ac:dyDescent="0.3">
      <c r="H18" t="s">
        <v>57</v>
      </c>
      <c r="K18" t="s">
        <v>172</v>
      </c>
      <c r="L18" s="11"/>
      <c r="M18" s="20">
        <v>28000</v>
      </c>
    </row>
    <row r="19" spans="8:13" x14ac:dyDescent="0.3">
      <c r="H19" t="s">
        <v>45</v>
      </c>
      <c r="K19" t="s">
        <v>174</v>
      </c>
      <c r="L19" s="11"/>
      <c r="M19" s="20">
        <v>8523</v>
      </c>
    </row>
    <row r="20" spans="8:13" x14ac:dyDescent="0.3">
      <c r="H20" t="s">
        <v>46</v>
      </c>
      <c r="K20" t="s">
        <v>42</v>
      </c>
      <c r="L20" s="11"/>
      <c r="M20" s="20">
        <v>16443</v>
      </c>
    </row>
    <row r="21" spans="8:13" ht="15" thickBot="1" x14ac:dyDescent="0.35">
      <c r="H21" t="s">
        <v>47</v>
      </c>
      <c r="M21" s="75">
        <f>SUM(M18:M20)</f>
        <v>52966</v>
      </c>
    </row>
    <row r="22" spans="8:13" x14ac:dyDescent="0.3">
      <c r="H22" t="s">
        <v>87</v>
      </c>
      <c r="M22" s="20"/>
    </row>
    <row r="23" spans="8:13" x14ac:dyDescent="0.3">
      <c r="H23" s="66" t="s">
        <v>117</v>
      </c>
      <c r="I23" s="70">
        <f>6*585</f>
        <v>3510</v>
      </c>
      <c r="M23" s="20" t="s">
        <v>176</v>
      </c>
    </row>
    <row r="24" spans="8:13" x14ac:dyDescent="0.3">
      <c r="H24" s="66" t="s">
        <v>129</v>
      </c>
      <c r="I24" s="70">
        <v>6200</v>
      </c>
      <c r="K24" t="s">
        <v>175</v>
      </c>
      <c r="M24" s="69">
        <v>63050</v>
      </c>
    </row>
    <row r="25" spans="8:13" x14ac:dyDescent="0.3">
      <c r="H25" s="66"/>
      <c r="I25" s="70"/>
      <c r="K25" s="9" t="s">
        <v>42</v>
      </c>
      <c r="M25" s="69">
        <v>27140</v>
      </c>
    </row>
    <row r="26" spans="8:13" x14ac:dyDescent="0.3">
      <c r="H26" s="68" t="s">
        <v>141</v>
      </c>
      <c r="I26" s="71">
        <v>-4000</v>
      </c>
      <c r="K26" s="66" t="s">
        <v>115</v>
      </c>
      <c r="L26" s="66"/>
      <c r="M26" s="70">
        <v>-3521</v>
      </c>
    </row>
    <row r="27" spans="8:13" x14ac:dyDescent="0.3">
      <c r="H27" s="68" t="s">
        <v>147</v>
      </c>
      <c r="I27" s="71">
        <v>-1248</v>
      </c>
      <c r="K27" s="66" t="s">
        <v>112</v>
      </c>
      <c r="L27" s="66"/>
      <c r="M27" s="70">
        <v>8900</v>
      </c>
    </row>
    <row r="28" spans="8:13" x14ac:dyDescent="0.3">
      <c r="H28" s="68" t="s">
        <v>145</v>
      </c>
      <c r="I28" s="71">
        <v>-2363</v>
      </c>
      <c r="K28" s="66" t="s">
        <v>131</v>
      </c>
      <c r="L28" s="66"/>
      <c r="M28" s="70">
        <f>(4*650)+800</f>
        <v>3400</v>
      </c>
    </row>
    <row r="29" spans="8:13" x14ac:dyDescent="0.3">
      <c r="H29" s="68" t="s">
        <v>146</v>
      </c>
      <c r="I29" s="71">
        <v>-1248</v>
      </c>
      <c r="K29" s="68" t="s">
        <v>143</v>
      </c>
      <c r="L29" s="66"/>
      <c r="M29" s="71">
        <v>-1500</v>
      </c>
    </row>
    <row r="30" spans="8:13" ht="15" thickBot="1" x14ac:dyDescent="0.35">
      <c r="H30" s="68" t="s">
        <v>144</v>
      </c>
      <c r="I30" s="71">
        <v>-6000</v>
      </c>
      <c r="M30" s="76">
        <f>SUM(M24:M29)</f>
        <v>97469</v>
      </c>
    </row>
    <row r="31" spans="8:13" x14ac:dyDescent="0.3">
      <c r="H31" s="14"/>
      <c r="I31" s="15"/>
      <c r="M31" s="77"/>
    </row>
    <row r="32" spans="8:13" x14ac:dyDescent="0.3">
      <c r="H32" s="9" t="s">
        <v>161</v>
      </c>
    </row>
    <row r="33" spans="8:12" x14ac:dyDescent="0.3">
      <c r="H33" t="s">
        <v>150</v>
      </c>
      <c r="I33" s="69">
        <v>79520</v>
      </c>
    </row>
    <row r="34" spans="8:12" x14ac:dyDescent="0.3">
      <c r="H34" t="s">
        <v>151</v>
      </c>
      <c r="I34" s="69"/>
      <c r="L34" s="11"/>
    </row>
    <row r="35" spans="8:12" x14ac:dyDescent="0.3">
      <c r="H35" t="s">
        <v>152</v>
      </c>
      <c r="I35" s="69"/>
      <c r="L35" s="11"/>
    </row>
    <row r="36" spans="8:12" x14ac:dyDescent="0.3">
      <c r="H36" t="s">
        <v>153</v>
      </c>
      <c r="I36" s="69"/>
      <c r="L36" s="11"/>
    </row>
    <row r="37" spans="8:12" x14ac:dyDescent="0.3">
      <c r="H37" t="s">
        <v>154</v>
      </c>
      <c r="I37" s="69"/>
      <c r="L37" s="11"/>
    </row>
    <row r="38" spans="8:12" x14ac:dyDescent="0.3">
      <c r="H38" t="s">
        <v>155</v>
      </c>
      <c r="I38" s="69"/>
      <c r="L38" s="11"/>
    </row>
    <row r="39" spans="8:12" x14ac:dyDescent="0.3">
      <c r="H39" t="s">
        <v>156</v>
      </c>
      <c r="I39" s="69"/>
      <c r="L39" s="11"/>
    </row>
    <row r="40" spans="8:12" x14ac:dyDescent="0.3">
      <c r="H40" t="s">
        <v>157</v>
      </c>
      <c r="I40" s="69"/>
      <c r="L40" s="11"/>
    </row>
    <row r="41" spans="8:12" x14ac:dyDescent="0.3">
      <c r="H41" t="s">
        <v>158</v>
      </c>
      <c r="I41" s="69"/>
      <c r="L41" s="11"/>
    </row>
    <row r="42" spans="8:12" x14ac:dyDescent="0.3">
      <c r="H42" t="s">
        <v>159</v>
      </c>
      <c r="I42" s="69"/>
    </row>
    <row r="43" spans="8:12" x14ac:dyDescent="0.3">
      <c r="H43" t="s">
        <v>160</v>
      </c>
      <c r="I43" s="69"/>
      <c r="K43" s="14"/>
      <c r="L43" s="15"/>
    </row>
    <row r="44" spans="8:12" x14ac:dyDescent="0.3">
      <c r="H44" s="66" t="s">
        <v>135</v>
      </c>
      <c r="I44" s="70">
        <f>9549-9200</f>
        <v>349</v>
      </c>
      <c r="K44" s="14"/>
      <c r="L44" s="15"/>
    </row>
    <row r="45" spans="8:12" x14ac:dyDescent="0.3">
      <c r="H45" s="66" t="s">
        <v>128</v>
      </c>
      <c r="I45" s="70">
        <v>1755</v>
      </c>
      <c r="K45" s="14"/>
      <c r="L45" s="15"/>
    </row>
    <row r="46" spans="8:12" x14ac:dyDescent="0.3">
      <c r="I46" s="69"/>
      <c r="K46" s="14"/>
      <c r="L46" s="15"/>
    </row>
    <row r="47" spans="8:12" x14ac:dyDescent="0.3">
      <c r="H47" s="9" t="s">
        <v>12</v>
      </c>
      <c r="I47" s="69">
        <v>11115</v>
      </c>
      <c r="K47" s="14"/>
      <c r="L47" s="15"/>
    </row>
    <row r="48" spans="8:12" x14ac:dyDescent="0.3">
      <c r="I48" s="69"/>
      <c r="K48" s="14"/>
      <c r="L48" s="15"/>
    </row>
    <row r="49" spans="7:12" x14ac:dyDescent="0.3">
      <c r="G49" s="11"/>
      <c r="H49" s="9" t="s">
        <v>164</v>
      </c>
      <c r="I49" s="69">
        <v>16082.75</v>
      </c>
      <c r="K49" s="14"/>
      <c r="L49" s="15"/>
    </row>
    <row r="50" spans="7:12" x14ac:dyDescent="0.3">
      <c r="I50" s="69"/>
      <c r="L50" s="11"/>
    </row>
    <row r="51" spans="7:12" ht="15" thickBot="1" x14ac:dyDescent="0.35">
      <c r="H51" s="79" t="s">
        <v>163</v>
      </c>
      <c r="I51" s="80">
        <f>SUM(I9:I49)</f>
        <v>170468.875</v>
      </c>
      <c r="L51" s="11"/>
    </row>
    <row r="52" spans="7:12" x14ac:dyDescent="0.3">
      <c r="I52" s="69"/>
      <c r="L52" s="11"/>
    </row>
    <row r="53" spans="7:12" x14ac:dyDescent="0.3">
      <c r="I53" s="69"/>
      <c r="L53" s="11"/>
    </row>
    <row r="54" spans="7:12" x14ac:dyDescent="0.3">
      <c r="H54" s="81" t="s">
        <v>168</v>
      </c>
      <c r="I54" s="73"/>
      <c r="L54" s="11"/>
    </row>
    <row r="55" spans="7:12" x14ac:dyDescent="0.3">
      <c r="H55" s="72" t="s">
        <v>165</v>
      </c>
      <c r="I55" s="74">
        <v>92400</v>
      </c>
      <c r="L55" s="11"/>
    </row>
    <row r="56" spans="7:12" x14ac:dyDescent="0.3">
      <c r="H56" s="72" t="s">
        <v>166</v>
      </c>
      <c r="I56" s="74">
        <v>8872</v>
      </c>
    </row>
    <row r="57" spans="7:12" x14ac:dyDescent="0.3">
      <c r="H57" s="72" t="s">
        <v>167</v>
      </c>
      <c r="I57" s="74">
        <v>29092</v>
      </c>
    </row>
    <row r="58" spans="7:12" x14ac:dyDescent="0.3">
      <c r="H58" s="72" t="s">
        <v>173</v>
      </c>
      <c r="I58" s="74">
        <v>500</v>
      </c>
    </row>
    <row r="59" spans="7:12" ht="15" thickBot="1" x14ac:dyDescent="0.35">
      <c r="H59" s="72"/>
      <c r="I59" s="78">
        <f>SUM(I54:I58)</f>
        <v>130864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B305-44A4-4541-ABAF-4A68A198436B}">
  <dimension ref="A1:U32"/>
  <sheetViews>
    <sheetView workbookViewId="0">
      <selection activeCell="I18" sqref="I18"/>
    </sheetView>
  </sheetViews>
  <sheetFormatPr defaultRowHeight="14.4" x14ac:dyDescent="0.3"/>
  <cols>
    <col min="1" max="2" width="3.33203125" customWidth="1"/>
    <col min="3" max="3" width="55.6640625" bestFit="1" customWidth="1"/>
    <col min="5" max="5" width="10" bestFit="1" customWidth="1"/>
    <col min="6" max="7" width="8.6640625" customWidth="1"/>
    <col min="8" max="8" width="2.33203125" customWidth="1"/>
    <col min="9" max="9" width="8.33203125" customWidth="1"/>
    <col min="12" max="12" width="10.44140625" bestFit="1" customWidth="1"/>
    <col min="14" max="14" width="13.33203125" bestFit="1" customWidth="1"/>
    <col min="15" max="21" width="11.44140625" bestFit="1" customWidth="1"/>
  </cols>
  <sheetData>
    <row r="1" spans="1:14" x14ac:dyDescent="0.3">
      <c r="A1" s="28"/>
      <c r="B1" s="28"/>
      <c r="C1" s="28"/>
      <c r="D1" s="28"/>
      <c r="E1" s="28"/>
      <c r="F1" s="28"/>
      <c r="G1" s="28"/>
      <c r="H1" s="28"/>
      <c r="I1" s="28"/>
      <c r="J1" s="28"/>
    </row>
    <row r="2" spans="1:14" x14ac:dyDescent="0.3">
      <c r="B2" s="28"/>
      <c r="C2" s="40">
        <f ca="1">TODAY()</f>
        <v>45785</v>
      </c>
      <c r="D2" s="28"/>
      <c r="E2" s="28"/>
      <c r="F2" s="28"/>
      <c r="G2" s="28"/>
      <c r="H2" s="28"/>
      <c r="I2" s="28"/>
      <c r="J2" s="28"/>
    </row>
    <row r="3" spans="1:14" x14ac:dyDescent="0.3">
      <c r="B3" s="28"/>
      <c r="C3" s="24" t="s">
        <v>98</v>
      </c>
      <c r="D3" s="25" t="s">
        <v>99</v>
      </c>
      <c r="E3" s="26" t="s">
        <v>100</v>
      </c>
      <c r="F3" s="24" t="s">
        <v>101</v>
      </c>
      <c r="G3" s="27"/>
      <c r="H3" s="28"/>
      <c r="I3" s="27" t="s">
        <v>102</v>
      </c>
      <c r="J3" s="28"/>
    </row>
    <row r="4" spans="1:14" x14ac:dyDescent="0.3">
      <c r="B4" s="28"/>
      <c r="C4" s="28" t="s">
        <v>113</v>
      </c>
      <c r="D4" s="29">
        <v>1</v>
      </c>
      <c r="E4" s="35">
        <v>722454704</v>
      </c>
      <c r="F4" s="30">
        <v>0.15</v>
      </c>
      <c r="G4" s="31">
        <v>3015</v>
      </c>
      <c r="H4" s="31"/>
      <c r="I4" s="31">
        <f t="shared" ref="I4:I9" si="0">+G4*D4+(F4*G4)</f>
        <v>3467.25</v>
      </c>
      <c r="J4" s="28"/>
      <c r="L4" s="36">
        <f t="shared" ref="L4:L10" si="1">+I4*1.25</f>
        <v>4334.0625</v>
      </c>
    </row>
    <row r="5" spans="1:14" x14ac:dyDescent="0.3">
      <c r="B5" s="28"/>
      <c r="C5" s="28" t="s">
        <v>133</v>
      </c>
      <c r="D5" s="29">
        <v>1</v>
      </c>
      <c r="E5" s="28"/>
      <c r="F5" s="30">
        <v>0.15</v>
      </c>
      <c r="G5" s="28">
        <f>350+1400+955+1060</f>
        <v>3765</v>
      </c>
      <c r="H5" s="28"/>
      <c r="I5" s="28">
        <f t="shared" si="0"/>
        <v>4329.75</v>
      </c>
      <c r="J5" s="28"/>
      <c r="L5" s="36">
        <f t="shared" si="1"/>
        <v>5412.1875</v>
      </c>
    </row>
    <row r="6" spans="1:14" x14ac:dyDescent="0.3">
      <c r="B6" s="28"/>
      <c r="C6" s="28" t="s">
        <v>114</v>
      </c>
      <c r="D6" s="29">
        <v>2</v>
      </c>
      <c r="E6" s="28">
        <v>617080234</v>
      </c>
      <c r="F6" s="30">
        <v>0.15</v>
      </c>
      <c r="G6" s="31">
        <v>365</v>
      </c>
      <c r="H6" s="31"/>
      <c r="I6" s="31">
        <f t="shared" si="0"/>
        <v>784.75</v>
      </c>
      <c r="J6" s="28"/>
      <c r="L6" s="36">
        <f t="shared" si="1"/>
        <v>980.9375</v>
      </c>
    </row>
    <row r="7" spans="1:14" x14ac:dyDescent="0.3">
      <c r="B7" s="28"/>
      <c r="C7" t="s">
        <v>108</v>
      </c>
      <c r="D7" s="29">
        <v>2</v>
      </c>
      <c r="E7" s="28">
        <v>613040400</v>
      </c>
      <c r="F7" s="30">
        <v>0.15</v>
      </c>
      <c r="G7" s="31">
        <v>1900</v>
      </c>
      <c r="H7" s="31"/>
      <c r="I7" s="31">
        <f t="shared" si="0"/>
        <v>4085</v>
      </c>
      <c r="J7" s="28"/>
      <c r="L7" s="36">
        <f t="shared" si="1"/>
        <v>5106.25</v>
      </c>
      <c r="N7" s="37">
        <f>+L7+L6</f>
        <v>6087.1875</v>
      </c>
    </row>
    <row r="8" spans="1:14" x14ac:dyDescent="0.3">
      <c r="B8" s="28"/>
      <c r="C8" t="s">
        <v>107</v>
      </c>
      <c r="D8" s="29">
        <v>2</v>
      </c>
      <c r="E8" s="34">
        <v>701349104</v>
      </c>
      <c r="F8" s="30">
        <v>0.15</v>
      </c>
      <c r="G8" s="31">
        <v>799</v>
      </c>
      <c r="H8" s="31"/>
      <c r="I8" s="31">
        <f t="shared" si="0"/>
        <v>1717.85</v>
      </c>
      <c r="J8" s="28"/>
      <c r="L8" s="36">
        <f t="shared" si="1"/>
        <v>2147.3125</v>
      </c>
      <c r="N8" s="37"/>
    </row>
    <row r="9" spans="1:14" x14ac:dyDescent="0.3">
      <c r="B9" s="28"/>
      <c r="C9" s="28" t="s">
        <v>109</v>
      </c>
      <c r="D9" s="29">
        <v>2</v>
      </c>
      <c r="E9" s="28">
        <v>747073010</v>
      </c>
      <c r="F9" s="30">
        <v>0.15</v>
      </c>
      <c r="G9" s="31">
        <v>230</v>
      </c>
      <c r="H9" s="31"/>
      <c r="I9" s="31">
        <f t="shared" si="0"/>
        <v>494.5</v>
      </c>
      <c r="J9" s="28"/>
      <c r="L9" s="36">
        <f t="shared" si="1"/>
        <v>618.125</v>
      </c>
      <c r="N9" s="37"/>
    </row>
    <row r="10" spans="1:14" x14ac:dyDescent="0.3">
      <c r="B10" s="28"/>
      <c r="C10" s="28" t="s">
        <v>121</v>
      </c>
      <c r="D10" s="29">
        <v>2</v>
      </c>
      <c r="E10" s="28">
        <v>776482040</v>
      </c>
      <c r="F10" s="30"/>
      <c r="G10" s="31"/>
      <c r="H10" s="31"/>
      <c r="I10" s="31">
        <v>196</v>
      </c>
      <c r="J10" s="28"/>
      <c r="L10" s="36">
        <f t="shared" si="1"/>
        <v>245</v>
      </c>
      <c r="N10" s="37"/>
    </row>
    <row r="11" spans="1:14" x14ac:dyDescent="0.3">
      <c r="B11" s="28"/>
      <c r="C11" s="28"/>
      <c r="D11" s="28"/>
      <c r="E11" s="28"/>
      <c r="F11" s="28"/>
      <c r="G11" s="31"/>
      <c r="H11" s="31"/>
      <c r="I11" s="31"/>
      <c r="J11" s="28"/>
      <c r="L11" s="36"/>
    </row>
    <row r="12" spans="1:14" x14ac:dyDescent="0.3">
      <c r="B12" s="28"/>
      <c r="C12" s="24" t="s">
        <v>103</v>
      </c>
      <c r="D12" s="28"/>
      <c r="E12" s="28"/>
      <c r="F12" s="28"/>
      <c r="G12" s="31"/>
      <c r="H12" s="31"/>
      <c r="I12" s="31"/>
      <c r="J12" s="28"/>
      <c r="L12" s="36"/>
    </row>
    <row r="13" spans="1:14" x14ac:dyDescent="0.3">
      <c r="B13" s="28"/>
      <c r="C13" s="28" t="s">
        <v>85</v>
      </c>
      <c r="D13" s="28"/>
      <c r="E13" s="28"/>
      <c r="F13" s="30">
        <v>0.15</v>
      </c>
      <c r="G13" s="31">
        <v>8000</v>
      </c>
      <c r="H13" s="31"/>
      <c r="I13" s="31">
        <f>+G13+(F13*G13)</f>
        <v>9200</v>
      </c>
      <c r="J13" s="28"/>
      <c r="L13" s="36">
        <f t="shared" ref="L13:L15" si="2">+I13*1.25</f>
        <v>11500</v>
      </c>
      <c r="N13" s="38">
        <f>+L4-L13</f>
        <v>-7165.9375</v>
      </c>
    </row>
    <row r="14" spans="1:14" x14ac:dyDescent="0.3">
      <c r="B14" s="28"/>
      <c r="C14" s="28" t="s">
        <v>66</v>
      </c>
      <c r="D14" s="28"/>
      <c r="E14" s="28"/>
      <c r="F14" s="30">
        <v>0.15</v>
      </c>
      <c r="G14" s="31">
        <v>4800</v>
      </c>
      <c r="H14" s="31"/>
      <c r="I14" s="31">
        <f t="shared" ref="I14:I16" si="3">+G14+(F14*G14)</f>
        <v>5520</v>
      </c>
      <c r="J14" s="28"/>
      <c r="L14" s="36">
        <f t="shared" si="2"/>
        <v>6900</v>
      </c>
      <c r="N14" s="38">
        <f>+L7+L6-L14</f>
        <v>-812.8125</v>
      </c>
    </row>
    <row r="15" spans="1:14" x14ac:dyDescent="0.3">
      <c r="B15" s="28"/>
      <c r="C15" s="28" t="s">
        <v>110</v>
      </c>
      <c r="D15" s="28"/>
      <c r="E15" s="28"/>
      <c r="F15" s="30">
        <v>0.15</v>
      </c>
      <c r="G15" s="31">
        <v>2000</v>
      </c>
      <c r="H15" s="31"/>
      <c r="I15" s="31">
        <f t="shared" si="3"/>
        <v>2300</v>
      </c>
      <c r="J15" s="28"/>
      <c r="L15" s="36">
        <f t="shared" si="2"/>
        <v>2875</v>
      </c>
      <c r="N15" s="38">
        <f>+L8+L9-L15</f>
        <v>-109.5625</v>
      </c>
    </row>
    <row r="16" spans="1:14" x14ac:dyDescent="0.3">
      <c r="B16" s="28"/>
      <c r="C16" s="28" t="s">
        <v>111</v>
      </c>
      <c r="D16" s="28"/>
      <c r="E16" s="28"/>
      <c r="F16" s="30">
        <v>0.15</v>
      </c>
      <c r="G16" s="31">
        <v>1200</v>
      </c>
      <c r="H16" s="31"/>
      <c r="I16" s="31">
        <f t="shared" si="3"/>
        <v>1380</v>
      </c>
      <c r="J16" s="28"/>
      <c r="L16" s="36"/>
      <c r="N16" s="37"/>
    </row>
    <row r="17" spans="2:21" x14ac:dyDescent="0.3">
      <c r="B17" s="28"/>
      <c r="C17" s="28"/>
      <c r="D17" s="32"/>
      <c r="E17" s="32"/>
      <c r="F17" s="32"/>
      <c r="G17" s="32"/>
      <c r="H17" s="32"/>
      <c r="I17" s="32"/>
      <c r="J17" s="28"/>
      <c r="L17" s="31"/>
    </row>
    <row r="18" spans="2:21" x14ac:dyDescent="0.3">
      <c r="B18" s="28"/>
      <c r="C18" s="28"/>
      <c r="D18" s="28"/>
      <c r="E18" s="33" t="s">
        <v>104</v>
      </c>
      <c r="F18" s="28"/>
      <c r="G18" s="28"/>
      <c r="H18" s="28"/>
      <c r="I18" s="31">
        <f>SUM(I4:I10)-(SUM(I13:I16))</f>
        <v>-3324.8999999999996</v>
      </c>
      <c r="J18" s="28"/>
      <c r="L18" s="31"/>
    </row>
    <row r="19" spans="2:21" x14ac:dyDescent="0.3">
      <c r="B19" s="28"/>
      <c r="C19" s="28"/>
      <c r="D19" s="28"/>
      <c r="E19" s="33" t="s">
        <v>105</v>
      </c>
      <c r="F19" s="28"/>
      <c r="G19" s="28"/>
      <c r="H19" s="28"/>
      <c r="I19" s="31">
        <f>+I18*0.25</f>
        <v>-831.22499999999991</v>
      </c>
      <c r="J19" s="28"/>
    </row>
    <row r="20" spans="2:21" x14ac:dyDescent="0.3">
      <c r="B20" s="28"/>
      <c r="C20" s="28"/>
      <c r="D20" s="28"/>
      <c r="E20" s="33" t="s">
        <v>106</v>
      </c>
      <c r="F20" s="28"/>
      <c r="G20" s="28"/>
      <c r="H20" s="28"/>
      <c r="I20" s="31">
        <f>+I19+I18</f>
        <v>-4156.125</v>
      </c>
      <c r="J20" s="28"/>
    </row>
    <row r="21" spans="2:21" x14ac:dyDescent="0.3">
      <c r="B21" s="28"/>
      <c r="C21" s="28"/>
      <c r="D21" s="32"/>
      <c r="E21" s="32"/>
      <c r="F21" s="32"/>
      <c r="G21" s="32"/>
      <c r="H21" s="32"/>
      <c r="I21" s="32"/>
      <c r="J21" s="28"/>
      <c r="L21" s="31"/>
    </row>
    <row r="22" spans="2:21" x14ac:dyDescent="0.3">
      <c r="J22" s="28"/>
      <c r="L22" s="31"/>
    </row>
    <row r="23" spans="2:21" x14ac:dyDescent="0.3">
      <c r="J23" s="28"/>
    </row>
    <row r="24" spans="2:21" x14ac:dyDescent="0.3">
      <c r="J24" s="28"/>
    </row>
    <row r="25" spans="2:21" x14ac:dyDescent="0.3">
      <c r="J25" s="28"/>
    </row>
    <row r="32" spans="2:21" x14ac:dyDescent="0.3">
      <c r="N32" s="39"/>
      <c r="O32" s="39"/>
      <c r="P32" s="39"/>
      <c r="Q32" s="39"/>
      <c r="R32" s="39"/>
      <c r="S32" s="39"/>
      <c r="T32" s="39"/>
      <c r="U32" s="3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03B4-F237-4DF3-AA2B-08A591CF6C4D}">
  <sheetPr>
    <pageSetUpPr fitToPage="1"/>
  </sheetPr>
  <dimension ref="B3:H39"/>
  <sheetViews>
    <sheetView zoomScaleNormal="100" workbookViewId="0">
      <selection activeCell="D37" sqref="C5:D37"/>
    </sheetView>
  </sheetViews>
  <sheetFormatPr defaultRowHeight="14.4" x14ac:dyDescent="0.3"/>
  <cols>
    <col min="1" max="1" width="4.44140625" customWidth="1"/>
    <col min="2" max="2" width="4.6640625" style="10" customWidth="1"/>
    <col min="3" max="3" width="67.6640625" customWidth="1"/>
    <col min="4" max="4" width="8.6640625" style="11"/>
    <col min="6" max="6" width="32.6640625" customWidth="1"/>
    <col min="7" max="7" width="4.33203125" customWidth="1"/>
    <col min="8" max="8" width="17" customWidth="1"/>
  </cols>
  <sheetData>
    <row r="3" spans="2:8" ht="15.6" x14ac:dyDescent="0.3">
      <c r="C3" s="22" t="s">
        <v>89</v>
      </c>
    </row>
    <row r="5" spans="2:8" x14ac:dyDescent="0.3">
      <c r="B5" s="10">
        <v>1</v>
      </c>
      <c r="C5" t="s">
        <v>90</v>
      </c>
      <c r="D5" s="11">
        <v>2900</v>
      </c>
      <c r="E5" t="s">
        <v>92</v>
      </c>
      <c r="F5" s="23" t="s">
        <v>94</v>
      </c>
      <c r="H5" t="s">
        <v>97</v>
      </c>
    </row>
    <row r="7" spans="2:8" x14ac:dyDescent="0.3">
      <c r="B7" s="10">
        <v>2</v>
      </c>
      <c r="C7" t="s">
        <v>91</v>
      </c>
      <c r="D7" s="11">
        <v>900</v>
      </c>
      <c r="E7" t="s">
        <v>92</v>
      </c>
      <c r="F7" s="23" t="s">
        <v>93</v>
      </c>
    </row>
    <row r="9" spans="2:8" x14ac:dyDescent="0.3">
      <c r="B9" s="10">
        <v>3</v>
      </c>
      <c r="C9" t="s">
        <v>117</v>
      </c>
      <c r="D9" s="11">
        <f>6*585</f>
        <v>3510</v>
      </c>
      <c r="E9" t="s">
        <v>92</v>
      </c>
      <c r="F9" s="23" t="s">
        <v>118</v>
      </c>
    </row>
    <row r="11" spans="2:8" x14ac:dyDescent="0.3">
      <c r="B11" s="10">
        <v>4</v>
      </c>
      <c r="C11" t="s">
        <v>115</v>
      </c>
      <c r="D11" s="11">
        <v>-3521</v>
      </c>
      <c r="E11" t="s">
        <v>92</v>
      </c>
      <c r="F11" s="23" t="s">
        <v>134</v>
      </c>
    </row>
    <row r="13" spans="2:8" x14ac:dyDescent="0.3">
      <c r="B13" s="10">
        <v>5</v>
      </c>
      <c r="C13" t="s">
        <v>112</v>
      </c>
      <c r="D13" s="11">
        <v>8900</v>
      </c>
      <c r="E13" t="s">
        <v>92</v>
      </c>
      <c r="F13" s="23" t="s">
        <v>116</v>
      </c>
    </row>
    <row r="15" spans="2:8" x14ac:dyDescent="0.3">
      <c r="B15" s="10">
        <v>6</v>
      </c>
      <c r="C15" t="s">
        <v>135</v>
      </c>
      <c r="D15" s="11">
        <f>9549-9200</f>
        <v>349</v>
      </c>
      <c r="E15" t="s">
        <v>92</v>
      </c>
      <c r="F15" s="23" t="s">
        <v>136</v>
      </c>
    </row>
    <row r="17" spans="2:6" x14ac:dyDescent="0.3">
      <c r="B17" s="10">
        <v>7</v>
      </c>
      <c r="C17" t="s">
        <v>119</v>
      </c>
      <c r="F17" s="23" t="s">
        <v>127</v>
      </c>
    </row>
    <row r="19" spans="2:6" x14ac:dyDescent="0.3">
      <c r="B19" s="10">
        <v>8</v>
      </c>
      <c r="C19" t="s">
        <v>120</v>
      </c>
      <c r="F19" s="23" t="s">
        <v>127</v>
      </c>
    </row>
    <row r="21" spans="2:6" x14ac:dyDescent="0.3">
      <c r="B21" s="10">
        <v>9</v>
      </c>
      <c r="C21" t="s">
        <v>128</v>
      </c>
      <c r="D21" s="11">
        <v>1755</v>
      </c>
      <c r="E21" t="s">
        <v>92</v>
      </c>
      <c r="F21" s="23" t="s">
        <v>130</v>
      </c>
    </row>
    <row r="22" spans="2:6" ht="15.6" x14ac:dyDescent="0.3">
      <c r="D22" s="55"/>
    </row>
    <row r="23" spans="2:6" x14ac:dyDescent="0.3">
      <c r="B23" s="10">
        <v>10</v>
      </c>
      <c r="C23" t="s">
        <v>129</v>
      </c>
      <c r="D23" s="11">
        <v>6200</v>
      </c>
      <c r="E23" t="s">
        <v>92</v>
      </c>
      <c r="F23" s="23" t="s">
        <v>130</v>
      </c>
    </row>
    <row r="25" spans="2:6" x14ac:dyDescent="0.3">
      <c r="B25" s="10">
        <v>11</v>
      </c>
      <c r="C25" t="s">
        <v>131</v>
      </c>
      <c r="D25" s="11">
        <f>(4*650)+800</f>
        <v>3400</v>
      </c>
      <c r="E25" t="s">
        <v>92</v>
      </c>
      <c r="F25" s="23" t="s">
        <v>132</v>
      </c>
    </row>
    <row r="27" spans="2:6" x14ac:dyDescent="0.3">
      <c r="B27" s="17">
        <v>12</v>
      </c>
      <c r="C27" s="14" t="s">
        <v>141</v>
      </c>
      <c r="D27" s="15">
        <v>-4000</v>
      </c>
      <c r="E27" s="14" t="s">
        <v>92</v>
      </c>
      <c r="F27" s="23" t="s">
        <v>142</v>
      </c>
    </row>
    <row r="29" spans="2:6" x14ac:dyDescent="0.3">
      <c r="B29" s="17">
        <v>13</v>
      </c>
      <c r="C29" s="14" t="s">
        <v>147</v>
      </c>
      <c r="D29" s="15">
        <v>-1248</v>
      </c>
      <c r="E29" s="14" t="s">
        <v>92</v>
      </c>
      <c r="F29" s="23" t="s">
        <v>142</v>
      </c>
    </row>
    <row r="31" spans="2:6" x14ac:dyDescent="0.3">
      <c r="B31" s="17">
        <v>14</v>
      </c>
      <c r="C31" s="14" t="s">
        <v>144</v>
      </c>
      <c r="D31" s="15">
        <v>-6000</v>
      </c>
      <c r="E31" s="14" t="s">
        <v>92</v>
      </c>
      <c r="F31" s="23" t="s">
        <v>142</v>
      </c>
    </row>
    <row r="32" spans="2:6" x14ac:dyDescent="0.3">
      <c r="B32" s="17"/>
      <c r="C32" s="14"/>
      <c r="D32" s="15"/>
    </row>
    <row r="33" spans="2:6" x14ac:dyDescent="0.3">
      <c r="B33" s="17">
        <v>15</v>
      </c>
      <c r="C33" s="14" t="s">
        <v>143</v>
      </c>
      <c r="D33" s="15">
        <v>-1500</v>
      </c>
      <c r="E33" s="14" t="s">
        <v>92</v>
      </c>
      <c r="F33" s="23" t="s">
        <v>142</v>
      </c>
    </row>
    <row r="35" spans="2:6" x14ac:dyDescent="0.3">
      <c r="B35" s="17">
        <v>16</v>
      </c>
      <c r="C35" s="14" t="s">
        <v>145</v>
      </c>
      <c r="D35" s="15">
        <v>-2363</v>
      </c>
      <c r="E35" s="14" t="s">
        <v>92</v>
      </c>
      <c r="F35" s="23" t="s">
        <v>142</v>
      </c>
    </row>
    <row r="36" spans="2:6" x14ac:dyDescent="0.3">
      <c r="B36" s="17"/>
      <c r="C36" s="14"/>
      <c r="D36" s="15"/>
      <c r="E36" s="14"/>
    </row>
    <row r="37" spans="2:6" x14ac:dyDescent="0.3">
      <c r="B37" s="17">
        <v>17</v>
      </c>
      <c r="C37" s="14" t="s">
        <v>146</v>
      </c>
      <c r="D37" s="15">
        <v>-1248</v>
      </c>
      <c r="E37" s="14" t="s">
        <v>92</v>
      </c>
      <c r="F37" s="23" t="s">
        <v>142</v>
      </c>
    </row>
    <row r="39" spans="2:6" x14ac:dyDescent="0.3">
      <c r="D39" s="11">
        <f>SUM(D5:D37)</f>
        <v>8034</v>
      </c>
      <c r="E39" t="s">
        <v>92</v>
      </c>
    </row>
  </sheetData>
  <pageMargins left="0.7" right="0.7" top="0.75" bottom="0.75" header="0.3" footer="0.3"/>
  <pageSetup paperSize="9" scale="8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2DED09EA814A04AA67D21CE1BFB72BA" ma:contentTypeVersion="28" ma:contentTypeDescription="Opret et nyt dokument." ma:contentTypeScope="" ma:versionID="14d0c3fe0f2d66b6e7d68860b761c4a7">
  <xsd:schema xmlns:xsd="http://www.w3.org/2001/XMLSchema" xmlns:xs="http://www.w3.org/2001/XMLSchema" xmlns:p="http://schemas.microsoft.com/office/2006/metadata/properties" xmlns:ns2="938a5ba8-a2de-49f6-b885-4b123066ec6f" xmlns:ns3="19205e70-9770-44fc-a5b3-72b4caaab09a" targetNamespace="http://schemas.microsoft.com/office/2006/metadata/properties" ma:root="true" ma:fieldsID="a75d620c3b60ca538953e21cc33c3a9a" ns2:_="" ns3:_="">
    <xsd:import namespace="938a5ba8-a2de-49f6-b885-4b123066ec6f"/>
    <xsd:import namespace="19205e70-9770-44fc-a5b3-72b4caaab0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Placering" minOccurs="0"/>
                <xsd:element ref="ns2:e5d13b3b-7d87-48b2-a732-17d34f76a21bCountryOrRegion" minOccurs="0"/>
                <xsd:element ref="ns2:e5d13b3b-7d87-48b2-a732-17d34f76a21bState" minOccurs="0"/>
                <xsd:element ref="ns2:e5d13b3b-7d87-48b2-a732-17d34f76a21bCity" minOccurs="0"/>
                <xsd:element ref="ns2:e5d13b3b-7d87-48b2-a732-17d34f76a21bPostalCode" minOccurs="0"/>
                <xsd:element ref="ns2:e5d13b3b-7d87-48b2-a732-17d34f76a21bStreet" minOccurs="0"/>
                <xsd:element ref="ns2:e5d13b3b-7d87-48b2-a732-17d34f76a21bGeoLoc" minOccurs="0"/>
                <xsd:element ref="ns2:e5d13b3b-7d87-48b2-a732-17d34f76a21bDispName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8a5ba8-a2de-49f6-b885-4b123066ec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Placering" ma:index="16" nillable="true" ma:displayName="Placering" ma:format="Dropdown" ma:internalName="Placering">
      <xsd:simpleType>
        <xsd:restriction base="dms:Unknown"/>
      </xsd:simpleType>
    </xsd:element>
    <xsd:element name="e5d13b3b-7d87-48b2-a732-17d34f76a21bCountryOrRegion" ma:index="17" nillable="true" ma:displayName="Placering: Land/område" ma:internalName="CountryOrRegion" ma:readOnly="true">
      <xsd:simpleType>
        <xsd:restriction base="dms:Text"/>
      </xsd:simpleType>
    </xsd:element>
    <xsd:element name="e5d13b3b-7d87-48b2-a732-17d34f76a21bState" ma:index="18" nillable="true" ma:displayName="Placering: Delstat" ma:internalName="State" ma:readOnly="true">
      <xsd:simpleType>
        <xsd:restriction base="dms:Text"/>
      </xsd:simpleType>
    </xsd:element>
    <xsd:element name="e5d13b3b-7d87-48b2-a732-17d34f76a21bCity" ma:index="19" nillable="true" ma:displayName="Placering: By" ma:internalName="City" ma:readOnly="true">
      <xsd:simpleType>
        <xsd:restriction base="dms:Text"/>
      </xsd:simpleType>
    </xsd:element>
    <xsd:element name="e5d13b3b-7d87-48b2-a732-17d34f76a21bPostalCode" ma:index="20" nillable="true" ma:displayName="Placering: Postnummer" ma:internalName="PostalCode" ma:readOnly="true">
      <xsd:simpleType>
        <xsd:restriction base="dms:Text"/>
      </xsd:simpleType>
    </xsd:element>
    <xsd:element name="e5d13b3b-7d87-48b2-a732-17d34f76a21bStreet" ma:index="21" nillable="true" ma:displayName="Placering: Gade" ma:internalName="Street" ma:readOnly="true">
      <xsd:simpleType>
        <xsd:restriction base="dms:Text"/>
      </xsd:simpleType>
    </xsd:element>
    <xsd:element name="e5d13b3b-7d87-48b2-a732-17d34f76a21bGeoLoc" ma:index="22" nillable="true" ma:displayName="Placering: Koordinater" ma:internalName="GeoLoc" ma:readOnly="true">
      <xsd:simpleType>
        <xsd:restriction base="dms:Unknown"/>
      </xsd:simpleType>
    </xsd:element>
    <xsd:element name="e5d13b3b-7d87-48b2-a732-17d34f76a21bDispName" ma:index="23" nillable="true" ma:displayName="Placering: Navn" ma:internalName="DispName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31" nillable="true" ma:taxonomy="true" ma:internalName="lcf76f155ced4ddcb4097134ff3c332f" ma:taxonomyFieldName="MediaServiceImageTags" ma:displayName="Billedmærker" ma:readOnly="false" ma:fieldId="{5cf76f15-5ced-4ddc-b409-7134ff3c332f}" ma:taxonomyMulti="true" ma:sspId="cd9d3e45-4d42-40fe-b6c0-42e381ab4c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205e70-9770-44fc-a5b3-72b4caaab0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fd65098-851f-4145-804d-10d71047d329}" ma:internalName="TaxCatchAll" ma:showField="CatchAllData" ma:web="19205e70-9770-44fc-a5b3-72b4caaab0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lacering xmlns="938a5ba8-a2de-49f6-b885-4b123066ec6f" xsi:nil="true"/>
    <TaxCatchAll xmlns="19205e70-9770-44fc-a5b3-72b4caaab09a" xsi:nil="true"/>
    <lcf76f155ced4ddcb4097134ff3c332f xmlns="938a5ba8-a2de-49f6-b885-4b123066ec6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AB5328-40FB-45CE-AACA-29EBF6D6CF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8a5ba8-a2de-49f6-b885-4b123066ec6f"/>
    <ds:schemaRef ds:uri="19205e70-9770-44fc-a5b3-72b4caaab0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0C8E9C-C9C0-4D04-A603-68EDEA1BAA82}">
  <ds:schemaRefs>
    <ds:schemaRef ds:uri="http://schemas.microsoft.com/office/2006/metadata/properties"/>
    <ds:schemaRef ds:uri="http://schemas.microsoft.com/office/infopath/2007/PartnerControls"/>
    <ds:schemaRef ds:uri="938a5ba8-a2de-49f6-b885-4b123066ec6f"/>
    <ds:schemaRef ds:uri="19205e70-9770-44fc-a5b3-72b4caaab09a"/>
  </ds:schemaRefs>
</ds:datastoreItem>
</file>

<file path=customXml/itemProps3.xml><?xml version="1.0" encoding="utf-8"?>
<ds:datastoreItem xmlns:ds="http://schemas.openxmlformats.org/officeDocument/2006/customXml" ds:itemID="{5439F6CE-B20C-4B17-BDF4-6E0AEE1E19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Tilbud</vt:lpstr>
      <vt:lpstr>Efter Kalk</vt:lpstr>
      <vt:lpstr>Sanitets liste</vt:lpstr>
      <vt:lpstr>Ekstra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Blankholm</dc:creator>
  <cp:lastModifiedBy>Christian Blankholm</cp:lastModifiedBy>
  <cp:lastPrinted>2025-03-31T06:59:53Z</cp:lastPrinted>
  <dcterms:created xsi:type="dcterms:W3CDTF">2025-01-09T12:44:34Z</dcterms:created>
  <dcterms:modified xsi:type="dcterms:W3CDTF">2025-05-08T07:42:41Z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0x01010092DED09EA814A04AA67D21CE1BFB72BA</vt:lpwstr>
  </property>
  <property fmtid="{D5CDD505-2E9C-101B-9397-08002B2CF9AE}" pid="3" name="MediaServiceImageTags">
    <vt:lpwstr/>
  </property>
</Properties>
</file>