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1 Igangværende sager/1943 Trekronergade 125 badeværelse 1 sal/kALK/"/>
    </mc:Choice>
  </mc:AlternateContent>
  <xr:revisionPtr revIDLastSave="525" documentId="8_{23A7A7B9-178B-4018-861E-4DB80261EA02}" xr6:coauthVersionLast="47" xr6:coauthVersionMax="47" xr10:uidLastSave="{C1AFB658-9FA3-44B0-9961-FC87C62AC6ED}"/>
  <bookViews>
    <workbookView xWindow="890" yWindow="850" windowWidth="21160" windowHeight="13850" xr2:uid="{3944F419-D21B-43BE-A3A9-2E9C6CBEC4F2}"/>
  </bookViews>
  <sheets>
    <sheet name="Tilbud 2" sheetId="5" r:id="rId1"/>
    <sheet name="Ekstra" sheetId="6" r:id="rId2"/>
    <sheet name="Materialer" sheetId="7" r:id="rId3"/>
    <sheet name="VVS Kalk" sheetId="4" r:id="rId4"/>
    <sheet name="Radiator i soveværelse" sheetId="9" r:id="rId5"/>
    <sheet name="Sanitets list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6" l="1"/>
  <c r="J31" i="6" s="1"/>
  <c r="J33" i="6" s="1"/>
  <c r="J35" i="6" s="1"/>
  <c r="O31" i="6"/>
  <c r="O29" i="6"/>
  <c r="G5" i="9" l="1"/>
  <c r="I5" i="9" s="1"/>
  <c r="G6" i="9"/>
  <c r="I6" i="9" s="1"/>
  <c r="G4" i="9"/>
  <c r="I4" i="9" s="1"/>
  <c r="F4" i="8"/>
  <c r="F14" i="8"/>
  <c r="F15" i="8"/>
  <c r="F16" i="8"/>
  <c r="F10" i="8"/>
  <c r="F5" i="8"/>
  <c r="F6" i="8"/>
  <c r="F8" i="8"/>
  <c r="F7" i="8"/>
  <c r="F18" i="8"/>
  <c r="F17" i="8"/>
  <c r="F11" i="8"/>
  <c r="F9" i="8"/>
  <c r="A1" i="8"/>
  <c r="J4" i="9" l="1"/>
  <c r="J8" i="9" s="1"/>
  <c r="J9" i="9" s="1"/>
  <c r="J10" i="9" s="1"/>
  <c r="F19" i="8"/>
  <c r="F20" i="8" s="1"/>
  <c r="F21" i="8" s="1"/>
  <c r="D14" i="6" l="1"/>
  <c r="D10" i="6" l="1"/>
  <c r="D6" i="6"/>
  <c r="D26" i="6" l="1"/>
  <c r="J51" i="5"/>
  <c r="H43" i="5"/>
  <c r="J43" i="5" s="1"/>
  <c r="H24" i="5"/>
  <c r="J24" i="5" s="1"/>
  <c r="J59" i="5"/>
  <c r="J20" i="5"/>
  <c r="H19" i="5"/>
  <c r="J19" i="5" s="1"/>
  <c r="J74" i="5"/>
  <c r="J73" i="5"/>
  <c r="J72" i="5"/>
  <c r="J71" i="5"/>
  <c r="J70" i="5"/>
  <c r="H67" i="5"/>
  <c r="J67" i="5" s="1"/>
  <c r="H66" i="5"/>
  <c r="J66" i="5" s="1"/>
  <c r="H65" i="5"/>
  <c r="J65" i="5" s="1"/>
  <c r="H64" i="5"/>
  <c r="J64" i="5" s="1"/>
  <c r="H63" i="5"/>
  <c r="J63" i="5" s="1"/>
  <c r="J60" i="5"/>
  <c r="J57" i="5"/>
  <c r="J52" i="5"/>
  <c r="J50" i="5"/>
  <c r="J49" i="5"/>
  <c r="J48" i="5"/>
  <c r="H45" i="5"/>
  <c r="J45" i="5" s="1"/>
  <c r="J44" i="5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J32" i="5"/>
  <c r="J31" i="5"/>
  <c r="J30" i="5"/>
  <c r="H26" i="5"/>
  <c r="J26" i="5" s="1"/>
  <c r="J25" i="5"/>
  <c r="H23" i="5"/>
  <c r="J23" i="5" s="1"/>
  <c r="H22" i="5"/>
  <c r="J22" i="5" s="1"/>
  <c r="H21" i="5"/>
  <c r="J21" i="5" s="1"/>
  <c r="H18" i="5"/>
  <c r="J18" i="5" s="1"/>
  <c r="H15" i="5"/>
  <c r="J15" i="5" s="1"/>
  <c r="L14" i="5" s="1"/>
  <c r="H11" i="5"/>
  <c r="J11" i="5" s="1"/>
  <c r="H10" i="5"/>
  <c r="J10" i="5" s="1"/>
  <c r="J9" i="5"/>
  <c r="J8" i="5"/>
  <c r="J13" i="4"/>
  <c r="G13" i="4"/>
  <c r="G14" i="4"/>
  <c r="J14" i="4"/>
  <c r="F35" i="4"/>
  <c r="D40" i="4"/>
  <c r="K26" i="4"/>
  <c r="J23" i="4"/>
  <c r="G23" i="4"/>
  <c r="J22" i="4"/>
  <c r="G22" i="4"/>
  <c r="J21" i="4"/>
  <c r="G21" i="4"/>
  <c r="J20" i="4"/>
  <c r="G20" i="4"/>
  <c r="J19" i="4"/>
  <c r="G19" i="4"/>
  <c r="J18" i="4"/>
  <c r="G18" i="4"/>
  <c r="J17" i="4"/>
  <c r="G17" i="4"/>
  <c r="K16" i="4"/>
  <c r="J12" i="4"/>
  <c r="G12" i="4"/>
  <c r="J11" i="4"/>
  <c r="G11" i="4"/>
  <c r="J10" i="4"/>
  <c r="G10" i="4"/>
  <c r="K9" i="4"/>
  <c r="M5" i="4"/>
  <c r="O14" i="5" l="1"/>
  <c r="R14" i="5"/>
  <c r="K14" i="4"/>
  <c r="L7" i="5"/>
  <c r="L56" i="5"/>
  <c r="L17" i="5"/>
  <c r="L62" i="5"/>
  <c r="L35" i="5"/>
  <c r="L47" i="5"/>
  <c r="L69" i="5"/>
  <c r="L29" i="5"/>
  <c r="K13" i="4"/>
  <c r="K11" i="4"/>
  <c r="K21" i="4"/>
  <c r="K18" i="4"/>
  <c r="K22" i="4"/>
  <c r="K12" i="4"/>
  <c r="K19" i="4"/>
  <c r="K10" i="4"/>
  <c r="K23" i="4"/>
  <c r="K20" i="4"/>
  <c r="K17" i="4"/>
  <c r="O69" i="5" l="1"/>
  <c r="R69" i="5"/>
  <c r="O62" i="5"/>
  <c r="R62" i="5"/>
  <c r="O56" i="5"/>
  <c r="R56" i="5"/>
  <c r="O47" i="5"/>
  <c r="R47" i="5"/>
  <c r="O35" i="5"/>
  <c r="R35" i="5"/>
  <c r="O29" i="5"/>
  <c r="R29" i="5"/>
  <c r="O17" i="5"/>
  <c r="R17" i="5"/>
  <c r="O7" i="5"/>
  <c r="R7" i="5"/>
  <c r="L76" i="5"/>
  <c r="M16" i="4"/>
  <c r="M9" i="4"/>
  <c r="R76" i="5" l="1"/>
  <c r="R82" i="5" s="1"/>
  <c r="O76" i="5"/>
  <c r="R77" i="5" s="1"/>
  <c r="M27" i="4"/>
  <c r="M28" i="4" s="1"/>
  <c r="M29" i="4" s="1"/>
  <c r="L77" i="5"/>
  <c r="L78" i="5" s="1"/>
  <c r="R78" i="5" l="1"/>
  <c r="O78" i="5"/>
  <c r="O79" i="5" s="1"/>
  <c r="R79" i="5" l="1"/>
  <c r="R80" i="5" s="1"/>
</calcChain>
</file>

<file path=xl/sharedStrings.xml><?xml version="1.0" encoding="utf-8"?>
<sst xmlns="http://schemas.openxmlformats.org/spreadsheetml/2006/main" count="286" uniqueCount="172">
  <si>
    <t>Nedrivning</t>
  </si>
  <si>
    <t>Bnord</t>
  </si>
  <si>
    <t>Projektledelse</t>
  </si>
  <si>
    <t>Fag</t>
  </si>
  <si>
    <t>Timer/Antal</t>
  </si>
  <si>
    <t>Materialer</t>
  </si>
  <si>
    <t>Påslag</t>
  </si>
  <si>
    <t>Murer</t>
  </si>
  <si>
    <t>Maler</t>
  </si>
  <si>
    <t>Moms =</t>
  </si>
  <si>
    <t>Affald</t>
  </si>
  <si>
    <t>FAG</t>
  </si>
  <si>
    <t>Takst</t>
  </si>
  <si>
    <t>Kostpris</t>
  </si>
  <si>
    <t>Tilbud</t>
  </si>
  <si>
    <t xml:space="preserve">Tilbud - Trekroner, Arbejder på 1. sal. </t>
  </si>
  <si>
    <t>Projekt:</t>
  </si>
  <si>
    <t>HC</t>
  </si>
  <si>
    <t>Slutrengøring</t>
  </si>
  <si>
    <t>Afdækning af trappe med Tectura  tæppe</t>
  </si>
  <si>
    <t>Gulvmand</t>
  </si>
  <si>
    <t xml:space="preserve">Fodpaneler i værelser på 1. sal, </t>
  </si>
  <si>
    <t>Optagning af gulv i værelse, nedtagning af fodpaneler mv.</t>
  </si>
  <si>
    <t>Opbygning af gulv med svalehaleplader</t>
  </si>
  <si>
    <t>Rep af gulv ca. 1 m2, efterskruning og spartling</t>
  </si>
  <si>
    <t>Ravn</t>
  </si>
  <si>
    <t>Indkøb og montering af gulv på 1. sal</t>
  </si>
  <si>
    <t>Adækning af gulve</t>
  </si>
  <si>
    <t>Tillæg hvis entreprisen udføres i 2 etaper</t>
  </si>
  <si>
    <t>Opbygning af cisternekasse og niche til opbecaring</t>
  </si>
  <si>
    <t>Hultagning til skakt</t>
  </si>
  <si>
    <t>Fuge af badeværelsesmøbel</t>
  </si>
  <si>
    <t>Tømrer  / Snedker</t>
  </si>
  <si>
    <t>Badeværelsesmøbel indkøbes og monteres af bygherre</t>
  </si>
  <si>
    <t>Bygherre</t>
  </si>
  <si>
    <t>Det forudsættes at håndværkere kan benytte toilettet i stueetagen</t>
  </si>
  <si>
    <t>EL</t>
  </si>
  <si>
    <t>Opretning af vægge</t>
  </si>
  <si>
    <t>Støbning af gulv</t>
  </si>
  <si>
    <t>Tilstøbning af skakt hul</t>
  </si>
  <si>
    <t>Vådrum</t>
  </si>
  <si>
    <t>Opsætning af fliser på væg ca.  4,5 m2</t>
  </si>
  <si>
    <t>Opsætning af klinker på gulv  ca. 5 m2</t>
  </si>
  <si>
    <t>Opsætning af sokkelklinker ca. 6,2 Lbm</t>
  </si>
  <si>
    <t>Fugning med hård og blød fuge</t>
  </si>
  <si>
    <t>Indkøb af Fliser, Sokkelklinker og Klinker (Afsat Beløb 5.500 Kr.)</t>
  </si>
  <si>
    <t>VVS</t>
  </si>
  <si>
    <t>Dobbelt stikkontakt ved bademøbel</t>
  </si>
  <si>
    <t>Der laves lampeudtag og ikke spots</t>
  </si>
  <si>
    <t>Demontering af el og stikkontakter i værelse</t>
  </si>
  <si>
    <t>Gulvvarme med termostat</t>
  </si>
  <si>
    <t>Afbryder til lampe afbryder til ventilator</t>
  </si>
  <si>
    <t>Maling af fodpaneler på 1. sal.</t>
  </si>
  <si>
    <t>Spartling, filt og maling af badeværelse</t>
  </si>
  <si>
    <t>Glostrup den:</t>
  </si>
  <si>
    <t>Sags adresse</t>
  </si>
  <si>
    <t>Salgs pris</t>
  </si>
  <si>
    <t>VVS:</t>
  </si>
  <si>
    <t>Demontering af radiator og propning af rør.</t>
  </si>
  <si>
    <t>Ny skjult vandinstallation fra rørkasse ved skorsten til toilet, brus, håndvaks og wc.</t>
  </si>
  <si>
    <t>Ny afløbsinstallation fra rørkasse ved skorsten til toilet, gulvafløb, håndvaks og wc.</t>
  </si>
  <si>
    <t>Montering af wc skål, trykplade, håndvaskbatteri, håndvask, bruser, korge samt div.</t>
  </si>
  <si>
    <t>Sanitet:</t>
  </si>
  <si>
    <t>Bruser, afsat beløb 3.500 kr.</t>
  </si>
  <si>
    <t>Unidrain HighLine Custom 800mm</t>
  </si>
  <si>
    <t>Geberit Sigma/omega Duofix frontbetjent cisterne</t>
  </si>
  <si>
    <t>Toilet + skylleknap (Afsat beløb 2.400)</t>
  </si>
  <si>
    <t>Håndvask batteri (Afsat beløb 1.000,-)</t>
  </si>
  <si>
    <t>Spejl med lys (afsat beløb (1.500 kr.)</t>
  </si>
  <si>
    <t>Kroge, wc rulle holder og diverse (afsat 800 kr)</t>
  </si>
  <si>
    <t xml:space="preserve">Pris ekskl, moms </t>
  </si>
  <si>
    <t xml:space="preserve">Moms </t>
  </si>
  <si>
    <t xml:space="preserve">Pris inkl. moms </t>
  </si>
  <si>
    <t xml:space="preserve">Unidrain HighLine Custom 800mm </t>
  </si>
  <si>
    <t xml:space="preserve"> Geberit Sigma/omega Duofix frontbetjent cisterne </t>
  </si>
  <si>
    <t>Håndvask batteri (Afsat beløb 1.000,-) Spejl med lys (afsat beløb</t>
  </si>
  <si>
    <t xml:space="preserve">Toilet + skylleknap (Afsat beløb 2.400) </t>
  </si>
  <si>
    <t>) Spejl med lys (afsat beløb</t>
  </si>
  <si>
    <t>Kroge</t>
  </si>
  <si>
    <t>Tilkobling til eksisterende vand og afløbssystem</t>
  </si>
  <si>
    <t>Etablering af udluftnings ventil i skunk til afløbssystem</t>
  </si>
  <si>
    <t>Indkøb og opsætning af 2 plane hvide døre, inkl, indfatninger</t>
  </si>
  <si>
    <t>Maling af y-væg</t>
  </si>
  <si>
    <t>M.Ras</t>
  </si>
  <si>
    <t>2 stk vinger i gips inkl. 1 shampoohylde</t>
  </si>
  <si>
    <t>Shampoohylde</t>
  </si>
  <si>
    <t>2 knækdøre i glas (Afsat beløb 3000)</t>
  </si>
  <si>
    <t>Tillæg for 2 etaper</t>
  </si>
  <si>
    <t>Instalation til lys over spejl</t>
  </si>
  <si>
    <t>Spejl med lys (afsat beløb (800 kr.)</t>
  </si>
  <si>
    <t>Opsætning af Y-væg i soveværelse med fodpaneler</t>
  </si>
  <si>
    <t>02.02.2025 Byggeselskabet Nord ApS.</t>
  </si>
  <si>
    <t>Tillægs og fradragsarbejder - Trekronergade 1. sal.</t>
  </si>
  <si>
    <t xml:space="preserve"> + moms</t>
  </si>
  <si>
    <t>Fjernelse af trin Tømrer  1x2 timer, Murer 2x1,5 timer + materialer</t>
  </si>
  <si>
    <t>Udført 11 og 12 feb. Aftalt i tlf.</t>
  </si>
  <si>
    <t>Tømrer rep af karm/tilsætninger  i bunden, mellem reposeværelse og lille gang.</t>
  </si>
  <si>
    <t>Acceept d. 07.02.2025</t>
  </si>
  <si>
    <t>Dør i stueetagen udskiftes til Klimadør</t>
  </si>
  <si>
    <t>Stade</t>
  </si>
  <si>
    <t>Aconto 1</t>
  </si>
  <si>
    <t>Aconto 1 =</t>
  </si>
  <si>
    <t>Stade d.d =</t>
  </si>
  <si>
    <t>Tilretning af flise pris</t>
  </si>
  <si>
    <t>Acceept d. 25.02.2025</t>
  </si>
  <si>
    <t>fimgerhul</t>
  </si>
  <si>
    <t>ca. 3 uger</t>
  </si>
  <si>
    <t>cm max højde</t>
  </si>
  <si>
    <t>kr pr. stk.</t>
  </si>
  <si>
    <t xml:space="preserve"> -32 mil</t>
  </si>
  <si>
    <t>magnet liste</t>
  </si>
  <si>
    <t>max 60</t>
  </si>
  <si>
    <t>mail: info@aquatrend.dk</t>
  </si>
  <si>
    <t>Att: carina</t>
  </si>
  <si>
    <t>Afhentes i Greve</t>
  </si>
  <si>
    <t>cm bred</t>
  </si>
  <si>
    <t>Knækdøre</t>
  </si>
  <si>
    <t>Magnetlister</t>
  </si>
  <si>
    <t>Rørkasse i stue, tømrer 2 timer + materialer, maler 2 timer</t>
  </si>
  <si>
    <t>Bestilling af knækdøre til badeværelse, afsat i tilbud 3.450.</t>
  </si>
  <si>
    <t>Materialer, Trekronergade 125 - Valby</t>
  </si>
  <si>
    <t>Wedi 10 mm</t>
  </si>
  <si>
    <t>Wedi 30 mm</t>
  </si>
  <si>
    <t>Vådrums plader 10 stk. 2,4 m</t>
  </si>
  <si>
    <t>45 mm kantstål, 8stk.</t>
  </si>
  <si>
    <t>45 mm stander stål 8stk.</t>
  </si>
  <si>
    <t>Flydespartelmasse 4 poser</t>
  </si>
  <si>
    <t>m2</t>
  </si>
  <si>
    <t>stk</t>
  </si>
  <si>
    <t>Gulvspån 22 eller 25 mm</t>
  </si>
  <si>
    <t>Lægter 100x50 mm - længde = 2,4 m</t>
  </si>
  <si>
    <t>poser</t>
  </si>
  <si>
    <t>Stk.</t>
  </si>
  <si>
    <t>Leveres mandag morgen sensest kl. 07.00 d. 03.03.2025</t>
  </si>
  <si>
    <t>Stik til højtaler ved loft</t>
  </si>
  <si>
    <t>Bestilt i tlf.  d. 07.03.2025</t>
  </si>
  <si>
    <t>13.300 Pris fra EL-Ent.</t>
  </si>
  <si>
    <t>Badeværelses tilbehør</t>
  </si>
  <si>
    <t xml:space="preserve">VVS Nr </t>
  </si>
  <si>
    <t>Pris</t>
  </si>
  <si>
    <t xml:space="preserve">LAUFEN PRO Compact Rimless inkl. sæde </t>
  </si>
  <si>
    <t>Afsat i tilbud</t>
  </si>
  <si>
    <t>Kroge + diverse (Afsat beløb 800)</t>
  </si>
  <si>
    <t>Pris eskl moms</t>
  </si>
  <si>
    <t>Moms</t>
  </si>
  <si>
    <t>Pris inkls moms</t>
  </si>
  <si>
    <t>Betjeningsplade Omega 20, hvid/guld/hvid</t>
  </si>
  <si>
    <t xml:space="preserve">Grohe Essence håndvaskarmatur - børstet messing </t>
  </si>
  <si>
    <t xml:space="preserve">Grohe push-up bundventil børstet messing </t>
  </si>
  <si>
    <t>Grohe Essentials Papirholder uden låg, børstet cool sunrise</t>
  </si>
  <si>
    <t>Spejl med lys (afsat 800,-)</t>
  </si>
  <si>
    <t>Unidrain HighLine Custom uden ramme (Flise) + 4 mure timer</t>
  </si>
  <si>
    <t>Grohe Euphoria 310 brusesystem, termostat, børstet cool sunrise</t>
  </si>
  <si>
    <t>Bruser, (afsat beløb 3.500 kr)</t>
  </si>
  <si>
    <t>GROHE Essentials Toiletbørste + holder, børstet cool sunrise</t>
  </si>
  <si>
    <t>Demontering og montering af radiator samt ombytning af rør</t>
  </si>
  <si>
    <t xml:space="preserve">Gips repuration </t>
  </si>
  <si>
    <t>Tømre</t>
  </si>
  <si>
    <t>Maler behendling af repuration</t>
  </si>
  <si>
    <t>Sanitetsliste jf. mail af 13.3</t>
  </si>
  <si>
    <t>Acceept d. 13.03.2025 via mail</t>
  </si>
  <si>
    <t xml:space="preserve">Skal faktureres 100% </t>
  </si>
  <si>
    <t>Acceept mundtligt ti RR</t>
  </si>
  <si>
    <t>Skifte rørføring til radiator</t>
  </si>
  <si>
    <t xml:space="preserve">Acceept 16.03.2025 </t>
  </si>
  <si>
    <t>Timelønsarbejde tilpasse skabe i soveværelse. Time løn 585 + moms.</t>
  </si>
  <si>
    <t>Fragt</t>
  </si>
  <si>
    <t>Glas</t>
  </si>
  <si>
    <t>Accepteret Mie tlf. 20.03.2025</t>
  </si>
  <si>
    <t>Acceept 25.03.2025 - Medgået tid</t>
  </si>
  <si>
    <t>Aconto 2</t>
  </si>
  <si>
    <t>Rest: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</si>
</sst>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[$-F800]dddd\,\ mmmm\ dd\,\ yyyy"/>
    <numFmt numFmtId="166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3" xfId="0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 vertical="center"/>
    </xf>
    <xf numFmtId="0" fontId="8" fillId="0" borderId="0" xfId="0" applyFont="1"/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0" fillId="0" borderId="5" xfId="0" applyNumberFormat="1" applyBorder="1"/>
    <xf numFmtId="164" fontId="0" fillId="0" borderId="5" xfId="0" applyNumberFormat="1" applyBorder="1"/>
    <xf numFmtId="0" fontId="0" fillId="0" borderId="5" xfId="0" applyBorder="1" applyAlignment="1">
      <alignment horizontal="right"/>
    </xf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/>
    <xf numFmtId="0" fontId="1" fillId="0" borderId="0" xfId="0" applyFont="1" applyAlignment="1">
      <alignment horizontal="right"/>
    </xf>
    <xf numFmtId="4" fontId="1" fillId="0" borderId="1" xfId="0" applyNumberFormat="1" applyFont="1" applyBorder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0" fillId="2" borderId="0" xfId="0" applyFill="1"/>
    <xf numFmtId="3" fontId="1" fillId="3" borderId="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0" fillId="3" borderId="0" xfId="0" applyNumberFormat="1" applyFill="1"/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3" fontId="0" fillId="3" borderId="0" xfId="0" applyNumberForma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left"/>
    </xf>
    <xf numFmtId="0" fontId="0" fillId="4" borderId="0" xfId="0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9" fontId="0" fillId="4" borderId="0" xfId="2" applyFont="1" applyFill="1"/>
    <xf numFmtId="166" fontId="0" fillId="4" borderId="0" xfId="1" applyNumberFormat="1" applyFont="1" applyFill="1"/>
    <xf numFmtId="43" fontId="0" fillId="4" borderId="0" xfId="1" applyFont="1" applyFill="1"/>
    <xf numFmtId="0" fontId="0" fillId="4" borderId="6" xfId="0" applyFill="1" applyBorder="1"/>
    <xf numFmtId="166" fontId="0" fillId="4" borderId="6" xfId="1" applyNumberFormat="1" applyFont="1" applyFill="1" applyBorder="1" applyAlignment="1">
      <alignment horizontal="right"/>
    </xf>
    <xf numFmtId="43" fontId="0" fillId="4" borderId="6" xfId="1" applyFont="1" applyFill="1" applyBorder="1"/>
    <xf numFmtId="166" fontId="0" fillId="4" borderId="0" xfId="1" applyNumberFormat="1" applyFont="1" applyFill="1" applyAlignment="1">
      <alignment horizontal="right"/>
    </xf>
    <xf numFmtId="0" fontId="0" fillId="4" borderId="7" xfId="0" applyFill="1" applyBorder="1"/>
    <xf numFmtId="43" fontId="0" fillId="4" borderId="7" xfId="0" applyNumberFormat="1" applyFill="1" applyBorder="1"/>
    <xf numFmtId="0" fontId="0" fillId="4" borderId="0" xfId="0" applyFill="1" applyAlignment="1">
      <alignment horizontal="right"/>
    </xf>
    <xf numFmtId="166" fontId="10" fillId="4" borderId="0" xfId="1" applyNumberFormat="1" applyFont="1" applyFill="1"/>
    <xf numFmtId="9" fontId="0" fillId="0" borderId="0" xfId="2" applyFont="1" applyAlignment="1">
      <alignment horizontal="center" vertical="center"/>
    </xf>
    <xf numFmtId="3" fontId="11" fillId="0" borderId="0" xfId="0" applyNumberFormat="1" applyFont="1"/>
    <xf numFmtId="3" fontId="1" fillId="5" borderId="2" xfId="0" applyNumberFormat="1" applyFont="1" applyFill="1" applyBorder="1" applyAlignment="1">
      <alignment horizontal="center" vertical="center"/>
    </xf>
    <xf numFmtId="3" fontId="0" fillId="5" borderId="0" xfId="0" applyNumberFormat="1" applyFill="1"/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right"/>
    </xf>
    <xf numFmtId="3" fontId="0" fillId="5" borderId="7" xfId="0" applyNumberFormat="1" applyFill="1" applyBorder="1"/>
    <xf numFmtId="3" fontId="0" fillId="5" borderId="0" xfId="0" applyNumberFormat="1" applyFill="1" applyAlignment="1">
      <alignment horizontal="center"/>
    </xf>
    <xf numFmtId="3" fontId="1" fillId="5" borderId="1" xfId="0" applyNumberFormat="1" applyFont="1" applyFill="1" applyBorder="1"/>
    <xf numFmtId="0" fontId="0" fillId="0" borderId="0" xfId="0" applyAlignment="1">
      <alignment horizontal="left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F3D-BBCA-4AFB-A60C-D9764413E77A}">
  <sheetPr>
    <pageSetUpPr fitToPage="1"/>
  </sheetPr>
  <dimension ref="B2:T86"/>
  <sheetViews>
    <sheetView tabSelected="1" zoomScale="90" zoomScaleNormal="90" workbookViewId="0">
      <selection activeCell="R82" sqref="R82"/>
    </sheetView>
  </sheetViews>
  <sheetFormatPr defaultRowHeight="14.5" x14ac:dyDescent="0.35"/>
  <cols>
    <col min="1" max="1" width="3.7265625" customWidth="1"/>
    <col min="2" max="2" width="68.7265625" customWidth="1"/>
    <col min="3" max="3" width="2.7265625" customWidth="1"/>
    <col min="5" max="5" width="12.26953125" hidden="1" customWidth="1"/>
    <col min="6" max="6" width="8.7265625" hidden="1" customWidth="1"/>
    <col min="7" max="7" width="9.26953125" hidden="1" customWidth="1"/>
    <col min="8" max="8" width="8.7265625" hidden="1" customWidth="1"/>
    <col min="9" max="9" width="8.7265625" style="3" hidden="1" customWidth="1"/>
    <col min="11" max="11" width="3.26953125" customWidth="1"/>
    <col min="12" max="12" width="10.26953125" style="3" customWidth="1"/>
    <col min="13" max="13" width="3.26953125" customWidth="1"/>
    <col min="14" max="14" width="11.7265625" style="3" customWidth="1"/>
    <col min="15" max="15" width="9.7265625" style="7" customWidth="1"/>
    <col min="16" max="16" width="3.26953125" style="7" customWidth="1"/>
    <col min="17" max="18" width="9.7265625" style="7" customWidth="1"/>
    <col min="20" max="20" width="23.26953125" customWidth="1"/>
  </cols>
  <sheetData>
    <row r="2" spans="2:18" ht="21" x14ac:dyDescent="0.5">
      <c r="B2" s="12" t="s">
        <v>15</v>
      </c>
    </row>
    <row r="3" spans="2:18" x14ac:dyDescent="0.35">
      <c r="B3" t="s">
        <v>91</v>
      </c>
    </row>
    <row r="5" spans="2:18" ht="15" thickBot="1" x14ac:dyDescent="0.4">
      <c r="D5" s="9" t="s">
        <v>11</v>
      </c>
      <c r="E5" s="9" t="s">
        <v>4</v>
      </c>
      <c r="F5" s="9" t="s">
        <v>12</v>
      </c>
      <c r="G5" s="10" t="s">
        <v>5</v>
      </c>
      <c r="H5" s="10" t="s">
        <v>13</v>
      </c>
      <c r="I5" s="11" t="s">
        <v>6</v>
      </c>
      <c r="J5" s="10" t="s">
        <v>14</v>
      </c>
      <c r="L5" s="10" t="s">
        <v>14</v>
      </c>
      <c r="N5" s="57" t="s">
        <v>99</v>
      </c>
      <c r="O5" s="57" t="s">
        <v>100</v>
      </c>
      <c r="P5" s="54"/>
      <c r="Q5" s="84" t="s">
        <v>99</v>
      </c>
      <c r="R5" s="84" t="s">
        <v>170</v>
      </c>
    </row>
    <row r="6" spans="2:18" x14ac:dyDescent="0.35">
      <c r="N6" s="58"/>
      <c r="O6" s="59"/>
      <c r="Q6" s="85"/>
      <c r="R6" s="85"/>
    </row>
    <row r="7" spans="2:18" x14ac:dyDescent="0.35">
      <c r="B7" s="1" t="s">
        <v>16</v>
      </c>
      <c r="L7" s="4">
        <f>SUM(J8:J12)</f>
        <v>14493.25</v>
      </c>
      <c r="N7" s="60">
        <v>0.4</v>
      </c>
      <c r="O7" s="59">
        <f>L7*N7</f>
        <v>5797.3</v>
      </c>
      <c r="Q7" s="86">
        <v>0.9</v>
      </c>
      <c r="R7" s="85">
        <f>L7*Q7</f>
        <v>13043.925000000001</v>
      </c>
    </row>
    <row r="8" spans="2:18" x14ac:dyDescent="0.35">
      <c r="B8" t="s">
        <v>2</v>
      </c>
      <c r="D8" s="3" t="s">
        <v>1</v>
      </c>
      <c r="E8" s="13"/>
      <c r="F8" s="13"/>
      <c r="G8" s="13"/>
      <c r="H8" s="14">
        <v>5000</v>
      </c>
      <c r="I8" s="13"/>
      <c r="J8" s="15">
        <f t="shared" ref="J8:J11" si="0">(H8*I8)+H8</f>
        <v>5000</v>
      </c>
      <c r="N8" s="58"/>
      <c r="O8" s="59"/>
      <c r="Q8" s="85"/>
      <c r="R8" s="85"/>
    </row>
    <row r="9" spans="2:18" x14ac:dyDescent="0.35">
      <c r="B9" t="s">
        <v>10</v>
      </c>
      <c r="D9" s="3" t="s">
        <v>17</v>
      </c>
      <c r="E9" s="13">
        <v>5</v>
      </c>
      <c r="F9" s="13">
        <v>825</v>
      </c>
      <c r="G9" s="14"/>
      <c r="H9" s="14">
        <v>3000</v>
      </c>
      <c r="I9" s="19">
        <v>0.15</v>
      </c>
      <c r="J9" s="15">
        <f t="shared" si="0"/>
        <v>3450</v>
      </c>
      <c r="N9" s="58"/>
      <c r="O9" s="59"/>
      <c r="Q9" s="85"/>
      <c r="R9" s="85"/>
    </row>
    <row r="10" spans="2:18" x14ac:dyDescent="0.35">
      <c r="B10" s="17" t="s">
        <v>18</v>
      </c>
      <c r="D10" s="18" t="s">
        <v>1</v>
      </c>
      <c r="E10" s="13">
        <v>4</v>
      </c>
      <c r="F10" s="13">
        <v>575</v>
      </c>
      <c r="G10" s="14"/>
      <c r="H10" s="14">
        <f t="shared" ref="H10:H11" si="1">(E10*F10)+G10</f>
        <v>2300</v>
      </c>
      <c r="I10" s="16"/>
      <c r="J10" s="15">
        <f t="shared" si="0"/>
        <v>2300</v>
      </c>
      <c r="N10" s="58"/>
      <c r="O10" s="59"/>
      <c r="Q10" s="85"/>
      <c r="R10" s="85"/>
    </row>
    <row r="11" spans="2:18" x14ac:dyDescent="0.35">
      <c r="B11" s="17" t="s">
        <v>19</v>
      </c>
      <c r="D11" s="18" t="s">
        <v>1</v>
      </c>
      <c r="E11" s="13">
        <v>3</v>
      </c>
      <c r="F11" s="13">
        <v>585</v>
      </c>
      <c r="G11" s="14">
        <v>1500</v>
      </c>
      <c r="H11" s="14">
        <f t="shared" si="1"/>
        <v>3255</v>
      </c>
      <c r="I11" s="19">
        <v>0.15</v>
      </c>
      <c r="J11" s="15">
        <f t="shared" si="0"/>
        <v>3743.25</v>
      </c>
      <c r="N11" s="58"/>
      <c r="O11" s="59"/>
      <c r="Q11" s="85"/>
      <c r="R11" s="85"/>
    </row>
    <row r="12" spans="2:18" x14ac:dyDescent="0.35">
      <c r="B12" s="20" t="s">
        <v>35</v>
      </c>
      <c r="D12" s="18"/>
      <c r="E12" s="13"/>
      <c r="F12" s="13"/>
      <c r="G12" s="14"/>
      <c r="H12" s="14"/>
      <c r="I12" s="19"/>
      <c r="J12" s="15"/>
      <c r="N12" s="58"/>
      <c r="O12" s="59"/>
      <c r="Q12" s="85"/>
      <c r="R12" s="85"/>
    </row>
    <row r="13" spans="2:18" x14ac:dyDescent="0.35">
      <c r="N13" s="58"/>
      <c r="O13" s="59"/>
      <c r="Q13" s="85"/>
      <c r="R13" s="85"/>
    </row>
    <row r="14" spans="2:18" x14ac:dyDescent="0.35">
      <c r="B14" s="1" t="s">
        <v>0</v>
      </c>
      <c r="L14" s="4">
        <f>SUM(J15:J16)</f>
        <v>3510</v>
      </c>
      <c r="N14" s="60">
        <v>0.2</v>
      </c>
      <c r="O14" s="59">
        <f>L14*N14</f>
        <v>702</v>
      </c>
      <c r="Q14" s="86">
        <v>1</v>
      </c>
      <c r="R14" s="85">
        <f>L14*Q14</f>
        <v>3510</v>
      </c>
    </row>
    <row r="15" spans="2:18" x14ac:dyDescent="0.35">
      <c r="B15" t="s">
        <v>22</v>
      </c>
      <c r="D15" s="18" t="s">
        <v>1</v>
      </c>
      <c r="E15" s="13">
        <v>6</v>
      </c>
      <c r="F15" s="13">
        <v>585</v>
      </c>
      <c r="G15" s="14"/>
      <c r="H15" s="14">
        <f t="shared" ref="H15" si="2">(E15*F15)+G15</f>
        <v>3510</v>
      </c>
      <c r="I15" s="19"/>
      <c r="J15" s="15">
        <f t="shared" ref="J15" si="3">(H15*I15)+H15</f>
        <v>3510</v>
      </c>
      <c r="N15" s="58"/>
      <c r="O15" s="59"/>
      <c r="Q15" s="85"/>
      <c r="R15" s="85"/>
    </row>
    <row r="16" spans="2:18" x14ac:dyDescent="0.35">
      <c r="N16" s="58"/>
      <c r="O16" s="59"/>
      <c r="Q16" s="85"/>
      <c r="R16" s="85"/>
    </row>
    <row r="17" spans="2:18" x14ac:dyDescent="0.35">
      <c r="B17" s="1" t="s">
        <v>32</v>
      </c>
      <c r="L17" s="4">
        <f>SUM(J18:J26)</f>
        <v>56950</v>
      </c>
      <c r="N17" s="60">
        <v>0.6</v>
      </c>
      <c r="O17" s="59">
        <f>L17*N17</f>
        <v>34170</v>
      </c>
      <c r="Q17" s="86">
        <v>0.9</v>
      </c>
      <c r="R17" s="85">
        <f>L17*Q17</f>
        <v>51255</v>
      </c>
    </row>
    <row r="18" spans="2:18" x14ac:dyDescent="0.35">
      <c r="B18" t="s">
        <v>21</v>
      </c>
      <c r="D18" s="18" t="s">
        <v>1</v>
      </c>
      <c r="E18" s="13">
        <v>12</v>
      </c>
      <c r="F18" s="13">
        <v>585</v>
      </c>
      <c r="G18" s="14">
        <v>1000</v>
      </c>
      <c r="H18" s="14">
        <f t="shared" ref="H18:H23" si="4">(E18*F18)+G18</f>
        <v>8020</v>
      </c>
      <c r="I18" s="19"/>
      <c r="J18" s="15">
        <f t="shared" ref="J18:J26" si="5">(H18*I18)+H18</f>
        <v>8020</v>
      </c>
      <c r="N18" s="58"/>
      <c r="O18" s="59"/>
      <c r="Q18" s="85"/>
      <c r="R18" s="85"/>
    </row>
    <row r="19" spans="2:18" x14ac:dyDescent="0.35">
      <c r="B19" t="s">
        <v>90</v>
      </c>
      <c r="D19" s="18" t="s">
        <v>1</v>
      </c>
      <c r="E19" s="13">
        <v>25</v>
      </c>
      <c r="F19" s="13">
        <v>585</v>
      </c>
      <c r="G19" s="14">
        <v>1500</v>
      </c>
      <c r="H19" s="14">
        <f>(E19*F19)+G19</f>
        <v>16125</v>
      </c>
      <c r="I19" s="19"/>
      <c r="J19" s="15">
        <f>(H19*I19)+H19</f>
        <v>16125</v>
      </c>
      <c r="N19" s="58"/>
      <c r="O19" s="59"/>
      <c r="Q19" s="85"/>
      <c r="R19" s="85"/>
    </row>
    <row r="20" spans="2:18" x14ac:dyDescent="0.35">
      <c r="B20" t="s">
        <v>81</v>
      </c>
      <c r="D20" s="18" t="s">
        <v>1</v>
      </c>
      <c r="E20" s="13"/>
      <c r="F20" s="13"/>
      <c r="G20" s="14"/>
      <c r="H20" s="14">
        <v>13000</v>
      </c>
      <c r="I20" s="19"/>
      <c r="J20" s="15">
        <f>(H20*I20)+H20</f>
        <v>13000</v>
      </c>
      <c r="N20" s="58"/>
      <c r="O20" s="59"/>
      <c r="Q20" s="85"/>
      <c r="R20" s="85"/>
    </row>
    <row r="21" spans="2:18" x14ac:dyDescent="0.35">
      <c r="B21" t="s">
        <v>23</v>
      </c>
      <c r="D21" s="18" t="s">
        <v>1</v>
      </c>
      <c r="E21" s="13">
        <v>8</v>
      </c>
      <c r="F21" s="13">
        <v>585</v>
      </c>
      <c r="G21" s="14">
        <v>1500</v>
      </c>
      <c r="H21" s="14">
        <f t="shared" si="4"/>
        <v>6180</v>
      </c>
      <c r="I21" s="19"/>
      <c r="J21" s="15">
        <f t="shared" si="5"/>
        <v>6180</v>
      </c>
      <c r="N21" s="58"/>
      <c r="O21" s="59"/>
      <c r="Q21" s="85"/>
      <c r="R21" s="85"/>
    </row>
    <row r="22" spans="2:18" x14ac:dyDescent="0.35">
      <c r="B22" t="s">
        <v>29</v>
      </c>
      <c r="D22" s="18" t="s">
        <v>1</v>
      </c>
      <c r="E22" s="13">
        <v>5</v>
      </c>
      <c r="F22" s="13">
        <v>585</v>
      </c>
      <c r="G22" s="14">
        <v>800</v>
      </c>
      <c r="H22" s="14">
        <f t="shared" si="4"/>
        <v>3725</v>
      </c>
      <c r="I22" s="19"/>
      <c r="J22" s="15">
        <f t="shared" si="5"/>
        <v>3725</v>
      </c>
      <c r="N22" s="58"/>
      <c r="O22" s="59"/>
      <c r="Q22" s="85"/>
      <c r="R22" s="85"/>
    </row>
    <row r="23" spans="2:18" x14ac:dyDescent="0.35">
      <c r="B23" t="s">
        <v>30</v>
      </c>
      <c r="D23" s="18" t="s">
        <v>1</v>
      </c>
      <c r="E23" s="13">
        <v>1</v>
      </c>
      <c r="F23" s="13">
        <v>585</v>
      </c>
      <c r="G23" s="14"/>
      <c r="H23" s="14">
        <f t="shared" si="4"/>
        <v>585</v>
      </c>
      <c r="I23" s="19"/>
      <c r="J23" s="15">
        <f t="shared" si="5"/>
        <v>585</v>
      </c>
      <c r="N23" s="58"/>
      <c r="O23" s="59"/>
      <c r="Q23" s="85"/>
      <c r="R23" s="85"/>
    </row>
    <row r="24" spans="2:18" x14ac:dyDescent="0.35">
      <c r="B24" t="s">
        <v>84</v>
      </c>
      <c r="D24" s="18" t="s">
        <v>1</v>
      </c>
      <c r="E24" s="13">
        <v>8</v>
      </c>
      <c r="F24" s="13">
        <v>585</v>
      </c>
      <c r="G24" s="14">
        <v>600</v>
      </c>
      <c r="H24" s="14">
        <f>(E24*F24)+G24</f>
        <v>5280</v>
      </c>
      <c r="I24" s="19"/>
      <c r="J24" s="15">
        <f>(H24*I24)+H24</f>
        <v>5280</v>
      </c>
      <c r="N24" s="58"/>
      <c r="O24" s="59"/>
      <c r="Q24" s="85"/>
      <c r="R24" s="85"/>
    </row>
    <row r="25" spans="2:18" x14ac:dyDescent="0.35">
      <c r="B25" t="s">
        <v>86</v>
      </c>
      <c r="D25" s="18" t="s">
        <v>1</v>
      </c>
      <c r="E25" s="13"/>
      <c r="F25" s="13"/>
      <c r="G25" s="14"/>
      <c r="H25" s="14">
        <v>3000</v>
      </c>
      <c r="I25" s="19">
        <v>0.15</v>
      </c>
      <c r="J25" s="15">
        <f t="shared" si="5"/>
        <v>3450</v>
      </c>
      <c r="N25" s="58"/>
      <c r="O25" s="59"/>
      <c r="Q25" s="85"/>
      <c r="R25" s="85"/>
    </row>
    <row r="26" spans="2:18" x14ac:dyDescent="0.35">
      <c r="B26" t="s">
        <v>31</v>
      </c>
      <c r="D26" s="18" t="s">
        <v>1</v>
      </c>
      <c r="E26" s="13">
        <v>1</v>
      </c>
      <c r="F26" s="13">
        <v>585</v>
      </c>
      <c r="G26" s="14"/>
      <c r="H26" s="14">
        <f t="shared" ref="H26" si="6">(E26*F26)+G26</f>
        <v>585</v>
      </c>
      <c r="I26" s="19"/>
      <c r="J26" s="15">
        <f t="shared" si="5"/>
        <v>585</v>
      </c>
      <c r="N26" s="58"/>
      <c r="O26" s="59"/>
      <c r="Q26" s="85"/>
      <c r="R26" s="85"/>
    </row>
    <row r="27" spans="2:18" x14ac:dyDescent="0.35">
      <c r="B27" s="20" t="s">
        <v>33</v>
      </c>
      <c r="D27" s="21" t="s">
        <v>34</v>
      </c>
      <c r="E27" s="13"/>
      <c r="F27" s="13"/>
      <c r="G27" s="14"/>
      <c r="H27" s="14"/>
      <c r="I27" s="19"/>
      <c r="J27" s="15"/>
      <c r="N27" s="58"/>
      <c r="O27" s="59"/>
      <c r="Q27" s="85"/>
      <c r="R27" s="85"/>
    </row>
    <row r="28" spans="2:18" x14ac:dyDescent="0.35">
      <c r="N28" s="58"/>
      <c r="O28" s="59"/>
      <c r="Q28" s="85"/>
      <c r="R28" s="85"/>
    </row>
    <row r="29" spans="2:18" x14ac:dyDescent="0.35">
      <c r="B29" s="1" t="s">
        <v>20</v>
      </c>
      <c r="L29" s="4">
        <f>SUM(J30:J32)</f>
        <v>72737.5</v>
      </c>
      <c r="N29" s="60">
        <v>0.95</v>
      </c>
      <c r="O29" s="59">
        <f>L29*N29</f>
        <v>69100.625</v>
      </c>
      <c r="Q29" s="86">
        <v>0.95</v>
      </c>
      <c r="R29" s="85">
        <f>L29*Q29</f>
        <v>69100.625</v>
      </c>
    </row>
    <row r="30" spans="2:18" x14ac:dyDescent="0.35">
      <c r="B30" t="s">
        <v>24</v>
      </c>
      <c r="D30" s="3" t="s">
        <v>25</v>
      </c>
      <c r="E30" s="13"/>
      <c r="F30" s="13"/>
      <c r="G30" s="14"/>
      <c r="H30" s="14">
        <v>13500</v>
      </c>
      <c r="I30" s="19">
        <v>0.15</v>
      </c>
      <c r="J30" s="15">
        <f t="shared" ref="J30:J32" si="7">(H30*I30)+H30</f>
        <v>15525</v>
      </c>
      <c r="N30" s="58"/>
      <c r="O30" s="59"/>
      <c r="Q30" s="85"/>
      <c r="R30" s="85"/>
    </row>
    <row r="31" spans="2:18" x14ac:dyDescent="0.35">
      <c r="B31" t="s">
        <v>26</v>
      </c>
      <c r="D31" s="3" t="s">
        <v>25</v>
      </c>
      <c r="H31" s="14">
        <v>47250</v>
      </c>
      <c r="I31" s="19">
        <v>0.15</v>
      </c>
      <c r="J31" s="15">
        <f t="shared" si="7"/>
        <v>54337.5</v>
      </c>
      <c r="N31" s="58"/>
      <c r="O31" s="59"/>
      <c r="Q31" s="85"/>
      <c r="R31" s="85"/>
    </row>
    <row r="32" spans="2:18" x14ac:dyDescent="0.35">
      <c r="B32" t="s">
        <v>27</v>
      </c>
      <c r="D32" s="3" t="s">
        <v>25</v>
      </c>
      <c r="H32" s="14">
        <v>2500</v>
      </c>
      <c r="I32" s="19">
        <v>0.15</v>
      </c>
      <c r="J32" s="15">
        <f t="shared" si="7"/>
        <v>2875</v>
      </c>
      <c r="N32" s="58"/>
      <c r="O32" s="59"/>
      <c r="Q32" s="85"/>
      <c r="R32" s="85"/>
    </row>
    <row r="33" spans="2:20" x14ac:dyDescent="0.35">
      <c r="B33" t="s">
        <v>87</v>
      </c>
      <c r="D33" s="3"/>
      <c r="J33" s="15">
        <v>3738</v>
      </c>
      <c r="N33" s="58"/>
      <c r="O33" s="59"/>
      <c r="Q33" s="85"/>
      <c r="R33" s="85"/>
    </row>
    <row r="34" spans="2:20" x14ac:dyDescent="0.35">
      <c r="N34" s="58"/>
      <c r="O34" s="59"/>
      <c r="Q34" s="85"/>
      <c r="R34" s="85"/>
    </row>
    <row r="35" spans="2:20" x14ac:dyDescent="0.35">
      <c r="B35" s="1" t="s">
        <v>7</v>
      </c>
      <c r="L35" s="4">
        <f>SUM(J35:J45)</f>
        <v>52250</v>
      </c>
      <c r="N35" s="60">
        <v>0</v>
      </c>
      <c r="O35" s="59">
        <f>L35*N35</f>
        <v>0</v>
      </c>
      <c r="Q35" s="86">
        <v>1</v>
      </c>
      <c r="R35" s="85">
        <f>L35*Q35</f>
        <v>52250</v>
      </c>
    </row>
    <row r="36" spans="2:20" x14ac:dyDescent="0.35">
      <c r="B36" t="s">
        <v>37</v>
      </c>
      <c r="D36" s="18" t="s">
        <v>1</v>
      </c>
      <c r="E36" s="13">
        <v>7</v>
      </c>
      <c r="F36" s="13">
        <v>585</v>
      </c>
      <c r="G36" s="14">
        <v>700</v>
      </c>
      <c r="H36" s="14">
        <f t="shared" ref="H36:H42" si="8">(E36*F36)+G36</f>
        <v>4795</v>
      </c>
      <c r="I36" s="19"/>
      <c r="J36" s="15">
        <f t="shared" ref="J36:J45" si="9">(H36*I36)+H36</f>
        <v>4795</v>
      </c>
      <c r="N36" s="58"/>
      <c r="O36" s="59"/>
      <c r="Q36" s="85"/>
      <c r="R36" s="85"/>
    </row>
    <row r="37" spans="2:20" x14ac:dyDescent="0.35">
      <c r="B37" t="s">
        <v>39</v>
      </c>
      <c r="D37" s="18" t="s">
        <v>1</v>
      </c>
      <c r="E37" s="13">
        <v>2</v>
      </c>
      <c r="F37" s="13">
        <v>585</v>
      </c>
      <c r="G37" s="14">
        <v>300</v>
      </c>
      <c r="H37" s="14">
        <f t="shared" si="8"/>
        <v>1470</v>
      </c>
      <c r="I37" s="19"/>
      <c r="J37" s="15">
        <f t="shared" si="9"/>
        <v>1470</v>
      </c>
      <c r="N37" s="58"/>
      <c r="O37" s="59"/>
      <c r="Q37" s="85"/>
      <c r="R37" s="85"/>
    </row>
    <row r="38" spans="2:20" x14ac:dyDescent="0.35">
      <c r="B38" t="s">
        <v>38</v>
      </c>
      <c r="D38" s="18" t="s">
        <v>1</v>
      </c>
      <c r="E38" s="13">
        <v>12</v>
      </c>
      <c r="F38" s="13">
        <v>585</v>
      </c>
      <c r="G38" s="14">
        <v>2500</v>
      </c>
      <c r="H38" s="14">
        <f t="shared" si="8"/>
        <v>9520</v>
      </c>
      <c r="I38" s="19"/>
      <c r="J38" s="15">
        <f t="shared" si="9"/>
        <v>9520</v>
      </c>
      <c r="N38" s="58"/>
      <c r="O38" s="59"/>
      <c r="Q38" s="85"/>
      <c r="R38" s="85"/>
    </row>
    <row r="39" spans="2:20" x14ac:dyDescent="0.35">
      <c r="B39" t="s">
        <v>40</v>
      </c>
      <c r="D39" s="18" t="s">
        <v>1</v>
      </c>
      <c r="E39" s="13">
        <v>6</v>
      </c>
      <c r="F39" s="13">
        <v>585</v>
      </c>
      <c r="G39" s="14">
        <v>1800</v>
      </c>
      <c r="H39" s="14">
        <f t="shared" si="8"/>
        <v>5310</v>
      </c>
      <c r="I39" s="19"/>
      <c r="J39" s="15">
        <f t="shared" si="9"/>
        <v>5310</v>
      </c>
      <c r="N39" s="58"/>
      <c r="O39" s="59"/>
      <c r="Q39" s="85"/>
      <c r="R39" s="85"/>
    </row>
    <row r="40" spans="2:20" x14ac:dyDescent="0.35">
      <c r="B40" t="s">
        <v>41</v>
      </c>
      <c r="D40" s="18" t="s">
        <v>1</v>
      </c>
      <c r="E40" s="13">
        <v>13</v>
      </c>
      <c r="F40" s="13">
        <v>585</v>
      </c>
      <c r="G40" s="14">
        <v>600</v>
      </c>
      <c r="H40" s="14">
        <f t="shared" si="8"/>
        <v>8205</v>
      </c>
      <c r="I40" s="19"/>
      <c r="J40" s="15">
        <f t="shared" si="9"/>
        <v>8205</v>
      </c>
      <c r="N40" s="58"/>
      <c r="O40" s="59"/>
      <c r="Q40" s="85"/>
      <c r="R40" s="85"/>
    </row>
    <row r="41" spans="2:20" x14ac:dyDescent="0.35">
      <c r="B41" t="s">
        <v>42</v>
      </c>
      <c r="D41" s="18" t="s">
        <v>1</v>
      </c>
      <c r="E41" s="13">
        <v>8</v>
      </c>
      <c r="F41" s="13">
        <v>585</v>
      </c>
      <c r="G41" s="14">
        <v>600</v>
      </c>
      <c r="H41" s="14">
        <f t="shared" si="8"/>
        <v>5280</v>
      </c>
      <c r="I41" s="19"/>
      <c r="J41" s="15">
        <f t="shared" si="9"/>
        <v>5280</v>
      </c>
      <c r="N41" s="58"/>
      <c r="O41" s="59"/>
      <c r="Q41" s="85"/>
      <c r="R41" s="85"/>
    </row>
    <row r="42" spans="2:20" x14ac:dyDescent="0.35">
      <c r="B42" t="s">
        <v>43</v>
      </c>
      <c r="D42" s="18" t="s">
        <v>1</v>
      </c>
      <c r="E42" s="13">
        <v>7</v>
      </c>
      <c r="F42" s="13">
        <v>585</v>
      </c>
      <c r="G42" s="14">
        <v>300</v>
      </c>
      <c r="H42" s="14">
        <f t="shared" si="8"/>
        <v>4395</v>
      </c>
      <c r="I42" s="19"/>
      <c r="J42" s="15">
        <f t="shared" si="9"/>
        <v>4395</v>
      </c>
      <c r="N42" s="58"/>
      <c r="O42" s="59"/>
      <c r="Q42" s="85"/>
      <c r="R42" s="85"/>
    </row>
    <row r="43" spans="2:20" x14ac:dyDescent="0.35">
      <c r="B43" t="s">
        <v>85</v>
      </c>
      <c r="D43" s="18" t="s">
        <v>1</v>
      </c>
      <c r="E43" s="13">
        <v>4</v>
      </c>
      <c r="F43" s="13">
        <v>585</v>
      </c>
      <c r="G43" s="14">
        <v>300</v>
      </c>
      <c r="H43" s="14">
        <f>(E43*F43)+G43</f>
        <v>2640</v>
      </c>
      <c r="I43" s="19"/>
      <c r="J43" s="15">
        <f>(H43*I43)+H43</f>
        <v>2640</v>
      </c>
      <c r="N43" s="58"/>
      <c r="O43" s="59"/>
      <c r="Q43" s="85"/>
      <c r="R43" s="85"/>
    </row>
    <row r="44" spans="2:20" x14ac:dyDescent="0.35">
      <c r="B44" t="s">
        <v>45</v>
      </c>
      <c r="D44" s="18" t="s">
        <v>1</v>
      </c>
      <c r="H44" s="14">
        <v>5500</v>
      </c>
      <c r="I44" s="19">
        <v>0.15</v>
      </c>
      <c r="J44" s="15">
        <f t="shared" si="9"/>
        <v>6325</v>
      </c>
      <c r="N44" s="58"/>
      <c r="O44" s="59"/>
      <c r="Q44" s="85"/>
      <c r="R44" s="85"/>
    </row>
    <row r="45" spans="2:20" x14ac:dyDescent="0.35">
      <c r="B45" t="s">
        <v>44</v>
      </c>
      <c r="D45" s="18" t="s">
        <v>1</v>
      </c>
      <c r="E45" s="13">
        <v>6</v>
      </c>
      <c r="F45" s="13">
        <v>585</v>
      </c>
      <c r="G45" s="14">
        <v>800</v>
      </c>
      <c r="H45" s="14">
        <f t="shared" ref="H45" si="10">(E45*F45)+G45</f>
        <v>4310</v>
      </c>
      <c r="I45" s="19"/>
      <c r="J45" s="15">
        <f t="shared" si="9"/>
        <v>4310</v>
      </c>
      <c r="N45" s="58"/>
      <c r="O45" s="59"/>
      <c r="Q45" s="85"/>
      <c r="R45" s="85"/>
    </row>
    <row r="46" spans="2:20" x14ac:dyDescent="0.35">
      <c r="N46" s="58"/>
      <c r="O46" s="59"/>
      <c r="Q46" s="85"/>
      <c r="R46" s="85"/>
    </row>
    <row r="47" spans="2:20" x14ac:dyDescent="0.35">
      <c r="B47" s="1" t="s">
        <v>36</v>
      </c>
      <c r="L47" s="4">
        <f>SUM(J47:J52)</f>
        <v>15065</v>
      </c>
      <c r="N47" s="60">
        <v>0.1</v>
      </c>
      <c r="O47" s="59">
        <f>L47*N47</f>
        <v>1506.5</v>
      </c>
      <c r="Q47" s="86">
        <v>0.6</v>
      </c>
      <c r="R47" s="85">
        <f>L47*Q47</f>
        <v>9039</v>
      </c>
      <c r="T47" s="56" t="s">
        <v>136</v>
      </c>
    </row>
    <row r="48" spans="2:20" x14ac:dyDescent="0.35">
      <c r="B48" t="s">
        <v>49</v>
      </c>
      <c r="D48" s="18" t="s">
        <v>36</v>
      </c>
      <c r="H48" s="14">
        <v>2500</v>
      </c>
      <c r="I48" s="19">
        <v>0.15</v>
      </c>
      <c r="J48" s="15">
        <f t="shared" ref="J48:J52" si="11">(H48*I48)+H48</f>
        <v>2875</v>
      </c>
      <c r="N48" s="58"/>
      <c r="O48" s="59"/>
      <c r="Q48" s="85"/>
      <c r="R48" s="85"/>
    </row>
    <row r="49" spans="2:18" x14ac:dyDescent="0.35">
      <c r="B49" t="s">
        <v>47</v>
      </c>
      <c r="D49" s="18" t="s">
        <v>36</v>
      </c>
      <c r="H49" s="14">
        <v>1900</v>
      </c>
      <c r="I49" s="19">
        <v>0.15</v>
      </c>
      <c r="J49" s="15">
        <f t="shared" si="11"/>
        <v>2185</v>
      </c>
      <c r="N49" s="58"/>
      <c r="O49" s="59"/>
      <c r="Q49" s="85"/>
      <c r="R49" s="85"/>
    </row>
    <row r="50" spans="2:18" x14ac:dyDescent="0.35">
      <c r="B50" t="s">
        <v>51</v>
      </c>
      <c r="D50" s="18" t="s">
        <v>36</v>
      </c>
      <c r="H50" s="14">
        <v>1200</v>
      </c>
      <c r="I50" s="19">
        <v>0.15</v>
      </c>
      <c r="J50" s="15">
        <f t="shared" si="11"/>
        <v>1380</v>
      </c>
      <c r="N50" s="58"/>
      <c r="O50" s="59"/>
      <c r="Q50" s="85"/>
      <c r="R50" s="85"/>
    </row>
    <row r="51" spans="2:18" x14ac:dyDescent="0.35">
      <c r="B51" t="s">
        <v>88</v>
      </c>
      <c r="D51" s="18" t="s">
        <v>36</v>
      </c>
      <c r="H51" s="14">
        <v>1000</v>
      </c>
      <c r="I51" s="19">
        <v>0.15</v>
      </c>
      <c r="J51" s="15">
        <f>(H51*I51)+H51</f>
        <v>1150</v>
      </c>
      <c r="N51" s="58"/>
      <c r="O51" s="59"/>
      <c r="Q51" s="85"/>
      <c r="R51" s="85"/>
    </row>
    <row r="52" spans="2:18" x14ac:dyDescent="0.35">
      <c r="B52" t="s">
        <v>50</v>
      </c>
      <c r="D52" s="18" t="s">
        <v>36</v>
      </c>
      <c r="H52" s="14">
        <v>6500</v>
      </c>
      <c r="I52" s="19">
        <v>0.15</v>
      </c>
      <c r="J52" s="15">
        <f t="shared" si="11"/>
        <v>7475</v>
      </c>
      <c r="N52" s="58"/>
      <c r="O52" s="59"/>
      <c r="Q52" s="85"/>
      <c r="R52" s="85"/>
    </row>
    <row r="53" spans="2:18" x14ac:dyDescent="0.35">
      <c r="B53" s="20" t="s">
        <v>48</v>
      </c>
      <c r="H53" s="14"/>
      <c r="N53" s="58"/>
      <c r="O53" s="59"/>
      <c r="Q53" s="85"/>
      <c r="R53" s="85"/>
    </row>
    <row r="54" spans="2:18" x14ac:dyDescent="0.35">
      <c r="B54" s="20"/>
      <c r="H54" s="14"/>
      <c r="N54" s="58"/>
      <c r="O54" s="59"/>
      <c r="Q54" s="85"/>
      <c r="R54" s="85"/>
    </row>
    <row r="55" spans="2:18" x14ac:dyDescent="0.35">
      <c r="H55" s="14"/>
      <c r="N55" s="58"/>
      <c r="O55" s="59"/>
      <c r="Q55" s="85"/>
      <c r="R55" s="85"/>
    </row>
    <row r="56" spans="2:18" x14ac:dyDescent="0.35">
      <c r="B56" s="1" t="s">
        <v>8</v>
      </c>
      <c r="H56" s="14"/>
      <c r="L56" s="4">
        <f>SUM(J57:J60)</f>
        <v>29900</v>
      </c>
      <c r="N56" s="60">
        <v>0</v>
      </c>
      <c r="O56" s="59">
        <f>L56*N56</f>
        <v>0</v>
      </c>
      <c r="Q56" s="86">
        <v>0.5</v>
      </c>
      <c r="R56" s="85">
        <f>L56*Q56</f>
        <v>14950</v>
      </c>
    </row>
    <row r="57" spans="2:18" x14ac:dyDescent="0.35">
      <c r="B57" t="s">
        <v>53</v>
      </c>
      <c r="D57" s="3" t="s">
        <v>83</v>
      </c>
      <c r="H57" s="14">
        <v>18500</v>
      </c>
      <c r="I57" s="19">
        <v>0.15</v>
      </c>
      <c r="J57" s="15">
        <f t="shared" ref="J57" si="12">(H57*I57)+H57</f>
        <v>21275</v>
      </c>
      <c r="N57" s="58"/>
      <c r="O57" s="59"/>
      <c r="Q57" s="85"/>
      <c r="R57" s="85"/>
    </row>
    <row r="58" spans="2:18" x14ac:dyDescent="0.35">
      <c r="B58" t="s">
        <v>52</v>
      </c>
      <c r="D58" s="3" t="s">
        <v>83</v>
      </c>
      <c r="H58" s="14"/>
      <c r="N58" s="58"/>
      <c r="O58" s="59"/>
      <c r="Q58" s="85"/>
      <c r="R58" s="85"/>
    </row>
    <row r="59" spans="2:18" x14ac:dyDescent="0.35">
      <c r="B59" t="s">
        <v>82</v>
      </c>
      <c r="D59" s="3" t="s">
        <v>83</v>
      </c>
      <c r="H59" s="14">
        <v>6500</v>
      </c>
      <c r="I59" s="19">
        <v>0.15</v>
      </c>
      <c r="J59" s="15">
        <f>(H59*I59)+H59</f>
        <v>7475</v>
      </c>
      <c r="N59" s="58"/>
      <c r="O59" s="59"/>
      <c r="Q59" s="85"/>
      <c r="R59" s="85"/>
    </row>
    <row r="60" spans="2:18" x14ac:dyDescent="0.35">
      <c r="B60" t="s">
        <v>28</v>
      </c>
      <c r="D60" s="3" t="s">
        <v>83</v>
      </c>
      <c r="H60" s="14">
        <v>1000</v>
      </c>
      <c r="I60" s="19">
        <v>0.15</v>
      </c>
      <c r="J60" s="15">
        <f t="shared" ref="J60" si="13">(H60*I60)+H60</f>
        <v>1150</v>
      </c>
      <c r="N60" s="58"/>
      <c r="O60" s="59"/>
      <c r="Q60" s="85"/>
      <c r="R60" s="85"/>
    </row>
    <row r="61" spans="2:18" x14ac:dyDescent="0.35">
      <c r="N61" s="58"/>
      <c r="O61" s="59"/>
      <c r="Q61" s="85"/>
      <c r="R61" s="85"/>
    </row>
    <row r="62" spans="2:18" x14ac:dyDescent="0.35">
      <c r="B62" s="1" t="s">
        <v>46</v>
      </c>
      <c r="L62" s="4">
        <f>SUM(J63:J67)</f>
        <v>44360</v>
      </c>
      <c r="N62" s="60">
        <v>0</v>
      </c>
      <c r="O62" s="59">
        <f>L62*N62</f>
        <v>0</v>
      </c>
      <c r="Q62" s="86">
        <v>0.7</v>
      </c>
      <c r="R62" s="85">
        <f>L62*Q62</f>
        <v>31051.999999999996</v>
      </c>
    </row>
    <row r="63" spans="2:18" x14ac:dyDescent="0.35">
      <c r="B63" t="s">
        <v>58</v>
      </c>
      <c r="D63" s="18" t="s">
        <v>46</v>
      </c>
      <c r="E63" s="4">
        <v>4</v>
      </c>
      <c r="F63" s="14">
        <v>620</v>
      </c>
      <c r="G63" s="14">
        <v>345</v>
      </c>
      <c r="H63" s="14">
        <f t="shared" ref="H63:H67" si="14">(E63*F63)+G63</f>
        <v>2825</v>
      </c>
      <c r="J63" s="15">
        <f t="shared" ref="J63:J67" si="15">(H63*I63)+H63</f>
        <v>2825</v>
      </c>
      <c r="N63" s="58"/>
      <c r="O63" s="59"/>
      <c r="Q63" s="85"/>
      <c r="R63" s="85"/>
    </row>
    <row r="64" spans="2:18" x14ac:dyDescent="0.35">
      <c r="B64" s="17" t="s">
        <v>59</v>
      </c>
      <c r="D64" s="18" t="s">
        <v>46</v>
      </c>
      <c r="E64" s="4">
        <v>20</v>
      </c>
      <c r="F64" s="14">
        <v>620</v>
      </c>
      <c r="G64" s="14">
        <v>5520</v>
      </c>
      <c r="H64" s="14">
        <f t="shared" si="14"/>
        <v>17920</v>
      </c>
      <c r="J64" s="15">
        <f t="shared" si="15"/>
        <v>17920</v>
      </c>
      <c r="N64" s="58"/>
      <c r="O64" s="59"/>
      <c r="Q64" s="85"/>
      <c r="R64" s="85"/>
    </row>
    <row r="65" spans="2:20" x14ac:dyDescent="0.35">
      <c r="B65" s="17" t="s">
        <v>60</v>
      </c>
      <c r="D65" s="18" t="s">
        <v>46</v>
      </c>
      <c r="E65" s="4">
        <v>20</v>
      </c>
      <c r="F65" s="14">
        <v>620</v>
      </c>
      <c r="G65" s="14">
        <v>3450</v>
      </c>
      <c r="H65" s="14">
        <f t="shared" si="14"/>
        <v>15850</v>
      </c>
      <c r="J65" s="15">
        <f t="shared" si="15"/>
        <v>15850</v>
      </c>
      <c r="N65" s="58"/>
      <c r="O65" s="59"/>
      <c r="Q65" s="85"/>
      <c r="R65" s="85"/>
    </row>
    <row r="66" spans="2:20" x14ac:dyDescent="0.35">
      <c r="B66" s="17" t="s">
        <v>80</v>
      </c>
      <c r="D66" s="18" t="s">
        <v>46</v>
      </c>
      <c r="E66" s="4">
        <v>3</v>
      </c>
      <c r="F66" s="14">
        <v>620</v>
      </c>
      <c r="G66" s="14">
        <v>600</v>
      </c>
      <c r="H66" s="14">
        <f t="shared" si="14"/>
        <v>2460</v>
      </c>
      <c r="J66" s="15">
        <f t="shared" si="15"/>
        <v>2460</v>
      </c>
      <c r="N66" s="58"/>
      <c r="O66" s="59"/>
      <c r="Q66" s="85"/>
      <c r="R66" s="85"/>
    </row>
    <row r="67" spans="2:20" x14ac:dyDescent="0.35">
      <c r="B67" t="s">
        <v>61</v>
      </c>
      <c r="D67" s="18" t="s">
        <v>46</v>
      </c>
      <c r="E67" s="4">
        <v>8</v>
      </c>
      <c r="F67" s="14">
        <v>620</v>
      </c>
      <c r="G67" s="14">
        <v>345</v>
      </c>
      <c r="H67" s="14">
        <f t="shared" si="14"/>
        <v>5305</v>
      </c>
      <c r="J67" s="15">
        <f t="shared" si="15"/>
        <v>5305</v>
      </c>
      <c r="N67" s="58"/>
      <c r="O67" s="59"/>
      <c r="Q67" s="85"/>
      <c r="R67" s="85"/>
    </row>
    <row r="68" spans="2:20" x14ac:dyDescent="0.35">
      <c r="N68" s="58"/>
      <c r="O68" s="59"/>
      <c r="Q68" s="85"/>
      <c r="R68" s="85"/>
    </row>
    <row r="69" spans="2:20" x14ac:dyDescent="0.35">
      <c r="B69" s="1" t="s">
        <v>62</v>
      </c>
      <c r="L69" s="4">
        <f>SUM(J70:J74)</f>
        <v>9775</v>
      </c>
      <c r="N69" s="60">
        <v>0</v>
      </c>
      <c r="O69" s="59">
        <f>L69*N69</f>
        <v>0</v>
      </c>
      <c r="Q69" s="86">
        <v>0</v>
      </c>
      <c r="R69" s="85">
        <f>L69*Q69</f>
        <v>0</v>
      </c>
      <c r="T69" t="s">
        <v>161</v>
      </c>
    </row>
    <row r="70" spans="2:20" x14ac:dyDescent="0.35">
      <c r="B70" t="s">
        <v>63</v>
      </c>
      <c r="D70" s="18" t="s">
        <v>1</v>
      </c>
      <c r="H70" s="36">
        <v>3500</v>
      </c>
      <c r="I70" s="19">
        <v>0.15</v>
      </c>
      <c r="J70" s="15">
        <f t="shared" ref="J70:J74" si="16">(H70*I70)+H70</f>
        <v>4025</v>
      </c>
      <c r="N70" s="58"/>
      <c r="O70" s="59"/>
      <c r="Q70" s="85"/>
      <c r="R70" s="85"/>
    </row>
    <row r="71" spans="2:20" x14ac:dyDescent="0.35">
      <c r="B71" t="s">
        <v>66</v>
      </c>
      <c r="D71" s="18" t="s">
        <v>1</v>
      </c>
      <c r="H71" s="36">
        <v>2400</v>
      </c>
      <c r="I71" s="19">
        <v>0.15</v>
      </c>
      <c r="J71" s="15">
        <f t="shared" si="16"/>
        <v>2760</v>
      </c>
      <c r="N71" s="58"/>
      <c r="O71" s="59"/>
      <c r="Q71" s="85"/>
      <c r="R71" s="85"/>
    </row>
    <row r="72" spans="2:20" x14ac:dyDescent="0.35">
      <c r="B72" s="17" t="s">
        <v>67</v>
      </c>
      <c r="D72" s="18" t="s">
        <v>1</v>
      </c>
      <c r="H72" s="36">
        <v>1000</v>
      </c>
      <c r="I72" s="19">
        <v>0.15</v>
      </c>
      <c r="J72" s="15">
        <f t="shared" si="16"/>
        <v>1150</v>
      </c>
      <c r="N72" s="58"/>
      <c r="O72" s="59"/>
      <c r="Q72" s="85"/>
      <c r="R72" s="85"/>
    </row>
    <row r="73" spans="2:20" x14ac:dyDescent="0.35">
      <c r="B73" s="17" t="s">
        <v>89</v>
      </c>
      <c r="D73" s="18" t="s">
        <v>1</v>
      </c>
      <c r="H73" s="36">
        <v>800</v>
      </c>
      <c r="I73" s="19">
        <v>0.15</v>
      </c>
      <c r="J73" s="15">
        <f t="shared" si="16"/>
        <v>920</v>
      </c>
      <c r="N73" s="58"/>
      <c r="O73" s="59"/>
      <c r="Q73" s="85"/>
      <c r="R73" s="85"/>
    </row>
    <row r="74" spans="2:20" x14ac:dyDescent="0.35">
      <c r="B74" s="17" t="s">
        <v>69</v>
      </c>
      <c r="D74" s="18" t="s">
        <v>1</v>
      </c>
      <c r="H74" s="36">
        <v>800</v>
      </c>
      <c r="I74" s="19">
        <v>0.15</v>
      </c>
      <c r="J74" s="15">
        <f t="shared" si="16"/>
        <v>920</v>
      </c>
      <c r="N74" s="58"/>
      <c r="O74" s="59"/>
      <c r="Q74" s="85"/>
      <c r="R74" s="85"/>
    </row>
    <row r="75" spans="2:20" x14ac:dyDescent="0.35">
      <c r="N75" s="58"/>
      <c r="O75" s="59"/>
      <c r="Q75" s="85"/>
      <c r="R75" s="85"/>
    </row>
    <row r="76" spans="2:20" x14ac:dyDescent="0.35">
      <c r="K76" s="25" t="s">
        <v>70</v>
      </c>
      <c r="L76" s="4">
        <f>SUM(L6:L75)</f>
        <v>299040.75</v>
      </c>
      <c r="N76" s="61" t="s">
        <v>102</v>
      </c>
      <c r="O76" s="62">
        <f>SUM(O6:O75)</f>
        <v>111276.425</v>
      </c>
      <c r="P76" s="4"/>
      <c r="Q76" s="87" t="s">
        <v>102</v>
      </c>
      <c r="R76" s="85">
        <f>SUM(R6:R75)</f>
        <v>244200.55</v>
      </c>
    </row>
    <row r="77" spans="2:20" x14ac:dyDescent="0.35">
      <c r="K77" s="25" t="s">
        <v>71</v>
      </c>
      <c r="L77" s="4">
        <f>L76/100*25</f>
        <v>74760.1875</v>
      </c>
      <c r="N77" s="58"/>
      <c r="O77" s="59"/>
      <c r="Q77" s="85" t="s">
        <v>101</v>
      </c>
      <c r="R77" s="88">
        <f>-O76</f>
        <v>-111276.425</v>
      </c>
    </row>
    <row r="78" spans="2:20" ht="15" thickBot="1" x14ac:dyDescent="0.4">
      <c r="K78" s="51" t="s">
        <v>72</v>
      </c>
      <c r="L78" s="55">
        <f>SUM(L76:L77)</f>
        <v>373800.9375</v>
      </c>
      <c r="N78" s="61" t="s">
        <v>9</v>
      </c>
      <c r="O78" s="62">
        <f>O76/100*25</f>
        <v>27819.106249999997</v>
      </c>
      <c r="P78" s="4"/>
      <c r="Q78" s="89"/>
      <c r="R78" s="85">
        <f>SUM(R76:R77)</f>
        <v>132924.125</v>
      </c>
    </row>
    <row r="79" spans="2:20" ht="15.5" thickTop="1" thickBot="1" x14ac:dyDescent="0.4">
      <c r="N79" s="61" t="s">
        <v>101</v>
      </c>
      <c r="O79" s="63">
        <f>SUM(O76:O78)</f>
        <v>139095.53125</v>
      </c>
      <c r="P79" s="2"/>
      <c r="Q79" s="87" t="s">
        <v>9</v>
      </c>
      <c r="R79" s="85">
        <f>R78/100*25</f>
        <v>33231.03125</v>
      </c>
    </row>
    <row r="80" spans="2:20" ht="15.5" thickTop="1" thickBot="1" x14ac:dyDescent="0.4">
      <c r="Q80" s="87" t="s">
        <v>101</v>
      </c>
      <c r="R80" s="90">
        <f>SUM(R78:R79)</f>
        <v>166155.15625</v>
      </c>
    </row>
    <row r="81" spans="4:18" ht="15" thickTop="1" x14ac:dyDescent="0.35"/>
    <row r="82" spans="4:18" x14ac:dyDescent="0.35">
      <c r="Q82" s="83" t="s">
        <v>171</v>
      </c>
      <c r="R82" s="83">
        <f>L76-R76</f>
        <v>54840.200000000012</v>
      </c>
    </row>
    <row r="85" spans="4:18" x14ac:dyDescent="0.35">
      <c r="D85">
        <v>200907</v>
      </c>
      <c r="L85" s="23">
        <v>166155</v>
      </c>
    </row>
    <row r="86" spans="4:18" x14ac:dyDescent="0.35">
      <c r="D86">
        <v>200908</v>
      </c>
      <c r="L86" s="23">
        <v>45457.5</v>
      </c>
    </row>
  </sheetData>
  <pageMargins left="0.7" right="0.7" top="0.75" bottom="0.75" header="0.3" footer="0.3"/>
  <pageSetup paperSize="8" scale="71" orientation="portrait" r:id="rId1"/>
  <ignoredErrors>
    <ignoredError sqref="R7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5B03-9FA6-4CCC-BB8E-6C03BE8D1FE4}">
  <dimension ref="B4:O35"/>
  <sheetViews>
    <sheetView zoomScaleNormal="100" workbookViewId="0">
      <selection activeCell="D18" sqref="C18:D18"/>
    </sheetView>
  </sheetViews>
  <sheetFormatPr defaultRowHeight="14.5" x14ac:dyDescent="0.35"/>
  <cols>
    <col min="2" max="2" width="8.7265625" style="3"/>
    <col min="3" max="3" width="65.54296875" customWidth="1"/>
    <col min="4" max="4" width="8.7265625" style="4" customWidth="1"/>
    <col min="6" max="6" width="29.54296875" customWidth="1"/>
    <col min="10" max="10" width="11.54296875" customWidth="1"/>
  </cols>
  <sheetData>
    <row r="4" spans="2:13" ht="21" x14ac:dyDescent="0.5">
      <c r="C4" s="12" t="s">
        <v>92</v>
      </c>
    </row>
    <row r="5" spans="2:13" ht="18.5" x14ac:dyDescent="0.45">
      <c r="J5" s="28" t="s">
        <v>116</v>
      </c>
    </row>
    <row r="6" spans="2:13" x14ac:dyDescent="0.35">
      <c r="B6" s="3">
        <v>1</v>
      </c>
      <c r="C6" t="s">
        <v>94</v>
      </c>
      <c r="D6" s="4">
        <f>(5*585)+500</f>
        <v>3425</v>
      </c>
      <c r="E6" t="s">
        <v>93</v>
      </c>
      <c r="F6" s="56" t="s">
        <v>95</v>
      </c>
    </row>
    <row r="7" spans="2:13" x14ac:dyDescent="0.35">
      <c r="I7">
        <v>200</v>
      </c>
      <c r="J7" t="s">
        <v>107</v>
      </c>
    </row>
    <row r="8" spans="2:13" x14ac:dyDescent="0.35">
      <c r="B8" s="3">
        <v>2</v>
      </c>
      <c r="C8" t="s">
        <v>98</v>
      </c>
      <c r="D8" s="4">
        <v>1987</v>
      </c>
      <c r="E8" t="s">
        <v>93</v>
      </c>
      <c r="F8" s="56" t="s">
        <v>97</v>
      </c>
      <c r="H8" t="s">
        <v>111</v>
      </c>
      <c r="I8">
        <v>55</v>
      </c>
      <c r="J8" t="s">
        <v>115</v>
      </c>
      <c r="K8" t="s">
        <v>105</v>
      </c>
      <c r="M8">
        <v>47.9</v>
      </c>
    </row>
    <row r="10" spans="2:13" x14ac:dyDescent="0.35">
      <c r="B10" s="3">
        <v>3</v>
      </c>
      <c r="C10" t="s">
        <v>96</v>
      </c>
      <c r="D10" s="4">
        <f>(2*585)+300</f>
        <v>1470</v>
      </c>
      <c r="E10" t="s">
        <v>93</v>
      </c>
      <c r="F10" s="56" t="s">
        <v>104</v>
      </c>
      <c r="M10">
        <v>57.3</v>
      </c>
    </row>
    <row r="11" spans="2:13" x14ac:dyDescent="0.35">
      <c r="J11">
        <v>2318</v>
      </c>
      <c r="K11" t="s">
        <v>108</v>
      </c>
    </row>
    <row r="12" spans="2:13" x14ac:dyDescent="0.35">
      <c r="B12" s="3">
        <v>4</v>
      </c>
      <c r="C12" t="s">
        <v>103</v>
      </c>
      <c r="D12" s="4">
        <v>5304</v>
      </c>
      <c r="E12" t="s">
        <v>93</v>
      </c>
      <c r="F12" s="56" t="s">
        <v>104</v>
      </c>
      <c r="J12" t="s">
        <v>114</v>
      </c>
    </row>
    <row r="14" spans="2:13" x14ac:dyDescent="0.35">
      <c r="B14" s="3">
        <v>5</v>
      </c>
      <c r="C14" t="s">
        <v>118</v>
      </c>
      <c r="D14" s="4">
        <f>(2*585)+(2*500)+500</f>
        <v>2670</v>
      </c>
      <c r="E14" t="s">
        <v>93</v>
      </c>
      <c r="F14" s="56" t="s">
        <v>162</v>
      </c>
      <c r="J14" t="s">
        <v>106</v>
      </c>
    </row>
    <row r="16" spans="2:13" x14ac:dyDescent="0.35">
      <c r="B16" s="3">
        <v>6</v>
      </c>
      <c r="C16" t="s">
        <v>119</v>
      </c>
      <c r="D16" s="4">
        <v>2632.3199999999997</v>
      </c>
      <c r="E16" t="s">
        <v>93</v>
      </c>
      <c r="F16" s="56" t="s">
        <v>168</v>
      </c>
      <c r="J16" t="s">
        <v>110</v>
      </c>
      <c r="K16" t="s">
        <v>109</v>
      </c>
    </row>
    <row r="18" spans="2:15" x14ac:dyDescent="0.35">
      <c r="B18" s="3">
        <v>7</v>
      </c>
      <c r="C18" t="s">
        <v>134</v>
      </c>
      <c r="D18" s="4">
        <v>950</v>
      </c>
      <c r="E18" t="s">
        <v>93</v>
      </c>
      <c r="F18" s="56" t="s">
        <v>135</v>
      </c>
      <c r="J18" t="s">
        <v>112</v>
      </c>
    </row>
    <row r="19" spans="2:15" x14ac:dyDescent="0.35">
      <c r="J19" t="s">
        <v>113</v>
      </c>
    </row>
    <row r="20" spans="2:15" x14ac:dyDescent="0.35">
      <c r="B20" s="3">
        <v>8</v>
      </c>
      <c r="C20" t="s">
        <v>159</v>
      </c>
      <c r="D20" s="4">
        <v>6454.8755000000001</v>
      </c>
      <c r="E20" t="s">
        <v>93</v>
      </c>
      <c r="F20" s="56" t="s">
        <v>160</v>
      </c>
      <c r="H20" t="s">
        <v>161</v>
      </c>
    </row>
    <row r="21" spans="2:15" x14ac:dyDescent="0.35">
      <c r="J21" t="s">
        <v>117</v>
      </c>
    </row>
    <row r="22" spans="2:15" x14ac:dyDescent="0.35">
      <c r="B22" s="3">
        <v>9</v>
      </c>
      <c r="C22" t="s">
        <v>163</v>
      </c>
      <c r="D22" s="4">
        <v>11114.75</v>
      </c>
      <c r="E22" t="s">
        <v>93</v>
      </c>
      <c r="F22" s="56" t="s">
        <v>164</v>
      </c>
    </row>
    <row r="24" spans="2:15" x14ac:dyDescent="0.35">
      <c r="B24" s="3">
        <v>10</v>
      </c>
      <c r="C24" t="s">
        <v>165</v>
      </c>
      <c r="D24" s="4">
        <v>11473</v>
      </c>
      <c r="E24" t="s">
        <v>93</v>
      </c>
      <c r="F24" s="56" t="s">
        <v>169</v>
      </c>
    </row>
    <row r="26" spans="2:15" x14ac:dyDescent="0.35">
      <c r="D26" s="4">
        <f>SUM(D6:D24)</f>
        <v>47480.945500000002</v>
      </c>
      <c r="E26" t="s">
        <v>93</v>
      </c>
    </row>
    <row r="29" spans="2:15" x14ac:dyDescent="0.35">
      <c r="M29">
        <v>467</v>
      </c>
      <c r="N29">
        <v>-32</v>
      </c>
      <c r="O29">
        <f>SUM(M29:N29)</f>
        <v>435</v>
      </c>
    </row>
    <row r="31" spans="2:15" x14ac:dyDescent="0.35">
      <c r="H31" t="s">
        <v>167</v>
      </c>
      <c r="I31">
        <f>5796*0.8</f>
        <v>4636.8</v>
      </c>
      <c r="J31">
        <f>I31*1.15</f>
        <v>5332.32</v>
      </c>
      <c r="M31">
        <v>550</v>
      </c>
      <c r="N31">
        <v>-32</v>
      </c>
      <c r="O31">
        <f>SUM(M31:N31)</f>
        <v>518</v>
      </c>
    </row>
    <row r="32" spans="2:15" x14ac:dyDescent="0.35">
      <c r="H32" t="s">
        <v>166</v>
      </c>
      <c r="J32">
        <v>750</v>
      </c>
    </row>
    <row r="33" spans="10:10" x14ac:dyDescent="0.35">
      <c r="J33">
        <f>SUM(J31:J32)</f>
        <v>6082.32</v>
      </c>
    </row>
    <row r="34" spans="10:10" x14ac:dyDescent="0.35">
      <c r="J34">
        <v>-3450</v>
      </c>
    </row>
    <row r="35" spans="10:10" x14ac:dyDescent="0.35">
      <c r="J35">
        <f>SUM(J33:J34)</f>
        <v>2632.3199999999997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9236-E281-4FB7-84D4-1FF75AC49AF2}">
  <dimension ref="C4:E15"/>
  <sheetViews>
    <sheetView zoomScale="140" zoomScaleNormal="140" workbookViewId="0">
      <selection activeCell="E15" sqref="C4:E15"/>
    </sheetView>
  </sheetViews>
  <sheetFormatPr defaultRowHeight="14.5" x14ac:dyDescent="0.35"/>
  <cols>
    <col min="3" max="3" width="36.26953125" customWidth="1"/>
    <col min="4" max="4" width="5.26953125" style="3" customWidth="1"/>
    <col min="5" max="5" width="8.7265625" style="3"/>
  </cols>
  <sheetData>
    <row r="4" spans="3:5" ht="18.5" x14ac:dyDescent="0.45">
      <c r="C4" s="28" t="s">
        <v>120</v>
      </c>
    </row>
    <row r="5" spans="3:5" x14ac:dyDescent="0.35">
      <c r="C5" t="s">
        <v>133</v>
      </c>
    </row>
    <row r="8" spans="3:5" x14ac:dyDescent="0.35">
      <c r="C8" t="s">
        <v>130</v>
      </c>
      <c r="D8" s="3">
        <v>12</v>
      </c>
      <c r="E8" s="3" t="s">
        <v>128</v>
      </c>
    </row>
    <row r="9" spans="3:5" x14ac:dyDescent="0.35">
      <c r="C9" t="s">
        <v>129</v>
      </c>
      <c r="D9" s="3">
        <v>7.5</v>
      </c>
      <c r="E9" s="3" t="s">
        <v>127</v>
      </c>
    </row>
    <row r="10" spans="3:5" x14ac:dyDescent="0.35">
      <c r="C10" t="s">
        <v>121</v>
      </c>
      <c r="D10" s="3">
        <v>2</v>
      </c>
      <c r="E10" s="3" t="s">
        <v>128</v>
      </c>
    </row>
    <row r="11" spans="3:5" x14ac:dyDescent="0.35">
      <c r="C11" t="s">
        <v>122</v>
      </c>
      <c r="D11" s="3">
        <v>6</v>
      </c>
      <c r="E11" s="3" t="s">
        <v>127</v>
      </c>
    </row>
    <row r="12" spans="3:5" x14ac:dyDescent="0.35">
      <c r="C12" t="s">
        <v>126</v>
      </c>
      <c r="D12" s="3">
        <v>5</v>
      </c>
      <c r="E12" s="3" t="s">
        <v>131</v>
      </c>
    </row>
    <row r="13" spans="3:5" x14ac:dyDescent="0.35">
      <c r="C13" t="s">
        <v>123</v>
      </c>
      <c r="D13" s="3">
        <v>10</v>
      </c>
      <c r="E13" s="3" t="s">
        <v>132</v>
      </c>
    </row>
    <row r="14" spans="3:5" x14ac:dyDescent="0.35">
      <c r="C14" t="s">
        <v>124</v>
      </c>
      <c r="D14" s="3">
        <v>8</v>
      </c>
      <c r="E14" s="3" t="s">
        <v>132</v>
      </c>
    </row>
    <row r="15" spans="3:5" x14ac:dyDescent="0.35">
      <c r="C15" t="s">
        <v>125</v>
      </c>
      <c r="D15" s="3">
        <v>8</v>
      </c>
      <c r="E15" s="3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B6EF-B2D5-4505-8E6A-874B8EC51858}">
  <dimension ref="B3:M40"/>
  <sheetViews>
    <sheetView workbookViewId="0">
      <selection activeCell="F33" sqref="F33"/>
    </sheetView>
  </sheetViews>
  <sheetFormatPr defaultRowHeight="14.5" x14ac:dyDescent="0.35"/>
  <cols>
    <col min="3" max="3" width="59.54296875" customWidth="1"/>
    <col min="5" max="5" width="10.26953125" customWidth="1"/>
    <col min="13" max="13" width="9.7265625" customWidth="1"/>
  </cols>
  <sheetData>
    <row r="3" spans="2:13" x14ac:dyDescent="0.35">
      <c r="B3" s="91"/>
      <c r="D3" s="3"/>
      <c r="E3" s="3"/>
      <c r="F3" s="22"/>
      <c r="G3" s="22"/>
      <c r="H3" s="23"/>
      <c r="I3" s="24"/>
      <c r="J3" s="23"/>
      <c r="K3" s="25"/>
      <c r="L3" s="25"/>
      <c r="M3" s="1"/>
    </row>
    <row r="4" spans="2:13" x14ac:dyDescent="0.35">
      <c r="B4" s="91"/>
      <c r="D4" s="3"/>
      <c r="E4" s="3"/>
      <c r="F4" s="22"/>
      <c r="G4" s="22"/>
      <c r="H4" s="23"/>
      <c r="I4" s="24"/>
      <c r="J4" s="23"/>
      <c r="K4" s="25"/>
      <c r="L4" s="25"/>
      <c r="M4" s="1"/>
    </row>
    <row r="5" spans="2:13" x14ac:dyDescent="0.35">
      <c r="B5" s="91"/>
      <c r="D5" s="3"/>
      <c r="E5" s="3"/>
      <c r="F5" s="22"/>
      <c r="G5" s="22"/>
      <c r="H5" s="23"/>
      <c r="I5" s="24"/>
      <c r="J5" s="23"/>
      <c r="K5" s="25"/>
      <c r="L5" s="25" t="s">
        <v>54</v>
      </c>
      <c r="M5" s="26">
        <f ca="1">TODAY()</f>
        <v>45827</v>
      </c>
    </row>
    <row r="6" spans="2:13" ht="18.5" x14ac:dyDescent="0.45">
      <c r="B6" s="27" t="s">
        <v>14</v>
      </c>
      <c r="C6" s="28"/>
      <c r="D6" s="3"/>
      <c r="E6" s="3"/>
      <c r="F6" s="22"/>
      <c r="G6" s="22"/>
      <c r="H6" s="23"/>
      <c r="I6" s="24"/>
      <c r="J6" s="23"/>
      <c r="K6" s="25"/>
      <c r="L6" s="25"/>
      <c r="M6" s="1"/>
    </row>
    <row r="7" spans="2:13" ht="19" thickBot="1" x14ac:dyDescent="0.5">
      <c r="B7" s="29" t="s">
        <v>55</v>
      </c>
      <c r="C7" s="28"/>
      <c r="D7" s="3"/>
      <c r="E7" s="3"/>
      <c r="F7" s="22"/>
      <c r="G7" s="22"/>
      <c r="H7" s="23"/>
      <c r="I7" s="24"/>
      <c r="J7" s="23"/>
      <c r="K7" s="25"/>
      <c r="L7" s="25"/>
      <c r="M7" s="26"/>
    </row>
    <row r="8" spans="2:13" ht="19" thickBot="1" x14ac:dyDescent="0.5">
      <c r="B8" s="28"/>
      <c r="C8" s="28"/>
      <c r="D8" s="30" t="s">
        <v>3</v>
      </c>
      <c r="E8" s="30" t="s">
        <v>4</v>
      </c>
      <c r="F8" s="31" t="s">
        <v>12</v>
      </c>
      <c r="G8" s="31" t="s">
        <v>13</v>
      </c>
      <c r="H8" s="32" t="s">
        <v>5</v>
      </c>
      <c r="I8" s="33" t="s">
        <v>6</v>
      </c>
      <c r="J8" s="31" t="s">
        <v>56</v>
      </c>
      <c r="K8" s="31" t="s">
        <v>14</v>
      </c>
      <c r="L8" s="34"/>
      <c r="M8" s="31" t="s">
        <v>14</v>
      </c>
    </row>
    <row r="9" spans="2:13" ht="16" x14ac:dyDescent="0.4">
      <c r="B9" s="1" t="s">
        <v>57</v>
      </c>
      <c r="C9" s="40"/>
      <c r="D9" s="5"/>
      <c r="E9" s="5"/>
      <c r="F9" s="41"/>
      <c r="G9" s="41"/>
      <c r="H9" s="41"/>
      <c r="I9" s="42"/>
      <c r="J9" s="35"/>
      <c r="K9" s="38" t="str">
        <f t="shared" ref="K9:K14" si="0">IF(ROUNDUP(J9+G9,0)=0,"",ROUNDUP(J9+G9,0))</f>
        <v/>
      </c>
      <c r="L9" s="34"/>
      <c r="M9" s="35">
        <f>SUM(K10:K14)</f>
        <v>53590</v>
      </c>
    </row>
    <row r="10" spans="2:13" ht="16" x14ac:dyDescent="0.4">
      <c r="B10" t="s">
        <v>58</v>
      </c>
      <c r="C10" s="40"/>
      <c r="D10" s="18" t="s">
        <v>1</v>
      </c>
      <c r="E10" s="4">
        <v>4</v>
      </c>
      <c r="F10" s="7">
        <v>620</v>
      </c>
      <c r="G10" s="4">
        <f>+F10*E10</f>
        <v>2480</v>
      </c>
      <c r="H10" s="53">
        <v>300</v>
      </c>
      <c r="I10" s="15">
        <v>0.15</v>
      </c>
      <c r="J10" s="4">
        <f t="shared" ref="J10:J14" si="1">(+H10*I10)+H10</f>
        <v>345</v>
      </c>
      <c r="K10" s="8">
        <f t="shared" si="0"/>
        <v>2825</v>
      </c>
      <c r="L10" s="34"/>
      <c r="M10" s="35"/>
    </row>
    <row r="11" spans="2:13" x14ac:dyDescent="0.35">
      <c r="B11" s="17" t="s">
        <v>59</v>
      </c>
      <c r="C11" s="17"/>
      <c r="D11" s="18" t="s">
        <v>1</v>
      </c>
      <c r="E11" s="4">
        <v>25</v>
      </c>
      <c r="F11" s="7">
        <v>620</v>
      </c>
      <c r="G11" s="4">
        <f>+F11*E11</f>
        <v>15500</v>
      </c>
      <c r="H11" s="53">
        <v>4800</v>
      </c>
      <c r="I11" s="15">
        <v>0.15</v>
      </c>
      <c r="J11" s="4">
        <f t="shared" si="1"/>
        <v>5520</v>
      </c>
      <c r="K11" s="8">
        <f t="shared" si="0"/>
        <v>21020</v>
      </c>
      <c r="L11" s="38"/>
      <c r="M11" s="1"/>
    </row>
    <row r="12" spans="2:13" x14ac:dyDescent="0.35">
      <c r="B12" s="17" t="s">
        <v>60</v>
      </c>
      <c r="C12" s="17"/>
      <c r="D12" s="18" t="s">
        <v>1</v>
      </c>
      <c r="E12" s="4">
        <v>20</v>
      </c>
      <c r="F12" s="7">
        <v>620</v>
      </c>
      <c r="G12" s="4">
        <f t="shared" ref="G12:G14" si="2">+F12*E12</f>
        <v>12400</v>
      </c>
      <c r="H12" s="7">
        <v>3000</v>
      </c>
      <c r="I12" s="15">
        <v>0.15</v>
      </c>
      <c r="J12" s="4">
        <f t="shared" si="1"/>
        <v>3450</v>
      </c>
      <c r="K12" s="8">
        <f t="shared" si="0"/>
        <v>15850</v>
      </c>
      <c r="L12" s="38"/>
      <c r="M12" s="1"/>
    </row>
    <row r="13" spans="2:13" x14ac:dyDescent="0.35">
      <c r="B13" s="17" t="s">
        <v>79</v>
      </c>
      <c r="C13" s="17"/>
      <c r="D13" s="18" t="s">
        <v>1</v>
      </c>
      <c r="E13" s="4">
        <v>8</v>
      </c>
      <c r="F13" s="7">
        <v>620</v>
      </c>
      <c r="G13" s="4">
        <f t="shared" ref="G13" si="3">+F13*E13</f>
        <v>4960</v>
      </c>
      <c r="H13" s="7">
        <v>1000</v>
      </c>
      <c r="I13" s="15">
        <v>0.15</v>
      </c>
      <c r="J13" s="4">
        <f t="shared" ref="J13" si="4">(+H13*I13)+H13</f>
        <v>1150</v>
      </c>
      <c r="K13" s="8">
        <f t="shared" ref="K13" si="5">IF(ROUNDUP(J13+G13,0)=0,"",ROUNDUP(J13+G13,0))</f>
        <v>6110</v>
      </c>
      <c r="L13" s="38"/>
      <c r="M13" s="1"/>
    </row>
    <row r="14" spans="2:13" x14ac:dyDescent="0.35">
      <c r="B14" t="s">
        <v>61</v>
      </c>
      <c r="C14" s="17"/>
      <c r="D14" s="18" t="s">
        <v>1</v>
      </c>
      <c r="E14" s="4">
        <v>12</v>
      </c>
      <c r="F14" s="7">
        <v>620</v>
      </c>
      <c r="G14" s="4">
        <f t="shared" si="2"/>
        <v>7440</v>
      </c>
      <c r="H14" s="7">
        <v>300</v>
      </c>
      <c r="I14" s="15">
        <v>0.15</v>
      </c>
      <c r="J14" s="4">
        <f t="shared" si="1"/>
        <v>345</v>
      </c>
      <c r="K14" s="8">
        <f t="shared" si="0"/>
        <v>7785</v>
      </c>
      <c r="L14" s="38"/>
      <c r="M14" s="1"/>
    </row>
    <row r="15" spans="2:13" x14ac:dyDescent="0.35">
      <c r="B15" s="17"/>
      <c r="C15" s="17"/>
      <c r="D15" s="18"/>
      <c r="E15" s="4"/>
      <c r="F15" s="7"/>
      <c r="G15" s="4"/>
      <c r="H15" s="7"/>
      <c r="I15" s="15"/>
      <c r="J15" s="4"/>
      <c r="K15" s="8"/>
      <c r="L15" s="38"/>
      <c r="M15" s="1"/>
    </row>
    <row r="16" spans="2:13" ht="16" x14ac:dyDescent="0.4">
      <c r="B16" s="1" t="s">
        <v>62</v>
      </c>
      <c r="C16" s="40"/>
      <c r="D16" s="5"/>
      <c r="E16" s="2"/>
      <c r="F16" s="2"/>
      <c r="G16" s="2"/>
      <c r="H16" s="2"/>
      <c r="I16" s="54"/>
      <c r="J16" s="6"/>
      <c r="K16" s="8" t="str">
        <f t="shared" ref="K16:K23" si="6">IF(ROUNDUP(J16+G16,0)=0,"",ROUNDUP(J16+G16,0))</f>
        <v/>
      </c>
      <c r="L16" s="34"/>
      <c r="M16" s="35">
        <f>SUM(K17:K25)</f>
        <v>15640</v>
      </c>
    </row>
    <row r="17" spans="2:13" x14ac:dyDescent="0.35">
      <c r="B17" t="s">
        <v>63</v>
      </c>
      <c r="C17" s="17"/>
      <c r="D17" s="18" t="s">
        <v>1</v>
      </c>
      <c r="E17" s="4"/>
      <c r="F17" s="7"/>
      <c r="G17" s="4">
        <f>+F17*E17</f>
        <v>0</v>
      </c>
      <c r="H17" s="53">
        <v>3500</v>
      </c>
      <c r="I17" s="15">
        <v>0.15</v>
      </c>
      <c r="J17" s="4">
        <f t="shared" ref="J17:J23" si="7">(+H17*I17)+H17</f>
        <v>4025</v>
      </c>
      <c r="K17" s="8">
        <f t="shared" si="6"/>
        <v>4025</v>
      </c>
      <c r="L17" s="38"/>
      <c r="M17" s="1"/>
    </row>
    <row r="18" spans="2:13" x14ac:dyDescent="0.35">
      <c r="B18" t="s">
        <v>64</v>
      </c>
      <c r="C18" s="17"/>
      <c r="D18" s="18" t="s">
        <v>1</v>
      </c>
      <c r="E18" s="4"/>
      <c r="F18" s="7"/>
      <c r="G18" s="4">
        <f>+F18*E18</f>
        <v>0</v>
      </c>
      <c r="H18" s="53">
        <v>2600</v>
      </c>
      <c r="I18" s="15">
        <v>0.15</v>
      </c>
      <c r="J18" s="4">
        <f t="shared" si="7"/>
        <v>2990</v>
      </c>
      <c r="K18" s="8">
        <f t="shared" si="6"/>
        <v>2990</v>
      </c>
      <c r="L18" s="38"/>
      <c r="M18" s="1"/>
    </row>
    <row r="19" spans="2:13" x14ac:dyDescent="0.35">
      <c r="B19" s="17" t="s">
        <v>65</v>
      </c>
      <c r="C19" s="17"/>
      <c r="D19" s="18" t="s">
        <v>1</v>
      </c>
      <c r="E19" s="4"/>
      <c r="F19" s="7"/>
      <c r="G19" s="4">
        <f t="shared" ref="G19:G23" si="8">+F19*E19</f>
        <v>0</v>
      </c>
      <c r="H19" s="53">
        <v>1800</v>
      </c>
      <c r="I19" s="15">
        <v>0.15</v>
      </c>
      <c r="J19" s="4">
        <f t="shared" si="7"/>
        <v>2070</v>
      </c>
      <c r="K19" s="8">
        <f t="shared" si="6"/>
        <v>2070</v>
      </c>
      <c r="L19" s="38"/>
      <c r="M19" s="1"/>
    </row>
    <row r="20" spans="2:13" x14ac:dyDescent="0.35">
      <c r="B20" t="s">
        <v>66</v>
      </c>
      <c r="C20" s="17"/>
      <c r="D20" s="18" t="s">
        <v>1</v>
      </c>
      <c r="E20" s="4"/>
      <c r="F20" s="7"/>
      <c r="G20" s="4">
        <f t="shared" si="8"/>
        <v>0</v>
      </c>
      <c r="H20" s="53">
        <v>2400</v>
      </c>
      <c r="I20" s="15">
        <v>0.15</v>
      </c>
      <c r="J20" s="4">
        <f t="shared" si="7"/>
        <v>2760</v>
      </c>
      <c r="K20" s="8">
        <f t="shared" si="6"/>
        <v>2760</v>
      </c>
      <c r="L20" s="38"/>
      <c r="M20" s="1"/>
    </row>
    <row r="21" spans="2:13" x14ac:dyDescent="0.35">
      <c r="B21" s="17" t="s">
        <v>67</v>
      </c>
      <c r="C21" s="17"/>
      <c r="D21" s="18" t="s">
        <v>1</v>
      </c>
      <c r="E21" s="4"/>
      <c r="F21" s="7"/>
      <c r="G21" s="4">
        <f t="shared" si="8"/>
        <v>0</v>
      </c>
      <c r="H21" s="53">
        <v>1000</v>
      </c>
      <c r="I21" s="15">
        <v>0.15</v>
      </c>
      <c r="J21" s="4">
        <f t="shared" si="7"/>
        <v>1150</v>
      </c>
      <c r="K21" s="8">
        <f t="shared" si="6"/>
        <v>1150</v>
      </c>
      <c r="L21" s="38"/>
      <c r="M21" s="1"/>
    </row>
    <row r="22" spans="2:13" x14ac:dyDescent="0.35">
      <c r="B22" s="17" t="s">
        <v>68</v>
      </c>
      <c r="C22" s="17"/>
      <c r="D22" s="18" t="s">
        <v>1</v>
      </c>
      <c r="E22" s="4"/>
      <c r="F22" s="7"/>
      <c r="G22" s="4">
        <f t="shared" si="8"/>
        <v>0</v>
      </c>
      <c r="H22" s="53">
        <v>1500</v>
      </c>
      <c r="I22" s="15">
        <v>0.15</v>
      </c>
      <c r="J22" s="4">
        <f t="shared" si="7"/>
        <v>1725</v>
      </c>
      <c r="K22" s="8">
        <f t="shared" si="6"/>
        <v>1725</v>
      </c>
      <c r="L22" s="38"/>
      <c r="M22" s="1"/>
    </row>
    <row r="23" spans="2:13" x14ac:dyDescent="0.35">
      <c r="B23" s="17" t="s">
        <v>69</v>
      </c>
      <c r="C23" s="17"/>
      <c r="D23" s="18" t="s">
        <v>1</v>
      </c>
      <c r="E23" s="4"/>
      <c r="F23" s="7"/>
      <c r="G23" s="4">
        <f t="shared" si="8"/>
        <v>0</v>
      </c>
      <c r="H23" s="53">
        <v>800</v>
      </c>
      <c r="I23" s="15">
        <v>0.15</v>
      </c>
      <c r="J23" s="4">
        <f t="shared" si="7"/>
        <v>920</v>
      </c>
      <c r="K23" s="8">
        <f t="shared" si="6"/>
        <v>920</v>
      </c>
      <c r="L23" s="38"/>
      <c r="M23" s="1"/>
    </row>
    <row r="24" spans="2:13" x14ac:dyDescent="0.35">
      <c r="C24" s="17"/>
      <c r="D24" s="18"/>
      <c r="E24" s="22"/>
      <c r="F24" s="23"/>
      <c r="G24" s="22"/>
      <c r="H24" s="36"/>
      <c r="I24" s="37"/>
      <c r="J24" s="22"/>
      <c r="K24" s="38"/>
      <c r="L24" s="38"/>
      <c r="M24" s="1"/>
    </row>
    <row r="25" spans="2:13" x14ac:dyDescent="0.35">
      <c r="B25" s="17"/>
      <c r="C25" s="17"/>
      <c r="D25" s="18"/>
      <c r="E25" s="22"/>
      <c r="F25" s="23"/>
      <c r="G25" s="22"/>
      <c r="H25" s="36"/>
      <c r="I25" s="37"/>
      <c r="J25" s="22"/>
      <c r="K25" s="38"/>
      <c r="L25" s="38"/>
      <c r="M25" s="1"/>
    </row>
    <row r="26" spans="2:13" ht="15" thickBot="1" x14ac:dyDescent="0.4">
      <c r="D26" s="18"/>
      <c r="E26" s="3"/>
      <c r="F26" s="22"/>
      <c r="G26" s="22"/>
      <c r="H26" s="38"/>
      <c r="I26" s="39"/>
      <c r="J26" s="22"/>
      <c r="K26" s="38" t="str">
        <f t="shared" ref="K26" si="9">IF(ROUNDUP(J26+G26,0)=0,"",ROUNDUP(J26+G26,0))</f>
        <v/>
      </c>
      <c r="L26" s="38"/>
      <c r="M26" s="1"/>
    </row>
    <row r="27" spans="2:13" ht="16" x14ac:dyDescent="0.4">
      <c r="B27" s="43"/>
      <c r="C27" s="43"/>
      <c r="D27" s="44"/>
      <c r="E27" s="44"/>
      <c r="F27" s="45"/>
      <c r="G27" s="45"/>
      <c r="H27" s="46"/>
      <c r="I27" s="47"/>
      <c r="J27" s="46"/>
      <c r="K27" s="48"/>
      <c r="L27" s="49" t="s">
        <v>70</v>
      </c>
      <c r="M27" s="50">
        <f>SUM(M9:M26)</f>
        <v>69230</v>
      </c>
    </row>
    <row r="28" spans="2:13" x14ac:dyDescent="0.35">
      <c r="B28" s="20"/>
      <c r="C28" s="20"/>
      <c r="D28" s="3"/>
      <c r="E28" s="3"/>
      <c r="F28" s="41"/>
      <c r="G28" s="41"/>
      <c r="H28" s="23"/>
      <c r="I28" s="24"/>
      <c r="J28" s="23"/>
      <c r="K28" s="25"/>
      <c r="L28" s="51" t="s">
        <v>71</v>
      </c>
      <c r="M28" s="35">
        <f>M27/100*25</f>
        <v>17307.5</v>
      </c>
    </row>
    <row r="29" spans="2:13" ht="15" thickBot="1" x14ac:dyDescent="0.4">
      <c r="B29" s="20"/>
      <c r="C29" s="20"/>
      <c r="D29" s="3"/>
      <c r="E29" s="3"/>
      <c r="F29" s="41"/>
      <c r="G29" s="41"/>
      <c r="H29" s="23"/>
      <c r="I29" s="24"/>
      <c r="J29" s="23"/>
      <c r="K29" s="25"/>
      <c r="L29" s="51" t="s">
        <v>72</v>
      </c>
      <c r="M29" s="52">
        <f>SUM(M27:M28)</f>
        <v>86537.5</v>
      </c>
    </row>
    <row r="30" spans="2:13" ht="15" thickTop="1" x14ac:dyDescent="0.35">
      <c r="D30" s="3"/>
      <c r="E30" s="3"/>
      <c r="F30" s="22"/>
      <c r="G30" s="22"/>
      <c r="H30" s="23"/>
      <c r="I30" s="24"/>
      <c r="J30" s="23"/>
      <c r="K30" s="25"/>
      <c r="L30" s="25"/>
      <c r="M30" s="1"/>
    </row>
    <row r="31" spans="2:13" x14ac:dyDescent="0.35">
      <c r="D31" s="3"/>
      <c r="E31" s="3"/>
      <c r="F31" s="22"/>
      <c r="G31" s="22"/>
      <c r="H31" s="23"/>
      <c r="I31" s="24"/>
      <c r="J31" s="23"/>
      <c r="K31" s="25"/>
      <c r="L31" s="25"/>
      <c r="M31" s="1"/>
    </row>
    <row r="33" spans="3:6" x14ac:dyDescent="0.35">
      <c r="C33" t="s">
        <v>63</v>
      </c>
      <c r="D33">
        <v>3500</v>
      </c>
      <c r="F33">
        <v>67</v>
      </c>
    </row>
    <row r="34" spans="3:6" x14ac:dyDescent="0.35">
      <c r="C34" t="s">
        <v>73</v>
      </c>
      <c r="D34">
        <v>2500</v>
      </c>
      <c r="F34">
        <v>-14</v>
      </c>
    </row>
    <row r="35" spans="3:6" x14ac:dyDescent="0.35">
      <c r="C35" t="s">
        <v>74</v>
      </c>
      <c r="D35">
        <v>2500</v>
      </c>
      <c r="F35">
        <f>SUM(F33:F34)</f>
        <v>53</v>
      </c>
    </row>
    <row r="36" spans="3:6" x14ac:dyDescent="0.35">
      <c r="C36" t="s">
        <v>76</v>
      </c>
      <c r="D36">
        <v>2400</v>
      </c>
    </row>
    <row r="37" spans="3:6" x14ac:dyDescent="0.35">
      <c r="C37" t="s">
        <v>75</v>
      </c>
      <c r="D37">
        <v>1000</v>
      </c>
    </row>
    <row r="38" spans="3:6" x14ac:dyDescent="0.35">
      <c r="C38" t="s">
        <v>77</v>
      </c>
      <c r="D38">
        <v>1500</v>
      </c>
    </row>
    <row r="39" spans="3:6" x14ac:dyDescent="0.35">
      <c r="C39" t="s">
        <v>78</v>
      </c>
      <c r="D39">
        <v>800</v>
      </c>
    </row>
    <row r="40" spans="3:6" x14ac:dyDescent="0.35">
      <c r="D40">
        <f>SUM(D33:D39)</f>
        <v>14200</v>
      </c>
    </row>
  </sheetData>
  <mergeCells count="1">
    <mergeCell ref="B3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6FC2-B2EB-4E40-A6CD-D4793808A463}">
  <dimension ref="A1:J11"/>
  <sheetViews>
    <sheetView workbookViewId="0">
      <selection activeCell="J4" sqref="J4"/>
    </sheetView>
  </sheetViews>
  <sheetFormatPr defaultRowHeight="14.5" x14ac:dyDescent="0.35"/>
  <cols>
    <col min="1" max="1" width="49" bestFit="1" customWidth="1"/>
    <col min="2" max="2" width="2.7265625" customWidth="1"/>
    <col min="4" max="4" width="12.26953125" hidden="1" customWidth="1"/>
    <col min="5" max="5" width="8.7265625" hidden="1" customWidth="1"/>
    <col min="6" max="6" width="9.26953125" hidden="1" customWidth="1"/>
    <col min="7" max="8" width="8.7265625" hidden="1" customWidth="1"/>
    <col min="9" max="9" width="0" hidden="1" customWidth="1"/>
    <col min="10" max="10" width="12.453125" bestFit="1" customWidth="1"/>
  </cols>
  <sheetData>
    <row r="1" spans="1:10" x14ac:dyDescent="0.35">
      <c r="H1" s="3"/>
      <c r="J1" s="3"/>
    </row>
    <row r="2" spans="1:10" ht="15" thickBot="1" x14ac:dyDescent="0.4">
      <c r="D2" s="9" t="s">
        <v>4</v>
      </c>
      <c r="E2" s="9" t="s">
        <v>12</v>
      </c>
      <c r="F2" s="10" t="s">
        <v>5</v>
      </c>
      <c r="G2" s="10" t="s">
        <v>13</v>
      </c>
      <c r="H2" s="11" t="s">
        <v>6</v>
      </c>
      <c r="I2" s="10" t="s">
        <v>14</v>
      </c>
    </row>
    <row r="3" spans="1:10" ht="15" thickBot="1" x14ac:dyDescent="0.4">
      <c r="A3" s="1"/>
      <c r="C3" s="9" t="s">
        <v>11</v>
      </c>
      <c r="H3" s="3"/>
      <c r="J3" s="10" t="s">
        <v>14</v>
      </c>
    </row>
    <row r="4" spans="1:10" x14ac:dyDescent="0.35">
      <c r="A4" t="s">
        <v>155</v>
      </c>
      <c r="C4" s="3" t="s">
        <v>46</v>
      </c>
      <c r="D4" s="13">
        <v>6</v>
      </c>
      <c r="E4" s="13">
        <v>650</v>
      </c>
      <c r="F4" s="13"/>
      <c r="G4" s="14">
        <f>+(D4*E4)+F4</f>
        <v>3900</v>
      </c>
      <c r="H4" s="82">
        <v>0.15</v>
      </c>
      <c r="I4" s="15">
        <f>(G4*H4)+G4</f>
        <v>4485</v>
      </c>
      <c r="J4" s="4">
        <f>SUM(I4:I8)</f>
        <v>11114.75</v>
      </c>
    </row>
    <row r="5" spans="1:10" x14ac:dyDescent="0.35">
      <c r="A5" t="s">
        <v>156</v>
      </c>
      <c r="C5" s="3" t="s">
        <v>157</v>
      </c>
      <c r="D5">
        <v>3</v>
      </c>
      <c r="E5">
        <v>585</v>
      </c>
      <c r="G5" s="14">
        <f t="shared" ref="G5:G6" si="0">+(D5*E5)+F5</f>
        <v>1755</v>
      </c>
      <c r="H5" s="82">
        <v>0.15</v>
      </c>
      <c r="I5" s="15">
        <f t="shared" ref="I5:I6" si="1">(G5*H5)+G5</f>
        <v>2018.25</v>
      </c>
    </row>
    <row r="6" spans="1:10" x14ac:dyDescent="0.35">
      <c r="A6" t="s">
        <v>158</v>
      </c>
      <c r="C6" s="3" t="s">
        <v>8</v>
      </c>
      <c r="D6">
        <v>6</v>
      </c>
      <c r="E6">
        <v>585</v>
      </c>
      <c r="F6">
        <v>500</v>
      </c>
      <c r="G6" s="14">
        <f t="shared" si="0"/>
        <v>4010</v>
      </c>
      <c r="H6" s="82">
        <v>0.15</v>
      </c>
      <c r="I6" s="15">
        <f t="shared" si="1"/>
        <v>4611.5</v>
      </c>
    </row>
    <row r="7" spans="1:10" x14ac:dyDescent="0.35">
      <c r="G7" s="14"/>
      <c r="H7" s="82"/>
      <c r="I7" s="15"/>
    </row>
    <row r="8" spans="1:10" x14ac:dyDescent="0.35">
      <c r="C8" s="25" t="s">
        <v>70</v>
      </c>
      <c r="G8" s="14"/>
      <c r="H8" s="82"/>
      <c r="J8" s="4">
        <f>SUM(+J4)</f>
        <v>11114.75</v>
      </c>
    </row>
    <row r="9" spans="1:10" x14ac:dyDescent="0.35">
      <c r="C9" s="25" t="s">
        <v>71</v>
      </c>
      <c r="G9" s="14"/>
      <c r="H9" s="82"/>
      <c r="J9" s="4">
        <f>J8/100*25</f>
        <v>2778.6875</v>
      </c>
    </row>
    <row r="10" spans="1:10" ht="15" thickBot="1" x14ac:dyDescent="0.4">
      <c r="C10" s="51" t="s">
        <v>72</v>
      </c>
      <c r="G10" s="14"/>
      <c r="H10" s="82"/>
      <c r="J10" s="55">
        <f>SUM(J8:J9)</f>
        <v>13893.4375</v>
      </c>
    </row>
    <row r="11" spans="1:10" ht="15" thickTop="1" x14ac:dyDescent="0.35">
      <c r="G11" s="14"/>
      <c r="H11" s="82"/>
      <c r="I1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FD9-E526-4C03-B86E-0BCF8F65E9CE}">
  <dimension ref="A1:G23"/>
  <sheetViews>
    <sheetView workbookViewId="0">
      <selection activeCell="R34" sqref="R34"/>
    </sheetView>
  </sheetViews>
  <sheetFormatPr defaultRowHeight="14.5" x14ac:dyDescent="0.35"/>
  <cols>
    <col min="1" max="1" width="53.7265625" bestFit="1" customWidth="1"/>
    <col min="3" max="3" width="14.81640625" bestFit="1" customWidth="1"/>
    <col min="4" max="4" width="6.453125" hidden="1" customWidth="1"/>
    <col min="5" max="5" width="9.453125" hidden="1" customWidth="1"/>
    <col min="6" max="6" width="10.453125" bestFit="1" customWidth="1"/>
  </cols>
  <sheetData>
    <row r="1" spans="1:7" x14ac:dyDescent="0.35">
      <c r="A1" s="64">
        <f ca="1">TODAY()</f>
        <v>45827</v>
      </c>
      <c r="B1" s="65"/>
      <c r="C1" s="65"/>
      <c r="D1" s="65"/>
      <c r="E1" s="65"/>
      <c r="F1" s="65"/>
      <c r="G1" s="65"/>
    </row>
    <row r="2" spans="1:7" ht="7.9" customHeight="1" x14ac:dyDescent="0.35">
      <c r="A2" s="64"/>
      <c r="B2" s="65"/>
      <c r="C2" s="65"/>
      <c r="D2" s="65"/>
      <c r="E2" s="65"/>
      <c r="F2" s="65"/>
      <c r="G2" s="65"/>
    </row>
    <row r="3" spans="1:7" x14ac:dyDescent="0.35">
      <c r="A3" s="66" t="s">
        <v>137</v>
      </c>
      <c r="B3" s="67" t="s">
        <v>128</v>
      </c>
      <c r="C3" s="68" t="s">
        <v>138</v>
      </c>
      <c r="D3" s="66" t="s">
        <v>6</v>
      </c>
      <c r="E3" s="69"/>
      <c r="F3" s="69" t="s">
        <v>139</v>
      </c>
      <c r="G3" s="65"/>
    </row>
    <row r="4" spans="1:7" x14ac:dyDescent="0.35">
      <c r="A4" s="65" t="s">
        <v>152</v>
      </c>
      <c r="B4" s="70">
        <v>1</v>
      </c>
      <c r="C4" s="65">
        <v>722454898</v>
      </c>
      <c r="D4" s="71">
        <v>0.15</v>
      </c>
      <c r="E4" s="77">
        <v>6350</v>
      </c>
      <c r="F4" s="73">
        <f t="shared" ref="F4:F6" si="0">+E4*B4+(D4*E4)</f>
        <v>7302.5</v>
      </c>
      <c r="G4" s="65"/>
    </row>
    <row r="5" spans="1:7" x14ac:dyDescent="0.35">
      <c r="A5" s="65" t="s">
        <v>147</v>
      </c>
      <c r="B5" s="70">
        <v>1</v>
      </c>
      <c r="C5" s="65">
        <v>701349118</v>
      </c>
      <c r="D5" s="71">
        <v>0.15</v>
      </c>
      <c r="E5" s="80">
        <v>1335.75</v>
      </c>
      <c r="F5" s="73">
        <f t="shared" si="0"/>
        <v>1536.1125</v>
      </c>
      <c r="G5" s="65"/>
    </row>
    <row r="6" spans="1:7" x14ac:dyDescent="0.35">
      <c r="A6" s="65" t="s">
        <v>148</v>
      </c>
      <c r="B6" s="70">
        <v>1</v>
      </c>
      <c r="C6" s="65">
        <v>747073018</v>
      </c>
      <c r="D6" s="71">
        <v>0.15</v>
      </c>
      <c r="E6" s="80">
        <v>400</v>
      </c>
      <c r="F6" s="73">
        <f t="shared" si="0"/>
        <v>460</v>
      </c>
      <c r="G6" s="65"/>
    </row>
    <row r="7" spans="1:7" x14ac:dyDescent="0.35">
      <c r="A7" s="65" t="s">
        <v>146</v>
      </c>
      <c r="B7" s="70">
        <v>1</v>
      </c>
      <c r="C7" s="65">
        <v>617092219</v>
      </c>
      <c r="D7" s="71">
        <v>0.15</v>
      </c>
      <c r="E7" s="72">
        <v>600</v>
      </c>
      <c r="F7" s="73">
        <f t="shared" ref="F7:F11" si="1">+E7*B7+(D7*E7)</f>
        <v>690</v>
      </c>
      <c r="G7" s="65"/>
    </row>
    <row r="8" spans="1:7" x14ac:dyDescent="0.35">
      <c r="A8" s="65" t="s">
        <v>140</v>
      </c>
      <c r="B8" s="70">
        <v>1</v>
      </c>
      <c r="C8" s="65">
        <v>613039500</v>
      </c>
      <c r="D8" s="71">
        <v>0.15</v>
      </c>
      <c r="E8" s="72">
        <v>1999</v>
      </c>
      <c r="F8" s="73">
        <f t="shared" si="1"/>
        <v>2298.85</v>
      </c>
      <c r="G8" s="65"/>
    </row>
    <row r="9" spans="1:7" x14ac:dyDescent="0.35">
      <c r="A9" s="65" t="s">
        <v>151</v>
      </c>
      <c r="B9" s="70">
        <v>1</v>
      </c>
      <c r="C9" s="65">
        <v>155043800</v>
      </c>
      <c r="D9" s="71">
        <v>0</v>
      </c>
      <c r="E9" s="72">
        <v>3070</v>
      </c>
      <c r="F9" s="73">
        <f t="shared" si="1"/>
        <v>3070</v>
      </c>
      <c r="G9" s="65"/>
    </row>
    <row r="10" spans="1:7" x14ac:dyDescent="0.35">
      <c r="A10" s="65" t="s">
        <v>149</v>
      </c>
      <c r="B10" s="70">
        <v>1</v>
      </c>
      <c r="C10" s="65">
        <v>776454018</v>
      </c>
      <c r="D10" s="71">
        <v>0.15</v>
      </c>
      <c r="E10" s="72">
        <v>318</v>
      </c>
      <c r="F10" s="73">
        <f t="shared" si="1"/>
        <v>365.7</v>
      </c>
      <c r="G10" s="65"/>
    </row>
    <row r="11" spans="1:7" x14ac:dyDescent="0.35">
      <c r="A11" s="65" t="s">
        <v>154</v>
      </c>
      <c r="B11" s="70">
        <v>1</v>
      </c>
      <c r="C11" s="65">
        <v>775317168</v>
      </c>
      <c r="D11" s="71">
        <v>0.15</v>
      </c>
      <c r="E11" s="72">
        <v>440.62</v>
      </c>
      <c r="F11" s="73">
        <f t="shared" si="1"/>
        <v>506.71300000000002</v>
      </c>
      <c r="G11" s="65"/>
    </row>
    <row r="12" spans="1:7" x14ac:dyDescent="0.35">
      <c r="A12" s="65"/>
      <c r="B12" s="65"/>
      <c r="C12" s="65"/>
      <c r="D12" s="65"/>
      <c r="E12" s="72"/>
      <c r="F12" s="73"/>
      <c r="G12" s="65"/>
    </row>
    <row r="13" spans="1:7" x14ac:dyDescent="0.35">
      <c r="A13" s="66" t="s">
        <v>141</v>
      </c>
      <c r="B13" s="65"/>
      <c r="C13" s="65"/>
      <c r="D13" s="65"/>
      <c r="E13" s="72"/>
      <c r="F13" s="73"/>
      <c r="G13" s="65"/>
    </row>
    <row r="14" spans="1:7" x14ac:dyDescent="0.35">
      <c r="A14" s="65" t="s">
        <v>153</v>
      </c>
      <c r="B14" s="65"/>
      <c r="C14" s="65"/>
      <c r="D14" s="71">
        <v>0.15</v>
      </c>
      <c r="E14" s="81">
        <v>3500</v>
      </c>
      <c r="F14" s="73">
        <f t="shared" ref="F14:F16" si="2">-E14-(D14*E14)</f>
        <v>-4025</v>
      </c>
      <c r="G14" s="65"/>
    </row>
    <row r="15" spans="1:7" x14ac:dyDescent="0.35">
      <c r="A15" s="65" t="s">
        <v>66</v>
      </c>
      <c r="B15" s="65"/>
      <c r="C15" s="65"/>
      <c r="D15" s="71">
        <v>0.15</v>
      </c>
      <c r="E15" s="72">
        <v>2400</v>
      </c>
      <c r="F15" s="73">
        <f t="shared" si="2"/>
        <v>-2760</v>
      </c>
      <c r="G15" s="65"/>
    </row>
    <row r="16" spans="1:7" x14ac:dyDescent="0.35">
      <c r="A16" s="65" t="s">
        <v>67</v>
      </c>
      <c r="B16" s="65"/>
      <c r="C16" s="65"/>
      <c r="D16" s="71">
        <v>0.15</v>
      </c>
      <c r="E16" s="72">
        <v>1000</v>
      </c>
      <c r="F16" s="73">
        <f t="shared" si="2"/>
        <v>-1150</v>
      </c>
      <c r="G16" s="65"/>
    </row>
    <row r="17" spans="1:7" x14ac:dyDescent="0.35">
      <c r="A17" s="65" t="s">
        <v>150</v>
      </c>
      <c r="B17" s="65"/>
      <c r="C17" s="65"/>
      <c r="D17" s="71">
        <v>0.15</v>
      </c>
      <c r="E17" s="72">
        <v>800</v>
      </c>
      <c r="F17" s="73">
        <f>-E17-(D17*E17)</f>
        <v>-920</v>
      </c>
      <c r="G17" s="65"/>
    </row>
    <row r="18" spans="1:7" x14ac:dyDescent="0.35">
      <c r="A18" s="65" t="s">
        <v>142</v>
      </c>
      <c r="B18" s="65"/>
      <c r="C18" s="65"/>
      <c r="D18" s="71">
        <v>0.15</v>
      </c>
      <c r="E18" s="72">
        <v>800</v>
      </c>
      <c r="F18" s="73">
        <f>-E18-(D18*E18)</f>
        <v>-920</v>
      </c>
      <c r="G18" s="65"/>
    </row>
    <row r="19" spans="1:7" x14ac:dyDescent="0.35">
      <c r="A19" s="65"/>
      <c r="B19" s="74"/>
      <c r="C19" s="75" t="s">
        <v>143</v>
      </c>
      <c r="D19" s="74"/>
      <c r="E19" s="74"/>
      <c r="F19" s="76">
        <f>SUM(F4:F18)</f>
        <v>6454.8755000000001</v>
      </c>
      <c r="G19" s="65"/>
    </row>
    <row r="20" spans="1:7" x14ac:dyDescent="0.35">
      <c r="A20" s="65"/>
      <c r="B20" s="65"/>
      <c r="C20" s="77" t="s">
        <v>144</v>
      </c>
      <c r="D20" s="65"/>
      <c r="E20" s="65"/>
      <c r="F20" s="73">
        <f>+F19*0.25</f>
        <v>1613.718875</v>
      </c>
      <c r="G20" s="65"/>
    </row>
    <row r="21" spans="1:7" x14ac:dyDescent="0.35">
      <c r="A21" s="65"/>
      <c r="B21" s="65"/>
      <c r="C21" s="77" t="s">
        <v>145</v>
      </c>
      <c r="D21" s="65"/>
      <c r="E21" s="65"/>
      <c r="F21" s="73">
        <f>+F20+F19</f>
        <v>8068.5943750000006</v>
      </c>
      <c r="G21" s="65"/>
    </row>
    <row r="22" spans="1:7" x14ac:dyDescent="0.35">
      <c r="A22" s="65"/>
      <c r="B22" s="78"/>
      <c r="C22" s="78"/>
      <c r="D22" s="78"/>
      <c r="E22" s="78"/>
      <c r="F22" s="79"/>
      <c r="G22" s="65"/>
    </row>
    <row r="23" spans="1:7" x14ac:dyDescent="0.35">
      <c r="A23" s="65"/>
      <c r="B23" s="65"/>
      <c r="C23" s="65"/>
      <c r="D23" s="65"/>
      <c r="E23" s="65"/>
      <c r="F23" s="6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3BBA1F-98BA-40B7-9E3A-3005F5585FE3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2.xml><?xml version="1.0" encoding="utf-8"?>
<ds:datastoreItem xmlns:ds="http://schemas.openxmlformats.org/officeDocument/2006/customXml" ds:itemID="{92DC9C9E-5CBC-4F91-BFFF-FAD0DE5C8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CA5B3A-F60F-4205-83AA-670462C08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Tilbud 2</vt:lpstr>
      <vt:lpstr>Ekstra</vt:lpstr>
      <vt:lpstr>Materialer</vt:lpstr>
      <vt:lpstr>VVS Kalk</vt:lpstr>
      <vt:lpstr>Radiator i soveværelse</vt:lpstr>
      <vt:lpstr>Sanitets 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Christian Blankholm</cp:lastModifiedBy>
  <cp:lastPrinted>2025-03-26T05:55:12Z</cp:lastPrinted>
  <dcterms:created xsi:type="dcterms:W3CDTF">2025-01-21T10:46:56Z</dcterms:created>
  <dcterms:modified xsi:type="dcterms:W3CDTF">2025-06-19T18:17:21Z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