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SUS\Desktop\Github Portfolio\Portfolio\"/>
    </mc:Choice>
  </mc:AlternateContent>
  <xr:revisionPtr revIDLastSave="0" documentId="13_ncr:1_{6D972EE8-240B-4584-9271-F7534F6911D1}" xr6:coauthVersionLast="47" xr6:coauthVersionMax="47" xr10:uidLastSave="{00000000-0000-0000-0000-000000000000}"/>
  <bookViews>
    <workbookView xWindow="-108" yWindow="-108" windowWidth="23256" windowHeight="13176" activeTab="5" xr2:uid="{00000000-000D-0000-FFFF-FFFF00000000}"/>
  </bookViews>
  <sheets>
    <sheet name="1-A" sheetId="1" r:id="rId1"/>
    <sheet name="1-B" sheetId="2" r:id="rId2"/>
    <sheet name="1-C" sheetId="3" r:id="rId3"/>
    <sheet name="1-D" sheetId="4" r:id="rId4"/>
    <sheet name="1-E" sheetId="5" r:id="rId5"/>
    <sheet name="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 l="1"/>
  <c r="E7" i="2"/>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E22" i="5"/>
  <c r="F17" i="5"/>
  <c r="F16" i="5"/>
  <c r="H12" i="5"/>
  <c r="H8" i="5"/>
  <c r="H9" i="5"/>
  <c r="H10" i="5"/>
  <c r="H11" i="5"/>
  <c r="H7" i="5"/>
  <c r="F8" i="5"/>
  <c r="F9" i="5"/>
  <c r="F10" i="5"/>
  <c r="F11" i="5"/>
  <c r="F12" i="5"/>
  <c r="F7" i="5"/>
  <c r="P10" i="4" a="1"/>
  <c r="P10" i="4" s="1"/>
  <c r="R28" i="3" a="1"/>
  <c r="R28" i="3" s="1"/>
  <c r="L36" i="2" a="1"/>
  <c r="L36" i="2" s="1"/>
  <c r="O36" i="2" s="1"/>
  <c r="N64" i="1"/>
  <c r="L63" i="1"/>
  <c r="L64" i="1" s="1"/>
  <c r="W26" i="1" a="1"/>
  <c r="W21" i="1"/>
  <c r="N59" i="6" l="1"/>
  <c r="N60" i="6" s="1"/>
  <c r="N61" i="6" s="1"/>
  <c r="R32" i="3" a="1"/>
  <c r="R32" i="3" s="1"/>
  <c r="J13" i="2"/>
  <c r="F13" i="2"/>
  <c r="F10" i="3"/>
  <c r="F14" i="3"/>
  <c r="H14" i="3" s="1"/>
  <c r="G13" i="2"/>
  <c r="O40" i="2"/>
  <c r="F18" i="3" s="1"/>
  <c r="H18" i="3" s="1"/>
  <c r="O39" i="2"/>
  <c r="F17" i="3" s="1"/>
  <c r="H17" i="3" s="1"/>
  <c r="O38" i="2"/>
  <c r="F16" i="3" s="1"/>
  <c r="H16" i="3" s="1"/>
  <c r="O37" i="2"/>
  <c r="F15" i="3" s="1"/>
  <c r="H15" i="3" s="1"/>
  <c r="I13" i="2"/>
  <c r="H13" i="2"/>
  <c r="Z30" i="1"/>
  <c r="W29" i="1"/>
  <c r="Z26" i="1"/>
  <c r="Z29" i="1"/>
  <c r="W28" i="1"/>
  <c r="Y26" i="1"/>
  <c r="X30" i="1"/>
  <c r="Y29" i="1"/>
  <c r="Z28" i="1"/>
  <c r="AA27" i="1"/>
  <c r="W27" i="1"/>
  <c r="X26" i="1"/>
  <c r="AA29" i="1"/>
  <c r="X28" i="1"/>
  <c r="Y27" i="1"/>
  <c r="Y30" i="1"/>
  <c r="AA28" i="1"/>
  <c r="X27" i="1"/>
  <c r="AA30" i="1"/>
  <c r="W30" i="1"/>
  <c r="X29" i="1"/>
  <c r="Y28" i="1"/>
  <c r="Z27" i="1"/>
  <c r="AA26" i="1"/>
  <c r="D16" i="4" l="1"/>
  <c r="R34" i="3"/>
  <c r="E23" i="5"/>
  <c r="I22" i="5" s="1"/>
  <c r="D14" i="4"/>
  <c r="O41" i="2"/>
  <c r="O42" i="2" s="1"/>
  <c r="F11" i="3" s="1"/>
  <c r="I10" i="3" s="1"/>
  <c r="H19" i="3"/>
  <c r="D13" i="4" s="1"/>
  <c r="D18" i="4" l="1"/>
  <c r="Q6" i="4" s="1"/>
  <c r="S10" i="4" s="1"/>
  <c r="H22" i="3"/>
  <c r="S41" i="3" s="1"/>
  <c r="O63" i="1"/>
  <c r="O64" i="1" s="1"/>
  <c r="M57" i="1"/>
  <c r="M10" i="1"/>
  <c r="N10" i="1"/>
  <c r="N63" i="1" s="1"/>
  <c r="O10" i="1"/>
  <c r="P10" i="1"/>
  <c r="M11" i="1"/>
  <c r="N11" i="1"/>
  <c r="O11" i="1"/>
  <c r="P11" i="1"/>
  <c r="M12" i="1"/>
  <c r="N12" i="1"/>
  <c r="O12" i="1"/>
  <c r="P12" i="1"/>
  <c r="M13" i="1"/>
  <c r="N13" i="1"/>
  <c r="O13" i="1"/>
  <c r="P13" i="1"/>
  <c r="M14" i="1"/>
  <c r="N14" i="1"/>
  <c r="O14" i="1"/>
  <c r="P14" i="1"/>
  <c r="M15" i="1"/>
  <c r="N15" i="1"/>
  <c r="O15" i="1"/>
  <c r="P15" i="1"/>
  <c r="M16" i="1"/>
  <c r="N16" i="1"/>
  <c r="O16" i="1"/>
  <c r="P16" i="1"/>
  <c r="M17" i="1"/>
  <c r="N17" i="1"/>
  <c r="O17" i="1"/>
  <c r="P17" i="1"/>
  <c r="M18" i="1"/>
  <c r="N18" i="1"/>
  <c r="O18" i="1"/>
  <c r="P18" i="1"/>
  <c r="M19" i="1"/>
  <c r="N19" i="1"/>
  <c r="O19" i="1"/>
  <c r="P19" i="1"/>
  <c r="M20" i="1"/>
  <c r="N20" i="1"/>
  <c r="O20" i="1"/>
  <c r="P20" i="1"/>
  <c r="M21" i="1"/>
  <c r="N21" i="1"/>
  <c r="O21" i="1"/>
  <c r="P21" i="1"/>
  <c r="M22" i="1"/>
  <c r="N22" i="1"/>
  <c r="O22" i="1"/>
  <c r="P22" i="1"/>
  <c r="M23" i="1"/>
  <c r="N23" i="1"/>
  <c r="O23" i="1"/>
  <c r="P23" i="1"/>
  <c r="M24" i="1"/>
  <c r="N24" i="1"/>
  <c r="O24" i="1"/>
  <c r="P24" i="1"/>
  <c r="M25" i="1"/>
  <c r="N25" i="1"/>
  <c r="O25" i="1"/>
  <c r="P25" i="1"/>
  <c r="M26" i="1"/>
  <c r="N26" i="1"/>
  <c r="O26" i="1"/>
  <c r="P26" i="1"/>
  <c r="M27" i="1"/>
  <c r="N27" i="1"/>
  <c r="O27" i="1"/>
  <c r="P27" i="1"/>
  <c r="M28" i="1"/>
  <c r="N28" i="1"/>
  <c r="O28" i="1"/>
  <c r="P28" i="1"/>
  <c r="M29" i="1"/>
  <c r="N29" i="1"/>
  <c r="O29" i="1"/>
  <c r="P29" i="1"/>
  <c r="M30" i="1"/>
  <c r="N30" i="1"/>
  <c r="O30" i="1"/>
  <c r="P30" i="1"/>
  <c r="M31" i="1"/>
  <c r="N31" i="1"/>
  <c r="O31" i="1"/>
  <c r="P31" i="1"/>
  <c r="M32" i="1"/>
  <c r="N32" i="1"/>
  <c r="O32" i="1"/>
  <c r="P32" i="1"/>
  <c r="M33" i="1"/>
  <c r="N33" i="1"/>
  <c r="O33" i="1"/>
  <c r="P33" i="1"/>
  <c r="M34" i="1"/>
  <c r="N34" i="1"/>
  <c r="O34" i="1"/>
  <c r="P34" i="1"/>
  <c r="M35" i="1"/>
  <c r="N35" i="1"/>
  <c r="O35" i="1"/>
  <c r="P35" i="1"/>
  <c r="M36" i="1"/>
  <c r="N36" i="1"/>
  <c r="O36" i="1"/>
  <c r="P36" i="1"/>
  <c r="M37" i="1"/>
  <c r="N37" i="1"/>
  <c r="O37" i="1"/>
  <c r="P37" i="1"/>
  <c r="M38" i="1"/>
  <c r="N38" i="1"/>
  <c r="O38" i="1"/>
  <c r="P38" i="1"/>
  <c r="M39" i="1"/>
  <c r="N39" i="1"/>
  <c r="O39" i="1"/>
  <c r="P39" i="1"/>
  <c r="M40" i="1"/>
  <c r="N40" i="1"/>
  <c r="O40" i="1"/>
  <c r="P40" i="1"/>
  <c r="M41" i="1"/>
  <c r="N41" i="1"/>
  <c r="O41" i="1"/>
  <c r="P41" i="1"/>
  <c r="M42" i="1"/>
  <c r="N42" i="1"/>
  <c r="O42" i="1"/>
  <c r="P42" i="1"/>
  <c r="M43" i="1"/>
  <c r="N43" i="1"/>
  <c r="O43" i="1"/>
  <c r="P43" i="1"/>
  <c r="M44" i="1"/>
  <c r="N44" i="1"/>
  <c r="O44" i="1"/>
  <c r="P44" i="1"/>
  <c r="M45" i="1"/>
  <c r="N45" i="1"/>
  <c r="O45" i="1"/>
  <c r="P45" i="1"/>
  <c r="M46" i="1"/>
  <c r="N46" i="1"/>
  <c r="O46" i="1"/>
  <c r="P46" i="1"/>
  <c r="M47" i="1"/>
  <c r="N47" i="1"/>
  <c r="O47" i="1"/>
  <c r="P47" i="1"/>
  <c r="M48" i="1"/>
  <c r="N48" i="1"/>
  <c r="O48" i="1"/>
  <c r="P48" i="1"/>
  <c r="M49" i="1"/>
  <c r="N49" i="1"/>
  <c r="O49" i="1"/>
  <c r="P49" i="1"/>
  <c r="M50" i="1"/>
  <c r="N50" i="1"/>
  <c r="O50" i="1"/>
  <c r="P50" i="1"/>
  <c r="M51" i="1"/>
  <c r="N51" i="1"/>
  <c r="O51" i="1"/>
  <c r="P51" i="1"/>
  <c r="M52" i="1"/>
  <c r="N52" i="1"/>
  <c r="O52" i="1"/>
  <c r="P52" i="1"/>
  <c r="M53" i="1"/>
  <c r="N53" i="1"/>
  <c r="O53" i="1"/>
  <c r="P53" i="1"/>
  <c r="M54" i="1"/>
  <c r="N54" i="1"/>
  <c r="O54" i="1"/>
  <c r="P54" i="1"/>
  <c r="M55" i="1"/>
  <c r="N55" i="1"/>
  <c r="O55" i="1"/>
  <c r="P55" i="1"/>
  <c r="M56" i="1"/>
  <c r="N56" i="1"/>
  <c r="O56" i="1"/>
  <c r="P56" i="1"/>
  <c r="N57" i="1"/>
  <c r="O57" i="1"/>
  <c r="P57" i="1"/>
  <c r="M58" i="1"/>
  <c r="N58" i="1"/>
  <c r="O58" i="1"/>
  <c r="P58" i="1"/>
  <c r="M59" i="1"/>
  <c r="N59" i="1"/>
  <c r="O59" i="1"/>
  <c r="P59" i="1"/>
  <c r="M60" i="1"/>
  <c r="N60" i="1"/>
  <c r="O60" i="1"/>
  <c r="P60" i="1"/>
  <c r="M61" i="1"/>
  <c r="N61" i="1"/>
  <c r="O61" i="1"/>
  <c r="P61"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C63" i="1"/>
  <c r="S12" i="4" l="1"/>
  <c r="S14" i="4"/>
  <c r="S13" i="4"/>
  <c r="S11" i="4"/>
  <c r="H23" i="3"/>
  <c r="X13" i="1"/>
  <c r="W12" i="1"/>
  <c r="W26" i="1" s="1"/>
  <c r="F21" i="2" s="1" a="1"/>
  <c r="F21" i="2" s="1"/>
  <c r="AA16" i="1"/>
  <c r="Z15" i="1"/>
  <c r="M63" i="1"/>
  <c r="M64" i="1" s="1"/>
  <c r="Y14" i="1"/>
  <c r="P63" i="1"/>
  <c r="P6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<sst xmlns="http://schemas.openxmlformats.org/spreadsheetml/2006/main" count="375" uniqueCount="151">
  <si>
    <t>RBC</t>
  </si>
  <si>
    <t>TMX group</t>
  </si>
  <si>
    <t>Gibson energy</t>
  </si>
  <si>
    <t>Dollarama</t>
  </si>
  <si>
    <t>Barrick gold</t>
  </si>
  <si>
    <t>Date</t>
  </si>
  <si>
    <t>Adjusted Closing Price (In CAD)</t>
  </si>
  <si>
    <t>RY.TO</t>
  </si>
  <si>
    <t>X.TO</t>
  </si>
  <si>
    <t>DOL.TO</t>
  </si>
  <si>
    <t>GEI.TO</t>
  </si>
  <si>
    <t>ABX.TO</t>
  </si>
  <si>
    <t>Historical Mean</t>
  </si>
  <si>
    <t>Formula used for calculating historical mean:</t>
  </si>
  <si>
    <t>N = 52</t>
  </si>
  <si>
    <t>n = 52</t>
  </si>
  <si>
    <t>Total</t>
  </si>
  <si>
    <t>Returns</t>
  </si>
  <si>
    <t>Covariance Matrix</t>
  </si>
  <si>
    <t>Gibson enegry</t>
  </si>
  <si>
    <t>Population covariance:</t>
  </si>
  <si>
    <t>TMX Group</t>
  </si>
  <si>
    <t>Converting Population Variance Matrix into Sample Covariance Matrix:</t>
  </si>
  <si>
    <t>N/(N-1)</t>
  </si>
  <si>
    <t>Sample Covariance Matrix:</t>
  </si>
  <si>
    <t>Note: Method used to find covariance matrix is by using the data analysis toolpak  (Data &gt; Data Analysis &gt; Covariance)</t>
  </si>
  <si>
    <t>Note: formula used to find return for each week: ( P2/P1 - 1)</t>
  </si>
  <si>
    <t>P1 = Previous week price</t>
  </si>
  <si>
    <t>P2 = Current week price</t>
  </si>
  <si>
    <t>Multiply this number with covariance and variance population calculated above</t>
  </si>
  <si>
    <t>A = 3</t>
  </si>
  <si>
    <t>rf = 0.028 annually, rf weekly = 0.028/52</t>
  </si>
  <si>
    <t>Risk Premium</t>
  </si>
  <si>
    <t>RP = E(r) - rf (the historical expected return mean is used for calculating RP of each stock)</t>
  </si>
  <si>
    <t>Inverse Matrix of Covariance Matrix</t>
  </si>
  <si>
    <t>Risk Premium (RP)</t>
  </si>
  <si>
    <t>RP</t>
  </si>
  <si>
    <t>Inverse Matrix</t>
  </si>
  <si>
    <t>Result of multiplying RP with Inverse Matrix</t>
  </si>
  <si>
    <t>Calculating y</t>
  </si>
  <si>
    <t>y</t>
  </si>
  <si>
    <t>Stock</t>
  </si>
  <si>
    <t>Answer to 1:</t>
  </si>
  <si>
    <t>RBC has the highest weight compared to the other stocks with TMX Group not too far apart. This is likely because RBC has a higher expected return relative to its risk and has a favorable covariance with other stocks which allows for diversification</t>
  </si>
  <si>
    <t>Answer to 2:</t>
  </si>
  <si>
    <t>TOTAL</t>
  </si>
  <si>
    <t>Weight of T bill</t>
  </si>
  <si>
    <t>Expected return of complete portfolio</t>
  </si>
  <si>
    <t>Sharpe ratio of complete portfolio</t>
  </si>
  <si>
    <t>rf</t>
  </si>
  <si>
    <t>y t-bill</t>
  </si>
  <si>
    <t>stocks</t>
  </si>
  <si>
    <t>E(r)</t>
  </si>
  <si>
    <t>(rf) x (y t-bill)</t>
  </si>
  <si>
    <t>Variance</t>
  </si>
  <si>
    <t>Variance calculation</t>
  </si>
  <si>
    <t>V</t>
  </si>
  <si>
    <t>YT</t>
  </si>
  <si>
    <t>Y</t>
  </si>
  <si>
    <t>YTVY</t>
  </si>
  <si>
    <t>Sharpe ratio</t>
  </si>
  <si>
    <t>Standard
deviation</t>
  </si>
  <si>
    <t>y*</t>
  </si>
  <si>
    <t>Optimal weight of portfolio P in complete portfolio (y*)</t>
  </si>
  <si>
    <t xml:space="preserve">E(r) </t>
  </si>
  <si>
    <t>A</t>
  </si>
  <si>
    <t>Weight of each security in portfolio P</t>
  </si>
  <si>
    <t>Stocks</t>
  </si>
  <si>
    <t>Weight</t>
  </si>
  <si>
    <t>Weight in Portfolio P</t>
  </si>
  <si>
    <t>All securities in complete portfolio</t>
  </si>
  <si>
    <t>T-bill</t>
  </si>
  <si>
    <t>Expected return</t>
  </si>
  <si>
    <t>W x E(r)</t>
  </si>
  <si>
    <t>E(rp)</t>
  </si>
  <si>
    <t>Standard 
deviation</t>
  </si>
  <si>
    <t>Explanation:</t>
  </si>
  <si>
    <t>The significant difference in sharpe ratio and expected return comes from the fact  that with optimal weights, we are adjusting the weight of the stock based on the return for a given level of risk, this allows us to diversify the portfolio and allocate the funds more efficiently. Since we are taking equal weights in this case, all stocks are given equal importance regardless of their risk and return, this means we are alloacating the funds inefficiently and with no diversification as we are not optimizing the risk-return tradeoff, resulting in a lower sharpe ratio</t>
  </si>
  <si>
    <t>S&amp;P/TSX Composite index (^GSPTSE)</t>
  </si>
  <si>
    <t>Note: this data was taken from Yahoo Finance</t>
  </si>
  <si>
    <t>Market Adj Closing Price</t>
  </si>
  <si>
    <t>Market Return</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</si>
  <si>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</si>
  <si>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</si>
  <si>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</si>
  <si>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</si>
  <si>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</si>
  <si>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</si>
  <si>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</si>
  <si>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</si>
  <si>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</si>
  <si>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</si>
  <si>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</si>
  <si>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</si>
  <si>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</si>
  <si>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</si>
  <si>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</si>
  <si>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</si>
  <si>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</si>
  <si>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</si>
  <si>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</si>
  <si>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</si>
  <si>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</si>
  <si>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</si>
  <si>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</si>
  <si>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Regression analysis to find beta of stocks</t>
  </si>
  <si>
    <t>SUMMARY OUTPUT RBC</t>
  </si>
  <si>
    <t>SUMMARY OUTPUT tmx group</t>
  </si>
  <si>
    <t>SUMMARY OUTPUT gibson energy</t>
  </si>
  <si>
    <t>SUMMARY OUTPUT barrick gold</t>
  </si>
  <si>
    <t>SUMMARY OUTPUT dollarama</t>
  </si>
  <si>
    <t>Beta of stocks calculation</t>
  </si>
  <si>
    <t>Beta</t>
  </si>
  <si>
    <t>SUMMARY OUTPUT (second llinear regression)</t>
  </si>
  <si>
    <t>The R squared of my second linear regression is 0.000172</t>
  </si>
  <si>
    <t xml:space="preserve">This value implies that the linear regression model explains only 0.0172% of the variation in stock return based on their betas </t>
  </si>
  <si>
    <t>market risk is affecting the stock returns</t>
  </si>
  <si>
    <t>This is a very low R squared value and implies that the linear regression model has a limited scope, and other factors beyond the</t>
  </si>
  <si>
    <t>The value of the intercept is 0.00567 and the value of the slope is 0.0000475, the significance of these coefficients can be identified</t>
  </si>
  <si>
    <t>through looking at the p value, the p value is of the intercept and slope are 0.089 and 0.983 respectively. Since the p value is greater</t>
  </si>
  <si>
    <t>than 0.05, we can say that these coefficients are not statistically significant</t>
  </si>
  <si>
    <t>The intercept is 0.00567 while the risk free rate is 0.00054, the intercept is significantly higher than the risk free rate which means that</t>
  </si>
  <si>
    <t>Historical mean</t>
  </si>
  <si>
    <t>Market risk premium</t>
  </si>
  <si>
    <t>when the market has zero risk premium, the stock has a positive return indicating that it would have a positive alpha value. The</t>
  </si>
  <si>
    <t>intercept also has a higher value than the market risk premium (0.00567 &gt; 0.0031) which indicates that the stock has outperformed</t>
  </si>
  <si>
    <t>the market which further supports that it has a positive alpha</t>
  </si>
  <si>
    <t>Answer to 3:</t>
  </si>
  <si>
    <t>conclude that the validity of CAPM for the chosen stocks is not supported here</t>
  </si>
  <si>
    <t>Weekly Returns of Stocks (Feb 19 2024 - Feb 10 2025)</t>
  </si>
  <si>
    <t>Note: Weekly adjusted closing price of stocks were taken from Yahoo Finance</t>
  </si>
  <si>
    <t>Coefficient of Risk Aversion: 3</t>
  </si>
  <si>
    <t>We can answer two questions based on this data:</t>
  </si>
  <si>
    <t>1) Which stock has the biggest weight and why?</t>
  </si>
  <si>
    <t>2) Are there any stocks with negative weights? If Yes, why?</t>
  </si>
  <si>
    <t>Barrick gold has a negative y value indicating that we should short this stock, this is because it could be used as a hedging strategy to reduce the portfolio's overall risk and could indicate that the price of this stock will likely decrease in the future</t>
  </si>
  <si>
    <t>( y = Optimal weight of each stock )</t>
  </si>
  <si>
    <t>Part 1, Section B</t>
  </si>
  <si>
    <t>Part 1, Section A</t>
  </si>
  <si>
    <t>Part 1, Section C</t>
  </si>
  <si>
    <t>Part 1, Section D</t>
  </si>
  <si>
    <t>Part 1, Section E</t>
  </si>
  <si>
    <t>Based on the data we can answer the following questions:</t>
  </si>
  <si>
    <t>3) Based on the analysis, what conclusions can be drawn about how well the CAPM explains the returns of the selected stocks?</t>
  </si>
  <si>
    <t>1) What is the R-squared value from your second regression? How does this result inform the reliability or explanation of the linear regression model you applied?</t>
  </si>
  <si>
    <t>2) What are the intercept and slope values obtained from your second regression analysis?</t>
  </si>
  <si>
    <t xml:space="preserve">    How statistically significant are these coefficients, and how do they relate to the risk-free rate and the historical average of market risk premium?</t>
  </si>
  <si>
    <t xml:space="preserve">Based on CAPM, the alpha should be zero but in this case it is identifiable that the alpha seems to be positive with a value of 0.0056656, therefore we can </t>
  </si>
  <si>
    <t>Part 2</t>
  </si>
  <si>
    <t>Finding y (Weight of Risky Assets in Portfolio P)</t>
  </si>
  <si>
    <t>σ²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</si>
</sst>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
    <numFmt numFmtId="167" formatCode="0.00000000000000000000"/>
  </numFmts>
  <fonts count="14" x14ac:knownFonts="1">
    <font>
      <sz val="11"/>
      <color theme="1"/>
      <name val="Calibri"/>
      <family val="2"/>
      <scheme val="minor"/>
    </font>
    <font>
      <b/>
      <sz val="14"/>
      <color rgb="FF002060"/>
      <name val="Calibri"/>
      <family val="2"/>
      <scheme val="minor"/>
    </font>
    <font>
      <sz val="8"/>
      <color theme="1"/>
      <name val="Arial"/>
      <family val="2"/>
    </font>
    <font>
      <sz val="12"/>
      <color theme="1"/>
      <name val="Times New Roman"/>
      <family val="1"/>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1"/>
      <color rgb="FF002060"/>
      <name val="Calibri"/>
      <family val="2"/>
      <scheme val="minor"/>
    </font>
    <font>
      <i/>
      <sz val="11"/>
      <color theme="1"/>
      <name val="Calibri"/>
      <family val="2"/>
      <scheme val="minor"/>
    </font>
    <font>
      <u/>
      <sz val="11"/>
      <color theme="1"/>
      <name val="Calibri"/>
      <family val="2"/>
      <scheme val="minor"/>
    </font>
    <font>
      <b/>
      <sz val="14"/>
      <color rgb="FF0070C0"/>
      <name val="Calibri"/>
      <family val="2"/>
      <scheme val="minor"/>
    </font>
    <font>
      <b/>
      <sz val="13"/>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0" fontId="0" fillId="2" borderId="0" xfId="0" applyFill="1"/>
    <xf numFmtId="0" fontId="1" fillId="2" borderId="0" xfId="0" applyFont="1" applyFill="1"/>
    <xf numFmtId="0" fontId="2" fillId="2" borderId="0" xfId="0" applyFont="1" applyFill="1" applyAlignment="1">
      <alignment horizontal="right" vertical="center"/>
    </xf>
    <xf numFmtId="0" fontId="3" fillId="2" borderId="0" xfId="0" applyFont="1" applyFill="1" applyAlignment="1">
      <alignment horizontal="center"/>
    </xf>
    <xf numFmtId="0" fontId="6" fillId="2" borderId="0" xfId="0" applyFont="1" applyFill="1" applyAlignment="1">
      <alignment horizontal="center" vertical="center"/>
    </xf>
    <xf numFmtId="0" fontId="5" fillId="2" borderId="0" xfId="0" applyFont="1" applyFill="1" applyAlignment="1">
      <alignment horizontal="center"/>
    </xf>
    <xf numFmtId="15" fontId="7" fillId="2" borderId="0" xfId="0" applyNumberFormat="1" applyFont="1" applyFill="1" applyAlignment="1">
      <alignment horizontal="center" vertical="center"/>
    </xf>
    <xf numFmtId="0" fontId="7" fillId="2" borderId="0" xfId="0" applyFont="1" applyFill="1" applyAlignment="1">
      <alignment horizontal="center"/>
    </xf>
    <xf numFmtId="15" fontId="7" fillId="2" borderId="0" xfId="0" applyNumberFormat="1" applyFont="1" applyFill="1" applyAlignment="1">
      <alignment horizontal="center"/>
    </xf>
    <xf numFmtId="0" fontId="0" fillId="2" borderId="0" xfId="0" applyFill="1" applyAlignment="1">
      <alignment horizontal="center"/>
    </xf>
    <xf numFmtId="0" fontId="7" fillId="2" borderId="0" xfId="0" applyFont="1" applyFill="1"/>
    <xf numFmtId="0" fontId="6" fillId="2" borderId="0" xfId="0" applyFont="1" applyFill="1" applyAlignment="1">
      <alignment horizontal="center"/>
    </xf>
    <xf numFmtId="0" fontId="1" fillId="2" borderId="0" xfId="0" applyFont="1" applyFill="1" applyAlignment="1">
      <alignment horizontal="center" vertical="center"/>
    </xf>
    <xf numFmtId="0" fontId="9" fillId="2" borderId="0" xfId="0" applyFont="1" applyFill="1"/>
    <xf numFmtId="165" fontId="0" fillId="2" borderId="0" xfId="0" applyNumberFormat="1" applyFill="1"/>
    <xf numFmtId="2" fontId="0" fillId="2" borderId="0" xfId="0" applyNumberFormat="1" applyFill="1" applyAlignment="1">
      <alignment horizontal="center"/>
    </xf>
    <xf numFmtId="0" fontId="1" fillId="2" borderId="0" xfId="0" applyFont="1" applyFill="1" applyAlignment="1">
      <alignment vertical="center"/>
    </xf>
    <xf numFmtId="10" fontId="0" fillId="2" borderId="0" xfId="1" applyNumberFormat="1" applyFont="1" applyFill="1"/>
    <xf numFmtId="10" fontId="0" fillId="2" borderId="0" xfId="1" applyNumberFormat="1" applyFont="1" applyFill="1" applyAlignment="1">
      <alignment horizontal="center"/>
    </xf>
    <xf numFmtId="10" fontId="0" fillId="2" borderId="0" xfId="0" applyNumberFormat="1" applyFill="1"/>
    <xf numFmtId="0" fontId="0" fillId="0" borderId="1" xfId="0" applyBorder="1"/>
    <xf numFmtId="0" fontId="10" fillId="0" borderId="2" xfId="0" applyFont="1" applyBorder="1" applyAlignment="1">
      <alignment horizontal="center"/>
    </xf>
    <xf numFmtId="0" fontId="11" fillId="2" borderId="0" xfId="0" applyFont="1" applyFill="1"/>
    <xf numFmtId="0" fontId="0" fillId="2" borderId="0" xfId="0" applyFill="1" applyAlignment="1">
      <alignment wrapText="1"/>
    </xf>
    <xf numFmtId="166" fontId="0" fillId="2" borderId="0" xfId="1" applyNumberFormat="1" applyFont="1" applyFill="1"/>
    <xf numFmtId="0" fontId="5" fillId="2" borderId="0" xfId="0" applyFont="1" applyFill="1"/>
    <xf numFmtId="167" fontId="0" fillId="0" borderId="0" xfId="0" applyNumberFormat="1"/>
    <xf numFmtId="167" fontId="0" fillId="0" borderId="1" xfId="0" applyNumberFormat="1" applyBorder="1"/>
    <xf numFmtId="0" fontId="5" fillId="2" borderId="0" xfId="0" applyFont="1" applyFill="1" applyAlignment="1">
      <alignment wrapText="1"/>
    </xf>
    <xf numFmtId="164" fontId="0" fillId="2" borderId="0" xfId="0" applyNumberFormat="1" applyFill="1" applyAlignment="1">
      <alignment horizontal="center"/>
    </xf>
    <xf numFmtId="0" fontId="5" fillId="2" borderId="0" xfId="0" applyFont="1" applyFill="1" applyAlignment="1">
      <alignment vertical="top"/>
    </xf>
    <xf numFmtId="15" fontId="7" fillId="2" borderId="0" xfId="0" applyNumberFormat="1" applyFont="1" applyFill="1" applyAlignment="1">
      <alignment horizontal="left" vertical="center"/>
    </xf>
    <xf numFmtId="15" fontId="7" fillId="2" borderId="0" xfId="0" applyNumberFormat="1" applyFont="1" applyFill="1" applyAlignment="1">
      <alignment horizontal="left"/>
    </xf>
    <xf numFmtId="0" fontId="10" fillId="2" borderId="0" xfId="0" applyFont="1" applyFill="1"/>
    <xf numFmtId="4" fontId="0" fillId="2" borderId="0" xfId="0" applyNumberFormat="1" applyFill="1" applyAlignment="1">
      <alignment horizontal="center"/>
    </xf>
    <xf numFmtId="0" fontId="5" fillId="2" borderId="0" xfId="0" applyFont="1" applyFill="1" applyAlignment="1">
      <alignment horizontal="left"/>
    </xf>
    <xf numFmtId="0" fontId="10" fillId="0" borderId="2" xfId="0" applyFont="1" applyBorder="1" applyAlignment="1">
      <alignment horizontal="centerContinuous"/>
    </xf>
    <xf numFmtId="0" fontId="9" fillId="2" borderId="0" xfId="0" applyFont="1" applyFill="1" applyAlignment="1">
      <alignment wrapText="1"/>
    </xf>
    <xf numFmtId="0" fontId="9" fillId="2" borderId="0" xfId="0" applyFont="1" applyFill="1" applyAlignment="1">
      <alignment horizontal="center" wrapText="1"/>
    </xf>
    <xf numFmtId="0" fontId="5" fillId="0" borderId="0" xfId="0" applyFont="1" applyAlignment="1">
      <alignment horizontal="center"/>
    </xf>
    <xf numFmtId="0" fontId="0" fillId="0" borderId="0" xfId="0" applyAlignment="1">
      <alignment horizontal="center"/>
    </xf>
    <xf numFmtId="10" fontId="0" fillId="0" borderId="0" xfId="1" applyNumberFormat="1" applyFont="1" applyAlignment="1">
      <alignment horizontal="center"/>
    </xf>
    <xf numFmtId="0" fontId="12" fillId="2" borderId="0" xfId="0" applyFont="1" applyFill="1"/>
    <xf numFmtId="0" fontId="5" fillId="0" borderId="0" xfId="0" applyFont="1"/>
    <xf numFmtId="0" fontId="13" fillId="2" borderId="0" xfId="0" applyFont="1" applyFill="1"/>
    <xf numFmtId="0" fontId="1" fillId="2" borderId="0" xfId="0" applyFont="1" applyFill="1" applyAlignment="1">
      <alignment horizontal="center" vertical="center"/>
    </xf>
    <xf numFmtId="0" fontId="8" fillId="2" borderId="0" xfId="0" applyFont="1" applyFill="1" applyAlignment="1">
      <alignment horizontal="center" vertical="center"/>
    </xf>
    <xf numFmtId="0" fontId="5" fillId="2"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563880</xdr:colOff>
      <xdr:row>67</xdr:row>
      <xdr:rowOff>129540</xdr:rowOff>
    </xdr:from>
    <xdr:to>
      <xdr:col>15</xdr:col>
      <xdr:colOff>625251</xdr:colOff>
      <xdr:row>73</xdr:row>
      <xdr:rowOff>84</xdr:rowOff>
    </xdr:to>
    <xdr:pic>
      <xdr:nvPicPr>
        <xdr:cNvPr id="3" name="Picture 2">
          <a:extLst>
            <a:ext uri="{FF2B5EF4-FFF2-40B4-BE49-F238E27FC236}">
              <a16:creationId xmlns:a16="http://schemas.microsoft.com/office/drawing/2014/main" id="{4B37D532-4B48-213D-9AC2-0F99C65C13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84720" y="13327380"/>
          <a:ext cx="4740051" cy="9678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121920</xdr:rowOff>
    </xdr:from>
    <xdr:to>
      <xdr:col>3</xdr:col>
      <xdr:colOff>426875</xdr:colOff>
      <xdr:row>6</xdr:row>
      <xdr:rowOff>91486</xdr:rowOff>
    </xdr:to>
    <xdr:pic>
      <xdr:nvPicPr>
        <xdr:cNvPr id="3" name="Picture 2">
          <a:extLst>
            <a:ext uri="{FF2B5EF4-FFF2-40B4-BE49-F238E27FC236}">
              <a16:creationId xmlns:a16="http://schemas.microsoft.com/office/drawing/2014/main" id="{B92FAAD3-0657-01CD-DE8A-206F27530B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70560"/>
          <a:ext cx="1783235" cy="518205"/>
        </a:xfrm>
        <a:prstGeom prst="rect">
          <a:avLst/>
        </a:prstGeom>
      </xdr:spPr>
    </xdr:pic>
    <xdr:clientData/>
  </xdr:twoCellAnchor>
  <xdr:twoCellAnchor editAs="oneCell">
    <xdr:from>
      <xdr:col>9</xdr:col>
      <xdr:colOff>231547</xdr:colOff>
      <xdr:row>31</xdr:row>
      <xdr:rowOff>24716</xdr:rowOff>
    </xdr:from>
    <xdr:to>
      <xdr:col>11</xdr:col>
      <xdr:colOff>286386</xdr:colOff>
      <xdr:row>33</xdr:row>
      <xdr:rowOff>131442</xdr:rowOff>
    </xdr:to>
    <xdr:pic>
      <xdr:nvPicPr>
        <xdr:cNvPr id="7" name="Picture 6">
          <a:extLst>
            <a:ext uri="{FF2B5EF4-FFF2-40B4-BE49-F238E27FC236}">
              <a16:creationId xmlns:a16="http://schemas.microsoft.com/office/drawing/2014/main" id="{F2A4D955-9178-453D-8C5A-0AEBCB0B4B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3076" y="6515163"/>
          <a:ext cx="1785028" cy="5191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320040</xdr:colOff>
      <xdr:row>6</xdr:row>
      <xdr:rowOff>83820</xdr:rowOff>
    </xdr:from>
    <xdr:to>
      <xdr:col>7</xdr:col>
      <xdr:colOff>457370</xdr:colOff>
      <xdr:row>8</xdr:row>
      <xdr:rowOff>7645</xdr:rowOff>
    </xdr:to>
    <xdr:pic>
      <xdr:nvPicPr>
        <xdr:cNvPr id="3" name="Picture 2">
          <a:extLst>
            <a:ext uri="{FF2B5EF4-FFF2-40B4-BE49-F238E27FC236}">
              <a16:creationId xmlns:a16="http://schemas.microsoft.com/office/drawing/2014/main" id="{00B76569-7FAE-1A00-750A-2B5940463F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0" y="1226820"/>
          <a:ext cx="1966130" cy="289585"/>
        </a:xfrm>
        <a:prstGeom prst="rect">
          <a:avLst/>
        </a:prstGeom>
      </xdr:spPr>
    </xdr:pic>
    <xdr:clientData/>
  </xdr:twoCellAnchor>
  <xdr:twoCellAnchor editAs="oneCell">
    <xdr:from>
      <xdr:col>18</xdr:col>
      <xdr:colOff>325420</xdr:colOff>
      <xdr:row>8</xdr:row>
      <xdr:rowOff>169433</xdr:rowOff>
    </xdr:from>
    <xdr:to>
      <xdr:col>18</xdr:col>
      <xdr:colOff>912211</xdr:colOff>
      <xdr:row>10</xdr:row>
      <xdr:rowOff>20636</xdr:rowOff>
    </xdr:to>
    <xdr:pic>
      <xdr:nvPicPr>
        <xdr:cNvPr id="5" name="Picture 4">
          <a:extLst>
            <a:ext uri="{FF2B5EF4-FFF2-40B4-BE49-F238E27FC236}">
              <a16:creationId xmlns:a16="http://schemas.microsoft.com/office/drawing/2014/main" id="{63C19D15-9E27-12B7-9ECF-50737298D2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531302" y="1711362"/>
          <a:ext cx="586791" cy="209792"/>
        </a:xfrm>
        <a:prstGeom prst="rect">
          <a:avLst/>
        </a:prstGeom>
      </xdr:spPr>
    </xdr:pic>
    <xdr:clientData/>
  </xdr:twoCellAnchor>
  <xdr:twoCellAnchor editAs="oneCell">
    <xdr:from>
      <xdr:col>15</xdr:col>
      <xdr:colOff>549537</xdr:colOff>
      <xdr:row>35</xdr:row>
      <xdr:rowOff>74856</xdr:rowOff>
    </xdr:from>
    <xdr:to>
      <xdr:col>19</xdr:col>
      <xdr:colOff>753393</xdr:colOff>
      <xdr:row>39</xdr:row>
      <xdr:rowOff>74920</xdr:rowOff>
    </xdr:to>
    <xdr:pic>
      <xdr:nvPicPr>
        <xdr:cNvPr id="7" name="Picture 6">
          <a:extLst>
            <a:ext uri="{FF2B5EF4-FFF2-40B4-BE49-F238E27FC236}">
              <a16:creationId xmlns:a16="http://schemas.microsoft.com/office/drawing/2014/main" id="{561DFCFC-A2D6-20A3-75BD-A94AFB93D41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78384" y="6663915"/>
          <a:ext cx="4112468" cy="7172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601980</xdr:colOff>
      <xdr:row>4</xdr:row>
      <xdr:rowOff>175260</xdr:rowOff>
    </xdr:from>
    <xdr:to>
      <xdr:col>12</xdr:col>
      <xdr:colOff>518734</xdr:colOff>
      <xdr:row>9</xdr:row>
      <xdr:rowOff>121995</xdr:rowOff>
    </xdr:to>
    <xdr:pic>
      <xdr:nvPicPr>
        <xdr:cNvPr id="3" name="Picture 2">
          <a:extLst>
            <a:ext uri="{FF2B5EF4-FFF2-40B4-BE49-F238E27FC236}">
              <a16:creationId xmlns:a16="http://schemas.microsoft.com/office/drawing/2014/main" id="{ABA3AA05-8BFC-C446-0750-114DF107C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140" y="952500"/>
          <a:ext cx="6622354" cy="8611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129540</xdr:colOff>
      <xdr:row>5</xdr:row>
      <xdr:rowOff>0</xdr:rowOff>
    </xdr:from>
    <xdr:to>
      <xdr:col>11</xdr:col>
      <xdr:colOff>91610</xdr:colOff>
      <xdr:row>6</xdr:row>
      <xdr:rowOff>106705</xdr:rowOff>
    </xdr:to>
    <xdr:pic>
      <xdr:nvPicPr>
        <xdr:cNvPr id="2" name="Picture 1">
          <a:extLst>
            <a:ext uri="{FF2B5EF4-FFF2-40B4-BE49-F238E27FC236}">
              <a16:creationId xmlns:a16="http://schemas.microsoft.com/office/drawing/2014/main" id="{23E01E33-0E6C-4423-9ADB-70A3860558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33900" y="960120"/>
          <a:ext cx="1966130" cy="289585"/>
        </a:xfrm>
        <a:prstGeom prst="rect">
          <a:avLst/>
        </a:prstGeom>
      </xdr:spPr>
    </xdr:pic>
    <xdr:clientData/>
  </xdr:twoCellAnchor>
  <xdr:twoCellAnchor editAs="oneCell">
    <xdr:from>
      <xdr:col>8</xdr:col>
      <xdr:colOff>160020</xdr:colOff>
      <xdr:row>8</xdr:row>
      <xdr:rowOff>137160</xdr:rowOff>
    </xdr:from>
    <xdr:to>
      <xdr:col>11</xdr:col>
      <xdr:colOff>2271117</xdr:colOff>
      <xdr:row>12</xdr:row>
      <xdr:rowOff>137223</xdr:rowOff>
    </xdr:to>
    <xdr:pic>
      <xdr:nvPicPr>
        <xdr:cNvPr id="3" name="Picture 2">
          <a:extLst>
            <a:ext uri="{FF2B5EF4-FFF2-40B4-BE49-F238E27FC236}">
              <a16:creationId xmlns:a16="http://schemas.microsoft.com/office/drawing/2014/main" id="{1A1F1057-2CB7-4278-A756-847C427CA90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77740" y="1645920"/>
          <a:ext cx="4115157" cy="731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AA67"/>
  <sheetViews>
    <sheetView zoomScale="85" zoomScaleNormal="85" workbookViewId="0"/>
  </sheetViews>
  <sheetFormatPr defaultRowHeight="14.4" x14ac:dyDescent="0.3"/>
  <cols>
    <col min="1" max="1" width="2" style="1" customWidth="1"/>
    <col min="2" max="2" width="18.5546875" style="1" bestFit="1" customWidth="1"/>
    <col min="3" max="3" width="13.88671875" style="1" bestFit="1" customWidth="1"/>
    <col min="4" max="4" width="9.77734375" style="1" customWidth="1"/>
    <col min="5" max="5" width="11.33203125" style="1" bestFit="1" customWidth="1"/>
    <col min="6" max="6" width="14.5546875" style="1" bestFit="1" customWidth="1"/>
    <col min="7" max="7" width="11.5546875" style="1" bestFit="1" customWidth="1"/>
    <col min="8" max="8" width="12.109375" style="1" bestFit="1" customWidth="1"/>
    <col min="9" max="9" width="13.88671875" style="1" bestFit="1" customWidth="1"/>
    <col min="10" max="10" width="8.88671875" style="1"/>
    <col min="11" max="11" width="14.109375" style="1" bestFit="1" customWidth="1"/>
    <col min="12" max="12" width="8.88671875" style="1"/>
    <col min="13" max="13" width="11.21875" style="1" bestFit="1" customWidth="1"/>
    <col min="14" max="14" width="14.44140625" style="1" bestFit="1" customWidth="1"/>
    <col min="15" max="15" width="10.6640625" style="1" bestFit="1" customWidth="1"/>
    <col min="16" max="16" width="12" style="1" bestFit="1" customWidth="1"/>
    <col min="17" max="21" width="8.88671875" style="1"/>
    <col min="22" max="22" width="12.6640625" style="1" customWidth="1"/>
    <col min="23" max="23" width="9" style="1" bestFit="1" customWidth="1"/>
    <col min="24" max="24" width="12.77734375" style="1" bestFit="1" customWidth="1"/>
    <col min="25" max="25" width="13.21875" style="1" bestFit="1" customWidth="1"/>
    <col min="26" max="26" width="12.6640625" style="1" bestFit="1" customWidth="1"/>
    <col min="27" max="27" width="11.21875" style="1" bestFit="1" customWidth="1"/>
    <col min="28" max="16384" width="8.88671875" style="1"/>
  </cols>
  <sheetData>
    <row r="3" spans="2:27" ht="18" x14ac:dyDescent="0.35">
      <c r="B3" s="43" t="s">
        <v>138</v>
      </c>
      <c r="C3" s="2" t="s">
        <v>129</v>
      </c>
    </row>
    <row r="4" spans="2:27" x14ac:dyDescent="0.3">
      <c r="C4" s="1" t="s">
        <v>130</v>
      </c>
      <c r="K4" s="1" t="s">
        <v>26</v>
      </c>
    </row>
    <row r="5" spans="2:27" x14ac:dyDescent="0.3">
      <c r="K5" s="1" t="s">
        <v>27</v>
      </c>
    </row>
    <row r="6" spans="2:27" x14ac:dyDescent="0.3">
      <c r="K6" s="1" t="s">
        <v>28</v>
      </c>
      <c r="V6" s="1" t="s">
        <v>25</v>
      </c>
    </row>
    <row r="7" spans="2:27" ht="15.6" x14ac:dyDescent="0.3">
      <c r="C7" s="11"/>
      <c r="D7" s="10" t="s">
        <v>7</v>
      </c>
      <c r="E7" s="10" t="s">
        <v>8</v>
      </c>
      <c r="F7" s="10" t="s">
        <v>10</v>
      </c>
      <c r="G7" s="10" t="s">
        <v>9</v>
      </c>
      <c r="H7" s="10" t="s">
        <v>11</v>
      </c>
    </row>
    <row r="8" spans="2:27" ht="18" x14ac:dyDescent="0.3">
      <c r="C8" s="11"/>
      <c r="D8" s="46" t="s">
        <v>6</v>
      </c>
      <c r="E8" s="47"/>
      <c r="F8" s="47"/>
      <c r="G8" s="47"/>
      <c r="H8" s="47"/>
      <c r="K8" s="46" t="s">
        <v>17</v>
      </c>
      <c r="L8" s="46"/>
      <c r="M8" s="46"/>
      <c r="N8" s="46"/>
      <c r="O8" s="46"/>
      <c r="P8" s="46"/>
      <c r="V8" s="46" t="s">
        <v>18</v>
      </c>
      <c r="W8" s="46"/>
      <c r="X8" s="46"/>
      <c r="Y8" s="46"/>
      <c r="Z8" s="46"/>
      <c r="AA8" s="46"/>
    </row>
    <row r="9" spans="2:27" ht="15.6" x14ac:dyDescent="0.3">
      <c r="C9" s="5" t="s">
        <v>5</v>
      </c>
      <c r="D9" s="12" t="s">
        <v>0</v>
      </c>
      <c r="E9" s="12" t="s">
        <v>1</v>
      </c>
      <c r="F9" s="12" t="s">
        <v>2</v>
      </c>
      <c r="G9" s="12" t="s">
        <v>3</v>
      </c>
      <c r="H9" s="12" t="s">
        <v>4</v>
      </c>
      <c r="K9" s="5" t="s">
        <v>5</v>
      </c>
      <c r="L9" s="12" t="s">
        <v>0</v>
      </c>
      <c r="M9" s="12" t="s">
        <v>1</v>
      </c>
      <c r="N9" s="12" t="s">
        <v>2</v>
      </c>
      <c r="O9" s="12" t="s">
        <v>3</v>
      </c>
      <c r="P9" s="12" t="s">
        <v>4</v>
      </c>
      <c r="V9" s="23" t="s">
        <v>20</v>
      </c>
    </row>
    <row r="10" spans="2:27" ht="16.2" thickBot="1" x14ac:dyDescent="0.35">
      <c r="C10" s="7">
        <v>45698</v>
      </c>
      <c r="D10" s="8">
        <v>168.67</v>
      </c>
      <c r="E10" s="8">
        <v>50.43</v>
      </c>
      <c r="F10" s="8">
        <v>23.7</v>
      </c>
      <c r="G10" s="8">
        <v>139.47999999999999</v>
      </c>
      <c r="H10" s="8">
        <v>25.29</v>
      </c>
      <c r="K10" s="7">
        <v>45698</v>
      </c>
      <c r="L10" s="19">
        <f>IFERROR((D10/D11)-1,0)</f>
        <v>-1.0384886176953878E-2</v>
      </c>
      <c r="M10" s="19">
        <f t="shared" ref="M10:M61" si="0">IFERROR((E10/E11)-1,0)</f>
        <v>1.7144009681323125E-2</v>
      </c>
      <c r="N10" s="19">
        <f t="shared" ref="N10:N61" si="1">IFERROR((F10/F11)-1,0)</f>
        <v>-1.4962593516209433E-2</v>
      </c>
      <c r="O10" s="19">
        <f t="shared" ref="O10:O61" si="2">IFERROR((G10/G11)-1,0)</f>
        <v>-5.0161232533152411E-4</v>
      </c>
      <c r="P10" s="19">
        <f t="shared" ref="P10:P61" si="3">IFERROR((H10/H11)-1,0)</f>
        <v>4.5473336089292937E-2</v>
      </c>
      <c r="Q10" s="18"/>
    </row>
    <row r="11" spans="2:27" ht="15.6" x14ac:dyDescent="0.3">
      <c r="C11" s="7">
        <v>45691</v>
      </c>
      <c r="D11" s="8">
        <v>170.44</v>
      </c>
      <c r="E11" s="8">
        <v>49.58</v>
      </c>
      <c r="F11" s="8">
        <v>24.06</v>
      </c>
      <c r="G11" s="8">
        <v>139.55000000000001</v>
      </c>
      <c r="H11" s="8">
        <v>24.19</v>
      </c>
      <c r="K11" s="7">
        <v>45691</v>
      </c>
      <c r="L11" s="19">
        <f t="shared" ref="L11:L49" si="4">IFERROR((D11/D12)-1,0)</f>
        <v>-2.9882178837725593E-2</v>
      </c>
      <c r="M11" s="19">
        <f t="shared" si="0"/>
        <v>0.10669642857142869</v>
      </c>
      <c r="N11" s="19">
        <f t="shared" si="1"/>
        <v>-1.8760195758564469E-2</v>
      </c>
      <c r="O11" s="19">
        <f t="shared" si="2"/>
        <v>1.4687704500836229E-2</v>
      </c>
      <c r="P11" s="19">
        <f t="shared" si="3"/>
        <v>2.3698688108336974E-2</v>
      </c>
      <c r="Q11" s="18"/>
      <c r="V11" s="22"/>
      <c r="W11" s="22" t="s">
        <v>0</v>
      </c>
      <c r="X11" s="22" t="s">
        <v>1</v>
      </c>
      <c r="Y11" s="22" t="s">
        <v>19</v>
      </c>
      <c r="Z11" s="22" t="s">
        <v>3</v>
      </c>
      <c r="AA11" s="22" t="s">
        <v>4</v>
      </c>
    </row>
    <row r="12" spans="2:27" ht="15.6" x14ac:dyDescent="0.3">
      <c r="C12" s="7">
        <v>45684</v>
      </c>
      <c r="D12" s="8">
        <v>175.69</v>
      </c>
      <c r="E12" s="8">
        <v>44.8</v>
      </c>
      <c r="F12" s="8">
        <v>24.52</v>
      </c>
      <c r="G12" s="8">
        <v>137.53</v>
      </c>
      <c r="H12" s="8">
        <v>23.63</v>
      </c>
      <c r="K12" s="7">
        <v>45684</v>
      </c>
      <c r="L12" s="19">
        <f t="shared" si="4"/>
        <v>6.9348922512608713E-3</v>
      </c>
      <c r="M12" s="19">
        <f t="shared" si="0"/>
        <v>-2.2261021388040203E-2</v>
      </c>
      <c r="N12" s="19">
        <f t="shared" si="1"/>
        <v>-3.235990528808208E-2</v>
      </c>
      <c r="O12" s="19">
        <f t="shared" si="2"/>
        <v>-2.8399858707170655E-2</v>
      </c>
      <c r="P12" s="19">
        <f t="shared" si="3"/>
        <v>2.6498696785403952E-2</v>
      </c>
      <c r="Q12" s="18"/>
      <c r="V12" t="s">
        <v>0</v>
      </c>
      <c r="W12">
        <f>VARP('1-A'!$L$10:$L$61)</f>
        <v>3.0837889436596193E-4</v>
      </c>
      <c r="X12">
        <v>2.6791901164570559E-5</v>
      </c>
      <c r="Y12">
        <v>9.165271527779062E-5</v>
      </c>
      <c r="Z12">
        <v>1.9664218572777335E-4</v>
      </c>
      <c r="AA12">
        <v>2.7250580577500209E-4</v>
      </c>
    </row>
    <row r="13" spans="2:27" ht="15.6" x14ac:dyDescent="0.3">
      <c r="C13" s="7">
        <v>45677</v>
      </c>
      <c r="D13" s="8">
        <v>174.48</v>
      </c>
      <c r="E13" s="8">
        <v>45.82</v>
      </c>
      <c r="F13" s="8">
        <v>25.34</v>
      </c>
      <c r="G13" s="8">
        <v>141.55000000000001</v>
      </c>
      <c r="H13" s="8">
        <v>23.02</v>
      </c>
      <c r="K13" s="7">
        <v>45677</v>
      </c>
      <c r="L13" s="19">
        <f t="shared" si="4"/>
        <v>9.663792604594601E-3</v>
      </c>
      <c r="M13" s="19">
        <f t="shared" si="0"/>
        <v>3.1053105310531182E-2</v>
      </c>
      <c r="N13" s="19">
        <f t="shared" si="1"/>
        <v>-2.0487050637804427E-2</v>
      </c>
      <c r="O13" s="19">
        <f t="shared" si="2"/>
        <v>6.1571921403929863E-2</v>
      </c>
      <c r="P13" s="19">
        <f t="shared" si="3"/>
        <v>4.3459365493259128E-4</v>
      </c>
      <c r="Q13" s="18"/>
      <c r="V13" t="s">
        <v>21</v>
      </c>
      <c r="W13">
        <v>2.6791901164570559E-5</v>
      </c>
      <c r="X13">
        <f>VARP('1-A'!$M$10:$M$61)</f>
        <v>6.1263935134154852E-4</v>
      </c>
      <c r="Y13">
        <v>-4.011364956425367E-6</v>
      </c>
      <c r="Z13">
        <v>1.8216017254561257E-4</v>
      </c>
      <c r="AA13">
        <v>2.8626367393639869E-4</v>
      </c>
    </row>
    <row r="14" spans="2:27" ht="15.6" x14ac:dyDescent="0.3">
      <c r="C14" s="7">
        <v>45670</v>
      </c>
      <c r="D14" s="8">
        <v>172.81</v>
      </c>
      <c r="E14" s="8">
        <v>44.44</v>
      </c>
      <c r="F14" s="8">
        <v>25.87</v>
      </c>
      <c r="G14" s="8">
        <v>133.34</v>
      </c>
      <c r="H14" s="8">
        <v>23.01</v>
      </c>
      <c r="K14" s="7">
        <v>45670</v>
      </c>
      <c r="L14" s="19">
        <f t="shared" si="4"/>
        <v>1.9648336086854012E-2</v>
      </c>
      <c r="M14" s="19">
        <f t="shared" si="0"/>
        <v>3.0134445989800529E-2</v>
      </c>
      <c r="N14" s="19">
        <f t="shared" si="1"/>
        <v>1.7702596380802404E-2</v>
      </c>
      <c r="O14" s="19">
        <f t="shared" si="2"/>
        <v>-2.6786365958689107E-2</v>
      </c>
      <c r="P14" s="19">
        <f t="shared" si="3"/>
        <v>1.9494904740806396E-2</v>
      </c>
      <c r="Q14" s="18"/>
      <c r="V14" t="s">
        <v>2</v>
      </c>
      <c r="W14">
        <v>9.165271527779062E-5</v>
      </c>
      <c r="X14">
        <v>-4.011364956425367E-6</v>
      </c>
      <c r="Y14">
        <f>VARP('1-A'!$N$10:$N$61)</f>
        <v>6.0546708477496444E-4</v>
      </c>
      <c r="Z14">
        <v>-1.67037592727066E-5</v>
      </c>
      <c r="AA14">
        <v>1.0690416871942789E-4</v>
      </c>
    </row>
    <row r="15" spans="2:27" ht="15.6" x14ac:dyDescent="0.3">
      <c r="C15" s="7">
        <v>45663</v>
      </c>
      <c r="D15" s="8">
        <v>169.48</v>
      </c>
      <c r="E15" s="8">
        <v>43.14</v>
      </c>
      <c r="F15" s="8">
        <v>25.42</v>
      </c>
      <c r="G15" s="8">
        <v>137.01</v>
      </c>
      <c r="H15" s="8">
        <v>22.57</v>
      </c>
      <c r="K15" s="7">
        <v>45663</v>
      </c>
      <c r="L15" s="19">
        <f t="shared" si="4"/>
        <v>-1.7222383299507094E-2</v>
      </c>
      <c r="M15" s="19">
        <f t="shared" si="0"/>
        <v>-2.6624548736462139E-2</v>
      </c>
      <c r="N15" s="19">
        <f t="shared" si="1"/>
        <v>2.6655896607431284E-2</v>
      </c>
      <c r="O15" s="19">
        <f t="shared" si="2"/>
        <v>-3.3848106621535923E-2</v>
      </c>
      <c r="P15" s="19">
        <f t="shared" si="3"/>
        <v>-8.7834870443566082E-3</v>
      </c>
      <c r="Q15" s="18"/>
      <c r="V15" t="s">
        <v>3</v>
      </c>
      <c r="W15">
        <v>1.9664218572777335E-4</v>
      </c>
      <c r="X15">
        <v>1.8216017254561257E-4</v>
      </c>
      <c r="Y15">
        <v>-1.67037592727066E-5</v>
      </c>
      <c r="Z15">
        <f>VARP('1-A'!$O$10:$O$61)</f>
        <v>8.570908852323035E-4</v>
      </c>
      <c r="AA15">
        <v>5.1799410125280988E-4</v>
      </c>
    </row>
    <row r="16" spans="2:27" ht="16.2" thickBot="1" x14ac:dyDescent="0.35">
      <c r="C16" s="7">
        <v>45656</v>
      </c>
      <c r="D16" s="8">
        <v>172.45</v>
      </c>
      <c r="E16" s="8">
        <v>44.32</v>
      </c>
      <c r="F16" s="8">
        <v>24.76</v>
      </c>
      <c r="G16" s="8">
        <v>141.81</v>
      </c>
      <c r="H16" s="8">
        <v>22.77</v>
      </c>
      <c r="K16" s="7">
        <v>45656</v>
      </c>
      <c r="L16" s="19">
        <f t="shared" si="4"/>
        <v>-2.5449707906761709E-3</v>
      </c>
      <c r="M16" s="19">
        <f t="shared" si="0"/>
        <v>4.5146726862310693E-4</v>
      </c>
      <c r="N16" s="19">
        <f t="shared" si="1"/>
        <v>1.9349526554137686E-2</v>
      </c>
      <c r="O16" s="19">
        <f t="shared" si="2"/>
        <v>1.2061090493862281E-2</v>
      </c>
      <c r="P16" s="19">
        <f t="shared" si="3"/>
        <v>1.3351134846461887E-2</v>
      </c>
      <c r="Q16" s="18"/>
      <c r="V16" s="21" t="s">
        <v>4</v>
      </c>
      <c r="W16" s="21">
        <v>2.7250580577500209E-4</v>
      </c>
      <c r="X16" s="21">
        <v>2.8626367393639869E-4</v>
      </c>
      <c r="Y16" s="21">
        <v>1.0690416871942789E-4</v>
      </c>
      <c r="Z16" s="21">
        <v>5.1799410125280988E-4</v>
      </c>
      <c r="AA16" s="21">
        <f>VARP('1-A'!$P$10:$P$61)</f>
        <v>1.8268402482771258E-3</v>
      </c>
    </row>
    <row r="17" spans="3:27" ht="15.6" x14ac:dyDescent="0.3">
      <c r="C17" s="7">
        <v>45649</v>
      </c>
      <c r="D17" s="8">
        <v>172.89</v>
      </c>
      <c r="E17" s="8">
        <v>44.3</v>
      </c>
      <c r="F17" s="8">
        <v>24.29</v>
      </c>
      <c r="G17" s="8">
        <v>140.12</v>
      </c>
      <c r="H17" s="8">
        <v>22.47</v>
      </c>
      <c r="K17" s="7">
        <v>45649</v>
      </c>
      <c r="L17" s="19">
        <f t="shared" si="4"/>
        <v>5.5251832034430848E-3</v>
      </c>
      <c r="M17" s="19">
        <f t="shared" si="0"/>
        <v>1.4891179839633395E-2</v>
      </c>
      <c r="N17" s="19">
        <f t="shared" si="1"/>
        <v>1.4619883040935644E-2</v>
      </c>
      <c r="O17" s="19">
        <f t="shared" si="2"/>
        <v>1.2281462216442884E-2</v>
      </c>
      <c r="P17" s="19">
        <f t="shared" si="3"/>
        <v>1.6742081447963741E-2</v>
      </c>
      <c r="Q17" s="18"/>
    </row>
    <row r="18" spans="3:27" ht="15.6" x14ac:dyDescent="0.3">
      <c r="C18" s="7">
        <v>45642</v>
      </c>
      <c r="D18" s="8">
        <v>171.94</v>
      </c>
      <c r="E18" s="8">
        <v>43.65</v>
      </c>
      <c r="F18" s="8">
        <v>23.94</v>
      </c>
      <c r="G18" s="8">
        <v>138.41999999999999</v>
      </c>
      <c r="H18" s="8">
        <v>22.1</v>
      </c>
      <c r="K18" s="7">
        <v>45642</v>
      </c>
      <c r="L18" s="19">
        <f t="shared" si="4"/>
        <v>-2.2068024115572737E-2</v>
      </c>
      <c r="M18" s="19">
        <f t="shared" si="0"/>
        <v>-4.5610034207526073E-3</v>
      </c>
      <c r="N18" s="19">
        <f t="shared" si="1"/>
        <v>-1.3597033374536438E-2</v>
      </c>
      <c r="O18" s="19">
        <f t="shared" si="2"/>
        <v>-2.3492063492063564E-2</v>
      </c>
      <c r="P18" s="19">
        <f t="shared" si="3"/>
        <v>-7.0256625999158495E-2</v>
      </c>
      <c r="Q18" s="18"/>
      <c r="V18" s="23" t="s">
        <v>22</v>
      </c>
    </row>
    <row r="19" spans="3:27" ht="15.6" x14ac:dyDescent="0.3">
      <c r="C19" s="7">
        <v>45635</v>
      </c>
      <c r="D19" s="8">
        <v>175.82</v>
      </c>
      <c r="E19" s="8">
        <v>43.85</v>
      </c>
      <c r="F19" s="8">
        <v>24.27</v>
      </c>
      <c r="G19" s="8">
        <v>141.75</v>
      </c>
      <c r="H19" s="8">
        <v>23.77</v>
      </c>
      <c r="K19" s="7">
        <v>45635</v>
      </c>
      <c r="L19" s="19">
        <f t="shared" si="4"/>
        <v>-5.3742150817447376E-3</v>
      </c>
      <c r="M19" s="19">
        <f t="shared" si="0"/>
        <v>-7.2447362463210485E-3</v>
      </c>
      <c r="N19" s="19">
        <f t="shared" si="1"/>
        <v>-3.5756853396901156E-2</v>
      </c>
      <c r="O19" s="19">
        <f t="shared" si="2"/>
        <v>-1.4089468122577831E-3</v>
      </c>
      <c r="P19" s="19">
        <f t="shared" si="3"/>
        <v>6.3505503810330488E-3</v>
      </c>
      <c r="Q19" s="18"/>
    </row>
    <row r="20" spans="3:27" ht="15.6" x14ac:dyDescent="0.3">
      <c r="C20" s="7">
        <v>45628</v>
      </c>
      <c r="D20" s="8">
        <v>176.77</v>
      </c>
      <c r="E20" s="8">
        <v>44.17</v>
      </c>
      <c r="F20" s="8">
        <v>25.17</v>
      </c>
      <c r="G20" s="8">
        <v>141.94999999999999</v>
      </c>
      <c r="H20" s="8">
        <v>23.62</v>
      </c>
      <c r="K20" s="7">
        <v>45628</v>
      </c>
      <c r="L20" s="19">
        <f t="shared" si="4"/>
        <v>1.1964735516372782E-2</v>
      </c>
      <c r="M20" s="19">
        <f t="shared" si="0"/>
        <v>1.8144704014515511E-3</v>
      </c>
      <c r="N20" s="19">
        <f t="shared" si="1"/>
        <v>8.39793281653749E-2</v>
      </c>
      <c r="O20" s="19">
        <f t="shared" si="2"/>
        <v>-2.60052147660218E-2</v>
      </c>
      <c r="P20" s="19">
        <f t="shared" si="3"/>
        <v>-2.5577557755775526E-2</v>
      </c>
      <c r="Q20" s="18"/>
      <c r="V20" s="1" t="s">
        <v>14</v>
      </c>
    </row>
    <row r="21" spans="3:27" ht="15.6" x14ac:dyDescent="0.3">
      <c r="C21" s="7">
        <v>45621</v>
      </c>
      <c r="D21" s="8">
        <v>174.68</v>
      </c>
      <c r="E21" s="8">
        <v>44.09</v>
      </c>
      <c r="F21" s="8">
        <v>23.22</v>
      </c>
      <c r="G21" s="8">
        <v>145.74</v>
      </c>
      <c r="H21" s="8">
        <v>24.24</v>
      </c>
      <c r="K21" s="7">
        <v>45621</v>
      </c>
      <c r="L21" s="19">
        <f t="shared" si="4"/>
        <v>8.3121680905102746E-3</v>
      </c>
      <c r="M21" s="19">
        <f t="shared" si="0"/>
        <v>9.6175864437828551E-3</v>
      </c>
      <c r="N21" s="19">
        <f t="shared" si="1"/>
        <v>-1.3593882752761299E-2</v>
      </c>
      <c r="O21" s="19">
        <f t="shared" si="2"/>
        <v>2.2694450175366754E-3</v>
      </c>
      <c r="P21" s="19">
        <f t="shared" si="3"/>
        <v>-3.8095238095238182E-2</v>
      </c>
      <c r="Q21" s="18"/>
      <c r="V21" s="1" t="s">
        <v>23</v>
      </c>
      <c r="W21" s="1">
        <f>52/51</f>
        <v>1.0196078431372548</v>
      </c>
      <c r="X21" s="1" t="s">
        <v>29</v>
      </c>
    </row>
    <row r="22" spans="3:27" ht="15.6" x14ac:dyDescent="0.3">
      <c r="C22" s="7">
        <v>45614</v>
      </c>
      <c r="D22" s="8">
        <v>173.24</v>
      </c>
      <c r="E22" s="8">
        <v>43.67</v>
      </c>
      <c r="F22" s="8">
        <v>23.54</v>
      </c>
      <c r="G22" s="8">
        <v>145.41</v>
      </c>
      <c r="H22" s="8">
        <v>25.2</v>
      </c>
      <c r="K22" s="7">
        <v>45614</v>
      </c>
      <c r="L22" s="19">
        <f t="shared" si="4"/>
        <v>2.0920502092050208E-2</v>
      </c>
      <c r="M22" s="19">
        <f t="shared" si="0"/>
        <v>9.4775774387425571E-3</v>
      </c>
      <c r="N22" s="19">
        <f t="shared" si="1"/>
        <v>4.1132242370632399E-2</v>
      </c>
      <c r="O22" s="19">
        <f t="shared" si="2"/>
        <v>-1.7300804217071031E-2</v>
      </c>
      <c r="P22" s="19">
        <f t="shared" si="3"/>
        <v>8.6206896551724199E-2</v>
      </c>
      <c r="Q22" s="18"/>
    </row>
    <row r="23" spans="3:27" ht="15.6" x14ac:dyDescent="0.3">
      <c r="C23" s="7">
        <v>45607</v>
      </c>
      <c r="D23" s="8">
        <v>169.69</v>
      </c>
      <c r="E23" s="8">
        <v>43.26</v>
      </c>
      <c r="F23" s="8">
        <v>22.61</v>
      </c>
      <c r="G23" s="8">
        <v>147.97</v>
      </c>
      <c r="H23" s="8">
        <v>23.2</v>
      </c>
      <c r="K23" s="7">
        <v>45607</v>
      </c>
      <c r="L23" s="19">
        <f t="shared" si="4"/>
        <v>-5.2758074916466891E-3</v>
      </c>
      <c r="M23" s="19">
        <f t="shared" si="0"/>
        <v>-3.156480859637345E-2</v>
      </c>
      <c r="N23" s="19">
        <f t="shared" si="1"/>
        <v>2.1690013556258547E-2</v>
      </c>
      <c r="O23" s="19">
        <f t="shared" si="2"/>
        <v>-1.9416832339297585E-2</v>
      </c>
      <c r="P23" s="19">
        <f t="shared" si="3"/>
        <v>-8.4090011843663603E-2</v>
      </c>
      <c r="Q23" s="18"/>
      <c r="V23" s="23" t="s">
        <v>24</v>
      </c>
    </row>
    <row r="24" spans="3:27" ht="16.2" thickBot="1" x14ac:dyDescent="0.35">
      <c r="C24" s="7">
        <v>45600</v>
      </c>
      <c r="D24" s="8">
        <v>170.59</v>
      </c>
      <c r="E24" s="8">
        <v>44.67</v>
      </c>
      <c r="F24" s="8">
        <v>22.13</v>
      </c>
      <c r="G24" s="8">
        <v>150.9</v>
      </c>
      <c r="H24" s="8">
        <v>25.33</v>
      </c>
      <c r="K24" s="7">
        <v>45600</v>
      </c>
      <c r="L24" s="19">
        <f t="shared" si="4"/>
        <v>1.1263263975339388E-2</v>
      </c>
      <c r="M24" s="19">
        <f t="shared" si="0"/>
        <v>3.4986098239110364E-2</v>
      </c>
      <c r="N24" s="19">
        <f t="shared" si="1"/>
        <v>-1.9494904740806396E-2</v>
      </c>
      <c r="O24" s="19">
        <f t="shared" si="2"/>
        <v>3.0808115308422757E-2</v>
      </c>
      <c r="P24" s="19">
        <f t="shared" si="3"/>
        <v>-3.6882129277566622E-2</v>
      </c>
      <c r="Q24" s="18"/>
    </row>
    <row r="25" spans="3:27" ht="15.6" x14ac:dyDescent="0.3">
      <c r="C25" s="7">
        <v>45593</v>
      </c>
      <c r="D25" s="8">
        <v>168.69</v>
      </c>
      <c r="E25" s="8">
        <v>43.16</v>
      </c>
      <c r="F25" s="8">
        <v>22.57</v>
      </c>
      <c r="G25" s="8">
        <v>146.38999999999999</v>
      </c>
      <c r="H25" s="8">
        <v>26.3</v>
      </c>
      <c r="K25" s="7">
        <v>45593</v>
      </c>
      <c r="L25" s="19">
        <f t="shared" si="4"/>
        <v>7.6458992891703659E-3</v>
      </c>
      <c r="M25" s="19">
        <f t="shared" si="0"/>
        <v>1.5529411764705792E-2</v>
      </c>
      <c r="N25" s="19">
        <f t="shared" si="1"/>
        <v>-2.966466036113502E-2</v>
      </c>
      <c r="O25" s="19">
        <f t="shared" si="2"/>
        <v>3.4046761319488583E-2</v>
      </c>
      <c r="P25" s="19">
        <f t="shared" si="3"/>
        <v>-2.4118738404452666E-2</v>
      </c>
      <c r="Q25" s="18"/>
      <c r="V25" s="22"/>
      <c r="W25" s="22" t="s">
        <v>0</v>
      </c>
      <c r="X25" s="22" t="s">
        <v>1</v>
      </c>
      <c r="Y25" s="22" t="s">
        <v>19</v>
      </c>
      <c r="Z25" s="22" t="s">
        <v>3</v>
      </c>
      <c r="AA25" s="22" t="s">
        <v>4</v>
      </c>
    </row>
    <row r="26" spans="3:27" ht="15.6" x14ac:dyDescent="0.3">
      <c r="C26" s="7">
        <v>45586</v>
      </c>
      <c r="D26" s="8">
        <v>167.41</v>
      </c>
      <c r="E26" s="8">
        <v>42.5</v>
      </c>
      <c r="F26" s="8">
        <v>23.26</v>
      </c>
      <c r="G26" s="8">
        <v>141.57</v>
      </c>
      <c r="H26" s="8">
        <v>26.95</v>
      </c>
      <c r="K26" s="7">
        <v>45586</v>
      </c>
      <c r="L26" s="19">
        <f t="shared" si="4"/>
        <v>-2.2137850467289666E-2</v>
      </c>
      <c r="M26" s="19">
        <f t="shared" si="0"/>
        <v>-1.9155319639972301E-2</v>
      </c>
      <c r="N26" s="19">
        <f t="shared" si="1"/>
        <v>-1.3988978380669703E-2</v>
      </c>
      <c r="O26" s="19">
        <f t="shared" si="2"/>
        <v>-2.1225110619468968E-2</v>
      </c>
      <c r="P26" s="19">
        <f t="shared" si="3"/>
        <v>-5.6372549019607865E-2</v>
      </c>
      <c r="Q26" s="18"/>
      <c r="V26" t="s">
        <v>0</v>
      </c>
      <c r="W26">
        <f t="array" ref="W26:AA30">W21*W12:AA16</f>
        <v>3.1442553935352979E-4</v>
      </c>
      <c r="X26">
        <v>2.7317232559954295E-5</v>
      </c>
      <c r="Y26">
        <v>9.3449827342061023E-5</v>
      </c>
      <c r="Z26">
        <v>2.0049791485969045E-4</v>
      </c>
      <c r="AA26">
        <v>2.7784905686862959E-4</v>
      </c>
    </row>
    <row r="27" spans="3:27" ht="15.6" x14ac:dyDescent="0.3">
      <c r="C27" s="7">
        <v>45579</v>
      </c>
      <c r="D27" s="8">
        <v>171.2</v>
      </c>
      <c r="E27" s="8">
        <v>43.33</v>
      </c>
      <c r="F27" s="8">
        <v>23.59</v>
      </c>
      <c r="G27" s="8">
        <v>144.63999999999999</v>
      </c>
      <c r="H27" s="8">
        <v>28.56</v>
      </c>
      <c r="K27" s="7">
        <v>45579</v>
      </c>
      <c r="L27" s="19">
        <f t="shared" si="4"/>
        <v>2.1723561709238393E-2</v>
      </c>
      <c r="M27" s="19">
        <f t="shared" si="0"/>
        <v>2.897174067917363E-2</v>
      </c>
      <c r="N27" s="19">
        <f t="shared" si="1"/>
        <v>2.2983521248916006E-2</v>
      </c>
      <c r="O27" s="19">
        <f t="shared" si="2"/>
        <v>4.9329535190716367E-3</v>
      </c>
      <c r="P27" s="19">
        <f t="shared" si="3"/>
        <v>5.0772626931567366E-2</v>
      </c>
      <c r="Q27" s="18"/>
      <c r="V27" t="s">
        <v>21</v>
      </c>
      <c r="W27">
        <v>2.7317232559954295E-5</v>
      </c>
      <c r="X27">
        <v>6.246518876423632E-4</v>
      </c>
      <c r="Y27">
        <v>-4.0900191712572363E-6</v>
      </c>
      <c r="Z27">
        <v>1.857319406347422E-4</v>
      </c>
      <c r="AA27">
        <v>2.9187668715083785E-4</v>
      </c>
    </row>
    <row r="28" spans="3:27" ht="15.6" x14ac:dyDescent="0.3">
      <c r="C28" s="7">
        <v>45572</v>
      </c>
      <c r="D28" s="8">
        <v>167.56</v>
      </c>
      <c r="E28" s="8">
        <v>42.11</v>
      </c>
      <c r="F28" s="8">
        <v>23.06</v>
      </c>
      <c r="G28" s="8">
        <v>143.93</v>
      </c>
      <c r="H28" s="8">
        <v>27.18</v>
      </c>
      <c r="K28" s="7">
        <v>45572</v>
      </c>
      <c r="L28" s="19">
        <f t="shared" si="4"/>
        <v>2.5145304374426525E-2</v>
      </c>
      <c r="M28" s="19">
        <f t="shared" si="0"/>
        <v>-6.136417276374706E-3</v>
      </c>
      <c r="N28" s="19">
        <f t="shared" si="1"/>
        <v>2.7629233511586415E-2</v>
      </c>
      <c r="O28" s="19">
        <f t="shared" si="2"/>
        <v>4.4484760522496281E-2</v>
      </c>
      <c r="P28" s="19">
        <f t="shared" si="3"/>
        <v>8.1602373887239565E-3</v>
      </c>
      <c r="Q28" s="18"/>
      <c r="V28" t="s">
        <v>2</v>
      </c>
      <c r="W28">
        <v>9.3449827342061023E-5</v>
      </c>
      <c r="X28">
        <v>-4.0900191712572363E-6</v>
      </c>
      <c r="Y28">
        <v>6.1733898839800292E-4</v>
      </c>
      <c r="Z28">
        <v>-1.7031283964328295E-5</v>
      </c>
      <c r="AA28">
        <v>1.0900032889039706E-4</v>
      </c>
    </row>
    <row r="29" spans="3:27" ht="15.6" x14ac:dyDescent="0.3">
      <c r="C29" s="7">
        <v>45565</v>
      </c>
      <c r="D29" s="8">
        <v>163.44999999999999</v>
      </c>
      <c r="E29" s="8">
        <v>42.37</v>
      </c>
      <c r="F29" s="8">
        <v>22.44</v>
      </c>
      <c r="G29" s="8">
        <v>137.80000000000001</v>
      </c>
      <c r="H29" s="8">
        <v>26.96</v>
      </c>
      <c r="K29" s="7">
        <v>45565</v>
      </c>
      <c r="L29" s="19">
        <f t="shared" si="4"/>
        <v>-9.7540288379983631E-3</v>
      </c>
      <c r="M29" s="19">
        <f t="shared" si="0"/>
        <v>1.0734732824427384E-2</v>
      </c>
      <c r="N29" s="19">
        <f t="shared" si="1"/>
        <v>5.6497175141243083E-2</v>
      </c>
      <c r="O29" s="19">
        <f t="shared" si="2"/>
        <v>8.2680910221704096E-3</v>
      </c>
      <c r="P29" s="19">
        <f t="shared" si="3"/>
        <v>-3.3271719038816538E-3</v>
      </c>
      <c r="Q29" s="18"/>
      <c r="V29" t="s">
        <v>3</v>
      </c>
      <c r="W29">
        <v>2.0049791485969045E-4</v>
      </c>
      <c r="X29">
        <v>1.857319406347422E-4</v>
      </c>
      <c r="Y29">
        <v>-1.7031283964328295E-5</v>
      </c>
      <c r="Z29">
        <v>8.738965888643094E-4</v>
      </c>
      <c r="AA29">
        <v>5.2815084833619829E-4</v>
      </c>
    </row>
    <row r="30" spans="3:27" ht="16.2" thickBot="1" x14ac:dyDescent="0.35">
      <c r="C30" s="7">
        <v>45558</v>
      </c>
      <c r="D30" s="8">
        <v>165.06</v>
      </c>
      <c r="E30" s="8">
        <v>41.92</v>
      </c>
      <c r="F30" s="8">
        <v>21.24</v>
      </c>
      <c r="G30" s="8">
        <v>136.66999999999999</v>
      </c>
      <c r="H30" s="8">
        <v>27.05</v>
      </c>
      <c r="K30" s="7">
        <v>45558</v>
      </c>
      <c r="L30" s="19">
        <f t="shared" si="4"/>
        <v>1.5316479055176302E-2</v>
      </c>
      <c r="M30" s="19">
        <f t="shared" si="0"/>
        <v>-2.6700719758532609E-2</v>
      </c>
      <c r="N30" s="19">
        <f t="shared" si="1"/>
        <v>-2.0746887966805128E-2</v>
      </c>
      <c r="O30" s="19">
        <f t="shared" si="2"/>
        <v>1.0872781065088821E-2</v>
      </c>
      <c r="P30" s="19">
        <f t="shared" si="3"/>
        <v>-9.5203222262906229E-3</v>
      </c>
      <c r="Q30" s="18"/>
      <c r="V30" s="21" t="s">
        <v>4</v>
      </c>
      <c r="W30" s="21">
        <v>2.7784905686862959E-4</v>
      </c>
      <c r="X30" s="21">
        <v>2.9187668715083785E-4</v>
      </c>
      <c r="Y30" s="21">
        <v>1.0900032889039706E-4</v>
      </c>
      <c r="Z30" s="21">
        <v>5.2815084833619829E-4</v>
      </c>
      <c r="AA30" s="21">
        <v>1.8626606453021673E-3</v>
      </c>
    </row>
    <row r="31" spans="3:27" ht="15.6" x14ac:dyDescent="0.3">
      <c r="C31" s="7">
        <v>45551</v>
      </c>
      <c r="D31" s="8">
        <v>162.57</v>
      </c>
      <c r="E31" s="8">
        <v>43.07</v>
      </c>
      <c r="F31" s="8">
        <v>21.69</v>
      </c>
      <c r="G31" s="8">
        <v>135.19999999999999</v>
      </c>
      <c r="H31" s="8">
        <v>27.31</v>
      </c>
      <c r="K31" s="7">
        <v>45551</v>
      </c>
      <c r="L31" s="19">
        <f t="shared" si="4"/>
        <v>-1.6158315177923099E-2</v>
      </c>
      <c r="M31" s="19">
        <f t="shared" si="0"/>
        <v>-1.1021814006888508E-2</v>
      </c>
      <c r="N31" s="19">
        <f t="shared" si="1"/>
        <v>1.118881118881121E-2</v>
      </c>
      <c r="O31" s="19">
        <f t="shared" si="2"/>
        <v>1.4253563390847601E-2</v>
      </c>
      <c r="P31" s="19">
        <f t="shared" si="3"/>
        <v>-2.4294390853876413E-2</v>
      </c>
      <c r="Q31" s="18"/>
    </row>
    <row r="32" spans="3:27" ht="15.6" x14ac:dyDescent="0.3">
      <c r="C32" s="7">
        <v>45544</v>
      </c>
      <c r="D32" s="8">
        <v>165.24</v>
      </c>
      <c r="E32" s="8">
        <v>43.55</v>
      </c>
      <c r="F32" s="8">
        <v>21.45</v>
      </c>
      <c r="G32" s="8">
        <v>133.30000000000001</v>
      </c>
      <c r="H32" s="8">
        <v>27.99</v>
      </c>
      <c r="K32" s="7">
        <v>45544</v>
      </c>
      <c r="L32" s="19">
        <f t="shared" si="4"/>
        <v>2.3982152816508728E-2</v>
      </c>
      <c r="M32" s="19">
        <f t="shared" si="0"/>
        <v>2.7122641509433887E-2</v>
      </c>
      <c r="N32" s="19">
        <f t="shared" si="1"/>
        <v>1.0362694300518172E-2</v>
      </c>
      <c r="O32" s="19">
        <f t="shared" si="2"/>
        <v>4.0593286494925884E-2</v>
      </c>
      <c r="P32" s="19">
        <f t="shared" si="3"/>
        <v>9.764705882352942E-2</v>
      </c>
      <c r="Q32" s="18"/>
    </row>
    <row r="33" spans="3:17" ht="15.6" x14ac:dyDescent="0.3">
      <c r="C33" s="7">
        <v>45537</v>
      </c>
      <c r="D33" s="8">
        <v>161.37</v>
      </c>
      <c r="E33" s="8">
        <v>42.4</v>
      </c>
      <c r="F33" s="8">
        <v>21.23</v>
      </c>
      <c r="G33" s="8">
        <v>128.1</v>
      </c>
      <c r="H33" s="8">
        <v>25.5</v>
      </c>
      <c r="K33" s="7">
        <v>45537</v>
      </c>
      <c r="L33" s="19">
        <f t="shared" si="4"/>
        <v>6.8005989518342691E-3</v>
      </c>
      <c r="M33" s="19">
        <f t="shared" si="0"/>
        <v>-5.395261552897157E-3</v>
      </c>
      <c r="N33" s="19">
        <f t="shared" si="1"/>
        <v>-1.1178388448998544E-2</v>
      </c>
      <c r="O33" s="19">
        <f t="shared" si="2"/>
        <v>-6.0299295774647876E-2</v>
      </c>
      <c r="P33" s="19">
        <f t="shared" si="3"/>
        <v>-4.7441165483750436E-2</v>
      </c>
      <c r="Q33" s="18"/>
    </row>
    <row r="34" spans="3:17" ht="15.6" x14ac:dyDescent="0.3">
      <c r="C34" s="7">
        <v>45530</v>
      </c>
      <c r="D34" s="8">
        <v>160.28</v>
      </c>
      <c r="E34" s="8">
        <v>42.63</v>
      </c>
      <c r="F34" s="8">
        <v>21.47</v>
      </c>
      <c r="G34" s="8">
        <v>136.32</v>
      </c>
      <c r="H34" s="8">
        <v>26.77</v>
      </c>
      <c r="K34" s="7">
        <v>45530</v>
      </c>
      <c r="L34" s="19">
        <f t="shared" si="4"/>
        <v>4.4101361474822465E-2</v>
      </c>
      <c r="M34" s="19">
        <f t="shared" si="0"/>
        <v>1.8151421065201845E-2</v>
      </c>
      <c r="N34" s="19">
        <f t="shared" si="1"/>
        <v>1.321378008494567E-2</v>
      </c>
      <c r="O34" s="19">
        <f t="shared" si="2"/>
        <v>9.7777777777776631E-3</v>
      </c>
      <c r="P34" s="19">
        <f t="shared" si="3"/>
        <v>-1.7975055025678754E-2</v>
      </c>
      <c r="Q34" s="18"/>
    </row>
    <row r="35" spans="3:17" ht="15.6" x14ac:dyDescent="0.3">
      <c r="C35" s="7">
        <v>45523</v>
      </c>
      <c r="D35" s="8">
        <v>153.51</v>
      </c>
      <c r="E35" s="8">
        <v>41.87</v>
      </c>
      <c r="F35" s="8">
        <v>21.19</v>
      </c>
      <c r="G35" s="8">
        <v>135</v>
      </c>
      <c r="H35" s="8">
        <v>27.26</v>
      </c>
      <c r="K35" s="7">
        <v>45523</v>
      </c>
      <c r="L35" s="19">
        <f t="shared" si="4"/>
        <v>1.8849140505741158E-2</v>
      </c>
      <c r="M35" s="19">
        <f t="shared" si="0"/>
        <v>2.3940627244432022E-3</v>
      </c>
      <c r="N35" s="19">
        <f t="shared" si="1"/>
        <v>7.1292775665399155E-3</v>
      </c>
      <c r="O35" s="19">
        <f t="shared" si="2"/>
        <v>-3.3958364092722126E-3</v>
      </c>
      <c r="P35" s="19">
        <f t="shared" si="3"/>
        <v>2.6355421686747205E-2</v>
      </c>
      <c r="Q35" s="18"/>
    </row>
    <row r="36" spans="3:17" ht="15.6" x14ac:dyDescent="0.3">
      <c r="C36" s="7">
        <v>45516</v>
      </c>
      <c r="D36" s="8">
        <v>150.66999999999999</v>
      </c>
      <c r="E36" s="8">
        <v>41.77</v>
      </c>
      <c r="F36" s="8">
        <v>21.04</v>
      </c>
      <c r="G36" s="8">
        <v>135.46</v>
      </c>
      <c r="H36" s="8">
        <v>26.56</v>
      </c>
      <c r="K36" s="7">
        <v>45516</v>
      </c>
      <c r="L36" s="19">
        <f t="shared" si="4"/>
        <v>2.2461997828447267E-2</v>
      </c>
      <c r="M36" s="19">
        <f t="shared" si="0"/>
        <v>1.2851600387972839E-2</v>
      </c>
      <c r="N36" s="19">
        <f t="shared" si="1"/>
        <v>1.4954172696574952E-2</v>
      </c>
      <c r="O36" s="19">
        <f t="shared" si="2"/>
        <v>6.7538813145243903E-2</v>
      </c>
      <c r="P36" s="19">
        <f t="shared" si="3"/>
        <v>0.12925170068027203</v>
      </c>
      <c r="Q36" s="18"/>
    </row>
    <row r="37" spans="3:17" ht="15.6" x14ac:dyDescent="0.3">
      <c r="C37" s="7">
        <v>45509</v>
      </c>
      <c r="D37" s="8">
        <v>147.36000000000001</v>
      </c>
      <c r="E37" s="8">
        <v>41.24</v>
      </c>
      <c r="F37" s="8">
        <v>20.73</v>
      </c>
      <c r="G37" s="8">
        <v>126.89</v>
      </c>
      <c r="H37" s="8">
        <v>23.52</v>
      </c>
      <c r="K37" s="7">
        <v>45509</v>
      </c>
      <c r="L37" s="19">
        <f t="shared" si="4"/>
        <v>5.8703071672356888E-3</v>
      </c>
      <c r="M37" s="19">
        <f t="shared" si="0"/>
        <v>2.3833167825223489E-2</v>
      </c>
      <c r="N37" s="19">
        <f t="shared" si="1"/>
        <v>7.7783179387458379E-3</v>
      </c>
      <c r="O37" s="19">
        <f t="shared" si="2"/>
        <v>-1.9397217928902699E-2</v>
      </c>
      <c r="P37" s="19">
        <f t="shared" si="3"/>
        <v>-3.6855036855036993E-2</v>
      </c>
      <c r="Q37" s="18"/>
    </row>
    <row r="38" spans="3:17" ht="15.6" x14ac:dyDescent="0.3">
      <c r="C38" s="7">
        <v>45502</v>
      </c>
      <c r="D38" s="8">
        <v>146.5</v>
      </c>
      <c r="E38" s="8">
        <v>40.28</v>
      </c>
      <c r="F38" s="8">
        <v>20.57</v>
      </c>
      <c r="G38" s="8">
        <v>129.4</v>
      </c>
      <c r="H38" s="8">
        <v>24.42</v>
      </c>
      <c r="K38" s="7">
        <v>45502</v>
      </c>
      <c r="L38" s="19">
        <f t="shared" si="4"/>
        <v>-1.8030699108519288E-2</v>
      </c>
      <c r="M38" s="19">
        <f t="shared" si="0"/>
        <v>-2.8461167390255615E-2</v>
      </c>
      <c r="N38" s="19">
        <f t="shared" si="1"/>
        <v>-7.7164647824136345E-2</v>
      </c>
      <c r="O38" s="19">
        <f t="shared" si="2"/>
        <v>-1.0249349854673406E-2</v>
      </c>
      <c r="P38" s="19">
        <f t="shared" si="3"/>
        <v>8.6741016109046498E-3</v>
      </c>
      <c r="Q38" s="18"/>
    </row>
    <row r="39" spans="3:17" ht="15.6" x14ac:dyDescent="0.3">
      <c r="C39" s="7">
        <v>45495</v>
      </c>
      <c r="D39" s="8">
        <v>149.19</v>
      </c>
      <c r="E39" s="8">
        <v>41.46</v>
      </c>
      <c r="F39" s="8">
        <v>22.29</v>
      </c>
      <c r="G39" s="8">
        <v>130.74</v>
      </c>
      <c r="H39" s="8">
        <v>24.21</v>
      </c>
      <c r="K39" s="7">
        <v>45495</v>
      </c>
      <c r="L39" s="19">
        <f t="shared" si="4"/>
        <v>3.1603012372243278E-3</v>
      </c>
      <c r="M39" s="19">
        <f t="shared" si="0"/>
        <v>1.4436016638120996E-2</v>
      </c>
      <c r="N39" s="19">
        <f t="shared" si="1"/>
        <v>1.6879562043795593E-2</v>
      </c>
      <c r="O39" s="19">
        <f t="shared" si="2"/>
        <v>3.1235210601041175E-2</v>
      </c>
      <c r="P39" s="19">
        <f t="shared" si="3"/>
        <v>-2.6146419951729616E-2</v>
      </c>
      <c r="Q39" s="18"/>
    </row>
    <row r="40" spans="3:17" ht="15.6" x14ac:dyDescent="0.3">
      <c r="C40" s="7">
        <v>45488</v>
      </c>
      <c r="D40" s="8">
        <v>148.72</v>
      </c>
      <c r="E40" s="8">
        <v>40.869999999999997</v>
      </c>
      <c r="F40" s="8">
        <v>21.92</v>
      </c>
      <c r="G40" s="8">
        <v>126.78</v>
      </c>
      <c r="H40" s="8">
        <v>24.86</v>
      </c>
      <c r="K40" s="7">
        <v>45488</v>
      </c>
      <c r="L40" s="19">
        <f t="shared" si="4"/>
        <v>7.0422535211267512E-3</v>
      </c>
      <c r="M40" s="19">
        <f t="shared" si="0"/>
        <v>2.3284927391086674E-2</v>
      </c>
      <c r="N40" s="19">
        <f t="shared" si="1"/>
        <v>3.2036613272310444E-3</v>
      </c>
      <c r="O40" s="19">
        <f t="shared" si="2"/>
        <v>-1.6446858029480205E-2</v>
      </c>
      <c r="P40" s="19">
        <f t="shared" si="3"/>
        <v>8.0515297906602612E-4</v>
      </c>
      <c r="Q40" s="18"/>
    </row>
    <row r="41" spans="3:17" ht="15.6" x14ac:dyDescent="0.3">
      <c r="C41" s="7">
        <v>45481</v>
      </c>
      <c r="D41" s="8">
        <v>147.68</v>
      </c>
      <c r="E41" s="8">
        <v>39.94</v>
      </c>
      <c r="F41" s="8">
        <v>21.85</v>
      </c>
      <c r="G41" s="8">
        <v>128.9</v>
      </c>
      <c r="H41" s="8">
        <v>24.84</v>
      </c>
      <c r="K41" s="7">
        <v>45481</v>
      </c>
      <c r="L41" s="19">
        <f t="shared" si="4"/>
        <v>2.2714681440443307E-2</v>
      </c>
      <c r="M41" s="19">
        <f t="shared" si="0"/>
        <v>6.0541688794476967E-2</v>
      </c>
      <c r="N41" s="19">
        <f t="shared" si="1"/>
        <v>-1.8273184102329809E-3</v>
      </c>
      <c r="O41" s="19">
        <f t="shared" si="2"/>
        <v>1.6240933459476414E-2</v>
      </c>
      <c r="P41" s="19">
        <f t="shared" si="3"/>
        <v>6.1538461538461542E-2</v>
      </c>
      <c r="Q41" s="18"/>
    </row>
    <row r="42" spans="3:17" ht="15.6" x14ac:dyDescent="0.3">
      <c r="C42" s="7">
        <v>45474</v>
      </c>
      <c r="D42" s="8">
        <v>144.4</v>
      </c>
      <c r="E42" s="8">
        <v>37.659999999999997</v>
      </c>
      <c r="F42" s="8">
        <v>21.89</v>
      </c>
      <c r="G42" s="8">
        <v>126.84</v>
      </c>
      <c r="H42" s="8">
        <v>23.4</v>
      </c>
      <c r="K42" s="7">
        <v>45474</v>
      </c>
      <c r="L42" s="19">
        <f t="shared" si="4"/>
        <v>1.7546332182369229E-2</v>
      </c>
      <c r="M42" s="19">
        <f t="shared" si="0"/>
        <v>1.8621973929233704E-3</v>
      </c>
      <c r="N42" s="19">
        <f t="shared" si="1"/>
        <v>-7.7062556663644033E-3</v>
      </c>
      <c r="O42" s="19">
        <f t="shared" si="2"/>
        <v>1.7569193742478895E-2</v>
      </c>
      <c r="P42" s="19">
        <f t="shared" si="3"/>
        <v>4.231625835189301E-2</v>
      </c>
      <c r="Q42" s="18"/>
    </row>
    <row r="43" spans="3:17" ht="15.6" x14ac:dyDescent="0.3">
      <c r="C43" s="7">
        <v>45467</v>
      </c>
      <c r="D43" s="8">
        <v>141.91</v>
      </c>
      <c r="E43" s="8">
        <v>37.590000000000003</v>
      </c>
      <c r="F43" s="8">
        <v>22.06</v>
      </c>
      <c r="G43" s="8">
        <v>124.65</v>
      </c>
      <c r="H43" s="8">
        <v>22.45</v>
      </c>
      <c r="K43" s="7">
        <v>45467</v>
      </c>
      <c r="L43" s="19">
        <f t="shared" si="4"/>
        <v>2.5509466685937232E-2</v>
      </c>
      <c r="M43" s="19">
        <f t="shared" si="0"/>
        <v>8.5859940971291238E-3</v>
      </c>
      <c r="N43" s="19">
        <f t="shared" si="1"/>
        <v>2.2716736207695876E-2</v>
      </c>
      <c r="O43" s="19">
        <f t="shared" si="2"/>
        <v>7.0285991274843251E-3</v>
      </c>
      <c r="P43" s="19">
        <f t="shared" si="3"/>
        <v>6.2752129090093423E-3</v>
      </c>
      <c r="Q43" s="18"/>
    </row>
    <row r="44" spans="3:17" ht="15.6" x14ac:dyDescent="0.3">
      <c r="C44" s="7">
        <v>45460</v>
      </c>
      <c r="D44" s="8">
        <v>138.38</v>
      </c>
      <c r="E44" s="8">
        <v>37.270000000000003</v>
      </c>
      <c r="F44" s="8">
        <v>21.57</v>
      </c>
      <c r="G44" s="8">
        <v>123.78</v>
      </c>
      <c r="H44" s="8">
        <v>22.31</v>
      </c>
      <c r="K44" s="7">
        <v>45460</v>
      </c>
      <c r="L44" s="19">
        <f t="shared" si="4"/>
        <v>-5.8908045977010826E-3</v>
      </c>
      <c r="M44" s="19">
        <f t="shared" si="0"/>
        <v>1.6362148895554984E-2</v>
      </c>
      <c r="N44" s="19">
        <f t="shared" si="1"/>
        <v>-1.5518028297580977E-2</v>
      </c>
      <c r="O44" s="19">
        <f t="shared" si="2"/>
        <v>1.4563106796117165E-3</v>
      </c>
      <c r="P44" s="19">
        <f t="shared" si="3"/>
        <v>3.0009233610341468E-2</v>
      </c>
      <c r="Q44" s="18"/>
    </row>
    <row r="45" spans="3:17" ht="15.6" x14ac:dyDescent="0.3">
      <c r="C45" s="7">
        <v>45453</v>
      </c>
      <c r="D45" s="8">
        <v>139.19999999999999</v>
      </c>
      <c r="E45" s="8">
        <v>36.67</v>
      </c>
      <c r="F45" s="8">
        <v>21.91</v>
      </c>
      <c r="G45" s="8">
        <v>123.6</v>
      </c>
      <c r="H45" s="8">
        <v>21.66</v>
      </c>
      <c r="K45" s="7">
        <v>45453</v>
      </c>
      <c r="L45" s="19">
        <f t="shared" si="4"/>
        <v>-2.3774458236903162E-2</v>
      </c>
      <c r="M45" s="19">
        <f t="shared" si="0"/>
        <v>3.8324664659183938E-3</v>
      </c>
      <c r="N45" s="19">
        <f t="shared" si="1"/>
        <v>4.5850527281063869E-3</v>
      </c>
      <c r="O45" s="19">
        <f t="shared" si="2"/>
        <v>-2.5697619422985984E-2</v>
      </c>
      <c r="P45" s="19">
        <f t="shared" si="3"/>
        <v>-9.6021947873800029E-3</v>
      </c>
      <c r="Q45" s="18"/>
    </row>
    <row r="46" spans="3:17" ht="15.6" x14ac:dyDescent="0.3">
      <c r="C46" s="7">
        <v>45446</v>
      </c>
      <c r="D46" s="8">
        <v>142.59</v>
      </c>
      <c r="E46" s="8">
        <v>36.53</v>
      </c>
      <c r="F46" s="8">
        <v>21.81</v>
      </c>
      <c r="G46" s="8">
        <v>126.86</v>
      </c>
      <c r="H46" s="8">
        <v>21.87</v>
      </c>
      <c r="K46" s="7">
        <v>45446</v>
      </c>
      <c r="L46" s="19">
        <f t="shared" si="4"/>
        <v>-1.7636927316569073E-2</v>
      </c>
      <c r="M46" s="19">
        <f t="shared" si="0"/>
        <v>1.1631127111603412E-2</v>
      </c>
      <c r="N46" s="19">
        <f t="shared" si="1"/>
        <v>9.2549745488199608E-3</v>
      </c>
      <c r="O46" s="19">
        <f t="shared" si="2"/>
        <v>-1.4603075967065449E-2</v>
      </c>
      <c r="P46" s="19">
        <f t="shared" si="3"/>
        <v>-3.8258575197889111E-2</v>
      </c>
      <c r="Q46" s="18"/>
    </row>
    <row r="47" spans="3:17" ht="15.6" x14ac:dyDescent="0.3">
      <c r="C47" s="7">
        <v>45439</v>
      </c>
      <c r="D47" s="8">
        <v>145.15</v>
      </c>
      <c r="E47" s="8">
        <v>36.11</v>
      </c>
      <c r="F47" s="8">
        <v>21.61</v>
      </c>
      <c r="G47" s="8">
        <v>128.74</v>
      </c>
      <c r="H47" s="8">
        <v>22.74</v>
      </c>
      <c r="K47" s="7">
        <v>45439</v>
      </c>
      <c r="L47" s="19">
        <f t="shared" si="4"/>
        <v>3.5159035800884419E-2</v>
      </c>
      <c r="M47" s="19">
        <f t="shared" si="0"/>
        <v>-1.2308533916849052E-2</v>
      </c>
      <c r="N47" s="19">
        <f t="shared" si="1"/>
        <v>1.2652296157450671E-2</v>
      </c>
      <c r="O47" s="19">
        <f t="shared" si="2"/>
        <v>3.8393289240200135E-2</v>
      </c>
      <c r="P47" s="19">
        <f t="shared" si="3"/>
        <v>-8.7873462214427267E-4</v>
      </c>
      <c r="Q47" s="18"/>
    </row>
    <row r="48" spans="3:17" ht="15.6" x14ac:dyDescent="0.3">
      <c r="C48" s="7">
        <v>45432</v>
      </c>
      <c r="D48" s="8">
        <v>140.22</v>
      </c>
      <c r="E48" s="8">
        <v>36.56</v>
      </c>
      <c r="F48" s="8">
        <v>21.34</v>
      </c>
      <c r="G48" s="8">
        <v>123.98</v>
      </c>
      <c r="H48" s="8">
        <v>22.76</v>
      </c>
      <c r="K48" s="7">
        <v>45432</v>
      </c>
      <c r="L48" s="19">
        <f t="shared" si="4"/>
        <v>-9.7457627118643364E-3</v>
      </c>
      <c r="M48" s="19">
        <f t="shared" si="0"/>
        <v>1.4428412874583962E-2</v>
      </c>
      <c r="N48" s="19">
        <f t="shared" si="1"/>
        <v>-1.3407304669440512E-2</v>
      </c>
      <c r="O48" s="19">
        <f t="shared" si="2"/>
        <v>1.1999020488123513E-2</v>
      </c>
      <c r="P48" s="19">
        <f t="shared" si="3"/>
        <v>-4.3697478991596594E-2</v>
      </c>
      <c r="Q48" s="18"/>
    </row>
    <row r="49" spans="2:17" ht="15.6" x14ac:dyDescent="0.3">
      <c r="C49" s="7">
        <v>45425</v>
      </c>
      <c r="D49" s="8">
        <v>141.6</v>
      </c>
      <c r="E49" s="8">
        <v>36.04</v>
      </c>
      <c r="F49" s="8">
        <v>21.63</v>
      </c>
      <c r="G49" s="8">
        <v>122.51</v>
      </c>
      <c r="H49" s="8">
        <v>23.8</v>
      </c>
      <c r="K49" s="7">
        <v>45425</v>
      </c>
      <c r="L49" s="19">
        <f t="shared" si="4"/>
        <v>3.0192797380865777E-2</v>
      </c>
      <c r="M49" s="19">
        <f t="shared" si="0"/>
        <v>5.86101032654196E-3</v>
      </c>
      <c r="N49" s="19">
        <f t="shared" si="1"/>
        <v>2.7816411682892728E-3</v>
      </c>
      <c r="O49" s="19">
        <f t="shared" si="2"/>
        <v>3.7516937669376693E-2</v>
      </c>
      <c r="P49" s="19">
        <f t="shared" si="3"/>
        <v>5.1701281484754835E-2</v>
      </c>
      <c r="Q49" s="18"/>
    </row>
    <row r="50" spans="2:17" ht="15.6" x14ac:dyDescent="0.3">
      <c r="C50" s="7">
        <v>45418</v>
      </c>
      <c r="D50" s="8">
        <v>137.44999999999999</v>
      </c>
      <c r="E50" s="8">
        <v>35.83</v>
      </c>
      <c r="F50" s="8">
        <v>21.57</v>
      </c>
      <c r="G50" s="8">
        <v>118.08</v>
      </c>
      <c r="H50" s="8">
        <v>22.63</v>
      </c>
      <c r="K50" s="7">
        <v>45418</v>
      </c>
      <c r="L50" s="19">
        <f t="shared" ref="L50:L60" si="5">IFERROR((D50/D51)-1,0)</f>
        <v>1.9507491470108329E-2</v>
      </c>
      <c r="M50" s="19">
        <f t="shared" si="0"/>
        <v>-1.9430760810071224E-2</v>
      </c>
      <c r="N50" s="19">
        <f t="shared" si="1"/>
        <v>2.6653974297953242E-2</v>
      </c>
      <c r="O50" s="19">
        <f t="shared" si="2"/>
        <v>1.391035548686248E-2</v>
      </c>
      <c r="P50" s="19">
        <f t="shared" si="3"/>
        <v>2.7235587834770758E-2</v>
      </c>
      <c r="Q50" s="18"/>
    </row>
    <row r="51" spans="2:17" ht="15.6" x14ac:dyDescent="0.3">
      <c r="C51" s="7">
        <v>45411</v>
      </c>
      <c r="D51" s="8">
        <v>134.82</v>
      </c>
      <c r="E51" s="8">
        <v>36.54</v>
      </c>
      <c r="F51" s="8">
        <v>21.01</v>
      </c>
      <c r="G51" s="8">
        <v>116.46</v>
      </c>
      <c r="H51" s="8">
        <v>22.03</v>
      </c>
      <c r="K51" s="7">
        <v>45411</v>
      </c>
      <c r="L51" s="19">
        <f t="shared" si="5"/>
        <v>4.2127231970317647E-2</v>
      </c>
      <c r="M51" s="19">
        <f t="shared" si="0"/>
        <v>2.267002518891692E-2</v>
      </c>
      <c r="N51" s="19">
        <f t="shared" si="1"/>
        <v>-2.2335970218706258E-2</v>
      </c>
      <c r="O51" s="19">
        <f t="shared" si="2"/>
        <v>9.3603744149766133E-3</v>
      </c>
      <c r="P51" s="19">
        <f t="shared" si="3"/>
        <v>-3.588621444201312E-2</v>
      </c>
      <c r="Q51" s="18"/>
    </row>
    <row r="52" spans="2:17" ht="15.6" x14ac:dyDescent="0.3">
      <c r="C52" s="7">
        <v>45404</v>
      </c>
      <c r="D52" s="8">
        <v>129.37</v>
      </c>
      <c r="E52" s="8">
        <v>35.729999999999997</v>
      </c>
      <c r="F52" s="8">
        <v>21.49</v>
      </c>
      <c r="G52" s="8">
        <v>115.38</v>
      </c>
      <c r="H52" s="8">
        <v>22.85</v>
      </c>
      <c r="K52" s="7">
        <v>45404</v>
      </c>
      <c r="L52" s="19">
        <f t="shared" si="5"/>
        <v>-3.1591924795808524E-3</v>
      </c>
      <c r="M52" s="19">
        <f t="shared" si="0"/>
        <v>7.8984485190407572E-3</v>
      </c>
      <c r="N52" s="19">
        <f t="shared" si="1"/>
        <v>-2.7842227378190865E-3</v>
      </c>
      <c r="O52" s="19">
        <f t="shared" si="2"/>
        <v>2.5782361308676949E-2</v>
      </c>
      <c r="P52" s="19">
        <f t="shared" si="3"/>
        <v>-7.3848827106862691E-3</v>
      </c>
      <c r="Q52" s="18"/>
    </row>
    <row r="53" spans="2:17" ht="15.6" x14ac:dyDescent="0.3">
      <c r="C53" s="7">
        <v>45397</v>
      </c>
      <c r="D53" s="8">
        <v>129.78</v>
      </c>
      <c r="E53" s="8">
        <v>35.450000000000003</v>
      </c>
      <c r="F53" s="8">
        <v>21.55</v>
      </c>
      <c r="G53" s="8">
        <v>112.48</v>
      </c>
      <c r="H53" s="8">
        <v>23.02</v>
      </c>
      <c r="K53" s="7">
        <v>45397</v>
      </c>
      <c r="L53" s="19">
        <f t="shared" si="5"/>
        <v>-8.0256821829856051E-3</v>
      </c>
      <c r="M53" s="19">
        <f t="shared" si="0"/>
        <v>-2.8200789622101485E-4</v>
      </c>
      <c r="N53" s="19">
        <f t="shared" si="1"/>
        <v>-9.1954022988505191E-3</v>
      </c>
      <c r="O53" s="19">
        <f t="shared" si="2"/>
        <v>6.7126107580774974E-3</v>
      </c>
      <c r="P53" s="19">
        <f t="shared" si="3"/>
        <v>-4.4416770444167697E-2</v>
      </c>
      <c r="Q53" s="18"/>
    </row>
    <row r="54" spans="2:17" ht="15.6" x14ac:dyDescent="0.3">
      <c r="C54" s="7">
        <v>45390</v>
      </c>
      <c r="D54" s="8">
        <v>130.83000000000001</v>
      </c>
      <c r="E54" s="8">
        <v>35.46</v>
      </c>
      <c r="F54" s="8">
        <v>21.75</v>
      </c>
      <c r="G54" s="8">
        <v>111.73</v>
      </c>
      <c r="H54" s="8">
        <v>24.09</v>
      </c>
      <c r="K54" s="7">
        <v>45390</v>
      </c>
      <c r="L54" s="19">
        <f t="shared" si="5"/>
        <v>-2.4821109123434604E-2</v>
      </c>
      <c r="M54" s="19">
        <f t="shared" si="0"/>
        <v>-6.444382179882191E-3</v>
      </c>
      <c r="N54" s="19">
        <f t="shared" si="1"/>
        <v>9.203865623561569E-4</v>
      </c>
      <c r="O54" s="19">
        <f t="shared" si="2"/>
        <v>-2.1371638784269065E-2</v>
      </c>
      <c r="P54" s="19">
        <f t="shared" si="3"/>
        <v>1.5598650927487467E-2</v>
      </c>
      <c r="Q54" s="18"/>
    </row>
    <row r="55" spans="2:17" ht="15.6" x14ac:dyDescent="0.3">
      <c r="C55" s="7">
        <v>45383</v>
      </c>
      <c r="D55" s="8">
        <v>134.16</v>
      </c>
      <c r="E55" s="8">
        <v>35.69</v>
      </c>
      <c r="F55" s="8">
        <v>21.73</v>
      </c>
      <c r="G55" s="8">
        <v>114.17</v>
      </c>
      <c r="H55" s="8">
        <v>23.72</v>
      </c>
      <c r="K55" s="7">
        <v>45383</v>
      </c>
      <c r="L55" s="19">
        <f t="shared" si="5"/>
        <v>1.8214936247723079E-2</v>
      </c>
      <c r="M55" s="19">
        <f t="shared" si="0"/>
        <v>1.7098888572242732E-2</v>
      </c>
      <c r="N55" s="19">
        <f t="shared" si="1"/>
        <v>1.1167985109353351E-2</v>
      </c>
      <c r="O55" s="19">
        <f t="shared" si="2"/>
        <v>0.10952380952380958</v>
      </c>
      <c r="P55" s="19">
        <f t="shared" si="3"/>
        <v>7.622504537205077E-2</v>
      </c>
      <c r="Q55" s="18"/>
    </row>
    <row r="56" spans="2:17" ht="15.6" x14ac:dyDescent="0.3">
      <c r="C56" s="7">
        <v>45376</v>
      </c>
      <c r="D56" s="8">
        <v>131.76</v>
      </c>
      <c r="E56" s="8">
        <v>35.090000000000003</v>
      </c>
      <c r="F56" s="8">
        <v>21.49</v>
      </c>
      <c r="G56" s="8">
        <v>102.9</v>
      </c>
      <c r="H56" s="8">
        <v>22.04</v>
      </c>
      <c r="K56" s="7">
        <v>45376</v>
      </c>
      <c r="L56" s="19">
        <f t="shared" si="5"/>
        <v>1.0042161747796152E-2</v>
      </c>
      <c r="M56" s="19">
        <f t="shared" si="0"/>
        <v>5.6927710843373447E-2</v>
      </c>
      <c r="N56" s="19">
        <f t="shared" si="1"/>
        <v>-7.8485687903970813E-3</v>
      </c>
      <c r="O56" s="19">
        <f t="shared" si="2"/>
        <v>1.850935365732953E-2</v>
      </c>
      <c r="P56" s="19">
        <f t="shared" si="3"/>
        <v>6.6795740561471417E-2</v>
      </c>
      <c r="Q56" s="18"/>
    </row>
    <row r="57" spans="2:17" ht="15.6" x14ac:dyDescent="0.3">
      <c r="C57" s="7">
        <v>45369</v>
      </c>
      <c r="D57" s="8">
        <v>130.44999999999999</v>
      </c>
      <c r="E57" s="8">
        <v>33.200000000000003</v>
      </c>
      <c r="F57" s="8">
        <v>21.66</v>
      </c>
      <c r="G57" s="8">
        <v>101.03</v>
      </c>
      <c r="H57" s="8">
        <v>20.66</v>
      </c>
      <c r="K57" s="7">
        <v>45369</v>
      </c>
      <c r="L57" s="19">
        <f t="shared" si="5"/>
        <v>4.698089956869822E-3</v>
      </c>
      <c r="M57" s="19">
        <f>IFERROR((E57/E58)-1,0)</f>
        <v>3.0211480362538623E-3</v>
      </c>
      <c r="N57" s="19">
        <f t="shared" si="1"/>
        <v>1.8814675446848561E-2</v>
      </c>
      <c r="O57" s="19">
        <f t="shared" si="2"/>
        <v>-3.7992763283184128E-2</v>
      </c>
      <c r="P57" s="19">
        <f t="shared" si="3"/>
        <v>-1.1010052656773572E-2</v>
      </c>
      <c r="Q57" s="18"/>
    </row>
    <row r="58" spans="2:17" ht="15.6" x14ac:dyDescent="0.3">
      <c r="C58" s="7">
        <v>45362</v>
      </c>
      <c r="D58" s="8">
        <v>129.84</v>
      </c>
      <c r="E58" s="8">
        <v>33.1</v>
      </c>
      <c r="F58" s="8">
        <v>21.26</v>
      </c>
      <c r="G58" s="8">
        <v>105.02</v>
      </c>
      <c r="H58" s="8">
        <v>20.89</v>
      </c>
      <c r="K58" s="7">
        <v>45362</v>
      </c>
      <c r="L58" s="19">
        <f t="shared" si="5"/>
        <v>4.8757836080799422E-3</v>
      </c>
      <c r="M58" s="19">
        <f t="shared" si="0"/>
        <v>-2.1289178001182685E-2</v>
      </c>
      <c r="N58" s="19">
        <f t="shared" si="1"/>
        <v>1.9175455417066223E-2</v>
      </c>
      <c r="O58" s="19">
        <f t="shared" si="2"/>
        <v>2.5585937499999822E-2</v>
      </c>
      <c r="P58" s="19">
        <f t="shared" si="3"/>
        <v>3.3621517771373899E-3</v>
      </c>
      <c r="Q58" s="18"/>
    </row>
    <row r="59" spans="2:17" ht="15.6" x14ac:dyDescent="0.3">
      <c r="C59" s="9">
        <v>45355</v>
      </c>
      <c r="D59" s="8">
        <v>129.21</v>
      </c>
      <c r="E59" s="8">
        <v>33.82</v>
      </c>
      <c r="F59" s="8">
        <v>20.86</v>
      </c>
      <c r="G59" s="8">
        <v>102.4</v>
      </c>
      <c r="H59" s="8">
        <v>20.82</v>
      </c>
      <c r="K59" s="9">
        <v>45355</v>
      </c>
      <c r="L59" s="19">
        <f t="shared" si="5"/>
        <v>1.5402750491159134E-2</v>
      </c>
      <c r="M59" s="19">
        <f t="shared" si="0"/>
        <v>-2.844010341855796E-2</v>
      </c>
      <c r="N59" s="19">
        <f t="shared" si="1"/>
        <v>-7.1394574012375589E-3</v>
      </c>
      <c r="O59" s="19">
        <f t="shared" si="2"/>
        <v>-1.5005771450557814E-2</v>
      </c>
      <c r="P59" s="19">
        <f t="shared" si="3"/>
        <v>5.7389537836465054E-2</v>
      </c>
      <c r="Q59" s="18"/>
    </row>
    <row r="60" spans="2:17" ht="15.6" x14ac:dyDescent="0.3">
      <c r="C60" s="7">
        <v>45348</v>
      </c>
      <c r="D60" s="8">
        <v>127.25</v>
      </c>
      <c r="E60" s="8">
        <v>34.81</v>
      </c>
      <c r="F60" s="8">
        <v>21.01</v>
      </c>
      <c r="G60" s="8">
        <v>103.96</v>
      </c>
      <c r="H60" s="8">
        <v>19.690000000000001</v>
      </c>
      <c r="K60" s="7">
        <v>45348</v>
      </c>
      <c r="L60" s="19">
        <f t="shared" si="5"/>
        <v>-9.5734744707346442E-3</v>
      </c>
      <c r="M60" s="19">
        <f t="shared" si="0"/>
        <v>4.1903621670158708E-2</v>
      </c>
      <c r="N60" s="19">
        <f t="shared" si="1"/>
        <v>2.0398251578436222E-2</v>
      </c>
      <c r="O60" s="19">
        <f t="shared" si="2"/>
        <v>-1.3568649777018771E-2</v>
      </c>
      <c r="P60" s="19">
        <f t="shared" si="3"/>
        <v>1.8623900672529947E-2</v>
      </c>
      <c r="Q60" s="18"/>
    </row>
    <row r="61" spans="2:17" ht="15.6" x14ac:dyDescent="0.3">
      <c r="C61" s="7">
        <v>45341</v>
      </c>
      <c r="D61" s="8">
        <v>128.47999999999999</v>
      </c>
      <c r="E61" s="8">
        <v>33.409999999999997</v>
      </c>
      <c r="F61" s="8">
        <v>20.59</v>
      </c>
      <c r="G61" s="8">
        <v>105.39</v>
      </c>
      <c r="H61" s="8">
        <v>19.329999999999998</v>
      </c>
      <c r="K61" s="7">
        <v>45341</v>
      </c>
      <c r="L61" s="19">
        <f>IFERROR((D61/D62)-1,0)</f>
        <v>0</v>
      </c>
      <c r="M61" s="19">
        <f t="shared" si="0"/>
        <v>0</v>
      </c>
      <c r="N61" s="19">
        <f t="shared" si="1"/>
        <v>0</v>
      </c>
      <c r="O61" s="19">
        <f t="shared" si="2"/>
        <v>0</v>
      </c>
      <c r="P61" s="19">
        <f t="shared" si="3"/>
        <v>0</v>
      </c>
      <c r="Q61" s="18"/>
    </row>
    <row r="62" spans="2:17" ht="15.6" x14ac:dyDescent="0.3">
      <c r="F62" s="4"/>
    </row>
    <row r="63" spans="2:17" ht="15.6" x14ac:dyDescent="0.3">
      <c r="B63" s="1" t="s">
        <v>15</v>
      </c>
      <c r="C63" s="10">
        <f>COUNT(C10:C61)</f>
        <v>52</v>
      </c>
      <c r="E63" s="3"/>
      <c r="F63" s="4"/>
      <c r="G63" s="3"/>
      <c r="K63" s="14" t="s">
        <v>16</v>
      </c>
      <c r="L63" s="20">
        <f>SUM(L10:L61)</f>
        <v>0.28086222022860086</v>
      </c>
      <c r="M63" s="20">
        <f t="shared" ref="M63:P63" si="6">SUM(M10:M61)</f>
        <v>0.42887919654730122</v>
      </c>
      <c r="N63" s="20">
        <f t="shared" si="6"/>
        <v>0.15655261200881687</v>
      </c>
      <c r="O63" s="20">
        <f t="shared" si="6"/>
        <v>0.30285983231470126</v>
      </c>
      <c r="P63" s="20">
        <f t="shared" si="6"/>
        <v>0.31611744199042469</v>
      </c>
    </row>
    <row r="64" spans="2:17" x14ac:dyDescent="0.3">
      <c r="D64" s="16"/>
      <c r="E64" s="16"/>
      <c r="F64" s="16"/>
      <c r="G64" s="16"/>
      <c r="H64" s="16"/>
      <c r="K64" s="14" t="s">
        <v>12</v>
      </c>
      <c r="L64" s="18">
        <f>L63/$C$63</f>
        <v>5.4011965428577089E-3</v>
      </c>
      <c r="M64" s="18">
        <f>M63/$C$63</f>
        <v>8.2476768566788691E-3</v>
      </c>
      <c r="N64" s="18">
        <f>N63/$C$63</f>
        <v>3.0106271540157091E-3</v>
      </c>
      <c r="O64" s="18">
        <f t="shared" ref="O64:P64" si="7">O63/$C$63</f>
        <v>5.8242275445134859E-3</v>
      </c>
      <c r="P64" s="18">
        <f t="shared" si="7"/>
        <v>6.0791815767389365E-3</v>
      </c>
    </row>
    <row r="65" spans="4:11" x14ac:dyDescent="0.3">
      <c r="D65" s="16"/>
      <c r="E65" s="16"/>
      <c r="F65" s="16"/>
      <c r="G65" s="16"/>
      <c r="H65" s="16"/>
    </row>
    <row r="67" spans="4:11" x14ac:dyDescent="0.3">
      <c r="K67" s="1" t="s">
        <v>13</v>
      </c>
    </row>
  </sheetData>
  <mergeCells count="3">
    <mergeCell ref="K8:P8"/>
    <mergeCell ref="V8:AA8"/>
    <mergeCell ref="D8:H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1086-F9E5-4E4F-B5B8-7B6DE4F465F5}">
  <dimension ref="B2:V42"/>
  <sheetViews>
    <sheetView zoomScale="85" zoomScaleNormal="85" workbookViewId="0"/>
  </sheetViews>
  <sheetFormatPr defaultRowHeight="14.4" x14ac:dyDescent="0.3"/>
  <cols>
    <col min="1" max="1" width="2" style="1" customWidth="1"/>
    <col min="2" max="3" width="8.88671875" style="1"/>
    <col min="4" max="4" width="8.88671875" style="1" customWidth="1"/>
    <col min="5" max="5" width="11.77734375" style="1" customWidth="1"/>
    <col min="6" max="6" width="8.88671875" style="1"/>
    <col min="7" max="7" width="11.88671875" style="1" bestFit="1" customWidth="1"/>
    <col min="8" max="8" width="14.44140625" style="1" bestFit="1" customWidth="1"/>
    <col min="9" max="9" width="11.21875" style="1" customWidth="1"/>
    <col min="10" max="10" width="14.44140625" style="1" customWidth="1"/>
    <col min="11" max="11" width="10.6640625" style="1" bestFit="1" customWidth="1"/>
    <col min="12" max="12" width="12" style="1" bestFit="1" customWidth="1"/>
    <col min="13" max="13" width="8.88671875" style="1"/>
    <col min="14" max="14" width="14.44140625" style="1" customWidth="1"/>
    <col min="15" max="16" width="12.6640625" style="1" bestFit="1" customWidth="1"/>
    <col min="17" max="17" width="13.109375" style="1" bestFit="1" customWidth="1"/>
    <col min="18" max="18" width="14.77734375" style="1" bestFit="1" customWidth="1"/>
    <col min="19" max="19" width="12.6640625" style="1" bestFit="1" customWidth="1"/>
    <col min="20" max="20" width="8.88671875" style="1"/>
    <col min="21" max="21" width="11.44140625" style="1" bestFit="1" customWidth="1"/>
    <col min="22" max="22" width="69.88671875" style="1" customWidth="1"/>
    <col min="23" max="16384" width="8.88671875" style="1"/>
  </cols>
  <sheetData>
    <row r="2" spans="2:10" ht="18" x14ac:dyDescent="0.35">
      <c r="B2" s="43" t="s">
        <v>137</v>
      </c>
    </row>
    <row r="3" spans="2:10" x14ac:dyDescent="0.3">
      <c r="B3" s="1" t="s">
        <v>131</v>
      </c>
    </row>
    <row r="5" spans="2:10" x14ac:dyDescent="0.3">
      <c r="E5" s="1" t="s">
        <v>30</v>
      </c>
    </row>
    <row r="6" spans="2:10" x14ac:dyDescent="0.3">
      <c r="E6" s="1" t="s">
        <v>31</v>
      </c>
    </row>
    <row r="7" spans="2:10" x14ac:dyDescent="0.3">
      <c r="E7" s="25">
        <f>0.028/52</f>
        <v>5.3846153846153844E-4</v>
      </c>
    </row>
    <row r="8" spans="2:10" x14ac:dyDescent="0.3">
      <c r="E8" s="1" t="s">
        <v>33</v>
      </c>
    </row>
    <row r="10" spans="2:10" ht="18" x14ac:dyDescent="0.3">
      <c r="E10" s="46" t="s">
        <v>35</v>
      </c>
      <c r="F10" s="46"/>
      <c r="G10" s="46"/>
      <c r="H10" s="46"/>
      <c r="I10" s="46"/>
      <c r="J10" s="46"/>
    </row>
    <row r="12" spans="2:10" ht="15.6" x14ac:dyDescent="0.3">
      <c r="F12" s="12" t="s">
        <v>0</v>
      </c>
      <c r="G12" s="12" t="s">
        <v>1</v>
      </c>
      <c r="H12" s="12" t="s">
        <v>2</v>
      </c>
      <c r="I12" s="12" t="s">
        <v>3</v>
      </c>
      <c r="J12" s="12" t="s">
        <v>4</v>
      </c>
    </row>
    <row r="13" spans="2:10" x14ac:dyDescent="0.3">
      <c r="E13" s="1" t="s">
        <v>32</v>
      </c>
      <c r="F13" s="20">
        <f>'1-A'!L64-'1-B'!$E$7</f>
        <v>4.8627350043961709E-3</v>
      </c>
      <c r="G13" s="20">
        <f>'1-A'!M64-'1-B'!$E$7</f>
        <v>7.7092153182173311E-3</v>
      </c>
      <c r="H13" s="20">
        <f>'1-A'!N64-'1-B'!$E$7</f>
        <v>2.4721656155541707E-3</v>
      </c>
      <c r="I13" s="20">
        <f>'1-A'!O64-'1-B'!$E$7</f>
        <v>5.2857660060519479E-3</v>
      </c>
      <c r="J13" s="20">
        <f>'1-A'!P64-'1-B'!$E$7</f>
        <v>5.5407200382773976E-3</v>
      </c>
    </row>
    <row r="14" spans="2:10" x14ac:dyDescent="0.3">
      <c r="F14" s="18"/>
      <c r="G14" s="18"/>
      <c r="H14" s="18"/>
      <c r="I14" s="18"/>
      <c r="J14" s="18"/>
    </row>
    <row r="17" spans="5:22" ht="18" x14ac:dyDescent="0.3">
      <c r="E17" s="46" t="s">
        <v>34</v>
      </c>
      <c r="F17" s="46"/>
      <c r="G17" s="46"/>
      <c r="H17" s="46"/>
      <c r="I17" s="46"/>
      <c r="J17" s="46"/>
    </row>
    <row r="19" spans="5:22" ht="15" thickBot="1" x14ac:dyDescent="0.35"/>
    <row r="20" spans="5:22" x14ac:dyDescent="0.3">
      <c r="E20" s="22"/>
      <c r="F20" s="22" t="s">
        <v>0</v>
      </c>
      <c r="G20" s="22" t="s">
        <v>1</v>
      </c>
      <c r="H20" s="22" t="s">
        <v>19</v>
      </c>
      <c r="I20" s="22" t="s">
        <v>3</v>
      </c>
      <c r="J20" s="22" t="s">
        <v>4</v>
      </c>
    </row>
    <row r="21" spans="5:22" x14ac:dyDescent="0.3">
      <c r="E21" t="s">
        <v>0</v>
      </c>
      <c r="F21" cm="1">
        <f t="array" ref="F21:J25">MINVERSE('1-A'!W26:AA30)</f>
        <v>4187.5474685279605</v>
      </c>
      <c r="G21">
        <v>234.02326657811969</v>
      </c>
      <c r="H21">
        <v>-581.81709617586432</v>
      </c>
      <c r="I21">
        <v>-775.64323908345136</v>
      </c>
      <c r="J21">
        <v>-407.34052272827108</v>
      </c>
    </row>
    <row r="22" spans="5:22" x14ac:dyDescent="0.3">
      <c r="E22" t="s">
        <v>21</v>
      </c>
      <c r="F22">
        <v>234.0232665781196</v>
      </c>
      <c r="G22">
        <v>1786.3360357178071</v>
      </c>
      <c r="H22">
        <v>9.3623043247582789</v>
      </c>
      <c r="I22">
        <v>-292.72836603462321</v>
      </c>
      <c r="J22">
        <v>-232.3712312473435</v>
      </c>
    </row>
    <row r="23" spans="5:22" x14ac:dyDescent="0.3">
      <c r="E23" t="s">
        <v>2</v>
      </c>
      <c r="F23">
        <v>-581.81709617586444</v>
      </c>
      <c r="G23">
        <v>9.3623043247582949</v>
      </c>
      <c r="H23">
        <v>1727.1398924142341</v>
      </c>
      <c r="I23">
        <v>210.79758425888659</v>
      </c>
      <c r="J23">
        <v>-75.519417103220604</v>
      </c>
      <c r="U23" s="26" t="s">
        <v>132</v>
      </c>
      <c r="V23" s="26"/>
    </row>
    <row r="24" spans="5:22" x14ac:dyDescent="0.3">
      <c r="E24" t="s">
        <v>3</v>
      </c>
      <c r="F24">
        <v>-775.64323908345136</v>
      </c>
      <c r="G24">
        <v>-292.72836603462321</v>
      </c>
      <c r="H24">
        <v>210.79758425888659</v>
      </c>
      <c r="I24">
        <v>1566.8974026273841</v>
      </c>
      <c r="J24">
        <v>-295.0526021441085</v>
      </c>
      <c r="U24" s="26" t="s">
        <v>133</v>
      </c>
      <c r="V24" s="26"/>
    </row>
    <row r="25" spans="5:22" ht="15" thickBot="1" x14ac:dyDescent="0.35">
      <c r="E25" s="21" t="s">
        <v>4</v>
      </c>
      <c r="F25" s="21">
        <v>-407.3405227282712</v>
      </c>
      <c r="G25" s="21">
        <v>-232.37123124734353</v>
      </c>
      <c r="H25" s="21">
        <v>-75.519417103220604</v>
      </c>
      <c r="I25" s="21">
        <v>-295.0526021441085</v>
      </c>
      <c r="J25" s="21">
        <v>722.12125813177045</v>
      </c>
      <c r="U25" s="26" t="s">
        <v>134</v>
      </c>
      <c r="V25" s="26"/>
    </row>
    <row r="28" spans="5:22" ht="43.2" x14ac:dyDescent="0.3">
      <c r="U28" s="31" t="s">
        <v>42</v>
      </c>
      <c r="V28" s="24" t="s">
        <v>43</v>
      </c>
    </row>
    <row r="30" spans="5:22" ht="43.2" x14ac:dyDescent="0.3">
      <c r="U30" s="31" t="s">
        <v>44</v>
      </c>
      <c r="V30" s="24" t="s">
        <v>135</v>
      </c>
    </row>
    <row r="33" spans="3:15" ht="18" x14ac:dyDescent="0.3">
      <c r="D33" s="46" t="s">
        <v>149</v>
      </c>
      <c r="E33" s="46"/>
      <c r="F33" s="46"/>
      <c r="G33" s="46"/>
      <c r="H33" s="46"/>
      <c r="I33" s="46"/>
      <c r="J33" s="46"/>
      <c r="K33" s="17"/>
      <c r="L33" s="17"/>
      <c r="M33" s="17"/>
      <c r="N33" s="17"/>
      <c r="O33" s="17"/>
    </row>
    <row r="34" spans="3:15" x14ac:dyDescent="0.3">
      <c r="O34" s="1" t="s">
        <v>136</v>
      </c>
    </row>
    <row r="35" spans="3:15" x14ac:dyDescent="0.3">
      <c r="C35" s="26" t="s">
        <v>41</v>
      </c>
      <c r="D35" s="6" t="s">
        <v>36</v>
      </c>
      <c r="E35" s="10"/>
      <c r="F35" s="48" t="s">
        <v>37</v>
      </c>
      <c r="G35" s="48"/>
      <c r="H35" s="48"/>
      <c r="I35" s="48"/>
      <c r="J35" s="10"/>
      <c r="K35" s="48" t="s">
        <v>38</v>
      </c>
      <c r="L35" s="48"/>
      <c r="M35" s="48"/>
      <c r="N35" s="48"/>
      <c r="O35" s="6" t="s">
        <v>39</v>
      </c>
    </row>
    <row r="36" spans="3:15" x14ac:dyDescent="0.3">
      <c r="C36" s="1" t="s">
        <v>0</v>
      </c>
      <c r="D36" s="10">
        <v>4.8627350043961709E-3</v>
      </c>
      <c r="E36" s="10"/>
      <c r="F36" s="10">
        <v>4187.5474685279605</v>
      </c>
      <c r="G36" s="10">
        <v>234.02326657812</v>
      </c>
      <c r="H36" s="10">
        <v>-581.81709617586432</v>
      </c>
      <c r="I36" s="10">
        <v>-775.64323908345136</v>
      </c>
      <c r="J36" s="10">
        <v>-407.34052272827108</v>
      </c>
      <c r="K36" s="10"/>
      <c r="L36" s="10" cm="1">
        <f t="array" ref="L36:L40">MMULT(F36:J40,D36:D40)</f>
        <v>14.371892726942988</v>
      </c>
      <c r="M36" s="10"/>
      <c r="N36" s="10"/>
      <c r="O36" s="10">
        <f>1/3*L36</f>
        <v>4.7906309089809955</v>
      </c>
    </row>
    <row r="37" spans="3:15" x14ac:dyDescent="0.3">
      <c r="C37" s="1" t="s">
        <v>1</v>
      </c>
      <c r="D37" s="10">
        <v>7.7092153182173311E-3</v>
      </c>
      <c r="E37" s="10"/>
      <c r="F37" s="10">
        <v>234.0232665781196</v>
      </c>
      <c r="G37" s="10">
        <v>1786.3360357178071</v>
      </c>
      <c r="H37" s="10">
        <v>9.3623043247582789</v>
      </c>
      <c r="I37" s="10">
        <v>-292.72836603462321</v>
      </c>
      <c r="J37" s="10">
        <v>-232.3712312473435</v>
      </c>
      <c r="K37" s="10"/>
      <c r="L37" s="10">
        <v>12.09758984362163</v>
      </c>
      <c r="M37" s="10"/>
      <c r="N37" s="10"/>
      <c r="O37" s="10">
        <f>1/3*L37</f>
        <v>4.0325299478738765</v>
      </c>
    </row>
    <row r="38" spans="3:15" x14ac:dyDescent="0.3">
      <c r="C38" s="1" t="s">
        <v>2</v>
      </c>
      <c r="D38" s="10">
        <v>2.4721656155541707E-3</v>
      </c>
      <c r="E38" s="10"/>
      <c r="F38" s="10">
        <v>-581.81709617586444</v>
      </c>
      <c r="G38" s="10">
        <v>9.3623043247582949</v>
      </c>
      <c r="H38" s="10">
        <v>1727.1398924142341</v>
      </c>
      <c r="I38" s="10">
        <v>210.79758425888659</v>
      </c>
      <c r="J38" s="10">
        <v>-75.519417103220604</v>
      </c>
      <c r="K38" s="10"/>
      <c r="L38" s="10">
        <v>2.2085242728727792</v>
      </c>
      <c r="M38" s="10"/>
      <c r="N38" s="10"/>
      <c r="O38" s="10">
        <f>1/3*L38</f>
        <v>0.73617475762425966</v>
      </c>
    </row>
    <row r="39" spans="3:15" x14ac:dyDescent="0.3">
      <c r="C39" s="1" t="s">
        <v>3</v>
      </c>
      <c r="D39" s="10">
        <v>5.2857660060519479E-3</v>
      </c>
      <c r="E39" s="10"/>
      <c r="F39" s="10">
        <v>-775.64323908345136</v>
      </c>
      <c r="G39" s="10">
        <v>-292.72836603462321</v>
      </c>
      <c r="H39" s="10">
        <v>210.79758425888659</v>
      </c>
      <c r="I39" s="10">
        <v>1566.8974026273841</v>
      </c>
      <c r="J39" s="10">
        <v>-295.0526021441085</v>
      </c>
      <c r="K39" s="10"/>
      <c r="L39" s="10">
        <v>1.1401221672546968</v>
      </c>
      <c r="M39" s="10"/>
      <c r="N39" s="10"/>
      <c r="O39" s="10">
        <f>1/3*L39</f>
        <v>0.38004072241823228</v>
      </c>
    </row>
    <row r="40" spans="3:15" x14ac:dyDescent="0.3">
      <c r="C40" s="1" t="s">
        <v>4</v>
      </c>
      <c r="D40" s="10">
        <v>5.5407200382773976E-3</v>
      </c>
      <c r="E40" s="10"/>
      <c r="F40" s="10">
        <v>-407.3405227282712</v>
      </c>
      <c r="G40" s="10">
        <v>-232.37123124734353</v>
      </c>
      <c r="H40" s="10">
        <v>-75.519417103220604</v>
      </c>
      <c r="I40" s="10">
        <v>-295.0526021441085</v>
      </c>
      <c r="J40" s="10">
        <v>722.12125813177045</v>
      </c>
      <c r="K40" s="10"/>
      <c r="L40" s="10">
        <v>-1.5173926697078297</v>
      </c>
      <c r="M40" s="10"/>
      <c r="N40" s="10"/>
      <c r="O40" s="10">
        <f>1/3*L40</f>
        <v>-0.5057975565692765</v>
      </c>
    </row>
    <row r="41" spans="3:15" x14ac:dyDescent="0.3">
      <c r="N41" s="26" t="s">
        <v>45</v>
      </c>
      <c r="O41" s="6">
        <f>SUM(O36:O40)</f>
        <v>9.4335787803280891</v>
      </c>
    </row>
    <row r="42" spans="3:15" x14ac:dyDescent="0.3">
      <c r="N42" s="26" t="s">
        <v>46</v>
      </c>
      <c r="O42" s="6">
        <f>1-O41</f>
        <v>-8.4335787803280891</v>
      </c>
    </row>
  </sheetData>
  <mergeCells count="5">
    <mergeCell ref="F35:I35"/>
    <mergeCell ref="K35:N35"/>
    <mergeCell ref="E17:J17"/>
    <mergeCell ref="D33:J33"/>
    <mergeCell ref="E10:J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16F39-B333-421B-B811-E4905DC9902E}">
  <dimension ref="B2:W41"/>
  <sheetViews>
    <sheetView zoomScale="85" zoomScaleNormal="85" workbookViewId="0"/>
  </sheetViews>
  <sheetFormatPr defaultRowHeight="14.4" x14ac:dyDescent="0.3"/>
  <cols>
    <col min="1" max="1" width="2" style="1" customWidth="1"/>
    <col min="2" max="7" width="8.88671875" style="1"/>
    <col min="8" max="8" width="12.6640625" style="1" bestFit="1" customWidth="1"/>
    <col min="9" max="16" width="8.88671875" style="1"/>
    <col min="17" max="17" width="11.88671875" style="1" customWidth="1"/>
    <col min="18" max="18" width="12.44140625" style="1" bestFit="1" customWidth="1"/>
    <col min="19" max="19" width="23.77734375" style="1" bestFit="1" customWidth="1"/>
    <col min="20" max="22" width="24.44140625" style="1" bestFit="1" customWidth="1"/>
    <col min="23" max="23" width="23.77734375" style="1" bestFit="1" customWidth="1"/>
    <col min="24" max="16384" width="8.88671875" style="1"/>
  </cols>
  <sheetData>
    <row r="2" spans="2:23" ht="18" x14ac:dyDescent="0.35">
      <c r="B2" s="43" t="s">
        <v>139</v>
      </c>
    </row>
    <row r="6" spans="2:23" ht="18" x14ac:dyDescent="0.3">
      <c r="D6" s="46" t="s">
        <v>47</v>
      </c>
      <c r="E6" s="46"/>
      <c r="F6" s="46"/>
      <c r="G6" s="46"/>
      <c r="H6" s="46"/>
      <c r="I6" s="46"/>
      <c r="J6" s="17"/>
      <c r="P6" s="46" t="s">
        <v>48</v>
      </c>
      <c r="Q6" s="46"/>
      <c r="R6" s="46"/>
      <c r="S6" s="46"/>
      <c r="T6" s="46"/>
      <c r="U6" s="46"/>
    </row>
    <row r="10" spans="2:23" x14ac:dyDescent="0.3">
      <c r="E10" s="26" t="s">
        <v>49</v>
      </c>
      <c r="F10" s="1">
        <f>'1-B'!E7</f>
        <v>5.3846153846153844E-4</v>
      </c>
      <c r="H10" s="26" t="s">
        <v>53</v>
      </c>
      <c r="I10" s="1">
        <f>F10*F11</f>
        <v>-4.5411578047920478E-3</v>
      </c>
      <c r="Q10" s="26" t="s">
        <v>55</v>
      </c>
      <c r="S10" s="26" t="s">
        <v>150</v>
      </c>
    </row>
    <row r="11" spans="2:23" x14ac:dyDescent="0.3">
      <c r="E11" s="26" t="s">
        <v>50</v>
      </c>
      <c r="F11" s="1">
        <f>'1-B'!O42</f>
        <v>-8.4335787803280891</v>
      </c>
    </row>
    <row r="12" spans="2:23" x14ac:dyDescent="0.3">
      <c r="Q12" s="26"/>
    </row>
    <row r="13" spans="2:23" ht="15" thickBot="1" x14ac:dyDescent="0.35">
      <c r="D13" s="26" t="s">
        <v>51</v>
      </c>
      <c r="F13" s="6" t="s">
        <v>40</v>
      </c>
      <c r="G13" s="6" t="s">
        <v>52</v>
      </c>
    </row>
    <row r="14" spans="2:23" x14ac:dyDescent="0.3">
      <c r="D14" s="1" t="s">
        <v>0</v>
      </c>
      <c r="F14" s="1">
        <f>'1-B'!O36</f>
        <v>4.7906309089809955</v>
      </c>
      <c r="G14" s="1">
        <v>5.4011965428577089E-3</v>
      </c>
      <c r="H14" s="1">
        <f>F14*G14</f>
        <v>2.5875139103695436E-2</v>
      </c>
      <c r="Q14" s="26" t="s">
        <v>56</v>
      </c>
      <c r="R14" s="22"/>
      <c r="S14" s="22" t="s">
        <v>0</v>
      </c>
      <c r="T14" s="22" t="s">
        <v>1</v>
      </c>
      <c r="U14" s="22" t="s">
        <v>19</v>
      </c>
      <c r="V14" s="22" t="s">
        <v>3</v>
      </c>
      <c r="W14" s="22" t="s">
        <v>4</v>
      </c>
    </row>
    <row r="15" spans="2:23" x14ac:dyDescent="0.3">
      <c r="D15" s="1" t="s">
        <v>21</v>
      </c>
      <c r="F15" s="1">
        <f>'1-B'!O37</f>
        <v>4.0325299478738765</v>
      </c>
      <c r="G15" s="1">
        <v>8.2476768566788691E-3</v>
      </c>
      <c r="H15" s="1">
        <f t="shared" ref="H15:H17" si="0">F15*G15</f>
        <v>3.3259003924943818E-2</v>
      </c>
      <c r="R15" t="s">
        <v>0</v>
      </c>
      <c r="S15" s="27">
        <v>3.1442553935352979E-4</v>
      </c>
      <c r="T15" s="27">
        <v>2.7317232559954295E-5</v>
      </c>
      <c r="U15" s="27">
        <v>9.3449827342061023E-5</v>
      </c>
      <c r="V15" s="27">
        <v>2.0049791485969045E-4</v>
      </c>
      <c r="W15" s="27">
        <v>2.7784905686862959E-4</v>
      </c>
    </row>
    <row r="16" spans="2:23" x14ac:dyDescent="0.3">
      <c r="D16" s="1" t="s">
        <v>2</v>
      </c>
      <c r="F16" s="1">
        <f>'1-B'!O38</f>
        <v>0.73617475762425966</v>
      </c>
      <c r="G16" s="1">
        <v>3.0106271540157091E-3</v>
      </c>
      <c r="H16" s="1">
        <f t="shared" si="0"/>
        <v>2.2163477154045295E-3</v>
      </c>
      <c r="R16" t="s">
        <v>21</v>
      </c>
      <c r="S16" s="27">
        <v>2.7317232559954295E-5</v>
      </c>
      <c r="T16" s="27">
        <v>6.246518876423632E-4</v>
      </c>
      <c r="U16" s="27">
        <v>-4.0900191712572363E-6</v>
      </c>
      <c r="V16" s="27">
        <v>1.857319406347422E-4</v>
      </c>
      <c r="W16" s="27">
        <v>2.9187668715083785E-4</v>
      </c>
    </row>
    <row r="17" spans="4:23" x14ac:dyDescent="0.3">
      <c r="D17" s="1" t="s">
        <v>3</v>
      </c>
      <c r="F17" s="1">
        <f>'1-B'!O39</f>
        <v>0.38004072241823228</v>
      </c>
      <c r="G17" s="1">
        <v>5.8242275445134859E-3</v>
      </c>
      <c r="H17" s="1">
        <f t="shared" si="0"/>
        <v>2.2134436435450721E-3</v>
      </c>
      <c r="R17" t="s">
        <v>2</v>
      </c>
      <c r="S17" s="27">
        <v>9.3449827342061023E-5</v>
      </c>
      <c r="T17" s="27">
        <v>-4.0900191712572363E-6</v>
      </c>
      <c r="U17" s="27">
        <v>6.1733898839800292E-4</v>
      </c>
      <c r="V17" s="27">
        <v>-1.7031283964328295E-5</v>
      </c>
      <c r="W17" s="27">
        <v>1.0900032889039706E-4</v>
      </c>
    </row>
    <row r="18" spans="4:23" x14ac:dyDescent="0.3">
      <c r="D18" s="1" t="s">
        <v>4</v>
      </c>
      <c r="F18" s="1">
        <f>'1-B'!O40</f>
        <v>-0.5057975565692765</v>
      </c>
      <c r="G18" s="1">
        <v>6.0791815767389365E-3</v>
      </c>
      <c r="H18" s="1">
        <f>F18*G18</f>
        <v>-3.0748351874555157E-3</v>
      </c>
      <c r="R18" t="s">
        <v>3</v>
      </c>
      <c r="S18" s="27">
        <v>2.0049791485969045E-4</v>
      </c>
      <c r="T18" s="27">
        <v>1.857319406347422E-4</v>
      </c>
      <c r="U18" s="27">
        <v>-1.7031283964328295E-5</v>
      </c>
      <c r="V18" s="27">
        <v>8.738965888643094E-4</v>
      </c>
      <c r="W18" s="27">
        <v>5.2815084833619829E-4</v>
      </c>
    </row>
    <row r="19" spans="4:23" ht="15" thickBot="1" x14ac:dyDescent="0.35">
      <c r="H19" s="1">
        <f>SUM(H14:H18)</f>
        <v>6.0489099200133338E-2</v>
      </c>
      <c r="R19" s="21" t="s">
        <v>4</v>
      </c>
      <c r="S19" s="28">
        <v>2.7784905686862959E-4</v>
      </c>
      <c r="T19" s="28">
        <v>2.9187668715083785E-4</v>
      </c>
      <c r="U19" s="28">
        <v>1.0900032889039706E-4</v>
      </c>
      <c r="V19" s="28">
        <v>5.2815084833619829E-4</v>
      </c>
      <c r="W19" s="28">
        <v>1.8626606453021673E-3</v>
      </c>
    </row>
    <row r="21" spans="4:23" x14ac:dyDescent="0.3">
      <c r="Q21" s="26" t="s">
        <v>58</v>
      </c>
      <c r="R21" s="1" t="s">
        <v>0</v>
      </c>
      <c r="S21" s="1">
        <v>4.7906309089809946</v>
      </c>
    </row>
    <row r="22" spans="4:23" x14ac:dyDescent="0.3">
      <c r="D22" s="26" t="s">
        <v>47</v>
      </c>
      <c r="H22" s="1">
        <f>I10+H19</f>
        <v>5.5947941395341289E-2</v>
      </c>
      <c r="R22" s="1" t="s">
        <v>1</v>
      </c>
      <c r="S22" s="1">
        <v>4.0325299478738765</v>
      </c>
    </row>
    <row r="23" spans="4:23" x14ac:dyDescent="0.3">
      <c r="H23" s="18">
        <f>H22</f>
        <v>5.5947941395341289E-2</v>
      </c>
      <c r="R23" s="1" t="s">
        <v>2</v>
      </c>
      <c r="S23" s="1">
        <v>0.73617475762425966</v>
      </c>
    </row>
    <row r="24" spans="4:23" x14ac:dyDescent="0.3">
      <c r="R24" s="1" t="s">
        <v>3</v>
      </c>
      <c r="S24" s="1">
        <v>0.38004072241823228</v>
      </c>
    </row>
    <row r="25" spans="4:23" x14ac:dyDescent="0.3">
      <c r="R25" s="1" t="s">
        <v>4</v>
      </c>
      <c r="S25" s="1">
        <v>-0.5057975565692765</v>
      </c>
    </row>
    <row r="28" spans="4:23" x14ac:dyDescent="0.3">
      <c r="Q28" s="26" t="s">
        <v>57</v>
      </c>
      <c r="R28" s="10" t="str" cm="1">
        <f t="array" ref="R28:W29">TRANSPOSE(R21:S26)</f>
        <v>RBC</v>
      </c>
      <c r="S28" s="10" t="str">
        <v>TMX group</v>
      </c>
      <c r="T28" s="10" t="str">
        <v>Gibson energy</v>
      </c>
      <c r="U28" s="10" t="str">
        <v>Dollarama</v>
      </c>
      <c r="V28" s="10" t="str">
        <v>Barrick gold</v>
      </c>
      <c r="W28" s="1">
        <v>0</v>
      </c>
    </row>
    <row r="29" spans="4:23" x14ac:dyDescent="0.3">
      <c r="R29" s="10">
        <v>4.7906309089809946</v>
      </c>
      <c r="S29" s="10">
        <v>4.0325299478738765</v>
      </c>
      <c r="T29" s="10">
        <v>0.73617475762425966</v>
      </c>
      <c r="U29" s="10">
        <v>0.38004072241823228</v>
      </c>
      <c r="V29" s="10">
        <v>-0.5057975565692765</v>
      </c>
      <c r="W29" s="1">
        <v>0</v>
      </c>
    </row>
    <row r="32" spans="4:23" x14ac:dyDescent="0.3">
      <c r="Q32" s="26" t="s">
        <v>59</v>
      </c>
      <c r="R32" s="1" cm="1">
        <f t="array" ref="R32">MMULT(R29:V29,MMULT(S15:W19,S21:S25))</f>
        <v>1.846982661895992E-2</v>
      </c>
    </row>
    <row r="34" spans="17:19" ht="28.8" x14ac:dyDescent="0.3">
      <c r="Q34" s="29" t="s">
        <v>61</v>
      </c>
      <c r="R34" s="1">
        <f>SQRT(R32)</f>
        <v>0.1359037402684706</v>
      </c>
    </row>
    <row r="41" spans="17:19" x14ac:dyDescent="0.3">
      <c r="Q41" s="26" t="s">
        <v>60</v>
      </c>
      <c r="S41" s="1">
        <f>(H22-F10)/R34</f>
        <v>0.40771122080541178</v>
      </c>
    </row>
  </sheetData>
  <mergeCells count="2">
    <mergeCell ref="P6:U6"/>
    <mergeCell ref="D6:I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44D37-668F-49BE-8C9D-E18D4915D372}">
  <dimension ref="B2:V18"/>
  <sheetViews>
    <sheetView zoomScale="85" zoomScaleNormal="85" workbookViewId="0"/>
  </sheetViews>
  <sheetFormatPr defaultRowHeight="14.4" x14ac:dyDescent="0.3"/>
  <cols>
    <col min="1" max="1" width="2" style="1" customWidth="1"/>
    <col min="2" max="17" width="8.88671875" style="1"/>
    <col min="18" max="18" width="13" style="1" bestFit="1" customWidth="1"/>
    <col min="19" max="19" width="20.109375" style="1" bestFit="1" customWidth="1"/>
    <col min="20" max="16384" width="8.88671875" style="1"/>
  </cols>
  <sheetData>
    <row r="2" spans="2:22" ht="18" x14ac:dyDescent="0.35">
      <c r="B2" s="43" t="s">
        <v>140</v>
      </c>
    </row>
    <row r="4" spans="2:22" ht="18" x14ac:dyDescent="0.3">
      <c r="C4" s="46" t="s">
        <v>63</v>
      </c>
      <c r="D4" s="46"/>
      <c r="E4" s="46"/>
      <c r="F4" s="46"/>
      <c r="G4" s="46"/>
      <c r="H4" s="46"/>
      <c r="I4" s="46"/>
      <c r="P4" s="46" t="s">
        <v>66</v>
      </c>
      <c r="Q4" s="46"/>
      <c r="R4" s="46"/>
      <c r="S4" s="46"/>
      <c r="T4" s="17"/>
      <c r="U4" s="17"/>
      <c r="V4" s="17"/>
    </row>
    <row r="6" spans="2:22" x14ac:dyDescent="0.3">
      <c r="P6" s="1" t="s">
        <v>62</v>
      </c>
      <c r="Q6" s="15">
        <f>D18</f>
        <v>1.0819563334021842</v>
      </c>
    </row>
    <row r="7" spans="2:22" x14ac:dyDescent="0.3">
      <c r="P7" s="15"/>
    </row>
    <row r="9" spans="2:22" x14ac:dyDescent="0.3">
      <c r="P9" s="26" t="s">
        <v>67</v>
      </c>
      <c r="R9" s="6" t="s">
        <v>68</v>
      </c>
      <c r="S9" s="6" t="s">
        <v>69</v>
      </c>
      <c r="T9" s="10"/>
    </row>
    <row r="10" spans="2:22" x14ac:dyDescent="0.3">
      <c r="P10" s="1" t="str" cm="1">
        <f t="array" ref="P10:P14">'1-C'!D14:D18</f>
        <v>RBC</v>
      </c>
      <c r="R10" s="10">
        <v>4.790630908981</v>
      </c>
      <c r="S10" s="10">
        <f>R10*$Q$6</f>
        <v>5.183253452964256</v>
      </c>
      <c r="T10" s="10"/>
    </row>
    <row r="11" spans="2:22" x14ac:dyDescent="0.3">
      <c r="P11" s="1" t="str">
        <v>TMX Group</v>
      </c>
      <c r="R11" s="10">
        <v>4.0325299478738765</v>
      </c>
      <c r="S11" s="10">
        <f t="shared" ref="S11:S14" si="0">R11*$Q$6</f>
        <v>4.3630213167361207</v>
      </c>
      <c r="T11" s="10"/>
    </row>
    <row r="12" spans="2:22" x14ac:dyDescent="0.3">
      <c r="P12" s="1" t="str">
        <v>Gibson energy</v>
      </c>
      <c r="R12" s="10">
        <v>0.73617475762425966</v>
      </c>
      <c r="S12" s="10">
        <f t="shared" si="0"/>
        <v>0.7965089415023856</v>
      </c>
      <c r="T12" s="10"/>
    </row>
    <row r="13" spans="2:22" x14ac:dyDescent="0.3">
      <c r="C13" s="1" t="s">
        <v>64</v>
      </c>
      <c r="D13" s="1">
        <f>'1-C'!H19</f>
        <v>6.0489099200133338E-2</v>
      </c>
      <c r="P13" s="1" t="str">
        <v>Dollarama</v>
      </c>
      <c r="R13" s="10">
        <v>0.38004072241823228</v>
      </c>
      <c r="S13" s="10">
        <f t="shared" si="0"/>
        <v>0.41118746657114785</v>
      </c>
      <c r="T13" s="10"/>
    </row>
    <row r="14" spans="2:22" x14ac:dyDescent="0.3">
      <c r="C14" s="1" t="s">
        <v>49</v>
      </c>
      <c r="D14" s="1">
        <f>'1-C'!F10</f>
        <v>5.3846153846153844E-4</v>
      </c>
      <c r="P14" s="1" t="str">
        <v>Barrick gold</v>
      </c>
      <c r="R14" s="10">
        <v>-0.5057975565692765</v>
      </c>
      <c r="S14" s="10">
        <f t="shared" si="0"/>
        <v>-0.54725086974947823</v>
      </c>
      <c r="T14" s="10"/>
    </row>
    <row r="15" spans="2:22" x14ac:dyDescent="0.3">
      <c r="C15" s="1" t="s">
        <v>65</v>
      </c>
      <c r="D15" s="1">
        <v>3</v>
      </c>
    </row>
    <row r="16" spans="2:22" x14ac:dyDescent="0.3">
      <c r="C16" s="1" t="s">
        <v>54</v>
      </c>
      <c r="D16" s="1">
        <f>'1-C'!R32</f>
        <v>1.846982661895992E-2</v>
      </c>
    </row>
    <row r="18" spans="3:4" x14ac:dyDescent="0.3">
      <c r="C18" s="1" t="s">
        <v>62</v>
      </c>
      <c r="D18" s="15">
        <f>(D13-D14)/(D15*D16)</f>
        <v>1.0819563334021842</v>
      </c>
    </row>
  </sheetData>
  <mergeCells count="2">
    <mergeCell ref="C4:I4"/>
    <mergeCell ref="P4:S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EBF5-477E-4E2D-87D6-EAA0E395CE4F}">
  <dimension ref="B2:L28"/>
  <sheetViews>
    <sheetView zoomScale="85" zoomScaleNormal="85" workbookViewId="0"/>
  </sheetViews>
  <sheetFormatPr defaultRowHeight="14.4" x14ac:dyDescent="0.3"/>
  <cols>
    <col min="1" max="1" width="2" style="1" customWidth="1"/>
    <col min="2" max="3" width="8.88671875" style="1"/>
    <col min="4" max="4" width="12" style="1" bestFit="1" customWidth="1"/>
    <col min="5" max="10" width="8.88671875" style="1"/>
    <col min="11" max="11" width="11.44140625" style="1" bestFit="1" customWidth="1"/>
    <col min="12" max="12" width="63.21875" style="1" customWidth="1"/>
    <col min="13" max="16384" width="8.88671875" style="1"/>
  </cols>
  <sheetData>
    <row r="2" spans="2:10" ht="18" x14ac:dyDescent="0.35">
      <c r="B2" s="43" t="s">
        <v>141</v>
      </c>
    </row>
    <row r="4" spans="2:10" ht="18" x14ac:dyDescent="0.3">
      <c r="D4" s="46" t="s">
        <v>70</v>
      </c>
      <c r="E4" s="46"/>
      <c r="F4" s="46"/>
      <c r="G4" s="46"/>
      <c r="H4" s="46"/>
      <c r="I4" s="46"/>
      <c r="J4" s="46"/>
    </row>
    <row r="6" spans="2:10" x14ac:dyDescent="0.3">
      <c r="D6" s="26" t="s">
        <v>67</v>
      </c>
      <c r="F6" s="6" t="s">
        <v>68</v>
      </c>
      <c r="G6" s="6" t="s">
        <v>52</v>
      </c>
      <c r="H6" s="26" t="s">
        <v>73</v>
      </c>
    </row>
    <row r="7" spans="2:10" x14ac:dyDescent="0.3">
      <c r="D7" s="1" t="s">
        <v>0</v>
      </c>
      <c r="F7" s="30">
        <f>1/6</f>
        <v>0.16666666666666666</v>
      </c>
      <c r="G7" s="1">
        <v>5.4011965428577089E-3</v>
      </c>
      <c r="H7" s="1">
        <f>F7*G7</f>
        <v>9.0019942380961812E-4</v>
      </c>
    </row>
    <row r="8" spans="2:10" x14ac:dyDescent="0.3">
      <c r="D8" s="1" t="s">
        <v>21</v>
      </c>
      <c r="F8" s="30">
        <f t="shared" ref="F8:F12" si="0">1/6</f>
        <v>0.16666666666666666</v>
      </c>
      <c r="G8" s="1">
        <v>8.2476768566788691E-3</v>
      </c>
      <c r="H8" s="1">
        <f t="shared" ref="H8:H12" si="1">F8*G8</f>
        <v>1.374612809446478E-3</v>
      </c>
    </row>
    <row r="9" spans="2:10" x14ac:dyDescent="0.3">
      <c r="D9" s="1" t="s">
        <v>2</v>
      </c>
      <c r="F9" s="30">
        <f t="shared" si="0"/>
        <v>0.16666666666666666</v>
      </c>
      <c r="G9" s="1">
        <v>3.0106271540157091E-3</v>
      </c>
      <c r="H9" s="1">
        <f t="shared" si="1"/>
        <v>5.0177119233595145E-4</v>
      </c>
    </row>
    <row r="10" spans="2:10" x14ac:dyDescent="0.3">
      <c r="D10" s="1" t="s">
        <v>3</v>
      </c>
      <c r="F10" s="30">
        <f t="shared" si="0"/>
        <v>0.16666666666666666</v>
      </c>
      <c r="G10" s="1">
        <v>5.8242275445134859E-3</v>
      </c>
      <c r="H10" s="1">
        <f t="shared" si="1"/>
        <v>9.7070459075224765E-4</v>
      </c>
    </row>
    <row r="11" spans="2:10" x14ac:dyDescent="0.3">
      <c r="D11" s="1" t="s">
        <v>4</v>
      </c>
      <c r="F11" s="30">
        <f t="shared" si="0"/>
        <v>0.16666666666666666</v>
      </c>
      <c r="G11" s="1">
        <v>6.0791815767389365E-3</v>
      </c>
      <c r="H11" s="1">
        <f t="shared" si="1"/>
        <v>1.0131969294564893E-3</v>
      </c>
    </row>
    <row r="12" spans="2:10" x14ac:dyDescent="0.3">
      <c r="D12" s="1" t="s">
        <v>71</v>
      </c>
      <c r="F12" s="30">
        <f t="shared" si="0"/>
        <v>0.16666666666666666</v>
      </c>
      <c r="G12" s="10">
        <v>5.3846153846153844E-4</v>
      </c>
      <c r="H12" s="1">
        <f t="shared" si="1"/>
        <v>8.9743589743589735E-5</v>
      </c>
    </row>
    <row r="16" spans="2:10" x14ac:dyDescent="0.3">
      <c r="D16" s="26" t="s">
        <v>72</v>
      </c>
      <c r="F16" s="1">
        <f>SUM(H7:H12)</f>
        <v>4.8502285355443743E-3</v>
      </c>
    </row>
    <row r="17" spans="4:12" x14ac:dyDescent="0.3">
      <c r="F17" s="18">
        <f>F16</f>
        <v>4.8502285355443743E-3</v>
      </c>
    </row>
    <row r="20" spans="4:12" ht="18" x14ac:dyDescent="0.3">
      <c r="D20" s="46" t="s">
        <v>60</v>
      </c>
      <c r="E20" s="46"/>
      <c r="F20" s="46"/>
      <c r="G20" s="46"/>
      <c r="H20" s="46"/>
      <c r="I20" s="46"/>
      <c r="J20" s="46"/>
    </row>
    <row r="22" spans="4:12" x14ac:dyDescent="0.3">
      <c r="D22" s="26" t="s">
        <v>74</v>
      </c>
      <c r="E22" s="1">
        <f>SUM(H7:H11)</f>
        <v>4.7604849458007846E-3</v>
      </c>
      <c r="G22" s="26" t="s">
        <v>60</v>
      </c>
      <c r="I22" s="1">
        <f>(E22-E23)/(E25)</f>
        <v>3.1066278227507672E-2</v>
      </c>
      <c r="K22" s="31"/>
      <c r="L22" s="24"/>
    </row>
    <row r="23" spans="4:12" x14ac:dyDescent="0.3">
      <c r="D23" s="26" t="s">
        <v>49</v>
      </c>
      <c r="E23" s="1">
        <f>'1-C'!$F$10</f>
        <v>5.3846153846153844E-4</v>
      </c>
    </row>
    <row r="24" spans="4:12" x14ac:dyDescent="0.3">
      <c r="D24" s="26" t="s">
        <v>59</v>
      </c>
      <c r="E24" s="1">
        <v>1.846982661895992E-2</v>
      </c>
    </row>
    <row r="25" spans="4:12" ht="28.8" x14ac:dyDescent="0.3">
      <c r="D25" s="29" t="s">
        <v>75</v>
      </c>
      <c r="E25" s="1">
        <v>0.1359037402684706</v>
      </c>
    </row>
    <row r="28" spans="4:12" ht="115.2" x14ac:dyDescent="0.3">
      <c r="D28" s="26"/>
      <c r="K28" s="31" t="s">
        <v>76</v>
      </c>
      <c r="L28" s="24" t="s">
        <v>77</v>
      </c>
    </row>
  </sheetData>
  <mergeCells count="2">
    <mergeCell ref="D4:J4"/>
    <mergeCell ref="D20:J2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6BD9-B252-41F4-BD60-75AB88C61508}">
  <dimension ref="B2:AY69"/>
  <sheetViews>
    <sheetView tabSelected="1" zoomScale="85" zoomScaleNormal="85" workbookViewId="0"/>
  </sheetViews>
  <sheetFormatPr defaultRowHeight="14.4" x14ac:dyDescent="0.3"/>
  <cols>
    <col min="1" max="1" width="2" style="1" customWidth="1"/>
    <col min="2" max="3" width="8.88671875" style="1"/>
    <col min="4" max="4" width="11.21875" style="1" bestFit="1" customWidth="1"/>
    <col min="5" max="5" width="6.6640625" style="1" bestFit="1" customWidth="1"/>
    <col min="6" max="6" width="11.21875" style="1" bestFit="1" customWidth="1"/>
    <col min="7" max="7" width="14.44140625" style="1" bestFit="1" customWidth="1"/>
    <col min="8" max="8" width="10.6640625" style="1" bestFit="1" customWidth="1"/>
    <col min="9" max="9" width="12" style="1" bestFit="1" customWidth="1"/>
    <col min="10" max="11" width="8.88671875" style="1"/>
    <col min="12" max="12" width="12" style="1" customWidth="1"/>
    <col min="13" max="13" width="21.88671875" style="1" bestFit="1" customWidth="1"/>
    <col min="14" max="14" width="13.44140625" style="1" bestFit="1" customWidth="1"/>
    <col min="15" max="16" width="8.88671875" style="1"/>
    <col min="17" max="17" width="9.88671875" style="1" bestFit="1" customWidth="1"/>
    <col min="18" max="18" width="9.88671875" style="1" customWidth="1"/>
    <col min="19" max="19" width="8.88671875" style="1"/>
    <col min="20" max="20" width="12.21875" style="1" bestFit="1" customWidth="1"/>
    <col min="21" max="21" width="15" style="1" bestFit="1" customWidth="1"/>
    <col min="22" max="22" width="12.21875" style="1" bestFit="1" customWidth="1"/>
    <col min="23" max="23" width="12.33203125" style="1" bestFit="1" customWidth="1"/>
    <col min="24" max="27" width="9" style="1" bestFit="1" customWidth="1"/>
    <col min="28" max="30" width="8.88671875" style="1"/>
    <col min="31" max="31" width="17.44140625" style="1" bestFit="1" customWidth="1"/>
    <col min="32" max="40" width="8.88671875" style="1"/>
    <col min="41" max="41" width="17.88671875" style="1" bestFit="1" customWidth="1"/>
    <col min="42" max="16384" width="8.88671875" style="1"/>
  </cols>
  <sheetData>
    <row r="2" spans="2:51" ht="18" x14ac:dyDescent="0.35">
      <c r="B2" s="43" t="s">
        <v>148</v>
      </c>
    </row>
    <row r="3" spans="2:51" ht="18" x14ac:dyDescent="0.3">
      <c r="AE3" s="46" t="s">
        <v>105</v>
      </c>
      <c r="AF3" s="46"/>
      <c r="AG3" s="46"/>
      <c r="AH3" s="46"/>
      <c r="AI3" s="46"/>
      <c r="AJ3" s="46"/>
      <c r="AK3" s="46"/>
      <c r="AL3" s="46"/>
      <c r="AM3" s="46"/>
      <c r="AN3" s="46"/>
      <c r="AO3" s="46"/>
      <c r="AP3" s="46"/>
      <c r="AQ3" s="46"/>
      <c r="AR3" s="46"/>
      <c r="AS3" s="46"/>
    </row>
    <row r="4" spans="2:51" x14ac:dyDescent="0.3">
      <c r="L4" s="34" t="s">
        <v>79</v>
      </c>
    </row>
    <row r="5" spans="2:51" ht="18" x14ac:dyDescent="0.3">
      <c r="D5" s="46" t="s">
        <v>17</v>
      </c>
      <c r="E5" s="46"/>
      <c r="F5" s="46"/>
      <c r="G5" s="46"/>
      <c r="H5" s="46"/>
      <c r="I5" s="46"/>
      <c r="L5" s="46" t="s">
        <v>78</v>
      </c>
      <c r="M5" s="46"/>
      <c r="N5" s="46"/>
      <c r="O5" s="46"/>
      <c r="P5" s="46"/>
      <c r="Q5" s="46"/>
      <c r="R5" s="46" t="s">
        <v>111</v>
      </c>
      <c r="S5" s="46"/>
      <c r="T5" s="46"/>
      <c r="U5" s="46"/>
      <c r="V5" s="46"/>
      <c r="W5" s="46"/>
    </row>
    <row r="6" spans="2:51" ht="15.6" x14ac:dyDescent="0.3">
      <c r="D6" s="5" t="s">
        <v>5</v>
      </c>
      <c r="E6" s="12" t="s">
        <v>0</v>
      </c>
      <c r="F6" s="12" t="s">
        <v>1</v>
      </c>
      <c r="G6" s="12" t="s">
        <v>2</v>
      </c>
      <c r="H6" s="12" t="s">
        <v>3</v>
      </c>
      <c r="I6" s="12" t="s">
        <v>4</v>
      </c>
      <c r="L6" s="36" t="s">
        <v>5</v>
      </c>
      <c r="M6" s="6" t="s">
        <v>80</v>
      </c>
      <c r="N6" s="6" t="s">
        <v>81</v>
      </c>
      <c r="S6" s="12"/>
      <c r="T6" s="12"/>
      <c r="U6" s="12"/>
      <c r="V6" s="12"/>
      <c r="W6" s="12"/>
      <c r="AG6" s="44" t="s">
        <v>106</v>
      </c>
      <c r="AH6"/>
      <c r="AI6"/>
      <c r="AJ6"/>
      <c r="AK6"/>
      <c r="AL6"/>
      <c r="AM6"/>
      <c r="AN6"/>
      <c r="AO6"/>
      <c r="AQ6" s="44" t="s">
        <v>110</v>
      </c>
      <c r="AR6"/>
      <c r="AS6"/>
      <c r="AT6"/>
      <c r="AU6"/>
      <c r="AV6"/>
      <c r="AW6"/>
      <c r="AX6"/>
      <c r="AY6"/>
    </row>
    <row r="7" spans="2:51" ht="16.2" thickBot="1" x14ac:dyDescent="0.35">
      <c r="D7" s="32">
        <v>45698</v>
      </c>
      <c r="E7" s="19">
        <v>-1.0384886176953878E-2</v>
      </c>
      <c r="F7" s="19">
        <v>1.7144009681323125E-2</v>
      </c>
      <c r="G7" s="19">
        <v>-1.4962593516209433E-2</v>
      </c>
      <c r="H7" s="19">
        <v>-5.0161232533152411E-4</v>
      </c>
      <c r="I7" s="19">
        <v>4.5473336089292937E-2</v>
      </c>
      <c r="L7" s="32">
        <v>45698</v>
      </c>
      <c r="M7" s="35">
        <v>25698.5</v>
      </c>
      <c r="N7" s="19">
        <f t="shared" ref="N7:N57" si="0">IFERROR((M7/M8)-1,0)</f>
        <v>1.004602462769566E-2</v>
      </c>
      <c r="R7" s="38"/>
      <c r="AG7"/>
      <c r="AH7"/>
      <c r="AI7"/>
      <c r="AJ7"/>
      <c r="AK7"/>
      <c r="AL7"/>
      <c r="AM7"/>
      <c r="AN7"/>
      <c r="AO7"/>
      <c r="AQ7"/>
      <c r="AR7"/>
      <c r="AS7"/>
      <c r="AT7"/>
      <c r="AU7"/>
      <c r="AV7"/>
      <c r="AW7"/>
      <c r="AX7"/>
      <c r="AY7"/>
    </row>
    <row r="8" spans="2:51" ht="28.8" x14ac:dyDescent="0.3">
      <c r="D8" s="32">
        <v>45691</v>
      </c>
      <c r="E8" s="19">
        <v>-2.9882178837725593E-2</v>
      </c>
      <c r="F8" s="19">
        <v>0.10669642857142869</v>
      </c>
      <c r="G8" s="19">
        <v>-1.8760195758564469E-2</v>
      </c>
      <c r="H8" s="19">
        <v>1.4687704500836229E-2</v>
      </c>
      <c r="I8" s="19">
        <v>2.3698688108336974E-2</v>
      </c>
      <c r="L8" s="32">
        <v>45691</v>
      </c>
      <c r="M8" s="35">
        <v>25442.9</v>
      </c>
      <c r="N8" s="19">
        <f t="shared" si="0"/>
        <v>-3.5326693585971958E-3</v>
      </c>
      <c r="R8" s="38"/>
      <c r="S8" s="39" t="s">
        <v>67</v>
      </c>
      <c r="T8" s="10"/>
      <c r="U8" s="39" t="s">
        <v>112</v>
      </c>
      <c r="V8" s="39" t="s">
        <v>12</v>
      </c>
      <c r="W8" s="18"/>
      <c r="AG8" s="37" t="s">
        <v>82</v>
      </c>
      <c r="AH8" s="37"/>
      <c r="AI8"/>
      <c r="AJ8"/>
      <c r="AK8"/>
      <c r="AL8"/>
      <c r="AM8"/>
      <c r="AN8"/>
      <c r="AO8"/>
      <c r="AQ8" s="37" t="s">
        <v>82</v>
      </c>
      <c r="AR8" s="37"/>
      <c r="AS8"/>
      <c r="AT8"/>
      <c r="AU8"/>
      <c r="AV8"/>
      <c r="AW8"/>
      <c r="AX8"/>
      <c r="AY8"/>
    </row>
    <row r="9" spans="2:51" ht="15.6" x14ac:dyDescent="0.3">
      <c r="D9" s="32">
        <v>45684</v>
      </c>
      <c r="E9" s="19">
        <v>6.9348922512608713E-3</v>
      </c>
      <c r="F9" s="19">
        <v>-2.2261021388040203E-2</v>
      </c>
      <c r="G9" s="19">
        <v>-3.235990528808208E-2</v>
      </c>
      <c r="H9" s="19">
        <v>-2.8399858707170655E-2</v>
      </c>
      <c r="I9" s="19">
        <v>2.6498696785403952E-2</v>
      </c>
      <c r="L9" s="32">
        <v>45684</v>
      </c>
      <c r="M9" s="35">
        <v>25533.1</v>
      </c>
      <c r="N9" s="19">
        <f t="shared" si="0"/>
        <v>2.536466615623123E-3</v>
      </c>
      <c r="S9" s="6" t="s">
        <v>0</v>
      </c>
      <c r="T9" s="10"/>
      <c r="U9" s="10">
        <v>0.74523063447879501</v>
      </c>
      <c r="V9" s="19">
        <v>5.4011965428577098E-3</v>
      </c>
      <c r="AG9" t="s">
        <v>83</v>
      </c>
      <c r="AH9">
        <v>0.566487446570072</v>
      </c>
      <c r="AI9"/>
      <c r="AJ9"/>
      <c r="AK9"/>
      <c r="AL9"/>
      <c r="AM9"/>
      <c r="AN9"/>
      <c r="AO9"/>
      <c r="AQ9" t="s">
        <v>83</v>
      </c>
      <c r="AR9">
        <v>0.47762973362514294</v>
      </c>
      <c r="AS9"/>
      <c r="AT9"/>
      <c r="AU9"/>
      <c r="AV9"/>
      <c r="AW9"/>
      <c r="AX9"/>
      <c r="AY9"/>
    </row>
    <row r="10" spans="2:51" ht="15.6" x14ac:dyDescent="0.3">
      <c r="D10" s="32">
        <v>45677</v>
      </c>
      <c r="E10" s="19">
        <v>9.663792604594601E-3</v>
      </c>
      <c r="F10" s="19">
        <v>3.1053105310531182E-2</v>
      </c>
      <c r="G10" s="19">
        <v>-2.0487050637804427E-2</v>
      </c>
      <c r="H10" s="19">
        <v>6.1571921403929863E-2</v>
      </c>
      <c r="I10" s="19">
        <v>4.3459365493259128E-4</v>
      </c>
      <c r="L10" s="32">
        <v>45677</v>
      </c>
      <c r="M10" s="35">
        <v>25468.5</v>
      </c>
      <c r="N10" s="19">
        <f t="shared" si="0"/>
        <v>1.5980596699364469E-2</v>
      </c>
      <c r="S10" s="6" t="s">
        <v>1</v>
      </c>
      <c r="T10" s="10"/>
      <c r="U10" s="10">
        <v>0.56828103861245405</v>
      </c>
      <c r="V10" s="19">
        <v>8.2476768566788691E-3</v>
      </c>
      <c r="AG10" t="s">
        <v>84</v>
      </c>
      <c r="AH10">
        <v>0.3209080271214802</v>
      </c>
      <c r="AI10"/>
      <c r="AJ10"/>
      <c r="AK10"/>
      <c r="AL10"/>
      <c r="AM10"/>
      <c r="AN10"/>
      <c r="AO10"/>
      <c r="AQ10" t="s">
        <v>84</v>
      </c>
      <c r="AR10">
        <v>0.22813016244282502</v>
      </c>
      <c r="AS10"/>
      <c r="AT10"/>
      <c r="AU10"/>
      <c r="AV10"/>
      <c r="AW10"/>
      <c r="AX10"/>
      <c r="AY10"/>
    </row>
    <row r="11" spans="2:51" ht="15.6" x14ac:dyDescent="0.3">
      <c r="D11" s="32">
        <v>45670</v>
      </c>
      <c r="E11" s="19">
        <v>1.9648336086854012E-2</v>
      </c>
      <c r="F11" s="19">
        <v>3.0134445989800529E-2</v>
      </c>
      <c r="G11" s="19">
        <v>1.7702596380802404E-2</v>
      </c>
      <c r="H11" s="19">
        <v>-2.6786365958689107E-2</v>
      </c>
      <c r="I11" s="19">
        <v>1.9494904740806396E-2</v>
      </c>
      <c r="L11" s="32">
        <v>45670</v>
      </c>
      <c r="M11" s="35">
        <v>25067.9</v>
      </c>
      <c r="N11" s="19">
        <f t="shared" si="0"/>
        <v>1.2120624846069683E-2</v>
      </c>
      <c r="S11" s="6" t="s">
        <v>2</v>
      </c>
      <c r="T11" s="10"/>
      <c r="U11" s="10">
        <v>0.72380076246895153</v>
      </c>
      <c r="V11" s="19">
        <v>3.0106271540157091E-3</v>
      </c>
      <c r="AG11" t="s">
        <v>85</v>
      </c>
      <c r="AH11">
        <v>0.30732618766390979</v>
      </c>
      <c r="AI11"/>
      <c r="AJ11"/>
      <c r="AK11"/>
      <c r="AL11"/>
      <c r="AM11"/>
      <c r="AN11"/>
      <c r="AO11"/>
      <c r="AQ11" t="s">
        <v>85</v>
      </c>
      <c r="AR11">
        <v>0.21269276569168152</v>
      </c>
      <c r="AS11"/>
      <c r="AT11"/>
      <c r="AU11"/>
      <c r="AV11"/>
      <c r="AW11"/>
      <c r="AX11"/>
      <c r="AY11"/>
    </row>
    <row r="12" spans="2:51" ht="18" x14ac:dyDescent="0.3">
      <c r="D12" s="32">
        <v>45663</v>
      </c>
      <c r="E12" s="19">
        <v>-1.7222383299507094E-2</v>
      </c>
      <c r="F12" s="19">
        <v>-2.6624548736462139E-2</v>
      </c>
      <c r="G12" s="19">
        <v>2.6655896607431284E-2</v>
      </c>
      <c r="H12" s="19">
        <v>-3.3848106621535923E-2</v>
      </c>
      <c r="I12" s="19">
        <v>-8.7834870443566082E-3</v>
      </c>
      <c r="L12" s="32">
        <v>45663</v>
      </c>
      <c r="M12" s="35">
        <v>24767.7</v>
      </c>
      <c r="N12" s="19">
        <f t="shared" si="0"/>
        <v>-1.2196143338584542E-2</v>
      </c>
      <c r="S12" s="40" t="s">
        <v>3</v>
      </c>
      <c r="T12" s="13"/>
      <c r="U12" s="41">
        <v>1.0475213388691931</v>
      </c>
      <c r="V12" s="42">
        <v>5.8242275445134859E-3</v>
      </c>
      <c r="AG12" t="s">
        <v>86</v>
      </c>
      <c r="AH12">
        <v>1.4757856790192843E-2</v>
      </c>
      <c r="AI12"/>
      <c r="AJ12"/>
      <c r="AK12"/>
      <c r="AL12"/>
      <c r="AM12"/>
      <c r="AN12"/>
      <c r="AO12"/>
      <c r="AQ12" t="s">
        <v>86</v>
      </c>
      <c r="AR12">
        <v>2.6230232680062773E-2</v>
      </c>
      <c r="AS12"/>
      <c r="AT12"/>
      <c r="AU12"/>
      <c r="AV12"/>
      <c r="AW12"/>
      <c r="AX12"/>
      <c r="AY12"/>
    </row>
    <row r="13" spans="2:51" ht="18.600000000000001" thickBot="1" x14ac:dyDescent="0.35">
      <c r="D13" s="32">
        <v>45656</v>
      </c>
      <c r="E13" s="19">
        <v>-2.5449707906761709E-3</v>
      </c>
      <c r="F13" s="19">
        <v>4.5146726862310693E-4</v>
      </c>
      <c r="G13" s="19">
        <v>1.9349526554137686E-2</v>
      </c>
      <c r="H13" s="19">
        <v>1.2061090493862281E-2</v>
      </c>
      <c r="I13" s="19">
        <v>1.3351134846461887E-2</v>
      </c>
      <c r="L13" s="32">
        <v>45656</v>
      </c>
      <c r="M13" s="35">
        <v>25073.5</v>
      </c>
      <c r="N13" s="19">
        <f t="shared" si="0"/>
        <v>1.1175009275540049E-2</v>
      </c>
      <c r="S13" s="6" t="s">
        <v>4</v>
      </c>
      <c r="T13" s="10"/>
      <c r="U13" s="10">
        <v>1.8567321881512682</v>
      </c>
      <c r="V13" s="19">
        <v>6.0791815767389365E-3</v>
      </c>
      <c r="W13" s="17"/>
      <c r="AG13" s="21" t="s">
        <v>87</v>
      </c>
      <c r="AH13" s="21">
        <v>52</v>
      </c>
      <c r="AI13"/>
      <c r="AJ13"/>
      <c r="AK13"/>
      <c r="AL13"/>
      <c r="AM13"/>
      <c r="AN13"/>
      <c r="AO13"/>
      <c r="AQ13" s="21" t="s">
        <v>87</v>
      </c>
      <c r="AR13" s="21">
        <v>52</v>
      </c>
      <c r="AS13"/>
      <c r="AT13"/>
      <c r="AU13"/>
      <c r="AV13"/>
      <c r="AW13"/>
      <c r="AX13"/>
      <c r="AY13"/>
    </row>
    <row r="14" spans="2:51" ht="15.6" x14ac:dyDescent="0.3">
      <c r="D14" s="32">
        <v>45649</v>
      </c>
      <c r="E14" s="19">
        <v>5.5251832034430848E-3</v>
      </c>
      <c r="F14" s="19">
        <v>1.4891179839633395E-2</v>
      </c>
      <c r="G14" s="19">
        <v>1.4619883040935644E-2</v>
      </c>
      <c r="H14" s="19">
        <v>1.2281462216442884E-2</v>
      </c>
      <c r="I14" s="19">
        <v>1.6742081447963741E-2</v>
      </c>
      <c r="L14" s="32">
        <v>45649</v>
      </c>
      <c r="M14" s="35">
        <v>24796.400000000001</v>
      </c>
      <c r="N14" s="19">
        <f t="shared" si="0"/>
        <v>8.0042277282059704E-3</v>
      </c>
      <c r="AG14"/>
      <c r="AH14"/>
      <c r="AI14"/>
      <c r="AJ14"/>
      <c r="AK14"/>
      <c r="AL14"/>
      <c r="AM14"/>
      <c r="AN14"/>
      <c r="AO14"/>
      <c r="AQ14"/>
      <c r="AR14"/>
      <c r="AS14"/>
      <c r="AT14"/>
      <c r="AU14"/>
      <c r="AV14"/>
      <c r="AW14"/>
      <c r="AX14"/>
      <c r="AY14"/>
    </row>
    <row r="15" spans="2:51" ht="16.2" thickBot="1" x14ac:dyDescent="0.35">
      <c r="D15" s="32">
        <v>45642</v>
      </c>
      <c r="E15" s="19">
        <v>-2.2068024115572737E-2</v>
      </c>
      <c r="F15" s="19">
        <v>-4.5610034207526073E-3</v>
      </c>
      <c r="G15" s="19">
        <v>-1.3597033374536438E-2</v>
      </c>
      <c r="H15" s="19">
        <v>-2.3492063492063564E-2</v>
      </c>
      <c r="I15" s="19">
        <v>-7.0256625999158495E-2</v>
      </c>
      <c r="L15" s="32">
        <v>45642</v>
      </c>
      <c r="M15" s="35">
        <v>24599.5</v>
      </c>
      <c r="N15" s="19">
        <f t="shared" si="0"/>
        <v>-2.6699057936322657E-2</v>
      </c>
      <c r="AG15" t="s">
        <v>88</v>
      </c>
      <c r="AH15"/>
      <c r="AI15"/>
      <c r="AJ15"/>
      <c r="AK15"/>
      <c r="AL15"/>
      <c r="AM15"/>
      <c r="AN15"/>
      <c r="AO15"/>
      <c r="AQ15" t="s">
        <v>88</v>
      </c>
      <c r="AR15"/>
      <c r="AS15"/>
      <c r="AT15"/>
      <c r="AU15"/>
      <c r="AV15"/>
      <c r="AW15"/>
      <c r="AX15"/>
      <c r="AY15"/>
    </row>
    <row r="16" spans="2:51" ht="15.6" x14ac:dyDescent="0.3">
      <c r="D16" s="32">
        <v>45635</v>
      </c>
      <c r="E16" s="19">
        <v>-5.3742150817447376E-3</v>
      </c>
      <c r="F16" s="19">
        <v>-7.2447362463210485E-3</v>
      </c>
      <c r="G16" s="19">
        <v>-3.5756853396901156E-2</v>
      </c>
      <c r="H16" s="19">
        <v>-1.4089468122577831E-3</v>
      </c>
      <c r="I16" s="19">
        <v>6.3505503810330488E-3</v>
      </c>
      <c r="L16" s="32">
        <v>45635</v>
      </c>
      <c r="M16" s="35">
        <v>25274.3</v>
      </c>
      <c r="N16" s="19">
        <f t="shared" si="0"/>
        <v>-1.6250321114129829E-2</v>
      </c>
      <c r="S16" s="44" t="s">
        <v>113</v>
      </c>
      <c r="T16"/>
      <c r="U16"/>
      <c r="V16"/>
      <c r="W16"/>
      <c r="X16"/>
      <c r="Y16"/>
      <c r="Z16"/>
      <c r="AA16"/>
      <c r="AG16" s="22"/>
      <c r="AH16" s="22" t="s">
        <v>92</v>
      </c>
      <c r="AI16" s="22" t="s">
        <v>93</v>
      </c>
      <c r="AJ16" s="22" t="s">
        <v>94</v>
      </c>
      <c r="AK16" s="22" t="s">
        <v>95</v>
      </c>
      <c r="AL16" s="22" t="s">
        <v>96</v>
      </c>
      <c r="AM16"/>
      <c r="AN16"/>
      <c r="AO16"/>
      <c r="AQ16" s="22"/>
      <c r="AR16" s="22" t="s">
        <v>92</v>
      </c>
      <c r="AS16" s="22" t="s">
        <v>93</v>
      </c>
      <c r="AT16" s="22" t="s">
        <v>94</v>
      </c>
      <c r="AU16" s="22" t="s">
        <v>95</v>
      </c>
      <c r="AV16" s="22" t="s">
        <v>96</v>
      </c>
      <c r="AW16"/>
      <c r="AX16"/>
      <c r="AY16"/>
    </row>
    <row r="17" spans="4:51" ht="16.2" thickBot="1" x14ac:dyDescent="0.35">
      <c r="D17" s="32">
        <v>45628</v>
      </c>
      <c r="E17" s="19">
        <v>1.1964735516372782E-2</v>
      </c>
      <c r="F17" s="19">
        <v>1.8144704014515511E-3</v>
      </c>
      <c r="G17" s="19">
        <v>8.39793281653749E-2</v>
      </c>
      <c r="H17" s="19">
        <v>-2.60052147660218E-2</v>
      </c>
      <c r="I17" s="19">
        <v>-2.5577557755775526E-2</v>
      </c>
      <c r="L17" s="32">
        <v>45628</v>
      </c>
      <c r="M17" s="35">
        <v>25691.8</v>
      </c>
      <c r="N17" s="19">
        <f t="shared" si="0"/>
        <v>1.7077354959451618E-3</v>
      </c>
      <c r="S17"/>
      <c r="T17"/>
      <c r="U17"/>
      <c r="V17"/>
      <c r="W17"/>
      <c r="X17"/>
      <c r="Y17"/>
      <c r="Z17"/>
      <c r="AA17"/>
      <c r="AG17" t="s">
        <v>89</v>
      </c>
      <c r="AH17">
        <v>1</v>
      </c>
      <c r="AI17">
        <v>5.1459856550379809E-3</v>
      </c>
      <c r="AJ17">
        <v>5.1459856550379809E-3</v>
      </c>
      <c r="AK17">
        <v>23.62772937524371</v>
      </c>
      <c r="AL17">
        <v>1.1997697278936615E-5</v>
      </c>
      <c r="AM17"/>
      <c r="AN17"/>
      <c r="AO17"/>
      <c r="AQ17" t="s">
        <v>89</v>
      </c>
      <c r="AR17">
        <v>1</v>
      </c>
      <c r="AS17">
        <v>1.0167470709568124E-2</v>
      </c>
      <c r="AT17">
        <v>1.0167470709568124E-2</v>
      </c>
      <c r="AU17">
        <v>14.777761180875698</v>
      </c>
      <c r="AV17">
        <v>3.4276106082240475E-4</v>
      </c>
      <c r="AW17"/>
      <c r="AX17"/>
      <c r="AY17"/>
    </row>
    <row r="18" spans="4:51" ht="15.6" x14ac:dyDescent="0.3">
      <c r="D18" s="32">
        <v>45621</v>
      </c>
      <c r="E18" s="19">
        <v>8.3121680905102746E-3</v>
      </c>
      <c r="F18" s="19">
        <v>9.6175864437828551E-3</v>
      </c>
      <c r="G18" s="19">
        <v>-1.3593882752761299E-2</v>
      </c>
      <c r="H18" s="19">
        <v>2.2694450175366754E-3</v>
      </c>
      <c r="I18" s="19">
        <v>-3.8095238095238182E-2</v>
      </c>
      <c r="L18" s="32">
        <v>45621</v>
      </c>
      <c r="M18" s="35">
        <v>25648</v>
      </c>
      <c r="N18" s="19">
        <f t="shared" si="0"/>
        <v>8.0057223032270475E-3</v>
      </c>
      <c r="S18" s="37" t="s">
        <v>82</v>
      </c>
      <c r="T18" s="37"/>
      <c r="U18"/>
      <c r="V18"/>
      <c r="W18"/>
      <c r="X18"/>
      <c r="Y18"/>
      <c r="Z18"/>
      <c r="AA18"/>
      <c r="AG18" t="s">
        <v>90</v>
      </c>
      <c r="AH18">
        <v>50</v>
      </c>
      <c r="AI18">
        <v>1.0889716851992051E-2</v>
      </c>
      <c r="AJ18">
        <v>2.1779433703984102E-4</v>
      </c>
      <c r="AK18"/>
      <c r="AL18"/>
      <c r="AM18"/>
      <c r="AN18"/>
      <c r="AO18"/>
      <c r="AQ18" t="s">
        <v>90</v>
      </c>
      <c r="AR18">
        <v>50</v>
      </c>
      <c r="AS18">
        <v>3.4401255322511655E-2</v>
      </c>
      <c r="AT18">
        <v>6.8802510645023305E-4</v>
      </c>
      <c r="AU18"/>
      <c r="AV18"/>
      <c r="AW18"/>
      <c r="AX18"/>
      <c r="AY18"/>
    </row>
    <row r="19" spans="4:51" ht="16.2" thickBot="1" x14ac:dyDescent="0.35">
      <c r="D19" s="32">
        <v>45614</v>
      </c>
      <c r="E19" s="19">
        <v>2.0920502092050208E-2</v>
      </c>
      <c r="F19" s="19">
        <v>9.4775774387425571E-3</v>
      </c>
      <c r="G19" s="19">
        <v>4.1132242370632399E-2</v>
      </c>
      <c r="H19" s="19">
        <v>-1.7300804217071031E-2</v>
      </c>
      <c r="I19" s="19">
        <v>8.6206896551724199E-2</v>
      </c>
      <c r="L19" s="32">
        <v>45614</v>
      </c>
      <c r="M19" s="35">
        <v>25444.3</v>
      </c>
      <c r="N19" s="19">
        <f t="shared" si="0"/>
        <v>2.2241238695577037E-2</v>
      </c>
      <c r="S19" t="s">
        <v>83</v>
      </c>
      <c r="T19">
        <v>1.3114733513674585E-2</v>
      </c>
      <c r="U19"/>
      <c r="V19"/>
      <c r="W19"/>
      <c r="X19"/>
      <c r="Y19"/>
      <c r="Z19"/>
      <c r="AA19"/>
      <c r="AG19" s="21" t="s">
        <v>16</v>
      </c>
      <c r="AH19" s="21">
        <v>51</v>
      </c>
      <c r="AI19" s="21">
        <v>1.6035702507030031E-2</v>
      </c>
      <c r="AJ19" s="21"/>
      <c r="AK19" s="21"/>
      <c r="AL19" s="21"/>
      <c r="AM19"/>
      <c r="AN19"/>
      <c r="AO19"/>
      <c r="AQ19" s="21" t="s">
        <v>16</v>
      </c>
      <c r="AR19" s="21">
        <v>51</v>
      </c>
      <c r="AS19" s="21">
        <v>4.4568726032079779E-2</v>
      </c>
      <c r="AT19" s="21"/>
      <c r="AU19" s="21"/>
      <c r="AV19" s="21"/>
      <c r="AW19"/>
      <c r="AX19"/>
      <c r="AY19"/>
    </row>
    <row r="20" spans="4:51" ht="16.2" thickBot="1" x14ac:dyDescent="0.35">
      <c r="D20" s="32">
        <v>45607</v>
      </c>
      <c r="E20" s="19">
        <v>-5.2758074916466891E-3</v>
      </c>
      <c r="F20" s="19">
        <v>-3.156480859637345E-2</v>
      </c>
      <c r="G20" s="19">
        <v>2.1690013556258547E-2</v>
      </c>
      <c r="H20" s="19">
        <v>-1.9416832339297585E-2</v>
      </c>
      <c r="I20" s="19">
        <v>-8.4090011843663603E-2</v>
      </c>
      <c r="L20" s="32">
        <v>45607</v>
      </c>
      <c r="M20" s="35">
        <v>24890.7</v>
      </c>
      <c r="N20" s="19">
        <f t="shared" si="0"/>
        <v>5.3030364225303828E-3</v>
      </c>
      <c r="S20" t="s">
        <v>84</v>
      </c>
      <c r="T20">
        <v>1.7199623513469933E-4</v>
      </c>
      <c r="U20"/>
      <c r="V20"/>
      <c r="W20"/>
      <c r="X20"/>
      <c r="Y20"/>
      <c r="Z20"/>
      <c r="AA20"/>
      <c r="AG20"/>
      <c r="AH20"/>
      <c r="AI20"/>
      <c r="AJ20"/>
      <c r="AK20"/>
      <c r="AL20"/>
      <c r="AM20"/>
      <c r="AN20"/>
      <c r="AO20"/>
      <c r="AQ20"/>
      <c r="AR20"/>
      <c r="AS20"/>
      <c r="AT20"/>
      <c r="AU20"/>
      <c r="AV20"/>
      <c r="AW20"/>
      <c r="AX20"/>
      <c r="AY20"/>
    </row>
    <row r="21" spans="4:51" ht="15.6" x14ac:dyDescent="0.3">
      <c r="D21" s="32">
        <v>45600</v>
      </c>
      <c r="E21" s="19">
        <v>1.1263263975339388E-2</v>
      </c>
      <c r="F21" s="19">
        <v>3.4986098239110364E-2</v>
      </c>
      <c r="G21" s="19">
        <v>-1.9494904740806396E-2</v>
      </c>
      <c r="H21" s="19">
        <v>3.0808115308422757E-2</v>
      </c>
      <c r="I21" s="19">
        <v>-3.6882129277566622E-2</v>
      </c>
      <c r="L21" s="32">
        <v>45600</v>
      </c>
      <c r="M21" s="35">
        <v>24759.4</v>
      </c>
      <c r="N21" s="19">
        <f t="shared" si="0"/>
        <v>2.0787295095484604E-2</v>
      </c>
      <c r="S21" t="s">
        <v>85</v>
      </c>
      <c r="T21">
        <v>-0.3331040050198204</v>
      </c>
      <c r="U21"/>
      <c r="V21"/>
      <c r="W21"/>
      <c r="X21"/>
      <c r="Y21"/>
      <c r="Z21"/>
      <c r="AA21"/>
      <c r="AG21" s="22"/>
      <c r="AH21" s="22" t="s">
        <v>97</v>
      </c>
      <c r="AI21" s="22" t="s">
        <v>86</v>
      </c>
      <c r="AJ21" s="22" t="s">
        <v>98</v>
      </c>
      <c r="AK21" s="22" t="s">
        <v>99</v>
      </c>
      <c r="AL21" s="22" t="s">
        <v>100</v>
      </c>
      <c r="AM21" s="22" t="s">
        <v>101</v>
      </c>
      <c r="AN21" s="22" t="s">
        <v>102</v>
      </c>
      <c r="AO21" s="22" t="s">
        <v>103</v>
      </c>
      <c r="AQ21" s="22"/>
      <c r="AR21" s="22" t="s">
        <v>97</v>
      </c>
      <c r="AS21" s="22" t="s">
        <v>86</v>
      </c>
      <c r="AT21" s="22" t="s">
        <v>98</v>
      </c>
      <c r="AU21" s="22" t="s">
        <v>99</v>
      </c>
      <c r="AV21" s="22" t="s">
        <v>100</v>
      </c>
      <c r="AW21" s="22" t="s">
        <v>101</v>
      </c>
      <c r="AX21" s="22" t="s">
        <v>102</v>
      </c>
      <c r="AY21" s="22" t="s">
        <v>103</v>
      </c>
    </row>
    <row r="22" spans="4:51" ht="15.6" x14ac:dyDescent="0.3">
      <c r="D22" s="32">
        <v>45593</v>
      </c>
      <c r="E22" s="19">
        <v>7.6458992891703659E-3</v>
      </c>
      <c r="F22" s="19">
        <v>1.5529411764705792E-2</v>
      </c>
      <c r="G22" s="19">
        <v>-2.966466036113502E-2</v>
      </c>
      <c r="H22" s="19">
        <v>3.4046761319488583E-2</v>
      </c>
      <c r="I22" s="19">
        <v>-2.4118738404452666E-2</v>
      </c>
      <c r="L22" s="32">
        <v>45593</v>
      </c>
      <c r="M22" s="35">
        <v>24255.200000000001</v>
      </c>
      <c r="N22" s="19">
        <f t="shared" si="0"/>
        <v>-8.5228317875055692E-3</v>
      </c>
      <c r="S22" t="s">
        <v>86</v>
      </c>
      <c r="T22">
        <v>2.1578294517069297E-3</v>
      </c>
      <c r="U22"/>
      <c r="V22"/>
      <c r="W22"/>
      <c r="X22"/>
      <c r="Y22"/>
      <c r="Z22"/>
      <c r="AA22"/>
      <c r="AG22" t="s">
        <v>91</v>
      </c>
      <c r="AH22">
        <v>2.7159168747515716E-3</v>
      </c>
      <c r="AI22">
        <v>2.1197955871721645E-3</v>
      </c>
      <c r="AJ22">
        <v>1.2812164018015721</v>
      </c>
      <c r="AK22">
        <v>0.20602811804815643</v>
      </c>
      <c r="AL22">
        <v>-1.5418178676540628E-3</v>
      </c>
      <c r="AM22">
        <v>6.9736516171572064E-3</v>
      </c>
      <c r="AN22">
        <v>-1.5418178676540628E-3</v>
      </c>
      <c r="AO22">
        <v>6.9736516171572064E-3</v>
      </c>
      <c r="AQ22" t="s">
        <v>91</v>
      </c>
      <c r="AR22">
        <v>2.0497077877672239E-3</v>
      </c>
      <c r="AS22">
        <v>3.7676698097955721E-3</v>
      </c>
      <c r="AT22">
        <v>0.54402532367305234</v>
      </c>
      <c r="AU22">
        <v>0.58884190308629036</v>
      </c>
      <c r="AV22">
        <v>-5.5178797400846132E-3</v>
      </c>
      <c r="AW22">
        <v>9.6172953156190618E-3</v>
      </c>
      <c r="AX22">
        <v>-5.5178797400846132E-3</v>
      </c>
      <c r="AY22">
        <v>9.6172953156190618E-3</v>
      </c>
    </row>
    <row r="23" spans="4:51" ht="16.2" thickBot="1" x14ac:dyDescent="0.35">
      <c r="D23" s="32">
        <v>45586</v>
      </c>
      <c r="E23" s="19">
        <v>-2.2137850467289666E-2</v>
      </c>
      <c r="F23" s="19">
        <v>-1.9155319639972301E-2</v>
      </c>
      <c r="G23" s="19">
        <v>-1.3988978380669703E-2</v>
      </c>
      <c r="H23" s="19">
        <v>-2.1225110619468968E-2</v>
      </c>
      <c r="I23" s="19">
        <v>-5.6372549019607865E-2</v>
      </c>
      <c r="L23" s="32">
        <v>45586</v>
      </c>
      <c r="M23" s="35">
        <v>24463.7</v>
      </c>
      <c r="N23" s="19">
        <f t="shared" si="0"/>
        <v>-1.4454627857790281E-2</v>
      </c>
      <c r="S23" s="21" t="s">
        <v>87</v>
      </c>
      <c r="T23" s="21">
        <v>5</v>
      </c>
      <c r="U23"/>
      <c r="V23"/>
      <c r="W23"/>
      <c r="X23"/>
      <c r="Y23"/>
      <c r="Z23"/>
      <c r="AA23"/>
      <c r="AG23" s="21" t="s">
        <v>104</v>
      </c>
      <c r="AH23" s="21">
        <v>0.7452306344787949</v>
      </c>
      <c r="AI23" s="21">
        <v>0.15331325537633611</v>
      </c>
      <c r="AJ23" s="21">
        <v>4.8608362835260834</v>
      </c>
      <c r="AK23" s="21">
        <v>1.1997697278936812E-5</v>
      </c>
      <c r="AL23" s="21">
        <v>0.43729189838682397</v>
      </c>
      <c r="AM23" s="21">
        <v>1.0531693705707659</v>
      </c>
      <c r="AN23" s="21">
        <v>0.43729189838682397</v>
      </c>
      <c r="AO23" s="21">
        <v>1.0531693705707659</v>
      </c>
      <c r="AQ23" s="21" t="s">
        <v>104</v>
      </c>
      <c r="AR23" s="21">
        <v>1.0475213388691931</v>
      </c>
      <c r="AS23" s="21">
        <v>0.27249501188625047</v>
      </c>
      <c r="AT23" s="21">
        <v>3.8441853728554389</v>
      </c>
      <c r="AU23" s="21">
        <v>3.4276106082240231E-4</v>
      </c>
      <c r="AV23" s="21">
        <v>0.50019899974305948</v>
      </c>
      <c r="AW23" s="21">
        <v>1.5948436779953266</v>
      </c>
      <c r="AX23" s="21">
        <v>0.50019899974305948</v>
      </c>
      <c r="AY23" s="21">
        <v>1.5948436779953266</v>
      </c>
    </row>
    <row r="24" spans="4:51" ht="15.6" x14ac:dyDescent="0.3">
      <c r="D24" s="32">
        <v>45579</v>
      </c>
      <c r="E24" s="19">
        <v>2.1723561709238393E-2</v>
      </c>
      <c r="F24" s="19">
        <v>2.897174067917363E-2</v>
      </c>
      <c r="G24" s="19">
        <v>2.2983521248916006E-2</v>
      </c>
      <c r="H24" s="19">
        <v>4.9329535190716367E-3</v>
      </c>
      <c r="I24" s="19">
        <v>5.0772626931567366E-2</v>
      </c>
      <c r="L24" s="32">
        <v>45579</v>
      </c>
      <c r="M24" s="35">
        <v>24822.5</v>
      </c>
      <c r="N24" s="19">
        <f t="shared" si="0"/>
        <v>1.4355650724116487E-2</v>
      </c>
      <c r="S24"/>
      <c r="T24"/>
      <c r="U24"/>
      <c r="V24"/>
      <c r="W24"/>
      <c r="X24"/>
      <c r="Y24"/>
      <c r="Z24"/>
      <c r="AA24"/>
      <c r="AG24"/>
      <c r="AH24"/>
      <c r="AI24"/>
      <c r="AJ24"/>
      <c r="AK24"/>
      <c r="AL24"/>
      <c r="AM24"/>
      <c r="AN24"/>
      <c r="AO24"/>
      <c r="AQ24"/>
      <c r="AR24"/>
      <c r="AS24"/>
      <c r="AT24"/>
      <c r="AU24"/>
      <c r="AV24"/>
      <c r="AW24"/>
      <c r="AX24"/>
      <c r="AY24"/>
    </row>
    <row r="25" spans="4:51" ht="16.2" thickBot="1" x14ac:dyDescent="0.35">
      <c r="D25" s="32">
        <v>45572</v>
      </c>
      <c r="E25" s="19">
        <v>2.5145304374426525E-2</v>
      </c>
      <c r="F25" s="19">
        <v>-6.136417276374706E-3</v>
      </c>
      <c r="G25" s="19">
        <v>2.7629233511586415E-2</v>
      </c>
      <c r="H25" s="19">
        <v>4.4484760522496281E-2</v>
      </c>
      <c r="I25" s="19">
        <v>8.1602373887239565E-3</v>
      </c>
      <c r="L25" s="32">
        <v>45572</v>
      </c>
      <c r="M25" s="35">
        <v>24471.200000000001</v>
      </c>
      <c r="N25" s="19">
        <f t="shared" si="0"/>
        <v>1.276342145777809E-2</v>
      </c>
      <c r="S25" t="s">
        <v>88</v>
      </c>
      <c r="T25"/>
      <c r="U25"/>
      <c r="V25"/>
      <c r="W25"/>
      <c r="X25"/>
      <c r="Y25"/>
      <c r="Z25"/>
      <c r="AA25"/>
      <c r="AG25"/>
      <c r="AH25"/>
      <c r="AI25"/>
      <c r="AJ25"/>
      <c r="AK25"/>
      <c r="AL25"/>
      <c r="AM25"/>
      <c r="AN25"/>
      <c r="AO25"/>
      <c r="AQ25"/>
      <c r="AR25"/>
      <c r="AS25"/>
      <c r="AT25"/>
      <c r="AU25"/>
      <c r="AV25"/>
      <c r="AW25"/>
      <c r="AX25"/>
      <c r="AY25"/>
    </row>
    <row r="26" spans="4:51" ht="15.6" x14ac:dyDescent="0.3">
      <c r="D26" s="32">
        <v>45565</v>
      </c>
      <c r="E26" s="19">
        <v>-9.7540288379983631E-3</v>
      </c>
      <c r="F26" s="19">
        <v>1.0734732824427384E-2</v>
      </c>
      <c r="G26" s="19">
        <v>5.6497175141243083E-2</v>
      </c>
      <c r="H26" s="19">
        <v>8.2680910221704096E-3</v>
      </c>
      <c r="I26" s="19">
        <v>-3.3271719038816538E-3</v>
      </c>
      <c r="L26" s="32">
        <v>45565</v>
      </c>
      <c r="M26" s="35">
        <v>24162.799999999999</v>
      </c>
      <c r="N26" s="19">
        <f t="shared" si="0"/>
        <v>8.5988111934816036E-3</v>
      </c>
      <c r="S26" s="22"/>
      <c r="T26" s="22" t="s">
        <v>92</v>
      </c>
      <c r="U26" s="22" t="s">
        <v>93</v>
      </c>
      <c r="V26" s="22" t="s">
        <v>94</v>
      </c>
      <c r="W26" s="22" t="s">
        <v>95</v>
      </c>
      <c r="X26" s="22" t="s">
        <v>96</v>
      </c>
      <c r="Y26"/>
      <c r="Z26"/>
      <c r="AA26"/>
      <c r="AG26"/>
      <c r="AH26"/>
      <c r="AI26"/>
      <c r="AJ26"/>
      <c r="AK26"/>
      <c r="AL26"/>
      <c r="AM26"/>
      <c r="AN26"/>
      <c r="AO26"/>
      <c r="AQ26"/>
      <c r="AR26"/>
      <c r="AS26"/>
      <c r="AT26"/>
      <c r="AU26"/>
      <c r="AV26"/>
      <c r="AW26"/>
      <c r="AX26"/>
      <c r="AY26"/>
    </row>
    <row r="27" spans="4:51" ht="15.6" x14ac:dyDescent="0.3">
      <c r="D27" s="32">
        <v>45558</v>
      </c>
      <c r="E27" s="19">
        <v>1.5316479055176302E-2</v>
      </c>
      <c r="F27" s="19">
        <v>-2.6700719758532609E-2</v>
      </c>
      <c r="G27" s="19">
        <v>-2.0746887966805128E-2</v>
      </c>
      <c r="H27" s="19">
        <v>1.0872781065088821E-2</v>
      </c>
      <c r="I27" s="19">
        <v>-9.5203222262906229E-3</v>
      </c>
      <c r="L27" s="32">
        <v>45558</v>
      </c>
      <c r="M27" s="35">
        <v>23956.799999999999</v>
      </c>
      <c r="N27" s="19">
        <f t="shared" si="0"/>
        <v>3.7456949646796911E-3</v>
      </c>
      <c r="S27" t="s">
        <v>89</v>
      </c>
      <c r="T27">
        <v>1</v>
      </c>
      <c r="U27">
        <v>2.4029743307343475E-9</v>
      </c>
      <c r="V27">
        <v>2.4029743307343475E-9</v>
      </c>
      <c r="W27">
        <v>5.1607746878576703E-4</v>
      </c>
      <c r="X27">
        <v>0.98330228135525521</v>
      </c>
      <c r="Y27"/>
      <c r="Z27"/>
      <c r="AA27"/>
    </row>
    <row r="28" spans="4:51" ht="15.6" x14ac:dyDescent="0.3">
      <c r="D28" s="32">
        <v>45551</v>
      </c>
      <c r="E28" s="19">
        <v>-1.6158315177923099E-2</v>
      </c>
      <c r="F28" s="19">
        <v>-1.1021814006888508E-2</v>
      </c>
      <c r="G28" s="19">
        <v>1.118881118881121E-2</v>
      </c>
      <c r="H28" s="19">
        <v>1.4253563390847601E-2</v>
      </c>
      <c r="I28" s="19">
        <v>-2.4294390853876413E-2</v>
      </c>
      <c r="L28" s="32">
        <v>45551</v>
      </c>
      <c r="M28" s="35">
        <v>23867.4</v>
      </c>
      <c r="N28" s="19">
        <f t="shared" si="0"/>
        <v>1.2673588275976311E-2</v>
      </c>
      <c r="S28" t="s">
        <v>90</v>
      </c>
      <c r="T28">
        <v>3</v>
      </c>
      <c r="U28">
        <v>1.3968683827961486E-5</v>
      </c>
      <c r="V28">
        <v>4.6562279426538285E-6</v>
      </c>
      <c r="W28"/>
      <c r="X28"/>
      <c r="Y28"/>
      <c r="Z28"/>
      <c r="AA28"/>
      <c r="AG28" s="44" t="s">
        <v>107</v>
      </c>
      <c r="AH28"/>
      <c r="AI28"/>
      <c r="AJ28"/>
      <c r="AK28"/>
      <c r="AL28"/>
      <c r="AM28"/>
      <c r="AN28"/>
      <c r="AO28"/>
      <c r="AQ28" s="44" t="s">
        <v>109</v>
      </c>
      <c r="AR28"/>
      <c r="AS28"/>
      <c r="AT28"/>
      <c r="AU28"/>
      <c r="AV28"/>
      <c r="AW28"/>
      <c r="AX28"/>
      <c r="AY28"/>
    </row>
    <row r="29" spans="4:51" ht="16.2" thickBot="1" x14ac:dyDescent="0.35">
      <c r="D29" s="32">
        <v>45544</v>
      </c>
      <c r="E29" s="19">
        <v>2.3982152816508728E-2</v>
      </c>
      <c r="F29" s="19">
        <v>2.7122641509433887E-2</v>
      </c>
      <c r="G29" s="19">
        <v>1.0362694300518172E-2</v>
      </c>
      <c r="H29" s="19">
        <v>4.0593286494925884E-2</v>
      </c>
      <c r="I29" s="19">
        <v>9.764705882352942E-2</v>
      </c>
      <c r="L29" s="32">
        <v>45544</v>
      </c>
      <c r="M29" s="35">
        <v>23568.7</v>
      </c>
      <c r="N29" s="19">
        <f t="shared" si="0"/>
        <v>3.455889453677119E-2</v>
      </c>
      <c r="S29" s="21" t="s">
        <v>16</v>
      </c>
      <c r="T29" s="21">
        <v>4</v>
      </c>
      <c r="U29" s="21">
        <v>1.3971086802292221E-5</v>
      </c>
      <c r="V29" s="21"/>
      <c r="W29" s="21"/>
      <c r="X29" s="21"/>
      <c r="Y29"/>
      <c r="Z29"/>
      <c r="AA29"/>
      <c r="AG29"/>
      <c r="AH29"/>
      <c r="AI29"/>
      <c r="AJ29"/>
      <c r="AK29"/>
      <c r="AL29"/>
      <c r="AM29"/>
      <c r="AN29"/>
      <c r="AO29"/>
      <c r="AQ29"/>
      <c r="AR29"/>
      <c r="AS29"/>
      <c r="AT29"/>
      <c r="AU29"/>
      <c r="AV29"/>
      <c r="AW29"/>
      <c r="AX29"/>
      <c r="AY29"/>
    </row>
    <row r="30" spans="4:51" ht="16.2" thickBot="1" x14ac:dyDescent="0.35">
      <c r="D30" s="32">
        <v>45537</v>
      </c>
      <c r="E30" s="19">
        <v>6.8005989518342691E-3</v>
      </c>
      <c r="F30" s="19">
        <v>-5.395261552897157E-3</v>
      </c>
      <c r="G30" s="19">
        <v>-1.1178388448998544E-2</v>
      </c>
      <c r="H30" s="19">
        <v>-6.0299295774647876E-2</v>
      </c>
      <c r="I30" s="19">
        <v>-4.7441165483750436E-2</v>
      </c>
      <c r="L30" s="32">
        <v>45537</v>
      </c>
      <c r="M30" s="35">
        <v>22781.4</v>
      </c>
      <c r="N30" s="19">
        <f t="shared" si="0"/>
        <v>-2.4192373919524335E-2</v>
      </c>
      <c r="S30"/>
      <c r="T30"/>
      <c r="U30"/>
      <c r="V30"/>
      <c r="W30"/>
      <c r="X30"/>
      <c r="Y30"/>
      <c r="Z30"/>
      <c r="AA30"/>
      <c r="AG30" s="37" t="s">
        <v>82</v>
      </c>
      <c r="AH30" s="37"/>
      <c r="AI30"/>
      <c r="AJ30"/>
      <c r="AK30"/>
      <c r="AL30"/>
      <c r="AM30"/>
      <c r="AN30"/>
      <c r="AO30"/>
      <c r="AQ30" s="37" t="s">
        <v>82</v>
      </c>
      <c r="AR30" s="37"/>
      <c r="AS30"/>
      <c r="AT30"/>
      <c r="AU30"/>
      <c r="AV30"/>
      <c r="AW30"/>
      <c r="AX30"/>
      <c r="AY30"/>
    </row>
    <row r="31" spans="4:51" ht="15.6" x14ac:dyDescent="0.3">
      <c r="D31" s="32">
        <v>45530</v>
      </c>
      <c r="E31" s="19">
        <v>4.4101361474822465E-2</v>
      </c>
      <c r="F31" s="19">
        <v>1.8151421065201845E-2</v>
      </c>
      <c r="G31" s="19">
        <v>1.321378008494567E-2</v>
      </c>
      <c r="H31" s="19">
        <v>9.7777777777776631E-3</v>
      </c>
      <c r="I31" s="19">
        <v>-1.7975055025678754E-2</v>
      </c>
      <c r="L31" s="32">
        <v>45530</v>
      </c>
      <c r="M31" s="35">
        <v>23346.2</v>
      </c>
      <c r="N31" s="19">
        <f t="shared" si="0"/>
        <v>2.5809388433444269E-3</v>
      </c>
      <c r="S31" s="22"/>
      <c r="T31" s="22" t="s">
        <v>97</v>
      </c>
      <c r="U31" s="22" t="s">
        <v>86</v>
      </c>
      <c r="V31" s="22" t="s">
        <v>98</v>
      </c>
      <c r="W31" s="22" t="s">
        <v>99</v>
      </c>
      <c r="X31" s="22" t="s">
        <v>100</v>
      </c>
      <c r="Y31" s="22" t="s">
        <v>101</v>
      </c>
      <c r="Z31" s="22" t="s">
        <v>102</v>
      </c>
      <c r="AA31" s="22" t="s">
        <v>103</v>
      </c>
      <c r="AG31" t="s">
        <v>83</v>
      </c>
      <c r="AH31">
        <v>0.30648035035114324</v>
      </c>
      <c r="AI31"/>
      <c r="AJ31"/>
      <c r="AK31"/>
      <c r="AL31"/>
      <c r="AM31"/>
      <c r="AN31"/>
      <c r="AO31"/>
      <c r="AQ31" t="s">
        <v>83</v>
      </c>
      <c r="AR31">
        <v>0.57988369191201972</v>
      </c>
      <c r="AS31"/>
      <c r="AT31"/>
      <c r="AU31"/>
      <c r="AV31"/>
      <c r="AW31"/>
      <c r="AX31"/>
      <c r="AY31"/>
    </row>
    <row r="32" spans="4:51" ht="15.6" x14ac:dyDescent="0.3">
      <c r="D32" s="32">
        <v>45523</v>
      </c>
      <c r="E32" s="19">
        <v>1.8849140505741158E-2</v>
      </c>
      <c r="F32" s="19">
        <v>2.3940627244432022E-3</v>
      </c>
      <c r="G32" s="19">
        <v>7.1292775665399155E-3</v>
      </c>
      <c r="H32" s="19">
        <v>-3.3958364092722126E-3</v>
      </c>
      <c r="I32" s="19">
        <v>2.6355421686747205E-2</v>
      </c>
      <c r="L32" s="32">
        <v>45523</v>
      </c>
      <c r="M32" s="35">
        <v>23286.1</v>
      </c>
      <c r="N32" s="19">
        <f t="shared" si="0"/>
        <v>1.0041380028280589E-2</v>
      </c>
      <c r="S32" t="s">
        <v>91</v>
      </c>
      <c r="T32">
        <v>5.6655953475188313E-3</v>
      </c>
      <c r="U32">
        <v>2.2823601945168512E-3</v>
      </c>
      <c r="V32">
        <v>2.4823405881025589</v>
      </c>
      <c r="W32">
        <v>8.908525381837229E-2</v>
      </c>
      <c r="X32">
        <v>-1.597893420847929E-3</v>
      </c>
      <c r="Y32">
        <v>1.2929084115885591E-2</v>
      </c>
      <c r="Z32">
        <v>-1.597893420847929E-3</v>
      </c>
      <c r="AA32">
        <v>1.2929084115885591E-2</v>
      </c>
      <c r="AG32" t="s">
        <v>84</v>
      </c>
      <c r="AH32">
        <v>9.3930205151359511E-2</v>
      </c>
      <c r="AI32"/>
      <c r="AJ32"/>
      <c r="AK32"/>
      <c r="AL32"/>
      <c r="AM32"/>
      <c r="AN32"/>
      <c r="AO32"/>
      <c r="AQ32" t="s">
        <v>84</v>
      </c>
      <c r="AR32">
        <v>0.33626509614551425</v>
      </c>
      <c r="AS32"/>
      <c r="AT32"/>
      <c r="AU32"/>
      <c r="AV32"/>
      <c r="AW32"/>
      <c r="AX32"/>
      <c r="AY32"/>
    </row>
    <row r="33" spans="4:51" ht="16.2" thickBot="1" x14ac:dyDescent="0.35">
      <c r="D33" s="32">
        <v>45516</v>
      </c>
      <c r="E33" s="19">
        <v>2.2461997828447267E-2</v>
      </c>
      <c r="F33" s="19">
        <v>1.2851600387972839E-2</v>
      </c>
      <c r="G33" s="19">
        <v>1.4954172696574952E-2</v>
      </c>
      <c r="H33" s="19">
        <v>6.7538813145243903E-2</v>
      </c>
      <c r="I33" s="19">
        <v>0.12925170068027203</v>
      </c>
      <c r="L33" s="32">
        <v>45516</v>
      </c>
      <c r="M33" s="35">
        <v>23054.6</v>
      </c>
      <c r="N33" s="19">
        <f t="shared" si="0"/>
        <v>3.3314956994886069E-2</v>
      </c>
      <c r="S33" s="21" t="s">
        <v>104</v>
      </c>
      <c r="T33" s="21">
        <v>4.7542204027943201E-5</v>
      </c>
      <c r="U33" s="21">
        <v>2.0927717397822734E-3</v>
      </c>
      <c r="V33" s="21">
        <v>2.2717338505770054E-2</v>
      </c>
      <c r="W33" s="21">
        <v>0.98330228135525566</v>
      </c>
      <c r="X33" s="21">
        <v>-6.612591487044313E-3</v>
      </c>
      <c r="Y33" s="21">
        <v>6.7076758951001994E-3</v>
      </c>
      <c r="Z33" s="21">
        <v>-6.612591487044313E-3</v>
      </c>
      <c r="AA33" s="21">
        <v>6.7076758951001994E-3</v>
      </c>
      <c r="AG33" t="s">
        <v>85</v>
      </c>
      <c r="AH33">
        <v>7.5808809254386697E-2</v>
      </c>
      <c r="AI33"/>
      <c r="AJ33"/>
      <c r="AK33"/>
      <c r="AL33"/>
      <c r="AM33"/>
      <c r="AN33"/>
      <c r="AO33"/>
      <c r="AQ33" t="s">
        <v>85</v>
      </c>
      <c r="AR33">
        <v>0.3229903980684245</v>
      </c>
      <c r="AS33"/>
      <c r="AT33"/>
      <c r="AU33"/>
      <c r="AV33"/>
      <c r="AW33"/>
      <c r="AX33"/>
      <c r="AY33"/>
    </row>
    <row r="34" spans="4:51" ht="15.6" x14ac:dyDescent="0.3">
      <c r="D34" s="32">
        <v>45509</v>
      </c>
      <c r="E34" s="19">
        <v>5.8703071672356888E-3</v>
      </c>
      <c r="F34" s="19">
        <v>2.3833167825223489E-2</v>
      </c>
      <c r="G34" s="19">
        <v>7.7783179387458379E-3</v>
      </c>
      <c r="H34" s="19">
        <v>-1.9397217928902699E-2</v>
      </c>
      <c r="I34" s="19">
        <v>-3.6855036855036993E-2</v>
      </c>
      <c r="L34" s="32">
        <v>45509</v>
      </c>
      <c r="M34" s="35">
        <v>22311.3</v>
      </c>
      <c r="N34" s="19">
        <f t="shared" si="0"/>
        <v>3.7655887275280797E-3</v>
      </c>
      <c r="S34"/>
      <c r="T34"/>
      <c r="U34"/>
      <c r="V34"/>
      <c r="W34"/>
      <c r="X34"/>
      <c r="Y34"/>
      <c r="Z34"/>
      <c r="AA34"/>
      <c r="AG34" t="s">
        <v>86</v>
      </c>
      <c r="AH34">
        <v>2.4027021701444624E-2</v>
      </c>
      <c r="AI34"/>
      <c r="AJ34"/>
      <c r="AK34"/>
      <c r="AL34"/>
      <c r="AM34"/>
      <c r="AN34"/>
      <c r="AO34"/>
      <c r="AQ34" t="s">
        <v>86</v>
      </c>
      <c r="AR34">
        <v>3.5511112936792509E-2</v>
      </c>
      <c r="AS34"/>
      <c r="AT34"/>
      <c r="AU34"/>
      <c r="AV34"/>
      <c r="AW34"/>
      <c r="AX34"/>
      <c r="AY34"/>
    </row>
    <row r="35" spans="4:51" ht="16.2" thickBot="1" x14ac:dyDescent="0.35">
      <c r="D35" s="32">
        <v>45502</v>
      </c>
      <c r="E35" s="19">
        <v>-1.8030699108519288E-2</v>
      </c>
      <c r="F35" s="19">
        <v>-2.8461167390255615E-2</v>
      </c>
      <c r="G35" s="19">
        <v>-7.7164647824136345E-2</v>
      </c>
      <c r="H35" s="19">
        <v>-1.0249349854673406E-2</v>
      </c>
      <c r="I35" s="19">
        <v>8.6741016109046498E-3</v>
      </c>
      <c r="L35" s="32">
        <v>45502</v>
      </c>
      <c r="M35" s="35">
        <v>22227.599999999999</v>
      </c>
      <c r="N35" s="19">
        <f t="shared" si="0"/>
        <v>-2.5737679050440998E-2</v>
      </c>
      <c r="S35"/>
      <c r="T35"/>
      <c r="U35"/>
      <c r="V35"/>
      <c r="W35"/>
      <c r="X35"/>
      <c r="Y35"/>
      <c r="Z35"/>
      <c r="AA35"/>
      <c r="AG35" s="21" t="s">
        <v>87</v>
      </c>
      <c r="AH35" s="21">
        <v>52</v>
      </c>
      <c r="AI35"/>
      <c r="AJ35"/>
      <c r="AK35"/>
      <c r="AL35"/>
      <c r="AM35"/>
      <c r="AN35"/>
      <c r="AO35"/>
      <c r="AQ35" s="21" t="s">
        <v>87</v>
      </c>
      <c r="AR35" s="21">
        <v>52</v>
      </c>
      <c r="AS35"/>
      <c r="AT35"/>
      <c r="AU35"/>
      <c r="AV35"/>
      <c r="AW35"/>
      <c r="AX35"/>
      <c r="AY35"/>
    </row>
    <row r="36" spans="4:51" ht="15.6" x14ac:dyDescent="0.3">
      <c r="D36" s="32">
        <v>45495</v>
      </c>
      <c r="E36" s="19">
        <v>3.1603012372243278E-3</v>
      </c>
      <c r="F36" s="19">
        <v>1.4436016638120996E-2</v>
      </c>
      <c r="G36" s="19">
        <v>1.6879562043795593E-2</v>
      </c>
      <c r="H36" s="19">
        <v>3.1235210601041175E-2</v>
      </c>
      <c r="I36" s="19">
        <v>-2.6146419951729616E-2</v>
      </c>
      <c r="L36" s="32">
        <v>45495</v>
      </c>
      <c r="M36" s="35">
        <v>22814.799999999999</v>
      </c>
      <c r="N36" s="19">
        <f t="shared" si="0"/>
        <v>5.4824947995626427E-3</v>
      </c>
      <c r="S36"/>
      <c r="T36"/>
      <c r="U36"/>
      <c r="V36"/>
      <c r="W36"/>
      <c r="X36"/>
      <c r="Y36"/>
      <c r="Z36"/>
      <c r="AA36"/>
      <c r="AG36"/>
      <c r="AH36"/>
      <c r="AI36"/>
      <c r="AJ36"/>
      <c r="AK36"/>
      <c r="AL36"/>
      <c r="AM36"/>
      <c r="AN36"/>
      <c r="AO36"/>
      <c r="AQ36"/>
      <c r="AR36"/>
      <c r="AS36"/>
      <c r="AT36"/>
      <c r="AU36"/>
      <c r="AV36"/>
      <c r="AW36"/>
      <c r="AX36"/>
      <c r="AY36"/>
    </row>
    <row r="37" spans="4:51" ht="16.2" thickBot="1" x14ac:dyDescent="0.35">
      <c r="D37" s="32">
        <v>45488</v>
      </c>
      <c r="E37" s="19">
        <v>7.0422535211267512E-3</v>
      </c>
      <c r="F37" s="19">
        <v>2.3284927391086674E-2</v>
      </c>
      <c r="G37" s="19">
        <v>3.2036613272310444E-3</v>
      </c>
      <c r="H37" s="19">
        <v>-1.6446858029480205E-2</v>
      </c>
      <c r="I37" s="19">
        <v>8.0515297906602612E-4</v>
      </c>
      <c r="L37" s="32">
        <v>45488</v>
      </c>
      <c r="M37" s="35">
        <v>22690.400000000001</v>
      </c>
      <c r="N37" s="19">
        <f t="shared" si="0"/>
        <v>7.4536353011223078E-4</v>
      </c>
      <c r="AG37" t="s">
        <v>88</v>
      </c>
      <c r="AH37"/>
      <c r="AI37"/>
      <c r="AJ37"/>
      <c r="AK37"/>
      <c r="AL37"/>
      <c r="AM37"/>
      <c r="AN37"/>
      <c r="AO37"/>
      <c r="AQ37" t="s">
        <v>88</v>
      </c>
      <c r="AR37"/>
      <c r="AS37"/>
      <c r="AT37"/>
      <c r="AU37"/>
      <c r="AV37"/>
      <c r="AW37"/>
      <c r="AX37"/>
      <c r="AY37"/>
    </row>
    <row r="38" spans="4:51" ht="15.6" x14ac:dyDescent="0.3">
      <c r="D38" s="32">
        <v>45481</v>
      </c>
      <c r="E38" s="19">
        <v>2.2714681440443307E-2</v>
      </c>
      <c r="F38" s="19">
        <v>6.0541688794476967E-2</v>
      </c>
      <c r="G38" s="19">
        <v>-1.8273184102329809E-3</v>
      </c>
      <c r="H38" s="19">
        <v>1.6240933459476414E-2</v>
      </c>
      <c r="I38" s="19">
        <v>6.1538461538461542E-2</v>
      </c>
      <c r="L38" s="32">
        <v>45481</v>
      </c>
      <c r="M38" s="35">
        <v>22673.5</v>
      </c>
      <c r="N38" s="19">
        <f t="shared" si="0"/>
        <v>2.7857110476449565E-2</v>
      </c>
      <c r="AG38" s="22"/>
      <c r="AH38" s="22" t="s">
        <v>92</v>
      </c>
      <c r="AI38" s="22" t="s">
        <v>93</v>
      </c>
      <c r="AJ38" s="22" t="s">
        <v>94</v>
      </c>
      <c r="AK38" s="22" t="s">
        <v>95</v>
      </c>
      <c r="AL38" s="22" t="s">
        <v>96</v>
      </c>
      <c r="AM38"/>
      <c r="AN38"/>
      <c r="AO38"/>
      <c r="AQ38" s="22"/>
      <c r="AR38" s="22" t="s">
        <v>92</v>
      </c>
      <c r="AS38" s="22" t="s">
        <v>93</v>
      </c>
      <c r="AT38" s="22" t="s">
        <v>94</v>
      </c>
      <c r="AU38" s="22" t="s">
        <v>95</v>
      </c>
      <c r="AV38" s="22" t="s">
        <v>96</v>
      </c>
      <c r="AW38"/>
      <c r="AX38"/>
      <c r="AY38"/>
    </row>
    <row r="39" spans="4:51" ht="15.6" x14ac:dyDescent="0.3">
      <c r="D39" s="32">
        <v>45474</v>
      </c>
      <c r="E39" s="19">
        <v>1.7546332182369229E-2</v>
      </c>
      <c r="F39" s="19">
        <v>1.8621973929233704E-3</v>
      </c>
      <c r="G39" s="19">
        <v>-7.7062556663644033E-3</v>
      </c>
      <c r="H39" s="19">
        <v>1.7569193742478895E-2</v>
      </c>
      <c r="I39" s="19">
        <v>4.231625835189301E-2</v>
      </c>
      <c r="L39" s="32">
        <v>45474</v>
      </c>
      <c r="M39" s="35">
        <v>22059</v>
      </c>
      <c r="N39" s="19">
        <f t="shared" si="0"/>
        <v>8.3745508735679763E-3</v>
      </c>
      <c r="AG39" t="s">
        <v>89</v>
      </c>
      <c r="AH39">
        <v>1</v>
      </c>
      <c r="AI39">
        <v>2.9923576776759893E-3</v>
      </c>
      <c r="AJ39">
        <v>2.9923576776759893E-3</v>
      </c>
      <c r="AK39">
        <v>5.1833868475358793</v>
      </c>
      <c r="AL39">
        <v>2.7118012764051586E-2</v>
      </c>
      <c r="AM39"/>
      <c r="AN39"/>
      <c r="AO39"/>
      <c r="AQ39" t="s">
        <v>89</v>
      </c>
      <c r="AR39">
        <v>1</v>
      </c>
      <c r="AS39">
        <v>3.1943735809928958E-2</v>
      </c>
      <c r="AT39">
        <v>3.1943735809928958E-2</v>
      </c>
      <c r="AU39">
        <v>25.331280168688814</v>
      </c>
      <c r="AV39">
        <v>6.6314635938777882E-6</v>
      </c>
      <c r="AW39"/>
      <c r="AX39"/>
      <c r="AY39"/>
    </row>
    <row r="40" spans="4:51" ht="17.399999999999999" x14ac:dyDescent="0.35">
      <c r="D40" s="32">
        <v>45467</v>
      </c>
      <c r="E40" s="19">
        <v>2.5509466685937232E-2</v>
      </c>
      <c r="F40" s="19">
        <v>8.5859940971291238E-3</v>
      </c>
      <c r="G40" s="19">
        <v>2.2716736207695876E-2</v>
      </c>
      <c r="H40" s="19">
        <v>7.0285991274843251E-3</v>
      </c>
      <c r="I40" s="19">
        <v>6.2752129090093423E-3</v>
      </c>
      <c r="L40" s="32">
        <v>45467</v>
      </c>
      <c r="M40" s="35">
        <v>21875.8</v>
      </c>
      <c r="N40" s="19">
        <f t="shared" si="0"/>
        <v>1.4887566168249267E-2</v>
      </c>
      <c r="R40" s="45" t="s">
        <v>142</v>
      </c>
      <c r="AG40" t="s">
        <v>90</v>
      </c>
      <c r="AH40">
        <v>50</v>
      </c>
      <c r="AI40">
        <v>2.8864888592084543E-2</v>
      </c>
      <c r="AJ40">
        <v>5.7729777184169087E-4</v>
      </c>
      <c r="AK40"/>
      <c r="AL40"/>
      <c r="AM40"/>
      <c r="AN40"/>
      <c r="AO40"/>
      <c r="AQ40" t="s">
        <v>90</v>
      </c>
      <c r="AR40">
        <v>50</v>
      </c>
      <c r="AS40">
        <v>6.3051957100481615E-2</v>
      </c>
      <c r="AT40">
        <v>1.2610391420096324E-3</v>
      </c>
      <c r="AU40"/>
      <c r="AV40"/>
      <c r="AW40"/>
      <c r="AX40"/>
      <c r="AY40"/>
    </row>
    <row r="41" spans="4:51" ht="16.2" thickBot="1" x14ac:dyDescent="0.35">
      <c r="D41" s="32">
        <v>45460</v>
      </c>
      <c r="E41" s="19">
        <v>-5.8908045977010826E-3</v>
      </c>
      <c r="F41" s="19">
        <v>1.6362148895554984E-2</v>
      </c>
      <c r="G41" s="19">
        <v>-1.5518028297580977E-2</v>
      </c>
      <c r="H41" s="19">
        <v>1.4563106796117165E-3</v>
      </c>
      <c r="I41" s="19">
        <v>3.0009233610341468E-2</v>
      </c>
      <c r="L41" s="32">
        <v>45460</v>
      </c>
      <c r="M41" s="35">
        <v>21554.9</v>
      </c>
      <c r="N41" s="19">
        <f t="shared" si="0"/>
        <v>-3.8911045283767098E-3</v>
      </c>
      <c r="R41" s="44" t="s">
        <v>144</v>
      </c>
      <c r="AG41" s="21" t="s">
        <v>16</v>
      </c>
      <c r="AH41" s="21">
        <v>51</v>
      </c>
      <c r="AI41" s="21">
        <v>3.1857246269760532E-2</v>
      </c>
      <c r="AJ41" s="21"/>
      <c r="AK41" s="21"/>
      <c r="AL41" s="21"/>
      <c r="AM41"/>
      <c r="AN41"/>
      <c r="AO41"/>
      <c r="AQ41" s="21" t="s">
        <v>16</v>
      </c>
      <c r="AR41" s="21">
        <v>51</v>
      </c>
      <c r="AS41" s="21">
        <v>9.4995692910410573E-2</v>
      </c>
      <c r="AT41" s="21"/>
      <c r="AU41" s="21"/>
      <c r="AV41" s="21"/>
      <c r="AW41"/>
      <c r="AX41"/>
      <c r="AY41"/>
    </row>
    <row r="42" spans="4:51" ht="16.2" thickBot="1" x14ac:dyDescent="0.35">
      <c r="D42" s="32">
        <v>45453</v>
      </c>
      <c r="E42" s="19">
        <v>-2.3774458236903162E-2</v>
      </c>
      <c r="F42" s="19">
        <v>3.8324664659183938E-3</v>
      </c>
      <c r="G42" s="19">
        <v>4.5850527281063869E-3</v>
      </c>
      <c r="H42" s="19">
        <v>-2.5697619422985984E-2</v>
      </c>
      <c r="I42" s="19">
        <v>-9.6021947873800029E-3</v>
      </c>
      <c r="L42" s="32">
        <v>45453</v>
      </c>
      <c r="M42" s="35">
        <v>21639.1</v>
      </c>
      <c r="N42" s="19">
        <f t="shared" si="0"/>
        <v>-1.6717408097423614E-2</v>
      </c>
      <c r="R42" s="44" t="s">
        <v>145</v>
      </c>
      <c r="AG42"/>
      <c r="AH42"/>
      <c r="AI42"/>
      <c r="AJ42"/>
      <c r="AK42"/>
      <c r="AL42"/>
      <c r="AM42"/>
      <c r="AN42"/>
      <c r="AO42"/>
      <c r="AQ42"/>
      <c r="AR42"/>
      <c r="AS42"/>
      <c r="AT42"/>
      <c r="AU42"/>
      <c r="AV42"/>
      <c r="AW42"/>
      <c r="AX42"/>
      <c r="AY42"/>
    </row>
    <row r="43" spans="4:51" ht="15.6" x14ac:dyDescent="0.3">
      <c r="D43" s="32">
        <v>45446</v>
      </c>
      <c r="E43" s="19">
        <v>-1.7636927316569073E-2</v>
      </c>
      <c r="F43" s="19">
        <v>1.1631127111603412E-2</v>
      </c>
      <c r="G43" s="19">
        <v>9.2549745488199608E-3</v>
      </c>
      <c r="H43" s="19">
        <v>-1.4603075967065449E-2</v>
      </c>
      <c r="I43" s="19">
        <v>-3.8258575197889111E-2</v>
      </c>
      <c r="L43" s="32">
        <v>45446</v>
      </c>
      <c r="M43" s="35">
        <v>22007</v>
      </c>
      <c r="N43" s="19">
        <f t="shared" si="0"/>
        <v>-1.1769671877175036E-2</v>
      </c>
      <c r="R43" s="26" t="s">
        <v>146</v>
      </c>
      <c r="AG43" s="22"/>
      <c r="AH43" s="22" t="s">
        <v>97</v>
      </c>
      <c r="AI43" s="22" t="s">
        <v>86</v>
      </c>
      <c r="AJ43" s="22" t="s">
        <v>98</v>
      </c>
      <c r="AK43" s="22" t="s">
        <v>99</v>
      </c>
      <c r="AL43" s="22" t="s">
        <v>100</v>
      </c>
      <c r="AM43" s="22" t="s">
        <v>101</v>
      </c>
      <c r="AN43" s="22" t="s">
        <v>102</v>
      </c>
      <c r="AO43" s="22" t="s">
        <v>103</v>
      </c>
      <c r="AQ43" s="22"/>
      <c r="AR43" s="22" t="s">
        <v>97</v>
      </c>
      <c r="AS43" s="22" t="s">
        <v>86</v>
      </c>
      <c r="AT43" s="22" t="s">
        <v>98</v>
      </c>
      <c r="AU43" s="22" t="s">
        <v>99</v>
      </c>
      <c r="AV43" s="22" t="s">
        <v>100</v>
      </c>
      <c r="AW43" s="22" t="s">
        <v>101</v>
      </c>
      <c r="AX43" s="22" t="s">
        <v>102</v>
      </c>
      <c r="AY43" s="22" t="s">
        <v>103</v>
      </c>
    </row>
    <row r="44" spans="4:51" ht="15.6" x14ac:dyDescent="0.3">
      <c r="D44" s="32">
        <v>45439</v>
      </c>
      <c r="E44" s="19">
        <v>3.5159035800884419E-2</v>
      </c>
      <c r="F44" s="19">
        <v>-1.2308533916849052E-2</v>
      </c>
      <c r="G44" s="19">
        <v>1.2652296157450671E-2</v>
      </c>
      <c r="H44" s="19">
        <v>3.8393289240200135E-2</v>
      </c>
      <c r="I44" s="19">
        <v>-8.7873462214427267E-4</v>
      </c>
      <c r="L44" s="32">
        <v>45439</v>
      </c>
      <c r="M44" s="35">
        <v>22269.1</v>
      </c>
      <c r="N44" s="19">
        <f t="shared" si="0"/>
        <v>-2.3206949540566235E-3</v>
      </c>
      <c r="R44" s="44" t="s">
        <v>143</v>
      </c>
      <c r="AG44" t="s">
        <v>91</v>
      </c>
      <c r="AH44">
        <v>6.1999973221096519E-3</v>
      </c>
      <c r="AI44">
        <v>3.4512040128657868E-3</v>
      </c>
      <c r="AJ44">
        <v>1.7964737230823227</v>
      </c>
      <c r="AK44">
        <v>7.8461576415095949E-2</v>
      </c>
      <c r="AL44">
        <v>-7.3194994565063676E-4</v>
      </c>
      <c r="AM44">
        <v>1.3131944589869941E-2</v>
      </c>
      <c r="AN44">
        <v>-7.3194994565063676E-4</v>
      </c>
      <c r="AO44">
        <v>1.3131944589869941E-2</v>
      </c>
      <c r="AQ44" t="s">
        <v>91</v>
      </c>
      <c r="AR44">
        <v>-6.1115690813542435E-4</v>
      </c>
      <c r="AS44">
        <v>5.1007610094854069E-3</v>
      </c>
      <c r="AT44">
        <v>-0.11981680909944872</v>
      </c>
      <c r="AU44">
        <v>0.90510841536955566</v>
      </c>
      <c r="AV44">
        <v>-1.0856336912385614E-2</v>
      </c>
      <c r="AW44">
        <v>9.6340230961147657E-3</v>
      </c>
      <c r="AX44">
        <v>-1.0856336912385614E-2</v>
      </c>
      <c r="AY44">
        <v>9.6340230961147657E-3</v>
      </c>
    </row>
    <row r="45" spans="4:51" ht="16.2" thickBot="1" x14ac:dyDescent="0.35">
      <c r="D45" s="32">
        <v>45432</v>
      </c>
      <c r="E45" s="19">
        <v>-9.7457627118643364E-3</v>
      </c>
      <c r="F45" s="19">
        <v>1.4428412874583962E-2</v>
      </c>
      <c r="G45" s="19">
        <v>-1.3407304669440512E-2</v>
      </c>
      <c r="H45" s="19">
        <v>1.1999020488123513E-2</v>
      </c>
      <c r="I45" s="19">
        <v>-4.3697478991596594E-2</v>
      </c>
      <c r="L45" s="32">
        <v>45432</v>
      </c>
      <c r="M45" s="35">
        <v>22320.9</v>
      </c>
      <c r="N45" s="19">
        <f t="shared" si="0"/>
        <v>-6.4321133832471178E-3</v>
      </c>
      <c r="AG45" s="21" t="s">
        <v>104</v>
      </c>
      <c r="AH45" s="21">
        <v>0.56828103861245405</v>
      </c>
      <c r="AI45" s="21">
        <v>0.24960676651194244</v>
      </c>
      <c r="AJ45" s="21">
        <v>2.2767052614547798</v>
      </c>
      <c r="AK45" s="21">
        <v>2.7118012764051586E-2</v>
      </c>
      <c r="AL45" s="21">
        <v>6.6931093292884936E-2</v>
      </c>
      <c r="AM45" s="21">
        <v>1.069630983932023</v>
      </c>
      <c r="AN45" s="21">
        <v>6.6931093292884936E-2</v>
      </c>
      <c r="AO45" s="21">
        <v>1.069630983932023</v>
      </c>
      <c r="AQ45" s="21" t="s">
        <v>104</v>
      </c>
      <c r="AR45" s="21">
        <v>1.8567321881512682</v>
      </c>
      <c r="AS45" s="21">
        <v>0.36891022888867875</v>
      </c>
      <c r="AT45" s="21">
        <v>5.0330189914889836</v>
      </c>
      <c r="AU45" s="21">
        <v>6.6314635938778729E-6</v>
      </c>
      <c r="AV45" s="21">
        <v>1.1157541863697351</v>
      </c>
      <c r="AW45" s="21">
        <v>2.5977101899328012</v>
      </c>
      <c r="AX45" s="21">
        <v>1.1157541863697351</v>
      </c>
      <c r="AY45" s="21">
        <v>2.5977101899328012</v>
      </c>
    </row>
    <row r="46" spans="4:51" ht="15.6" x14ac:dyDescent="0.3">
      <c r="D46" s="32">
        <v>45425</v>
      </c>
      <c r="E46" s="19">
        <v>3.0192797380865777E-2</v>
      </c>
      <c r="F46" s="19">
        <v>5.86101032654196E-3</v>
      </c>
      <c r="G46" s="19">
        <v>2.7816411682892728E-3</v>
      </c>
      <c r="H46" s="19">
        <v>3.7516937669376693E-2</v>
      </c>
      <c r="I46" s="19">
        <v>5.1701281484754835E-2</v>
      </c>
      <c r="L46" s="32">
        <v>45425</v>
      </c>
      <c r="M46" s="35">
        <v>22465.4</v>
      </c>
      <c r="N46" s="19">
        <f t="shared" si="0"/>
        <v>7.0151374563514057E-3</v>
      </c>
      <c r="R46" s="26" t="s">
        <v>42</v>
      </c>
      <c r="T46" s="1" t="s">
        <v>114</v>
      </c>
      <c r="AG46"/>
      <c r="AH46"/>
      <c r="AI46"/>
      <c r="AJ46"/>
      <c r="AK46"/>
      <c r="AL46"/>
      <c r="AM46"/>
      <c r="AN46"/>
      <c r="AO46"/>
      <c r="AQ46"/>
      <c r="AR46"/>
      <c r="AS46"/>
      <c r="AT46"/>
      <c r="AU46"/>
      <c r="AV46"/>
      <c r="AW46"/>
      <c r="AX46"/>
      <c r="AY46"/>
    </row>
    <row r="47" spans="4:51" ht="15.6" x14ac:dyDescent="0.3">
      <c r="D47" s="32">
        <v>45418</v>
      </c>
      <c r="E47" s="19">
        <v>1.9507491470108329E-2</v>
      </c>
      <c r="F47" s="19">
        <v>-1.9430760810071224E-2</v>
      </c>
      <c r="G47" s="19">
        <v>2.6653974297953242E-2</v>
      </c>
      <c r="H47" s="19">
        <v>1.391035548686248E-2</v>
      </c>
      <c r="I47" s="19">
        <v>2.7235587834770758E-2</v>
      </c>
      <c r="L47" s="32">
        <v>45418</v>
      </c>
      <c r="M47" s="35">
        <v>22308.9</v>
      </c>
      <c r="N47" s="19">
        <f t="shared" si="0"/>
        <v>1.6471199322015462E-2</v>
      </c>
      <c r="T47" s="1" t="s">
        <v>115</v>
      </c>
      <c r="AG47"/>
      <c r="AH47"/>
      <c r="AI47"/>
      <c r="AJ47"/>
      <c r="AK47"/>
      <c r="AL47"/>
      <c r="AM47"/>
      <c r="AN47"/>
      <c r="AO47"/>
      <c r="AQ47"/>
      <c r="AR47"/>
      <c r="AS47"/>
      <c r="AT47"/>
      <c r="AU47"/>
      <c r="AV47"/>
      <c r="AW47"/>
      <c r="AX47"/>
      <c r="AY47"/>
    </row>
    <row r="48" spans="4:51" ht="15.6" x14ac:dyDescent="0.3">
      <c r="D48" s="32">
        <v>45411</v>
      </c>
      <c r="E48" s="19">
        <v>4.2127231970317647E-2</v>
      </c>
      <c r="F48" s="19">
        <v>2.267002518891692E-2</v>
      </c>
      <c r="G48" s="19">
        <v>-2.2335970218706258E-2</v>
      </c>
      <c r="H48" s="19">
        <v>9.3603744149766133E-3</v>
      </c>
      <c r="I48" s="19">
        <v>-3.588621444201312E-2</v>
      </c>
      <c r="L48" s="32">
        <v>45411</v>
      </c>
      <c r="M48" s="35">
        <v>21947.4</v>
      </c>
      <c r="N48" s="19">
        <f t="shared" si="0"/>
        <v>-9.9229830854097312E-4</v>
      </c>
      <c r="T48" s="1" t="s">
        <v>117</v>
      </c>
      <c r="AG48"/>
      <c r="AH48"/>
      <c r="AI48"/>
      <c r="AJ48"/>
      <c r="AK48"/>
      <c r="AL48"/>
      <c r="AM48"/>
      <c r="AN48"/>
      <c r="AO48"/>
      <c r="AQ48"/>
      <c r="AR48"/>
      <c r="AS48"/>
      <c r="AT48"/>
      <c r="AU48"/>
      <c r="AV48"/>
      <c r="AW48"/>
      <c r="AX48"/>
      <c r="AY48"/>
    </row>
    <row r="49" spans="4:41" ht="15.6" x14ac:dyDescent="0.3">
      <c r="D49" s="32">
        <v>45404</v>
      </c>
      <c r="E49" s="19">
        <v>-3.1591924795808524E-3</v>
      </c>
      <c r="F49" s="19">
        <v>7.8984485190407572E-3</v>
      </c>
      <c r="G49" s="19">
        <v>-2.7842227378190865E-3</v>
      </c>
      <c r="H49" s="19">
        <v>2.5782361308676949E-2</v>
      </c>
      <c r="I49" s="19">
        <v>-7.3848827106862691E-3</v>
      </c>
      <c r="L49" s="32">
        <v>45404</v>
      </c>
      <c r="M49" s="35">
        <v>21969.200000000001</v>
      </c>
      <c r="N49" s="19">
        <f t="shared" si="0"/>
        <v>7.4194998028191961E-3</v>
      </c>
      <c r="T49" s="1" t="s">
        <v>116</v>
      </c>
      <c r="AG49" s="44" t="s">
        <v>108</v>
      </c>
      <c r="AH49"/>
      <c r="AI49"/>
      <c r="AJ49"/>
      <c r="AK49"/>
      <c r="AL49"/>
      <c r="AM49"/>
      <c r="AN49"/>
      <c r="AO49"/>
    </row>
    <row r="50" spans="4:41" ht="16.2" thickBot="1" x14ac:dyDescent="0.35">
      <c r="D50" s="32">
        <v>45397</v>
      </c>
      <c r="E50" s="19">
        <v>-8.0256821829856051E-3</v>
      </c>
      <c r="F50" s="19">
        <v>-2.8200789622101485E-4</v>
      </c>
      <c r="G50" s="19">
        <v>-9.1954022988505191E-3</v>
      </c>
      <c r="H50" s="19">
        <v>6.7126107580774974E-3</v>
      </c>
      <c r="I50" s="19">
        <v>-4.4416770444167697E-2</v>
      </c>
      <c r="L50" s="32">
        <v>45397</v>
      </c>
      <c r="M50" s="35">
        <v>21807.4</v>
      </c>
      <c r="N50" s="19">
        <f t="shared" si="0"/>
        <v>-4.2283105022830059E-3</v>
      </c>
      <c r="AG50"/>
      <c r="AH50"/>
      <c r="AI50"/>
      <c r="AJ50"/>
      <c r="AK50"/>
      <c r="AL50"/>
      <c r="AM50"/>
      <c r="AN50"/>
      <c r="AO50"/>
    </row>
    <row r="51" spans="4:41" ht="15.6" x14ac:dyDescent="0.3">
      <c r="D51" s="32">
        <v>45390</v>
      </c>
      <c r="E51" s="19">
        <v>-2.4821109123434604E-2</v>
      </c>
      <c r="F51" s="19">
        <v>-6.444382179882191E-3</v>
      </c>
      <c r="G51" s="19">
        <v>9.203865623561569E-4</v>
      </c>
      <c r="H51" s="19">
        <v>-2.1371638784269065E-2</v>
      </c>
      <c r="I51" s="19">
        <v>1.5598650927487467E-2</v>
      </c>
      <c r="L51" s="32">
        <v>45390</v>
      </c>
      <c r="M51" s="35">
        <v>21900</v>
      </c>
      <c r="N51" s="19">
        <f t="shared" si="0"/>
        <v>-1.6366935556314188E-2</v>
      </c>
      <c r="R51" s="26" t="s">
        <v>44</v>
      </c>
      <c r="T51" s="1" t="s">
        <v>118</v>
      </c>
      <c r="AG51" s="37" t="s">
        <v>82</v>
      </c>
      <c r="AH51" s="37"/>
      <c r="AI51"/>
      <c r="AJ51"/>
      <c r="AK51"/>
      <c r="AL51"/>
      <c r="AM51"/>
      <c r="AN51"/>
      <c r="AO51"/>
    </row>
    <row r="52" spans="4:41" ht="15.6" x14ac:dyDescent="0.3">
      <c r="D52" s="32">
        <v>45383</v>
      </c>
      <c r="E52" s="19">
        <v>1.8214936247723079E-2</v>
      </c>
      <c r="F52" s="19">
        <v>1.7098888572242732E-2</v>
      </c>
      <c r="G52" s="19">
        <v>1.1167985109353351E-2</v>
      </c>
      <c r="H52" s="19">
        <v>0.10952380952380958</v>
      </c>
      <c r="I52" s="19">
        <v>7.622504537205077E-2</v>
      </c>
      <c r="L52" s="32">
        <v>45383</v>
      </c>
      <c r="M52" s="35">
        <v>22264.400000000001</v>
      </c>
      <c r="N52" s="19">
        <f t="shared" si="0"/>
        <v>4.3939188884378755E-3</v>
      </c>
      <c r="T52" s="1" t="s">
        <v>119</v>
      </c>
      <c r="AG52" t="s">
        <v>83</v>
      </c>
      <c r="AH52">
        <v>0.39265911333102144</v>
      </c>
      <c r="AI52"/>
      <c r="AJ52"/>
      <c r="AK52"/>
      <c r="AL52"/>
      <c r="AM52"/>
      <c r="AN52"/>
      <c r="AO52"/>
    </row>
    <row r="53" spans="4:41" ht="15.6" x14ac:dyDescent="0.3">
      <c r="D53" s="32">
        <v>45376</v>
      </c>
      <c r="E53" s="19">
        <v>1.0042161747796152E-2</v>
      </c>
      <c r="F53" s="19">
        <v>5.6927710843373447E-2</v>
      </c>
      <c r="G53" s="19">
        <v>-7.8485687903970813E-3</v>
      </c>
      <c r="H53" s="19">
        <v>1.850935365732953E-2</v>
      </c>
      <c r="I53" s="19">
        <v>6.6795740561471417E-2</v>
      </c>
      <c r="L53" s="32">
        <v>45376</v>
      </c>
      <c r="M53" s="35">
        <v>22167</v>
      </c>
      <c r="N53" s="19">
        <f t="shared" si="0"/>
        <v>8.3196492010135792E-3</v>
      </c>
      <c r="T53" s="1" t="s">
        <v>120</v>
      </c>
      <c r="AG53" t="s">
        <v>84</v>
      </c>
      <c r="AH53">
        <v>0.15418117928190395</v>
      </c>
      <c r="AI53"/>
      <c r="AJ53"/>
      <c r="AK53"/>
      <c r="AL53"/>
      <c r="AM53"/>
      <c r="AN53"/>
      <c r="AO53"/>
    </row>
    <row r="54" spans="4:41" ht="15.6" x14ac:dyDescent="0.3">
      <c r="D54" s="32">
        <v>45369</v>
      </c>
      <c r="E54" s="19">
        <v>4.698089956869822E-3</v>
      </c>
      <c r="F54" s="19">
        <v>3.0211480362538623E-3</v>
      </c>
      <c r="G54" s="19">
        <v>1.8814675446848561E-2</v>
      </c>
      <c r="H54" s="19">
        <v>-3.7992763283184128E-2</v>
      </c>
      <c r="I54" s="19">
        <v>-1.1010052656773572E-2</v>
      </c>
      <c r="L54" s="32">
        <v>45369</v>
      </c>
      <c r="M54" s="35">
        <v>21984.1</v>
      </c>
      <c r="N54" s="19">
        <f t="shared" si="0"/>
        <v>6.1741390989142886E-3</v>
      </c>
      <c r="T54" s="1" t="s">
        <v>121</v>
      </c>
      <c r="AG54" t="s">
        <v>85</v>
      </c>
      <c r="AH54">
        <v>0.13726480286754203</v>
      </c>
      <c r="AI54"/>
      <c r="AJ54"/>
      <c r="AK54"/>
      <c r="AL54"/>
      <c r="AM54"/>
      <c r="AN54"/>
      <c r="AO54"/>
    </row>
    <row r="55" spans="4:41" ht="15.6" x14ac:dyDescent="0.3">
      <c r="D55" s="32">
        <v>45362</v>
      </c>
      <c r="E55" s="19">
        <v>4.8757836080799422E-3</v>
      </c>
      <c r="F55" s="19">
        <v>-2.1289178001182685E-2</v>
      </c>
      <c r="G55" s="19">
        <v>1.9175455417066223E-2</v>
      </c>
      <c r="H55" s="19">
        <v>2.5585937499999822E-2</v>
      </c>
      <c r="I55" s="19">
        <v>3.3621517771373899E-3</v>
      </c>
      <c r="L55" s="32">
        <v>45362</v>
      </c>
      <c r="M55" s="35">
        <v>21849.200000000001</v>
      </c>
      <c r="N55" s="19">
        <f t="shared" si="0"/>
        <v>5.1385853939045489E-3</v>
      </c>
      <c r="T55" s="1" t="s">
        <v>124</v>
      </c>
      <c r="AG55" t="s">
        <v>86</v>
      </c>
      <c r="AH55">
        <v>2.3078129773729576E-2</v>
      </c>
      <c r="AI55"/>
      <c r="AJ55"/>
      <c r="AK55"/>
      <c r="AL55"/>
      <c r="AM55"/>
      <c r="AN55"/>
      <c r="AO55"/>
    </row>
    <row r="56" spans="4:41" ht="16.2" thickBot="1" x14ac:dyDescent="0.35">
      <c r="D56" s="33">
        <v>45355</v>
      </c>
      <c r="E56" s="19">
        <v>1.5402750491159134E-2</v>
      </c>
      <c r="F56" s="19">
        <v>-2.844010341855796E-2</v>
      </c>
      <c r="G56" s="19">
        <v>-7.1394574012375589E-3</v>
      </c>
      <c r="H56" s="19">
        <v>-1.5005771450557814E-2</v>
      </c>
      <c r="I56" s="19">
        <v>5.7389537836465054E-2</v>
      </c>
      <c r="L56" s="33">
        <v>45355</v>
      </c>
      <c r="M56" s="35">
        <v>21737.5</v>
      </c>
      <c r="N56" s="19">
        <f t="shared" si="0"/>
        <v>8.5883706686957773E-3</v>
      </c>
      <c r="T56" s="1" t="s">
        <v>125</v>
      </c>
      <c r="AG56" s="21" t="s">
        <v>87</v>
      </c>
      <c r="AH56" s="21">
        <v>52</v>
      </c>
      <c r="AI56"/>
      <c r="AJ56"/>
      <c r="AK56"/>
      <c r="AL56"/>
      <c r="AM56"/>
      <c r="AN56"/>
      <c r="AO56"/>
    </row>
    <row r="57" spans="4:41" ht="15.6" x14ac:dyDescent="0.3">
      <c r="D57" s="32">
        <v>45348</v>
      </c>
      <c r="E57" s="19">
        <v>-9.5734744707346442E-3</v>
      </c>
      <c r="F57" s="19">
        <v>4.1903621670158708E-2</v>
      </c>
      <c r="G57" s="19">
        <v>2.0398251578436222E-2</v>
      </c>
      <c r="H57" s="19">
        <v>-1.3568649777018771E-2</v>
      </c>
      <c r="I57" s="19">
        <v>1.8623900672529947E-2</v>
      </c>
      <c r="L57" s="32">
        <v>45348</v>
      </c>
      <c r="M57" s="35">
        <v>21552.400000000001</v>
      </c>
      <c r="N57" s="19">
        <f t="shared" si="0"/>
        <v>6.5006631423607519E-3</v>
      </c>
      <c r="T57" s="1" t="s">
        <v>126</v>
      </c>
      <c r="AG57"/>
      <c r="AH57"/>
      <c r="AI57"/>
      <c r="AJ57"/>
      <c r="AK57"/>
      <c r="AL57"/>
      <c r="AM57"/>
      <c r="AN57"/>
      <c r="AO57"/>
    </row>
    <row r="58" spans="4:41" ht="16.2" thickBot="1" x14ac:dyDescent="0.35">
      <c r="D58" s="32">
        <v>45341</v>
      </c>
      <c r="E58" s="19">
        <v>0</v>
      </c>
      <c r="F58" s="19">
        <v>0</v>
      </c>
      <c r="G58" s="19">
        <v>0</v>
      </c>
      <c r="H58" s="19">
        <v>0</v>
      </c>
      <c r="I58" s="19">
        <v>0</v>
      </c>
      <c r="L58" s="32">
        <v>45341</v>
      </c>
      <c r="M58" s="35">
        <v>21413.200000000001</v>
      </c>
      <c r="N58" s="19">
        <f>IFERROR((M58/M59)-1,0)</f>
        <v>0</v>
      </c>
      <c r="AG58" t="s">
        <v>88</v>
      </c>
      <c r="AH58"/>
      <c r="AI58"/>
      <c r="AJ58"/>
      <c r="AK58"/>
      <c r="AL58"/>
      <c r="AM58"/>
      <c r="AN58"/>
      <c r="AO58"/>
    </row>
    <row r="59" spans="4:41" x14ac:dyDescent="0.3">
      <c r="M59" s="26" t="s">
        <v>45</v>
      </c>
      <c r="N59" s="20">
        <f>SUM(N7:N58)</f>
        <v>0.18737091080424761</v>
      </c>
      <c r="R59" s="26" t="s">
        <v>127</v>
      </c>
      <c r="T59" s="1" t="s">
        <v>147</v>
      </c>
      <c r="AG59" s="22"/>
      <c r="AH59" s="22" t="s">
        <v>92</v>
      </c>
      <c r="AI59" s="22" t="s">
        <v>93</v>
      </c>
      <c r="AJ59" s="22" t="s">
        <v>94</v>
      </c>
      <c r="AK59" s="22" t="s">
        <v>95</v>
      </c>
      <c r="AL59" s="22" t="s">
        <v>96</v>
      </c>
      <c r="AM59"/>
      <c r="AN59"/>
      <c r="AO59"/>
    </row>
    <row r="60" spans="4:41" x14ac:dyDescent="0.3">
      <c r="M60" s="26" t="s">
        <v>122</v>
      </c>
      <c r="N60" s="18">
        <f>N59/52</f>
        <v>3.6032867462355311E-3</v>
      </c>
      <c r="T60" s="1" t="s">
        <v>128</v>
      </c>
      <c r="AG60" t="s">
        <v>89</v>
      </c>
      <c r="AH60">
        <v>1</v>
      </c>
      <c r="AI60">
        <v>4.8542847156429897E-3</v>
      </c>
      <c r="AJ60">
        <v>4.8542847156429897E-3</v>
      </c>
      <c r="AK60">
        <v>9.1143147625282737</v>
      </c>
      <c r="AL60">
        <v>3.9855857971231425E-3</v>
      </c>
      <c r="AM60"/>
      <c r="AN60"/>
      <c r="AO60"/>
    </row>
    <row r="61" spans="4:41" x14ac:dyDescent="0.3">
      <c r="M61" s="26" t="s">
        <v>123</v>
      </c>
      <c r="N61" s="20">
        <f>N60-'1-B'!E7</f>
        <v>3.0648252077739926E-3</v>
      </c>
      <c r="AG61" t="s">
        <v>90</v>
      </c>
      <c r="AH61">
        <v>50</v>
      </c>
      <c r="AI61">
        <v>2.6630003692655176E-2</v>
      </c>
      <c r="AJ61">
        <v>5.3260007385310347E-4</v>
      </c>
      <c r="AK61"/>
      <c r="AL61"/>
      <c r="AM61"/>
      <c r="AN61"/>
      <c r="AO61"/>
    </row>
    <row r="62" spans="4:41" ht="15" thickBot="1" x14ac:dyDescent="0.35">
      <c r="AG62" s="21" t="s">
        <v>16</v>
      </c>
      <c r="AH62" s="21">
        <v>51</v>
      </c>
      <c r="AI62" s="21">
        <v>3.1484288408298165E-2</v>
      </c>
      <c r="AJ62" s="21"/>
      <c r="AK62" s="21"/>
      <c r="AL62" s="21"/>
      <c r="AM62"/>
      <c r="AN62"/>
      <c r="AO62"/>
    </row>
    <row r="63" spans="4:41" ht="15" thickBot="1" x14ac:dyDescent="0.35">
      <c r="AG63"/>
      <c r="AH63"/>
      <c r="AI63"/>
      <c r="AJ63"/>
      <c r="AK63"/>
      <c r="AL63"/>
      <c r="AM63"/>
      <c r="AN63"/>
      <c r="AO63"/>
    </row>
    <row r="64" spans="4:41" x14ac:dyDescent="0.3">
      <c r="AG64" s="22"/>
      <c r="AH64" s="22" t="s">
        <v>97</v>
      </c>
      <c r="AI64" s="22" t="s">
        <v>86</v>
      </c>
      <c r="AJ64" s="22" t="s">
        <v>98</v>
      </c>
      <c r="AK64" s="22" t="s">
        <v>99</v>
      </c>
      <c r="AL64" s="22" t="s">
        <v>100</v>
      </c>
      <c r="AM64" s="22" t="s">
        <v>101</v>
      </c>
      <c r="AN64" s="22" t="s">
        <v>102</v>
      </c>
      <c r="AO64" s="22" t="s">
        <v>103</v>
      </c>
    </row>
    <row r="65" spans="4:41" x14ac:dyDescent="0.3">
      <c r="AG65" t="s">
        <v>91</v>
      </c>
      <c r="AH65">
        <v>4.0256545969616407E-4</v>
      </c>
      <c r="AI65">
        <v>3.3149066527768654E-3</v>
      </c>
      <c r="AJ65">
        <v>0.12144096406423356</v>
      </c>
      <c r="AK65">
        <v>0.90382852243279044</v>
      </c>
      <c r="AL65">
        <v>-6.2556205035022433E-3</v>
      </c>
      <c r="AM65">
        <v>7.0607514228945706E-3</v>
      </c>
      <c r="AN65">
        <v>-6.2556205035022433E-3</v>
      </c>
      <c r="AO65">
        <v>7.0607514228945706E-3</v>
      </c>
    </row>
    <row r="66" spans="4:41" ht="15" thickBot="1" x14ac:dyDescent="0.35">
      <c r="D66" s="26"/>
      <c r="AG66" s="21" t="s">
        <v>104</v>
      </c>
      <c r="AH66" s="21">
        <v>0.72380076246895153</v>
      </c>
      <c r="AI66" s="21">
        <v>0.23974912169897772</v>
      </c>
      <c r="AJ66" s="21">
        <v>3.0189923422440543</v>
      </c>
      <c r="AK66" s="21">
        <v>3.9855857971232058E-3</v>
      </c>
      <c r="AL66" s="21">
        <v>0.24225047946231554</v>
      </c>
      <c r="AM66" s="21">
        <v>1.2053510454755876</v>
      </c>
      <c r="AN66" s="21">
        <v>0.24225047946231554</v>
      </c>
      <c r="AO66" s="21">
        <v>1.2053510454755876</v>
      </c>
    </row>
    <row r="67" spans="4:41" x14ac:dyDescent="0.3">
      <c r="AG67"/>
      <c r="AH67"/>
      <c r="AI67"/>
      <c r="AJ67"/>
      <c r="AK67"/>
      <c r="AL67"/>
      <c r="AM67"/>
      <c r="AN67"/>
      <c r="AO67"/>
    </row>
    <row r="68" spans="4:41" x14ac:dyDescent="0.3">
      <c r="AG68"/>
      <c r="AH68"/>
      <c r="AI68"/>
      <c r="AJ68"/>
      <c r="AK68"/>
      <c r="AL68"/>
      <c r="AM68"/>
      <c r="AN68"/>
      <c r="AO68"/>
    </row>
    <row r="69" spans="4:41" x14ac:dyDescent="0.3">
      <c r="AG69"/>
      <c r="AH69"/>
      <c r="AI69"/>
      <c r="AJ69"/>
      <c r="AK69"/>
      <c r="AL69"/>
      <c r="AM69"/>
      <c r="AN69"/>
      <c r="AO69"/>
    </row>
  </sheetData>
  <mergeCells count="4">
    <mergeCell ref="D5:I5"/>
    <mergeCell ref="L5:Q5"/>
    <mergeCell ref="R5:W5"/>
    <mergeCell ref="AE3:AS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1-A</vt:lpstr>
      <vt:lpstr>1-B</vt:lpstr>
      <vt:lpstr>1-C</vt:lpstr>
      <vt:lpstr>1-D</vt:lpstr>
      <vt:lpstr>1-E</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2025-05-17T18:15:56Z</dcterms:modified>
</cp:coreProperties>
</file>