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Isaque\Downloads\"/>
    </mc:Choice>
  </mc:AlternateContent>
  <xr:revisionPtr revIDLastSave="0" documentId="13_ncr:1_{4EEA8446-BCED-4FEB-BCD0-1071803DF651}" xr6:coauthVersionLast="38" xr6:coauthVersionMax="38" xr10:uidLastSave="{00000000-0000-0000-0000-000000000000}"/>
  <bookViews>
    <workbookView xWindow="0" yWindow="0" windowWidth="23040" windowHeight="8448" tabRatio="711" activeTab="3" xr2:uid="{00000000-000D-0000-FFFF-FFFF00000000}"/>
  </bookViews>
  <sheets>
    <sheet name="Instruções" sheetId="11" r:id="rId1"/>
    <sheet name="Anexo I Comércio" sheetId="3" r:id="rId2"/>
    <sheet name="Anexo II - Indústria" sheetId="1" r:id="rId3"/>
    <sheet name="Anexo III - Serviços Inst." sheetId="7" r:id="rId4"/>
    <sheet name="Anexo IV - Serviços em geral" sheetId="8" r:id="rId5"/>
    <sheet name="Anexo V - Serv. de Academias" sheetId="9" r:id="rId6"/>
    <sheet name="Sua empresa além da planilha" sheetId="10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" i="9" l="1"/>
  <c r="C21" i="9" s="1"/>
  <c r="B20" i="9"/>
  <c r="C20" i="9" s="1"/>
  <c r="B19" i="9"/>
  <c r="C19" i="9" s="1"/>
  <c r="B18" i="9"/>
  <c r="C18" i="9" s="1"/>
  <c r="B17" i="9"/>
  <c r="C17" i="9" s="1"/>
  <c r="B16" i="9"/>
  <c r="C16" i="9" s="1"/>
  <c r="D16" i="9" s="1"/>
  <c r="D17" i="9" s="1"/>
  <c r="C5" i="9" s="1"/>
  <c r="L34" i="8"/>
  <c r="K30" i="8"/>
  <c r="J31" i="8" s="1"/>
  <c r="J32" i="8" s="1"/>
  <c r="B21" i="8"/>
  <c r="C21" i="8" s="1"/>
  <c r="B20" i="8"/>
  <c r="C20" i="8" s="1"/>
  <c r="B19" i="8"/>
  <c r="C19" i="8" s="1"/>
  <c r="K18" i="8"/>
  <c r="B18" i="8"/>
  <c r="C18" i="8" s="1"/>
  <c r="B17" i="8"/>
  <c r="C17" i="8" s="1"/>
  <c r="B16" i="8"/>
  <c r="C16" i="8" s="1"/>
  <c r="D16" i="8" s="1"/>
  <c r="D17" i="8" s="1"/>
  <c r="C5" i="8" s="1"/>
  <c r="O13" i="8"/>
  <c r="O12" i="8"/>
  <c r="O11" i="8"/>
  <c r="K43" i="7"/>
  <c r="G43" i="7"/>
  <c r="L42" i="7"/>
  <c r="J43" i="7" s="1"/>
  <c r="L33" i="7"/>
  <c r="L29" i="7"/>
  <c r="B21" i="7"/>
  <c r="C21" i="7" s="1"/>
  <c r="B20" i="7"/>
  <c r="C20" i="7" s="1"/>
  <c r="B19" i="7"/>
  <c r="C19" i="7" s="1"/>
  <c r="B18" i="7"/>
  <c r="C18" i="7" s="1"/>
  <c r="B17" i="7"/>
  <c r="C17" i="7" s="1"/>
  <c r="B16" i="7"/>
  <c r="C16" i="7" s="1"/>
  <c r="D16" i="7" s="1"/>
  <c r="D17" i="7" s="1"/>
  <c r="C5" i="7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D16" i="1" s="1"/>
  <c r="D17" i="1" s="1"/>
  <c r="C5" i="1" s="1"/>
  <c r="B21" i="3"/>
  <c r="C21" i="3" s="1"/>
  <c r="B20" i="3"/>
  <c r="C20" i="3" s="1"/>
  <c r="D16" i="3" s="1"/>
  <c r="D17" i="3" s="1"/>
  <c r="C5" i="3" s="1"/>
  <c r="B19" i="3"/>
  <c r="C19" i="3" s="1"/>
  <c r="B18" i="3"/>
  <c r="C18" i="3" s="1"/>
  <c r="B17" i="3"/>
  <c r="C17" i="3" s="1"/>
  <c r="B16" i="3"/>
  <c r="C16" i="3" s="1"/>
  <c r="H39" i="8" l="1"/>
  <c r="J38" i="8"/>
  <c r="J37" i="7"/>
  <c r="K17" i="7"/>
  <c r="K18" i="7" s="1"/>
  <c r="G17" i="7"/>
  <c r="G18" i="7" s="1"/>
  <c r="I37" i="7"/>
  <c r="L37" i="7"/>
  <c r="H37" i="7"/>
  <c r="I17" i="7"/>
  <c r="I18" i="7" s="1"/>
  <c r="L17" i="7"/>
  <c r="L18" i="7" s="1"/>
  <c r="K37" i="7"/>
  <c r="J17" i="7"/>
  <c r="J18" i="7" s="1"/>
  <c r="G37" i="7"/>
  <c r="H17" i="7"/>
  <c r="H18" i="7" s="1"/>
  <c r="I17" i="3"/>
  <c r="I18" i="3" s="1"/>
  <c r="L17" i="3"/>
  <c r="L18" i="3" s="1"/>
  <c r="H17" i="3"/>
  <c r="H18" i="3" s="1"/>
  <c r="K17" i="3"/>
  <c r="K18" i="3" s="1"/>
  <c r="G17" i="3"/>
  <c r="G18" i="3" s="1"/>
  <c r="J17" i="3"/>
  <c r="J18" i="3" s="1"/>
  <c r="M17" i="1"/>
  <c r="M18" i="1" s="1"/>
  <c r="I17" i="1"/>
  <c r="I18" i="1" s="1"/>
  <c r="L17" i="1"/>
  <c r="L18" i="1" s="1"/>
  <c r="H17" i="1"/>
  <c r="H18" i="1" s="1"/>
  <c r="K17" i="1"/>
  <c r="K18" i="1" s="1"/>
  <c r="G17" i="1"/>
  <c r="G18" i="1" s="1"/>
  <c r="J17" i="1"/>
  <c r="J18" i="1" s="1"/>
  <c r="I17" i="9"/>
  <c r="I18" i="9" s="1"/>
  <c r="L17" i="9"/>
  <c r="L18" i="9" s="1"/>
  <c r="H17" i="9"/>
  <c r="H18" i="9" s="1"/>
  <c r="K17" i="9"/>
  <c r="K18" i="9" s="1"/>
  <c r="G17" i="9"/>
  <c r="G18" i="9" s="1"/>
  <c r="J17" i="9"/>
  <c r="J18" i="9" s="1"/>
  <c r="I31" i="7"/>
  <c r="I38" i="7" s="1"/>
  <c r="K30" i="7"/>
  <c r="G30" i="7"/>
  <c r="K31" i="7"/>
  <c r="K32" i="7" s="1"/>
  <c r="K33" i="7" s="1"/>
  <c r="G31" i="7"/>
  <c r="G38" i="7" s="1"/>
  <c r="I30" i="7"/>
  <c r="H31" i="7"/>
  <c r="H38" i="7" s="1"/>
  <c r="H30" i="7"/>
  <c r="J31" i="7"/>
  <c r="J38" i="7" s="1"/>
  <c r="K39" i="8"/>
  <c r="G39" i="8"/>
  <c r="I38" i="8"/>
  <c r="J33" i="8"/>
  <c r="J34" i="8" s="1"/>
  <c r="I17" i="8"/>
  <c r="I18" i="8" s="1"/>
  <c r="J39" i="8"/>
  <c r="L38" i="8"/>
  <c r="H38" i="8"/>
  <c r="I33" i="8"/>
  <c r="I34" i="8" s="1"/>
  <c r="H17" i="8"/>
  <c r="H18" i="8" s="1"/>
  <c r="I39" i="8"/>
  <c r="K38" i="8"/>
  <c r="G38" i="8"/>
  <c r="H33" i="8"/>
  <c r="H34" i="8" s="1"/>
  <c r="L17" i="8"/>
  <c r="L18" i="8" s="1"/>
  <c r="G17" i="8"/>
  <c r="K33" i="8"/>
  <c r="K34" i="8" s="1"/>
  <c r="J30" i="7"/>
  <c r="J17" i="8"/>
  <c r="J18" i="8" s="1"/>
  <c r="I31" i="8"/>
  <c r="I32" i="8" s="1"/>
  <c r="H31" i="8"/>
  <c r="G31" i="8"/>
  <c r="G32" i="8" s="1"/>
  <c r="G33" i="8" s="1"/>
  <c r="H43" i="7"/>
  <c r="I43" i="7"/>
  <c r="H19" i="7" l="1"/>
  <c r="H20" i="7" s="1"/>
  <c r="H21" i="7" s="1"/>
  <c r="L34" i="7"/>
  <c r="J19" i="3"/>
  <c r="J20" i="3" s="1"/>
  <c r="J21" i="3" s="1"/>
  <c r="G32" i="7"/>
  <c r="G33" i="7" s="1"/>
  <c r="H35" i="8"/>
  <c r="I32" i="7"/>
  <c r="I33" i="7" s="1"/>
  <c r="J35" i="8"/>
  <c r="M18" i="9"/>
  <c r="M21" i="9" s="1"/>
  <c r="K19" i="9" s="1"/>
  <c r="K20" i="9" s="1"/>
  <c r="G19" i="9"/>
  <c r="G19" i="1"/>
  <c r="N18" i="1"/>
  <c r="N21" i="1" s="1"/>
  <c r="K19" i="1" s="1"/>
  <c r="K20" i="1" s="1"/>
  <c r="L19" i="1"/>
  <c r="L20" i="1" s="1"/>
  <c r="H19" i="3"/>
  <c r="H20" i="3" s="1"/>
  <c r="K35" i="8"/>
  <c r="L31" i="7"/>
  <c r="I19" i="9"/>
  <c r="I20" i="9" s="1"/>
  <c r="I19" i="1"/>
  <c r="I20" i="1" s="1"/>
  <c r="L19" i="3"/>
  <c r="L20" i="3" s="1"/>
  <c r="H32" i="7"/>
  <c r="H33" i="7" s="1"/>
  <c r="J32" i="7"/>
  <c r="J33" i="7" s="1"/>
  <c r="I19" i="7"/>
  <c r="I20" i="7" s="1"/>
  <c r="K38" i="7"/>
  <c r="M17" i="8"/>
  <c r="G18" i="8"/>
  <c r="H19" i="8" s="1"/>
  <c r="H20" i="8" s="1"/>
  <c r="I35" i="8"/>
  <c r="H19" i="9"/>
  <c r="H20" i="9" s="1"/>
  <c r="M19" i="1"/>
  <c r="M20" i="1" s="1"/>
  <c r="J5" i="1" s="1"/>
  <c r="G19" i="3"/>
  <c r="M18" i="3"/>
  <c r="N18" i="3" s="1"/>
  <c r="K19" i="3" s="1"/>
  <c r="K20" i="3" s="1"/>
  <c r="M18" i="7"/>
  <c r="M21" i="7" s="1"/>
  <c r="K19" i="7" s="1"/>
  <c r="K20" i="7" s="1"/>
  <c r="G19" i="7"/>
  <c r="G34" i="8"/>
  <c r="M33" i="8"/>
  <c r="L30" i="7"/>
  <c r="J19" i="9"/>
  <c r="J20" i="9" s="1"/>
  <c r="L19" i="9"/>
  <c r="L20" i="9" s="1"/>
  <c r="J19" i="1"/>
  <c r="J20" i="1" s="1"/>
  <c r="H19" i="1"/>
  <c r="H20" i="1" s="1"/>
  <c r="I19" i="3"/>
  <c r="I20" i="3" s="1"/>
  <c r="J19" i="7"/>
  <c r="J20" i="7" s="1"/>
  <c r="L19" i="7"/>
  <c r="L20" i="7" s="1"/>
  <c r="H22" i="7" l="1"/>
  <c r="G5" i="3"/>
  <c r="J19" i="8"/>
  <c r="J20" i="8" s="1"/>
  <c r="J22" i="8" s="1"/>
  <c r="I19" i="8"/>
  <c r="I20" i="8" s="1"/>
  <c r="I22" i="8" s="1"/>
  <c r="H34" i="7"/>
  <c r="K21" i="9"/>
  <c r="H5" i="9"/>
  <c r="K21" i="7"/>
  <c r="K22" i="7"/>
  <c r="I21" i="3"/>
  <c r="F5" i="3"/>
  <c r="L21" i="9"/>
  <c r="I5" i="9"/>
  <c r="H21" i="9"/>
  <c r="E5" i="9"/>
  <c r="I21" i="9"/>
  <c r="F5" i="9"/>
  <c r="M32" i="7"/>
  <c r="L21" i="1"/>
  <c r="I5" i="1"/>
  <c r="I34" i="7"/>
  <c r="K21" i="3"/>
  <c r="H5" i="3"/>
  <c r="J21" i="9"/>
  <c r="G5" i="9"/>
  <c r="L21" i="3"/>
  <c r="I5" i="3"/>
  <c r="M33" i="7"/>
  <c r="G34" i="7"/>
  <c r="H21" i="3"/>
  <c r="E5" i="3"/>
  <c r="L22" i="7"/>
  <c r="L21" i="7"/>
  <c r="E5" i="1"/>
  <c r="H21" i="1"/>
  <c r="G35" i="8"/>
  <c r="M34" i="8"/>
  <c r="N34" i="8" s="1"/>
  <c r="M19" i="3"/>
  <c r="M20" i="3" s="1"/>
  <c r="G20" i="3"/>
  <c r="I21" i="7"/>
  <c r="I22" i="7"/>
  <c r="I21" i="1"/>
  <c r="F5" i="1"/>
  <c r="G20" i="1"/>
  <c r="N19" i="1"/>
  <c r="O19" i="1"/>
  <c r="O20" i="1" s="1"/>
  <c r="H21" i="8"/>
  <c r="H22" i="8"/>
  <c r="J22" i="7"/>
  <c r="J21" i="7"/>
  <c r="G5" i="1"/>
  <c r="J21" i="1"/>
  <c r="N19" i="7"/>
  <c r="N20" i="7" s="1"/>
  <c r="G20" i="7"/>
  <c r="M19" i="7"/>
  <c r="M18" i="8"/>
  <c r="M21" i="8" s="1"/>
  <c r="L19" i="8" s="1"/>
  <c r="L20" i="8" s="1"/>
  <c r="G19" i="8"/>
  <c r="L35" i="8"/>
  <c r="K19" i="8"/>
  <c r="K20" i="8" s="1"/>
  <c r="J34" i="7"/>
  <c r="K21" i="1"/>
  <c r="H5" i="1"/>
  <c r="N19" i="9"/>
  <c r="N20" i="9" s="1"/>
  <c r="G20" i="9"/>
  <c r="M19" i="9"/>
  <c r="K34" i="7"/>
  <c r="I21" i="8" l="1"/>
  <c r="J21" i="8"/>
  <c r="N33" i="7"/>
  <c r="M35" i="8"/>
  <c r="K21" i="8"/>
  <c r="K22" i="8"/>
  <c r="G21" i="7"/>
  <c r="G22" i="7"/>
  <c r="G21" i="1"/>
  <c r="D5" i="1"/>
  <c r="M34" i="7"/>
  <c r="N19" i="8"/>
  <c r="N20" i="8" s="1"/>
  <c r="M19" i="8"/>
  <c r="G20" i="8"/>
  <c r="M22" i="7"/>
  <c r="N22" i="7" s="1"/>
  <c r="G21" i="9"/>
  <c r="D5" i="9"/>
  <c r="L21" i="8"/>
  <c r="L22" i="8"/>
  <c r="G21" i="3"/>
  <c r="D5" i="3"/>
  <c r="G21" i="8" l="1"/>
  <c r="G22" i="8"/>
  <c r="M22" i="8"/>
  <c r="N22" i="8" s="1"/>
  <c r="L24" i="8" s="1"/>
  <c r="L25" i="8" s="1"/>
  <c r="L26" i="8" s="1"/>
  <c r="H5" i="8" s="1"/>
  <c r="H23" i="7"/>
  <c r="H24" i="7" s="1"/>
  <c r="H25" i="7" s="1"/>
  <c r="J23" i="7"/>
  <c r="J24" i="7" s="1"/>
  <c r="J25" i="7" s="1"/>
  <c r="G23" i="7"/>
  <c r="K23" i="7"/>
  <c r="K24" i="7" s="1"/>
  <c r="K25" i="7" s="1"/>
  <c r="I23" i="7"/>
  <c r="I24" i="7" s="1"/>
  <c r="I25" i="7" s="1"/>
  <c r="L24" i="7"/>
  <c r="L25" i="7" s="1"/>
  <c r="M23" i="7" l="1"/>
  <c r="G24" i="7"/>
  <c r="J23" i="8"/>
  <c r="J24" i="8" s="1"/>
  <c r="J25" i="8" s="1"/>
  <c r="I23" i="8"/>
  <c r="I24" i="8" s="1"/>
  <c r="I25" i="8" s="1"/>
  <c r="H23" i="8"/>
  <c r="H24" i="8" s="1"/>
  <c r="H25" i="8" s="1"/>
  <c r="K23" i="8"/>
  <c r="K24" i="8" s="1"/>
  <c r="K25" i="8" s="1"/>
  <c r="G23" i="8"/>
  <c r="M23" i="8" l="1"/>
  <c r="G24" i="8"/>
  <c r="G25" i="7"/>
  <c r="M24" i="7"/>
  <c r="G26" i="7" l="1"/>
  <c r="M25" i="7"/>
  <c r="N25" i="7" s="1"/>
  <c r="K26" i="7" s="1"/>
  <c r="H5" i="7" s="1"/>
  <c r="L26" i="7"/>
  <c r="I5" i="7" s="1"/>
  <c r="I26" i="7"/>
  <c r="F5" i="7" s="1"/>
  <c r="J26" i="7"/>
  <c r="G5" i="7" s="1"/>
  <c r="H26" i="7"/>
  <c r="E5" i="7" s="1"/>
  <c r="G25" i="8"/>
  <c r="M24" i="8"/>
  <c r="M25" i="8" l="1"/>
  <c r="K26" i="8"/>
  <c r="P5" i="8" s="1"/>
  <c r="J26" i="8"/>
  <c r="G5" i="8" s="1"/>
  <c r="H26" i="8"/>
  <c r="E5" i="8" s="1"/>
  <c r="I26" i="8"/>
  <c r="F5" i="8" s="1"/>
  <c r="N25" i="8"/>
  <c r="G26" i="8" s="1"/>
  <c r="D5" i="8" s="1"/>
  <c r="D5" i="7"/>
  <c r="M26" i="7"/>
  <c r="M26" i="8" l="1"/>
</calcChain>
</file>

<file path=xl/sharedStrings.xml><?xml version="1.0" encoding="utf-8"?>
<sst xmlns="http://schemas.openxmlformats.org/spreadsheetml/2006/main" count="209" uniqueCount="28">
  <si>
    <t>IRPJ</t>
  </si>
  <si>
    <t>CSLL</t>
  </si>
  <si>
    <t>Cofins</t>
  </si>
  <si>
    <t>PIS/Pasep</t>
  </si>
  <si>
    <t>CPP</t>
  </si>
  <si>
    <t>ICMS</t>
  </si>
  <si>
    <t>RBT12:</t>
  </si>
  <si>
    <t>1ª faixa</t>
  </si>
  <si>
    <t>2ª faixa</t>
  </si>
  <si>
    <t>3ª faixa</t>
  </si>
  <si>
    <t>4ª faixa</t>
  </si>
  <si>
    <t>5ª faixa</t>
  </si>
  <si>
    <t>6ª faixa</t>
  </si>
  <si>
    <t>7ª faixa</t>
  </si>
  <si>
    <t>digite a RBT12 no próximo campo - &gt;</t>
  </si>
  <si>
    <t>alíquota efetiva</t>
  </si>
  <si>
    <t>PERCENTUAIS EFETIVOS DOS TRIBUTOS</t>
  </si>
  <si>
    <t>PERCENTUAIS DE REPARTIÇÃO DOS TRIBUTOS</t>
  </si>
  <si>
    <t>IPI</t>
  </si>
  <si>
    <t>ISS</t>
  </si>
  <si>
    <t>-</t>
  </si>
  <si>
    <t>limite para 4,99 de ISS</t>
  </si>
  <si>
    <t>Planilha de Alíquota do Simples Nacional 2018</t>
  </si>
  <si>
    <t>digite a Renda Bruta Tributária para 12 meses - &gt;</t>
  </si>
  <si>
    <t>Limite Superior</t>
  </si>
  <si>
    <t>Limite Inferior</t>
  </si>
  <si>
    <t>Alíquota Nominal</t>
  </si>
  <si>
    <t>VLR Deduzir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</si>
</sst>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0.000%"/>
    <numFmt numFmtId="166" formatCode="0.0000%"/>
    <numFmt numFmtId="167" formatCode="0.00000%"/>
    <numFmt numFmtId="168" formatCode="0.000000%"/>
    <numFmt numFmtId="169" formatCode="_-* #,##0_-;\-* #,##0_-;_-* &quot;-&quot;??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9"/>
      <color theme="1"/>
      <name val="Arial"/>
      <family val="2"/>
    </font>
    <font>
      <strike/>
      <sz val="16"/>
      <color theme="1"/>
      <name val="Calibri"/>
      <family val="2"/>
      <scheme val="minor"/>
    </font>
    <font>
      <b/>
      <strike/>
      <u/>
      <sz val="2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0"/>
      <name val="Calibri"/>
      <family val="2"/>
      <scheme val="minor"/>
    </font>
    <font>
      <b/>
      <sz val="18"/>
      <color rgb="FF2687E9"/>
      <name val="Arial"/>
      <family val="2"/>
    </font>
    <font>
      <sz val="11"/>
      <color theme="1"/>
      <name val="Open Sans"/>
      <family val="2"/>
    </font>
    <font>
      <sz val="8"/>
      <color rgb="FF000000"/>
      <name val="Open Sans"/>
      <family val="2"/>
    </font>
    <font>
      <b/>
      <sz val="14"/>
      <color theme="1"/>
      <name val="Open Sans"/>
      <family val="2"/>
    </font>
    <font>
      <b/>
      <sz val="16"/>
      <color theme="1"/>
      <name val="Open Sans"/>
      <family val="2"/>
    </font>
    <font>
      <b/>
      <sz val="10"/>
      <color theme="1"/>
      <name val="Open Sans"/>
      <family val="2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sz val="8"/>
      <color theme="1"/>
      <name val="Open Sans"/>
      <family val="2"/>
    </font>
    <font>
      <sz val="8"/>
      <name val="Open Sans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983BB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rgb="FFDCE4F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68">
    <xf numFmtId="0" fontId="0" fillId="0" borderId="0" xfId="0"/>
    <xf numFmtId="10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165" fontId="0" fillId="0" borderId="0" xfId="2" applyNumberFormat="1" applyFont="1"/>
    <xf numFmtId="165" fontId="0" fillId="0" borderId="0" xfId="0" applyNumberFormat="1"/>
    <xf numFmtId="166" fontId="0" fillId="0" borderId="0" xfId="2" applyNumberFormat="1" applyFont="1"/>
    <xf numFmtId="167" fontId="0" fillId="0" borderId="0" xfId="2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8" fontId="3" fillId="2" borderId="0" xfId="0" applyNumberFormat="1" applyFont="1" applyFill="1"/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0" fontId="0" fillId="0" borderId="0" xfId="0" applyNumberFormat="1"/>
    <xf numFmtId="10" fontId="0" fillId="0" borderId="0" xfId="2" applyNumberFormat="1" applyFont="1"/>
    <xf numFmtId="165" fontId="3" fillId="2" borderId="0" xfId="0" applyNumberFormat="1" applyFont="1" applyFill="1"/>
    <xf numFmtId="10" fontId="6" fillId="0" borderId="0" xfId="0" applyNumberFormat="1" applyFont="1"/>
    <xf numFmtId="10" fontId="8" fillId="0" borderId="4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center" vertical="center" wrapText="1"/>
    </xf>
    <xf numFmtId="10" fontId="2" fillId="0" borderId="6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0" fontId="10" fillId="3" borderId="0" xfId="0" applyNumberFormat="1" applyFont="1" applyFill="1"/>
    <xf numFmtId="9" fontId="0" fillId="0" borderId="0" xfId="0" applyNumberFormat="1"/>
    <xf numFmtId="166" fontId="0" fillId="0" borderId="0" xfId="0" applyNumberFormat="1"/>
    <xf numFmtId="10" fontId="8" fillId="0" borderId="7" xfId="0" applyNumberFormat="1" applyFont="1" applyBorder="1" applyAlignment="1">
      <alignment horizontal="center" vertical="center" wrapText="1"/>
    </xf>
    <xf numFmtId="10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7" fontId="0" fillId="0" borderId="0" xfId="0" applyNumberFormat="1"/>
    <xf numFmtId="0" fontId="11" fillId="2" borderId="0" xfId="0" applyFont="1" applyFill="1"/>
    <xf numFmtId="169" fontId="11" fillId="2" borderId="0" xfId="1" applyNumberFormat="1" applyFont="1" applyFill="1"/>
    <xf numFmtId="0" fontId="12" fillId="0" borderId="0" xfId="0" applyFont="1"/>
    <xf numFmtId="0" fontId="13" fillId="4" borderId="0" xfId="0" applyFont="1" applyFill="1" applyAlignment="1"/>
    <xf numFmtId="0" fontId="14" fillId="5" borderId="8" xfId="0" applyFont="1" applyFill="1" applyBorder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horizontal="right"/>
    </xf>
    <xf numFmtId="0" fontId="21" fillId="9" borderId="0" xfId="0" applyFont="1" applyFill="1" applyAlignment="1">
      <alignment vertical="center"/>
    </xf>
    <xf numFmtId="0" fontId="20" fillId="9" borderId="0" xfId="0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43" fontId="18" fillId="10" borderId="9" xfId="1" applyFont="1" applyFill="1" applyBorder="1" applyAlignment="1" applyProtection="1">
      <alignment horizontal="center" vertical="center"/>
      <protection locked="0"/>
    </xf>
    <xf numFmtId="10" fontId="17" fillId="8" borderId="9" xfId="0" applyNumberFormat="1" applyFont="1" applyFill="1" applyBorder="1" applyAlignment="1">
      <alignment horizontal="center" vertical="center"/>
    </xf>
    <xf numFmtId="0" fontId="20" fillId="9" borderId="9" xfId="0" applyFont="1" applyFill="1" applyBorder="1" applyAlignment="1">
      <alignment horizontal="center" vertical="center" wrapText="1"/>
    </xf>
    <xf numFmtId="0" fontId="21" fillId="9" borderId="9" xfId="0" applyFont="1" applyFill="1" applyBorder="1" applyAlignment="1">
      <alignment horizontal="center" vertical="center"/>
    </xf>
    <xf numFmtId="44" fontId="16" fillId="6" borderId="9" xfId="3" applyFont="1" applyFill="1" applyBorder="1" applyAlignment="1" applyProtection="1">
      <alignment vertical="center"/>
    </xf>
    <xf numFmtId="44" fontId="16" fillId="6" borderId="9" xfId="3" applyFont="1" applyFill="1" applyBorder="1" applyAlignment="1" applyProtection="1">
      <alignment vertical="center"/>
      <protection locked="0"/>
    </xf>
    <xf numFmtId="44" fontId="16" fillId="7" borderId="9" xfId="0" applyNumberFormat="1" applyFont="1" applyFill="1" applyBorder="1" applyAlignment="1" applyProtection="1">
      <alignment vertical="center"/>
    </xf>
    <xf numFmtId="44" fontId="16" fillId="7" borderId="9" xfId="0" applyNumberFormat="1" applyFont="1" applyFill="1" applyBorder="1" applyAlignment="1" applyProtection="1">
      <alignment vertical="center"/>
      <protection locked="0"/>
    </xf>
    <xf numFmtId="10" fontId="16" fillId="6" borderId="9" xfId="4" applyNumberFormat="1" applyFont="1" applyFill="1" applyBorder="1" applyAlignment="1" applyProtection="1">
      <alignment horizontal="center" vertical="center" wrapText="1"/>
      <protection locked="0"/>
    </xf>
    <xf numFmtId="10" fontId="16" fillId="7" borderId="9" xfId="4" applyNumberFormat="1" applyFont="1" applyFill="1" applyBorder="1" applyAlignment="1" applyProtection="1">
      <alignment horizontal="center" vertical="center" wrapText="1"/>
      <protection locked="0"/>
    </xf>
    <xf numFmtId="0" fontId="22" fillId="6" borderId="9" xfId="0" applyFont="1" applyFill="1" applyBorder="1" applyAlignment="1">
      <alignment horizontal="center"/>
    </xf>
    <xf numFmtId="43" fontId="23" fillId="6" borderId="9" xfId="1" applyFont="1" applyFill="1" applyBorder="1" applyProtection="1"/>
    <xf numFmtId="0" fontId="22" fillId="7" borderId="9" xfId="0" applyFont="1" applyFill="1" applyBorder="1" applyAlignment="1">
      <alignment horizontal="center"/>
    </xf>
    <xf numFmtId="43" fontId="23" fillId="7" borderId="9" xfId="1" applyFont="1" applyFill="1" applyBorder="1" applyProtection="1"/>
    <xf numFmtId="0" fontId="21" fillId="9" borderId="10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left" vertical="center" wrapText="1" indent="9"/>
    </xf>
    <xf numFmtId="0" fontId="20" fillId="9" borderId="0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 wrapText="1"/>
    </xf>
    <xf numFmtId="44" fontId="20" fillId="9" borderId="0" xfId="3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0" fillId="9" borderId="9" xfId="0" applyFont="1" applyFill="1" applyBorder="1" applyAlignment="1">
      <alignment horizontal="center" vertical="center"/>
    </xf>
    <xf numFmtId="0" fontId="20" fillId="9" borderId="9" xfId="0" applyFont="1" applyFill="1" applyBorder="1" applyAlignment="1">
      <alignment horizontal="center" vertical="center" wrapText="1"/>
    </xf>
    <xf numFmtId="44" fontId="20" fillId="9" borderId="9" xfId="3" applyFont="1" applyFill="1" applyBorder="1" applyAlignment="1">
      <alignment horizontal="center" vertical="center"/>
    </xf>
    <xf numFmtId="10" fontId="17" fillId="8" borderId="13" xfId="0" applyNumberFormat="1" applyFont="1" applyFill="1" applyBorder="1" applyAlignment="1">
      <alignment horizontal="center" vertical="center"/>
    </xf>
    <xf numFmtId="10" fontId="17" fillId="8" borderId="14" xfId="0" applyNumberFormat="1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 wrapText="1"/>
    </xf>
    <xf numFmtId="0" fontId="20" fillId="9" borderId="14" xfId="0" applyFont="1" applyFill="1" applyBorder="1" applyAlignment="1">
      <alignment horizontal="center" vertical="center" wrapText="1"/>
    </xf>
  </cellXfs>
  <cellStyles count="5">
    <cellStyle name="Moeda" xfId="3" builtinId="4"/>
    <cellStyle name="Normal" xfId="0" builtinId="0"/>
    <cellStyle name="Normal 2" xfId="4" xr:uid="{00000000-0005-0000-0000-000002000000}"/>
    <cellStyle name="Porcentagem" xfId="2" builtinId="5"/>
    <cellStyle name="Vírgula" xfId="1" builtinId="3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</dxf>
    <dxf>
      <font>
        <b/>
        <i/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</dxf>
    <dxf>
      <font>
        <b/>
        <i/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</dxf>
    <dxf>
      <font>
        <b/>
        <i/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</dxf>
    <dxf>
      <font>
        <b/>
        <i/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</dxf>
    <dxf>
      <font>
        <b/>
        <i/>
        <color rgb="FFFFFF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ontaazul.com/?utm_source=planilha&amp;utm_medium=content&amp;utm_campaign=materiais&amp;utm_content=planilha-simples-nacional-2018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ontaazul.com/?utm_source=planilha&amp;utm_medium=content&amp;utm_campaign=materiais&amp;utm_content=planilha-simples-nacional-2018" TargetMode="Externa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ontaazul.com/?utm_source=planilha&amp;utm_medium=content&amp;utm_campaign=materiais&amp;utm_content=planilha-simples-nacional-2018" TargetMode="External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ontaazul.com/?utm_source=planilha&amp;utm_medium=content&amp;utm_campaign=materiais&amp;utm_content=planilha-simples-nacional-2018" TargetMode="External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ontaazul.com/?utm_source=planilha&amp;utm_medium=content&amp;utm_campaign=materiais&amp;utm_content=planilha-simples-nacional-2018" TargetMode="External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ontaazul.com/?utm_source=planilha&amp;utm_medium=content&amp;utm_campaign=materiais&amp;utm_content=planilha-simples-nacional-2018" TargetMode="External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aazul.com/?utm_source=planilha&amp;utm_medium=content&amp;utm_campaign=materiais&amp;utm_content=planilha-simples-nacional-2018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ontaazul.com/?utm_source=planilha&amp;utm_medium=content&amp;utm_campaign=materiais&amp;utm_content=planilha-ponto-de-equilibrio-contaazul" TargetMode="Externa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266390</xdr:colOff>
      <xdr:row>64</xdr:row>
      <xdr:rowOff>104775</xdr:rowOff>
    </xdr:from>
    <xdr:to>
      <xdr:col>2</xdr:col>
      <xdr:colOff>106480</xdr:colOff>
      <xdr:row>64</xdr:row>
      <xdr:rowOff>289205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19EF0A-13F9-4BA6-9162-A667B3AA7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390" y="14020800"/>
          <a:ext cx="1059290" cy="18443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53</xdr:row>
      <xdr:rowOff>95251</xdr:rowOff>
    </xdr:from>
    <xdr:ext cx="7422012" cy="2011126"/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04B524-B4A8-426C-97B5-310C59344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496676"/>
          <a:ext cx="7422012" cy="2011126"/>
        </a:xfrm>
        <a:prstGeom prst="rect">
          <a:avLst/>
        </a:prstGeom>
      </xdr:spPr>
    </xdr:pic>
    <xdr:clientData/>
  </xdr:oneCellAnchor>
  <xdr:oneCellAnchor>
    <xdr:from>
      <xdr:col>3</xdr:col>
      <xdr:colOff>427812</xdr:colOff>
      <xdr:row>49</xdr:row>
      <xdr:rowOff>19050</xdr:rowOff>
    </xdr:from>
    <xdr:ext cx="2677778" cy="504756"/>
    <xdr:pic>
      <xdr:nvPicPr>
        <xdr:cNvPr id="5" name="Imagem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CE0EFB-2DE1-45B5-9C7B-100BADDE5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56612" y="10506075"/>
          <a:ext cx="2677778" cy="504756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0</xdr:row>
      <xdr:rowOff>85725</xdr:rowOff>
    </xdr:from>
    <xdr:ext cx="571502" cy="571502"/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C4392-23D9-43F4-8FB0-731A8E3EB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85725"/>
          <a:ext cx="571502" cy="57150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76200</xdr:rowOff>
    </xdr:from>
    <xdr:ext cx="7753351" cy="11418401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16370D36-A0CD-401B-9CB8-3290D2866B12}"/>
            </a:ext>
          </a:extLst>
        </xdr:cNvPr>
        <xdr:cNvSpPr txBox="1"/>
      </xdr:nvSpPr>
      <xdr:spPr>
        <a:xfrm>
          <a:off x="0" y="962025"/>
          <a:ext cx="7753351" cy="114184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>
          <a:spAutoFit/>
        </a:bodyPr>
        <a:lstStyle/>
        <a:p>
          <a:r>
            <a:rPr lang="pt-BR" sz="1800" b="0" i="0" u="none" strike="noStrike">
              <a:solidFill>
                <a:srgbClr val="4983BB"/>
              </a:solidFill>
              <a:effectLst/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Introdução</a:t>
          </a:r>
          <a:r>
            <a:rPr lang="pt-BR" sz="1800">
              <a:solidFill>
                <a:srgbClr val="4983BB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</a:p>
        <a:p>
          <a:pPr eaLnBrk="1" fontAlgn="auto" latinLnBrk="0" hangingPunct="1">
            <a:lnSpc>
              <a:spcPct val="150000"/>
            </a:lnSpc>
          </a:pPr>
          <a:endParaRPr lang="pt-BR" sz="1100" baseline="0">
            <a:solidFill>
              <a:srgbClr val="414042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pPr eaLnBrk="1" fontAlgn="auto" latinLnBrk="0" hangingPunct="1">
            <a:lnSpc>
              <a:spcPct val="150000"/>
            </a:lnSpc>
          </a:pPr>
          <a:r>
            <a:rPr lang="pt-BR" sz="1100" baseline="0">
              <a:solidFill>
                <a:srgbClr val="41404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Esta Planilha de Alíquota do Simples Nacional 2018 permite que você conheça e avalie a alíquota efetiva do Simples Nacional conforme a legislação em vigor em 2018. Essa planilha foi disponibilizada por Nelson Boing, da Gestão Contabilidade Online, contador parceiro ContaAzul, para ajudar donos de negócio a entender as mudanças no regime tributário. Caso você tenha dúvidas a qualquer momento sobre o tema, sempre vale a pena consultar um contador de sua confiança.</a:t>
          </a:r>
        </a:p>
        <a:p>
          <a:pPr eaLnBrk="1" fontAlgn="auto" latinLnBrk="0" hangingPunct="1">
            <a:lnSpc>
              <a:spcPct val="150000"/>
            </a:lnSpc>
          </a:pPr>
          <a:r>
            <a:rPr lang="pt-BR" sz="1100" baseline="0">
              <a:solidFill>
                <a:srgbClr val="41404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 </a:t>
          </a:r>
          <a:endParaRPr lang="pt-BR" sz="1100">
            <a:solidFill>
              <a:srgbClr val="414042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Instruções de uso</a:t>
          </a:r>
          <a:endParaRPr lang="pt-BR" sz="1800" b="0" i="0" u="none" strike="noStrike" baseline="0">
            <a:solidFill>
              <a:srgbClr val="4983BB"/>
            </a:solidFill>
            <a:effectLst/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pPr rtl="0" fontAlgn="base">
            <a:lnSpc>
              <a:spcPct val="150000"/>
            </a:lnSpc>
          </a:pPr>
          <a:r>
            <a:rPr lang="pt-BR" sz="1100">
              <a:solidFill>
                <a:srgbClr val="41404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O</a:t>
          </a:r>
          <a:r>
            <a:rPr lang="pt-BR" sz="1100" baseline="0">
              <a:solidFill>
                <a:srgbClr val="41404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Simples Nacional é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regime tributário facilitado e simplificados para micro e pequenas empresas,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em que t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ributos federais, estaduais e municipais em uma única guia. A partir de 2018, o limite de faturamento foi elevado a R$ 4,8 milhões, o que equivale a uma média mensal de R$ 400 mil.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Para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Microempreendedor individual, o teto de faturamento passa de R$ 60 mil para R$ 81 mil anuais.</a:t>
          </a:r>
        </a:p>
        <a:p>
          <a:pPr rtl="0" fontAlgn="base">
            <a:lnSpc>
              <a:spcPct val="150000"/>
            </a:lnSpc>
          </a:pPr>
          <a:endParaRPr lang="pt-BR" sz="1100" b="0" i="0" u="none" strike="noStrike">
            <a:solidFill>
              <a:schemeClr val="dk1"/>
            </a:solidFill>
            <a:effectLst/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rgbClr val="41404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Nesta planilha, você consegue simular a alíquota efetiva do Simples e de outros tributos conforme seu segmento e faixade faturamento. A alíquota efetiva é calculada a partir de uma parcela a deduzir. Esse cálculo tem impacto direto sobre o que sua empresa vai pagar de imposto mês a mês.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aseline="0">
            <a:solidFill>
              <a:srgbClr val="414042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rgbClr val="41404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Cada aba permite o cálculo da alíquota das empresas listadas em um dos anexos da Lei Complementar 123 -- que regulamenta o Simples Nacional. Dos 5 anexos da lei, 3 são voltados a diferentes tipos de serviço, um para comércio e outro para a indústria.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aseline="0">
            <a:solidFill>
              <a:srgbClr val="414042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rgbClr val="41404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Anexo I: Comércio (lojas em geral)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rgbClr val="41404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Anexo II: Indústria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rgbClr val="41404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Anexo III: Serviços de instalação, de reparos e de manutenção, agência de viagem, escritórios de contabilidade, entre outros 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rgbClr val="41404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Anexo IV: Serviços em geral, como vigilância e serviços advocatícios, , entre outros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rgbClr val="41404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Anexo V: Serviços de academias, empresas de tecnologia, de eventos, clínicas de exames médicos, entre outros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aseline="0">
            <a:solidFill>
              <a:srgbClr val="414042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Navegue</a:t>
          </a:r>
          <a:r>
            <a:rPr lang="pt-BR" sz="1100" baseline="0">
              <a:solidFill>
                <a:srgbClr val="41404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até a aba em que sua empresa se enquadra e </a:t>
          </a:r>
          <a:r>
            <a:rPr lang="pt-BR" sz="1100">
              <a:solidFill>
                <a:srgbClr val="41404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informe o faturamento esperado e conferir a alíquota efetiva.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 baseline="0">
              <a:solidFill>
                <a:srgbClr val="4983BB"/>
              </a:solidFill>
              <a:effectLst/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Não se esqueça de...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Conversar com seu contador</a:t>
          </a:r>
          <a:r>
            <a:rPr lang="pt-BR" sz="1100" baseline="0">
              <a:solidFill>
                <a:srgbClr val="41404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para tirar suas dúvidas. </a:t>
          </a:r>
          <a:endParaRPr lang="pt-BR" sz="1100">
            <a:solidFill>
              <a:srgbClr val="414042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266390</xdr:colOff>
      <xdr:row>35</xdr:row>
      <xdr:rowOff>104775</xdr:rowOff>
    </xdr:from>
    <xdr:to>
      <xdr:col>1</xdr:col>
      <xdr:colOff>47315</xdr:colOff>
      <xdr:row>35</xdr:row>
      <xdr:rowOff>290513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C1E133-1C36-4076-B078-74430B0F7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390" y="7315200"/>
          <a:ext cx="1066800" cy="18573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24</xdr:row>
      <xdr:rowOff>95251</xdr:rowOff>
    </xdr:from>
    <xdr:ext cx="7422012" cy="2011126"/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991C26-1A8F-4CAC-9AB5-D45CE7F0F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496676"/>
          <a:ext cx="7422012" cy="2011126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0</xdr:row>
      <xdr:rowOff>85725</xdr:rowOff>
    </xdr:from>
    <xdr:ext cx="571502" cy="571502"/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9E8D8A-D634-494E-9055-BAA043EFA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85725"/>
          <a:ext cx="571502" cy="57150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266390</xdr:colOff>
      <xdr:row>35</xdr:row>
      <xdr:rowOff>104775</xdr:rowOff>
    </xdr:from>
    <xdr:to>
      <xdr:col>0</xdr:col>
      <xdr:colOff>1333190</xdr:colOff>
      <xdr:row>35</xdr:row>
      <xdr:rowOff>290513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629D2-F5DC-4A75-9ECA-1017D9A0B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390" y="7115175"/>
          <a:ext cx="1066800" cy="18573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24</xdr:row>
      <xdr:rowOff>95251</xdr:rowOff>
    </xdr:from>
    <xdr:ext cx="7422012" cy="2011126"/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997F-1E70-4902-9F83-CAEAB54DA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496676"/>
          <a:ext cx="7422012" cy="2011126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0</xdr:row>
      <xdr:rowOff>85725</xdr:rowOff>
    </xdr:from>
    <xdr:ext cx="571502" cy="571502"/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4491D-A8FA-4B85-9D34-D0D3E6B59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85725"/>
          <a:ext cx="571502" cy="57150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266390</xdr:colOff>
      <xdr:row>58</xdr:row>
      <xdr:rowOff>104775</xdr:rowOff>
    </xdr:from>
    <xdr:to>
      <xdr:col>0</xdr:col>
      <xdr:colOff>1333190</xdr:colOff>
      <xdr:row>58</xdr:row>
      <xdr:rowOff>290513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46BE1-150B-4115-8831-5E1501142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390" y="7191375"/>
          <a:ext cx="1066800" cy="18573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47</xdr:row>
      <xdr:rowOff>95251</xdr:rowOff>
    </xdr:from>
    <xdr:ext cx="7422012" cy="2011126"/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08E3C-63BB-480F-BFB3-FABB18F34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496676"/>
          <a:ext cx="7422012" cy="2011126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0</xdr:row>
      <xdr:rowOff>85725</xdr:rowOff>
    </xdr:from>
    <xdr:ext cx="571502" cy="571502"/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606BCB-3732-4715-8804-D2E631217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85725"/>
          <a:ext cx="571502" cy="571502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266390</xdr:colOff>
      <xdr:row>58</xdr:row>
      <xdr:rowOff>104775</xdr:rowOff>
    </xdr:from>
    <xdr:to>
      <xdr:col>0</xdr:col>
      <xdr:colOff>1333190</xdr:colOff>
      <xdr:row>58</xdr:row>
      <xdr:rowOff>290513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4DA314-FE1A-491C-B568-070AC6227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390" y="7048500"/>
          <a:ext cx="1066800" cy="18573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47</xdr:row>
      <xdr:rowOff>95251</xdr:rowOff>
    </xdr:from>
    <xdr:ext cx="7422012" cy="2011126"/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4FEE32-5E1F-426A-86BD-0568E86AA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496676"/>
          <a:ext cx="7422012" cy="2011126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0</xdr:row>
      <xdr:rowOff>85725</xdr:rowOff>
    </xdr:from>
    <xdr:ext cx="571502" cy="571502"/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EF9B6-850D-4AA2-8751-D27B7BA59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85725"/>
          <a:ext cx="571502" cy="571502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266390</xdr:colOff>
      <xdr:row>39</xdr:row>
      <xdr:rowOff>104775</xdr:rowOff>
    </xdr:from>
    <xdr:to>
      <xdr:col>0</xdr:col>
      <xdr:colOff>1333190</xdr:colOff>
      <xdr:row>39</xdr:row>
      <xdr:rowOff>290513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E495D8-4827-4C8B-805F-A9FA4746B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390" y="7305675"/>
          <a:ext cx="1066800" cy="18573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28</xdr:row>
      <xdr:rowOff>95251</xdr:rowOff>
    </xdr:from>
    <xdr:ext cx="7422012" cy="2011126"/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3CEE33-3D86-4A4A-982E-0D17AFD5A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496676"/>
          <a:ext cx="7422012" cy="2011126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0</xdr:row>
      <xdr:rowOff>85725</xdr:rowOff>
    </xdr:from>
    <xdr:ext cx="571502" cy="571502"/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A5B931-6309-46E5-A644-D5CEFFB18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85725"/>
          <a:ext cx="571502" cy="571502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266390</xdr:colOff>
      <xdr:row>59</xdr:row>
      <xdr:rowOff>104775</xdr:rowOff>
    </xdr:from>
    <xdr:to>
      <xdr:col>2</xdr:col>
      <xdr:colOff>106480</xdr:colOff>
      <xdr:row>59</xdr:row>
      <xdr:rowOff>289205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5556B1-0909-4969-A2A5-4219C433E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390" y="11344275"/>
          <a:ext cx="1059290" cy="89180"/>
        </a:xfrm>
        <a:prstGeom prst="rect">
          <a:avLst/>
        </a:prstGeom>
      </xdr:spPr>
    </xdr:pic>
    <xdr:clientData/>
  </xdr:twoCellAnchor>
  <xdr:oneCellAnchor>
    <xdr:from>
      <xdr:col>0</xdr:col>
      <xdr:colOff>9525</xdr:colOff>
      <xdr:row>2</xdr:row>
      <xdr:rowOff>19050</xdr:rowOff>
    </xdr:from>
    <xdr:ext cx="6762750" cy="9982199"/>
    <xdr:sp macro="" textlink="">
      <xdr:nvSpPr>
        <xdr:cNvPr id="3" name="CaixaDeText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79BF20-5D9D-41D7-BE61-79643EC4AD3C}"/>
            </a:ext>
          </a:extLst>
        </xdr:cNvPr>
        <xdr:cNvSpPr txBox="1"/>
      </xdr:nvSpPr>
      <xdr:spPr>
        <a:xfrm>
          <a:off x="9525" y="400050"/>
          <a:ext cx="6762750" cy="99821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>
          <a:noAutofit/>
        </a:bodyPr>
        <a:lstStyle/>
        <a:p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Sua empresa além da planilha</a:t>
          </a:r>
          <a:r>
            <a:rPr lang="pt-BR" sz="1800">
              <a:solidFill>
                <a:srgbClr val="4983BB"/>
              </a:solidFill>
            </a:rPr>
            <a:t> </a:t>
          </a:r>
        </a:p>
        <a:p>
          <a:endParaRPr lang="pt-BR" sz="2000">
            <a:solidFill>
              <a:srgbClr val="4983BB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>
            <a:lnSpc>
              <a:spcPct val="150000"/>
            </a:lnSpc>
          </a:pP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Conheça um novo caminho para turbinar sua empresa. ContaAzul é uma plataforma online fácil de usar que ajuda você a controlar sua empresa com segurança e rapidez. Em um só lugar, você conecta tudo o que precisa para organizar os negócios.</a:t>
          </a:r>
        </a:p>
        <a:p>
          <a:pPr eaLnBrk="1" fontAlgn="auto" latinLnBrk="0" hangingPunct="1">
            <a:lnSpc>
              <a:spcPct val="150000"/>
            </a:lnSpc>
          </a:pPr>
          <a:endParaRPr lang="pt-BR" sz="1100">
            <a:solidFill>
              <a:srgbClr val="41404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que você ganha evoluindo das planilhas para o ContaAzul: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Todos os dados em um só lugar para ganhar tempo</a:t>
          </a:r>
        </a:p>
        <a:p>
          <a:pPr marL="457200" marR="0" lvl="1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Quantas planilhas você usa na sua empresa? Três? Sete? Dez? Como manter todas atualizadas? Quanto tempo você demora para se certificar disso? Todo esse trabalho pode se poupado com o ContaAzul e com isso ganhar tempo para se dedicar ao que importa na sua empresa.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Tenha as informações da sua empresa sempre atualizadas</a:t>
          </a:r>
        </a:p>
        <a:p>
          <a:pPr marL="457200" marR="0" lvl="1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ContaAzul é um sistema inteligente que automaticamente faz a leitura do seu extrato, conectado ao seu banco, e ajuda a ter uma visão real e atualizada do seu fluxo de caixa. As vendas registradas já viram boletos e notas fiscais para controlar as entradas e saídas de dinheiro da sua empresa. Gastos no cartão de crédito e outras contas também são consolidadas na visão geral. Com planilhas é fácil perder a noção de quando foi a última atualização dos dados e se perde muito tempo alimentando e verificando as informações.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Dados seguros e Backup automático para você ficar tranquilo</a:t>
          </a:r>
        </a:p>
        <a:p>
          <a:pPr marL="457200" marR="0" lvl="1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Quantas cópias de backup das suas planilhas você guarda? Com que frequência essas cópias são atualizadas? Já pensou dor de cabeça caso o seu computador quebre ou pegue um vírus? Com o ContaAzul, você garante que os dados estão sempre atualizados onde quer que você esteja acessando. Com backup na nuvem criptografado, você tem segurança com servidores modernos e padrões de segurança usados por bancos online.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Colaboração nos resultados da sua empresa</a:t>
          </a: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457200" marR="0" lvl="1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 ContaAzul você vê a colaboração de cada funcionário para o faturamento e o Fluxo de Caixa. Mais de um funcionário consegue editar os dados em tempo real, e de qualquer lugar do mundo. Mesmo nas suas férias, você pode acessar o sistema e conferir as últimas vendas dos seus funcionários sem pedir cópia das planilhas por email.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Suporte de primeira sempre pronto para te ajudar</a:t>
          </a: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457200" marR="0" lvl="1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ContaAzul é um sistema online, ou seja, você sempre</a:t>
          </a:r>
          <a:r>
            <a:rPr lang="pt-BR" sz="1100" b="0" i="0" u="none" strike="noStrike" baseline="0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tem a versão mais recente para usar. Você conta com suporte e as</a:t>
          </a:r>
          <a:r>
            <a:rPr lang="pt-BR" sz="1100" b="0" i="0" u="none" strike="noStrike" baseline="0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explicações detalhadas para resolver qualquer dúvida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0</xdr:col>
      <xdr:colOff>0</xdr:colOff>
      <xdr:row>48</xdr:row>
      <xdr:rowOff>95251</xdr:rowOff>
    </xdr:from>
    <xdr:ext cx="7422012" cy="2011126"/>
    <xdr:pic>
      <xdr:nvPicPr>
        <xdr:cNvPr id="4" name="Imagem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B579DB-A1F5-439C-9F71-6C4809ABF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239251"/>
          <a:ext cx="7422012" cy="2011126"/>
        </a:xfrm>
        <a:prstGeom prst="rect">
          <a:avLst/>
        </a:prstGeom>
      </xdr:spPr>
    </xdr:pic>
    <xdr:clientData/>
  </xdr:oneCellAnchor>
  <xdr:oneCellAnchor>
    <xdr:from>
      <xdr:col>3</xdr:col>
      <xdr:colOff>427812</xdr:colOff>
      <xdr:row>44</xdr:row>
      <xdr:rowOff>19050</xdr:rowOff>
    </xdr:from>
    <xdr:ext cx="2677778" cy="504756"/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C26311-0B3A-4BE5-BEC5-181D99F68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56612" y="8401050"/>
          <a:ext cx="2677778" cy="504756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0</xdr:row>
      <xdr:rowOff>85725</xdr:rowOff>
    </xdr:from>
    <xdr:ext cx="571502" cy="571502"/>
    <xdr:pic>
      <xdr:nvPicPr>
        <xdr:cNvPr id="6" name="Imagem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3EF323-1F9B-4664-B3CF-79B2A60EF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85725"/>
          <a:ext cx="571502" cy="57150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3BA4-1331-4F8F-8A45-F2808AA01DBE}">
  <dimension ref="A1:X133"/>
  <sheetViews>
    <sheetView showGridLines="0" showRowColHeaders="0" workbookViewId="0">
      <pane ySplit="1" topLeftCell="A2" activePane="bottomLeft" state="frozen"/>
      <selection pane="bottomLeft" activeCell="A2" sqref="A2"/>
    </sheetView>
  </sheetViews>
  <sheetFormatPr defaultColWidth="9.109375" defaultRowHeight="13.8"/>
  <cols>
    <col min="1" max="16384" width="9.109375" style="30"/>
  </cols>
  <sheetData>
    <row r="1" spans="1:24" ht="51.75" customHeight="1" thickBot="1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32"/>
      <c r="Q1" s="32"/>
      <c r="R1" s="32"/>
      <c r="S1" s="32"/>
      <c r="T1" s="32"/>
      <c r="U1" s="32"/>
      <c r="V1" s="32"/>
      <c r="W1" s="32"/>
      <c r="X1" s="32"/>
    </row>
    <row r="2" spans="1:24" ht="18" customHeight="1" thickTop="1"/>
    <row r="3" spans="1:24" ht="18" customHeight="1"/>
    <row r="4" spans="1:24" ht="18" customHeight="1"/>
    <row r="5" spans="1:24" ht="18" customHeight="1"/>
    <row r="6" spans="1:24" ht="18" customHeight="1"/>
    <row r="7" spans="1:24" ht="18" customHeight="1"/>
    <row r="8" spans="1:24" ht="18" customHeight="1"/>
    <row r="9" spans="1:24" ht="18" customHeight="1"/>
    <row r="10" spans="1:24" ht="18" customHeight="1"/>
    <row r="11" spans="1:24" ht="18" customHeight="1"/>
    <row r="12" spans="1:24" ht="18" customHeight="1"/>
    <row r="13" spans="1:24" ht="18" customHeight="1"/>
    <row r="14" spans="1:24" ht="18" customHeight="1"/>
    <row r="15" spans="1:24" ht="18" customHeight="1"/>
    <row r="16" spans="1:24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s="31" customFormat="1" ht="30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</sheetData>
  <sheetProtection sheet="1" objects="1" scenarios="1"/>
  <mergeCells count="1">
    <mergeCell ref="A1:O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showGridLines="0" showRowColHeaders="0" workbookViewId="0">
      <pane ySplit="1" topLeftCell="A2" activePane="bottomLeft" state="frozen"/>
      <selection pane="bottomLeft" activeCell="B5" sqref="B5"/>
    </sheetView>
  </sheetViews>
  <sheetFormatPr defaultRowHeight="14.4"/>
  <cols>
    <col min="1" max="1" width="19.33203125" customWidth="1"/>
    <col min="2" max="2" width="23.88671875" customWidth="1"/>
    <col min="3" max="3" width="15.6640625" bestFit="1" customWidth="1"/>
    <col min="4" max="4" width="16.109375" bestFit="1" customWidth="1"/>
    <col min="5" max="6" width="16" customWidth="1"/>
    <col min="7" max="7" width="13.5546875" bestFit="1" customWidth="1"/>
    <col min="8" max="9" width="12.5546875" bestFit="1" customWidth="1"/>
    <col min="10" max="10" width="10" bestFit="1" customWidth="1"/>
    <col min="11" max="12" width="9.33203125" bestFit="1" customWidth="1"/>
    <col min="13" max="13" width="11.5546875" bestFit="1" customWidth="1"/>
    <col min="14" max="14" width="7.109375" bestFit="1" customWidth="1"/>
  </cols>
  <sheetData>
    <row r="1" spans="1:24" s="30" customFormat="1" ht="51.75" customHeight="1" thickBot="1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32"/>
      <c r="Q1" s="32"/>
      <c r="R1" s="32"/>
      <c r="S1" s="32"/>
      <c r="T1" s="32"/>
      <c r="U1" s="32"/>
      <c r="V1" s="32"/>
      <c r="W1" s="32"/>
      <c r="X1" s="32"/>
    </row>
    <row r="2" spans="1:24" ht="15" thickTop="1"/>
    <row r="3" spans="1:24">
      <c r="A3" s="35"/>
      <c r="B3" s="55" t="s">
        <v>6</v>
      </c>
      <c r="C3" s="56" t="s">
        <v>15</v>
      </c>
      <c r="D3" s="57" t="s">
        <v>16</v>
      </c>
      <c r="E3" s="57"/>
      <c r="F3" s="57"/>
      <c r="G3" s="57"/>
      <c r="H3" s="57"/>
      <c r="I3" s="57"/>
      <c r="J3" s="33"/>
      <c r="K3" s="33"/>
      <c r="L3" s="33"/>
    </row>
    <row r="4" spans="1:24">
      <c r="A4" s="35"/>
      <c r="B4" s="55"/>
      <c r="C4" s="56"/>
      <c r="D4" s="36" t="s">
        <v>0</v>
      </c>
      <c r="E4" s="36" t="s">
        <v>1</v>
      </c>
      <c r="F4" s="36" t="s">
        <v>2</v>
      </c>
      <c r="G4" s="36" t="s">
        <v>3</v>
      </c>
      <c r="H4" s="36" t="s">
        <v>4</v>
      </c>
      <c r="I4" s="36" t="s">
        <v>5</v>
      </c>
      <c r="J4" s="33"/>
      <c r="K4" s="33"/>
      <c r="L4" s="33"/>
    </row>
    <row r="5" spans="1:24" ht="39.6">
      <c r="A5" s="37" t="s">
        <v>23</v>
      </c>
      <c r="B5" s="38">
        <v>3600000</v>
      </c>
      <c r="C5" s="39">
        <f>D17</f>
        <v>0.1188</v>
      </c>
      <c r="D5" s="39">
        <f>G20</f>
        <v>6.4999999999999997E-3</v>
      </c>
      <c r="E5" s="39">
        <f t="shared" ref="E5:I5" si="0">H20</f>
        <v>4.1999999999999997E-3</v>
      </c>
      <c r="F5" s="39">
        <f t="shared" si="0"/>
        <v>1.5100000000000001E-2</v>
      </c>
      <c r="G5" s="39">
        <f t="shared" si="0"/>
        <v>3.3E-3</v>
      </c>
      <c r="H5" s="39">
        <f t="shared" si="0"/>
        <v>4.99E-2</v>
      </c>
      <c r="I5" s="39">
        <f t="shared" si="0"/>
        <v>3.9800000000000002E-2</v>
      </c>
      <c r="J5" s="33"/>
      <c r="K5" s="33"/>
      <c r="L5" s="33"/>
      <c r="M5" s="7"/>
    </row>
    <row r="6" spans="1:24">
      <c r="M6" s="7"/>
    </row>
    <row r="7" spans="1:24" ht="32.25" customHeight="1">
      <c r="A7" s="33"/>
      <c r="B7" s="33"/>
      <c r="C7" s="33"/>
      <c r="D7" s="33"/>
      <c r="E7" s="33"/>
      <c r="F7" s="33"/>
      <c r="G7" s="58" t="s">
        <v>17</v>
      </c>
      <c r="H7" s="59"/>
      <c r="I7" s="59"/>
      <c r="J7" s="59"/>
      <c r="K7" s="59"/>
      <c r="L7" s="60"/>
    </row>
    <row r="8" spans="1:24" ht="27.6">
      <c r="A8" s="41"/>
      <c r="B8" s="53" t="s">
        <v>25</v>
      </c>
      <c r="C8" s="53" t="s">
        <v>24</v>
      </c>
      <c r="D8" s="53" t="s">
        <v>26</v>
      </c>
      <c r="E8" s="53" t="s">
        <v>27</v>
      </c>
      <c r="F8" s="33"/>
      <c r="G8" s="41" t="s">
        <v>0</v>
      </c>
      <c r="H8" s="41" t="s">
        <v>1</v>
      </c>
      <c r="I8" s="41" t="s">
        <v>2</v>
      </c>
      <c r="J8" s="41" t="s">
        <v>3</v>
      </c>
      <c r="K8" s="41" t="s">
        <v>4</v>
      </c>
      <c r="L8" s="41" t="s">
        <v>5</v>
      </c>
    </row>
    <row r="9" spans="1:24">
      <c r="A9" s="48" t="s">
        <v>7</v>
      </c>
      <c r="B9" s="42">
        <v>0</v>
      </c>
      <c r="C9" s="43">
        <v>180000</v>
      </c>
      <c r="D9" s="46">
        <v>0.04</v>
      </c>
      <c r="E9" s="49">
        <v>0</v>
      </c>
      <c r="F9" s="34"/>
      <c r="G9" s="46">
        <v>5.5E-2</v>
      </c>
      <c r="H9" s="46">
        <v>3.5000000000000003E-2</v>
      </c>
      <c r="I9" s="46">
        <v>0.12740000000000001</v>
      </c>
      <c r="J9" s="46">
        <v>2.76E-2</v>
      </c>
      <c r="K9" s="46">
        <v>0.41499999999999998</v>
      </c>
      <c r="L9" s="46">
        <v>0.34</v>
      </c>
    </row>
    <row r="10" spans="1:24">
      <c r="A10" s="50" t="s">
        <v>8</v>
      </c>
      <c r="B10" s="44">
        <v>180000.01</v>
      </c>
      <c r="C10" s="45">
        <v>360000</v>
      </c>
      <c r="D10" s="47">
        <v>7.2999999999999995E-2</v>
      </c>
      <c r="E10" s="51">
        <v>5940</v>
      </c>
      <c r="F10" s="34"/>
      <c r="G10" s="47">
        <v>5.5E-2</v>
      </c>
      <c r="H10" s="47">
        <v>3.5000000000000003E-2</v>
      </c>
      <c r="I10" s="47">
        <v>0.12740000000000001</v>
      </c>
      <c r="J10" s="47">
        <v>2.76E-2</v>
      </c>
      <c r="K10" s="47">
        <v>0.41499999999999998</v>
      </c>
      <c r="L10" s="47">
        <v>0.34</v>
      </c>
    </row>
    <row r="11" spans="1:24">
      <c r="A11" s="48" t="s">
        <v>9</v>
      </c>
      <c r="B11" s="42">
        <v>360000.01</v>
      </c>
      <c r="C11" s="43">
        <v>720000</v>
      </c>
      <c r="D11" s="46">
        <v>9.5000000000000001E-2</v>
      </c>
      <c r="E11" s="49">
        <v>13860</v>
      </c>
      <c r="F11" s="34"/>
      <c r="G11" s="46">
        <v>5.5E-2</v>
      </c>
      <c r="H11" s="46">
        <v>3.5000000000000003E-2</v>
      </c>
      <c r="I11" s="46">
        <v>0.12740000000000001</v>
      </c>
      <c r="J11" s="46">
        <v>2.76E-2</v>
      </c>
      <c r="K11" s="46">
        <v>0.42</v>
      </c>
      <c r="L11" s="46">
        <v>0.33500000000000002</v>
      </c>
    </row>
    <row r="12" spans="1:24">
      <c r="A12" s="50" t="s">
        <v>10</v>
      </c>
      <c r="B12" s="44">
        <v>720000.01</v>
      </c>
      <c r="C12" s="45">
        <v>1800000</v>
      </c>
      <c r="D12" s="47">
        <v>0.107</v>
      </c>
      <c r="E12" s="51">
        <v>22500</v>
      </c>
      <c r="F12" s="34"/>
      <c r="G12" s="47">
        <v>5.5E-2</v>
      </c>
      <c r="H12" s="47">
        <v>3.5000000000000003E-2</v>
      </c>
      <c r="I12" s="47">
        <v>0.12740000000000001</v>
      </c>
      <c r="J12" s="47">
        <v>2.76E-2</v>
      </c>
      <c r="K12" s="47">
        <v>0.42</v>
      </c>
      <c r="L12" s="47">
        <v>0.33500000000000002</v>
      </c>
    </row>
    <row r="13" spans="1:24">
      <c r="A13" s="48" t="s">
        <v>11</v>
      </c>
      <c r="B13" s="42">
        <v>1800000.01</v>
      </c>
      <c r="C13" s="43">
        <v>3600000</v>
      </c>
      <c r="D13" s="46">
        <v>0.14299999999999999</v>
      </c>
      <c r="E13" s="49">
        <v>87300</v>
      </c>
      <c r="F13" s="34"/>
      <c r="G13" s="46">
        <v>5.5E-2</v>
      </c>
      <c r="H13" s="46">
        <v>3.5000000000000003E-2</v>
      </c>
      <c r="I13" s="46">
        <v>0.12740000000000001</v>
      </c>
      <c r="J13" s="46">
        <v>2.76E-2</v>
      </c>
      <c r="K13" s="46">
        <v>0.42</v>
      </c>
      <c r="L13" s="46">
        <v>0.33500000000000002</v>
      </c>
    </row>
    <row r="14" spans="1:24">
      <c r="A14" s="50" t="s">
        <v>12</v>
      </c>
      <c r="B14" s="44">
        <v>3600000.01</v>
      </c>
      <c r="C14" s="45">
        <v>4800000</v>
      </c>
      <c r="D14" s="47">
        <v>0.19</v>
      </c>
      <c r="E14" s="51">
        <v>378000</v>
      </c>
      <c r="F14" s="34"/>
      <c r="G14" s="47">
        <v>0.13500000000000001</v>
      </c>
      <c r="H14" s="47">
        <v>0.1</v>
      </c>
      <c r="I14" s="47">
        <v>0.28270000000000001</v>
      </c>
      <c r="J14" s="47">
        <v>6.13E-2</v>
      </c>
      <c r="K14" s="47">
        <v>0.42099999999999999</v>
      </c>
      <c r="L14" s="47">
        <v>0</v>
      </c>
    </row>
    <row r="15" spans="1:24">
      <c r="A15" s="8"/>
      <c r="B15" s="3"/>
      <c r="C15" s="4"/>
    </row>
    <row r="16" spans="1:24" hidden="1">
      <c r="A16" s="8" t="s">
        <v>7</v>
      </c>
      <c r="B16" s="3" t="b">
        <f t="shared" ref="B16:B21" si="1">IF(AND($B$5&gt;=B9,$B$5&lt;=C9),($B$5*D9-E9)/$B$5)</f>
        <v>0</v>
      </c>
      <c r="C16" s="4">
        <f t="shared" ref="C16" si="2">ROUND(B16,5)</f>
        <v>0</v>
      </c>
      <c r="D16" s="3">
        <f>IF(AND($B$5&gt;=B9,$B$5&lt;=C9),C16,IF(AND($B$5&gt;=B10,$B$5&lt;=C10),C17,IF(AND($B$5&gt;=B11,$B$5&lt;=C11),C18,IF(AND($B$5&gt;=B12,$B$5&lt;=C12),C19,IF(AND($B$5&gt;=B13,$B$5&lt;=C13),C20,IF(AND($B$5&gt;=B14,$B$5&lt;=C14),C21,IF(AND($B$5&gt;=#REF!,$B$5&lt;=#REF!),#REF!,IF(AND($B$5&gt;#REF!),C22))))))))</f>
        <v>0.11874999999999999</v>
      </c>
      <c r="G16" s="11" t="s">
        <v>0</v>
      </c>
      <c r="H16" s="11" t="s">
        <v>1</v>
      </c>
      <c r="I16" s="11" t="s">
        <v>2</v>
      </c>
      <c r="J16" s="11" t="s">
        <v>3</v>
      </c>
      <c r="K16" s="11" t="s">
        <v>4</v>
      </c>
      <c r="L16" s="11" t="s">
        <v>5</v>
      </c>
    </row>
    <row r="17" spans="1:14" hidden="1">
      <c r="A17" s="8" t="s">
        <v>8</v>
      </c>
      <c r="B17" s="3" t="b">
        <f t="shared" si="1"/>
        <v>0</v>
      </c>
      <c r="C17" s="4">
        <f>ROUND(B17,5)</f>
        <v>0</v>
      </c>
      <c r="D17" s="3">
        <f>ROUND(D16,4)</f>
        <v>0.1188</v>
      </c>
      <c r="G17" s="6">
        <f>IF(AND($B$5&gt;=$B$9,$B$5&lt;=$C$9),$C$5*G9,IF(AND($B$5&gt;=$B$10,$B$5&lt;=$C$10),$C$5*G10,IF(AND($B$5&gt;=$B$11,$B$5&lt;=$C$11),$C$5*G11,IF(AND($B$5&gt;=$B$12,$B$5&lt;=$C$12),$C$5*G12,IF(AND($B$5&gt;=$B$13,$B$5&lt;=$C$13),$C$5*G13,IF(AND($B$5&gt;=$B$14,$B$5&lt;=$C$14),$C$5*G14,))))))</f>
        <v>6.5339999999999999E-3</v>
      </c>
      <c r="H17" s="6">
        <f>IF(AND($B$5&gt;=$B$9,$B$5&lt;=$C$9),$C$5*H9,IF(AND($B$5&gt;=$B$10,$B$5&lt;=$C$10),$C$5*H10,IF(AND($B$5&gt;=$B$11,$B$5&lt;=$C$11),$C$5*H11,IF(AND($B$5&gt;=$B$12,$B$5&lt;=$C$12),$C$5*H12,IF(AND($B$5&gt;=$B$13,$B$5&lt;=$C$13),$C$5*H13,IF(AND($B$5&gt;=$B$14,$B$5&lt;=$C$14),$C$5*H14,IF(AND($B$5&gt;=#REF!,$B$5&lt;=#REF!),$C$5*#REF!,IF(AND($B$5&gt;#REF!),$C$5*#REF!))))))))</f>
        <v>4.1580000000000002E-3</v>
      </c>
      <c r="I17" s="6">
        <f>IF(AND($B$5&gt;=$B$9,$B$5&lt;=$C$9),$C$5*I9,IF(AND($B$5&gt;=$B$10,$B$5&lt;=$C$10),$C$5*I10,IF(AND($B$5&gt;=$B$11,$B$5&lt;=$C$11),$C$5*I11,IF(AND($B$5&gt;=$B$12,$B$5&lt;=$C$12),$C$5*I12,IF(AND($B$5&gt;=$B$13,$B$5&lt;=$C$13),$C$5*I13,IF(AND($B$5&gt;=$B$14,$B$5&lt;=$C$14),$C$5*I14,IF(AND($B$5&gt;=#REF!,$B$5&lt;=#REF!),$C$5*#REF!,IF(AND($B$5&gt;#REF!),$C$5*#REF!))))))))</f>
        <v>1.5135120000000002E-2</v>
      </c>
      <c r="J17" s="6">
        <f>IF(AND($B$5&gt;=$B$9,$B$5&lt;=$C$9),$C$5*J9,IF(AND($B$5&gt;=$B$10,$B$5&lt;=$C$10),$C$5*J10,IF(AND($B$5&gt;=$B$11,$B$5&lt;=$C$11),$C$5*J11,IF(AND($B$5&gt;=$B$12,$B$5&lt;=$C$12),$C$5*J12,IF(AND($B$5&gt;=$B$13,$B$5&lt;=$C$13),$C$5*J13,IF(AND($B$5&gt;=$B$14,$B$5&lt;=$C$14),$C$5*J14,IF(AND($B$5&gt;=#REF!,$B$5&lt;=#REF!),$C$5*#REF!,IF(AND($B$5&gt;#REF!),$C$5*#REF!))))))))</f>
        <v>3.2788800000000001E-3</v>
      </c>
      <c r="K17" s="6">
        <f>IF(AND($B$5&gt;=$B$9,$B$5&lt;=$C$9),$C$5*K9,IF(AND($B$5&gt;=$B$10,$B$5&lt;=$C$10),$C$5*K10,IF(AND($B$5&gt;=$B$11,$B$5&lt;=$C$11),$C$5*K11,IF(AND($B$5&gt;=$B$12,$B$5&lt;=$C$12),$C$5*K12,IF(AND($B$5&gt;=$B$13,$B$5&lt;=$C$13),$C$5*K13,IF(AND($B$5&gt;=$B$14,$B$5&lt;=$C$14),$C$5*K14,IF(AND($B$5&gt;=#REF!,$B$5&lt;=#REF!),$C$5*#REF!,IF(AND($B$5&gt;#REF!),$C$5*#REF!))))))))</f>
        <v>4.9895999999999996E-2</v>
      </c>
      <c r="L17" s="6">
        <f>IF(AND($B$5&gt;=$B$9,$B$5&lt;=$C$9),$C$5*L9,IF(AND($B$5&gt;=$B$10,$B$5&lt;=$C$10),$C$5*L10,IF(AND($B$5&gt;=$B$11,$B$5&lt;=$C$11),$C$5*L11,IF(AND($B$5&gt;=$B$12,$B$5&lt;=$C$12),$C$5*L12,IF(AND($B$5&gt;=$B$13,$B$5&lt;=$C$13),$C$5*L13,IF(AND($B$5&gt;=$B$14,$B$5&lt;=$C$14),$C$5*L14,IF(AND($B$5&gt;=#REF!,$B$5&lt;=#REF!),$C$5*#REF!,IF(AND($B$5&gt;#REF!),$C$5*#REF!))))))))</f>
        <v>3.9798E-2</v>
      </c>
    </row>
    <row r="18" spans="1:14" hidden="1">
      <c r="A18" s="8" t="s">
        <v>9</v>
      </c>
      <c r="B18" s="3" t="b">
        <f t="shared" si="1"/>
        <v>0</v>
      </c>
      <c r="C18" s="4">
        <f t="shared" ref="C18:C21" si="3">ROUND(B18,5)</f>
        <v>0</v>
      </c>
      <c r="G18" s="14">
        <f>ROUND(G17,4)</f>
        <v>6.4999999999999997E-3</v>
      </c>
      <c r="H18" s="14">
        <f t="shared" ref="H18:L18" si="4">ROUND(H17,4)</f>
        <v>4.1999999999999997E-3</v>
      </c>
      <c r="I18" s="14">
        <f t="shared" si="4"/>
        <v>1.5100000000000001E-2</v>
      </c>
      <c r="J18" s="14">
        <f t="shared" si="4"/>
        <v>3.3E-3</v>
      </c>
      <c r="K18" s="14">
        <f t="shared" si="4"/>
        <v>4.99E-2</v>
      </c>
      <c r="L18" s="14">
        <f t="shared" si="4"/>
        <v>3.9800000000000002E-2</v>
      </c>
      <c r="M18" s="4">
        <f>SUM(G18:L18)</f>
        <v>0.1188</v>
      </c>
      <c r="N18" s="4">
        <f>C5-M18</f>
        <v>0</v>
      </c>
    </row>
    <row r="19" spans="1:14" ht="23.4" hidden="1">
      <c r="A19" s="8" t="s">
        <v>10</v>
      </c>
      <c r="B19" s="3" t="b">
        <f t="shared" si="1"/>
        <v>0</v>
      </c>
      <c r="C19" s="4">
        <f t="shared" si="3"/>
        <v>0</v>
      </c>
      <c r="G19" s="13">
        <f t="shared" ref="G19:L19" si="5">IF(G18=MAX($G$18:$L$18),(G18+$N$18),IF(G18&lt;&gt;MAX($G$18:$L$18),G18))</f>
        <v>6.4999999999999997E-3</v>
      </c>
      <c r="H19" s="13">
        <f t="shared" si="5"/>
        <v>4.1999999999999997E-3</v>
      </c>
      <c r="I19" s="13">
        <f t="shared" si="5"/>
        <v>1.5100000000000001E-2</v>
      </c>
      <c r="J19" s="13">
        <f t="shared" si="5"/>
        <v>3.3E-3</v>
      </c>
      <c r="K19" s="13">
        <f t="shared" si="5"/>
        <v>4.99E-2</v>
      </c>
      <c r="L19" s="13">
        <f t="shared" si="5"/>
        <v>3.9800000000000002E-2</v>
      </c>
      <c r="M19" s="15">
        <f>SUM(G19:L19)</f>
        <v>0.1188</v>
      </c>
    </row>
    <row r="20" spans="1:14" ht="23.4" hidden="1">
      <c r="A20" s="8" t="s">
        <v>11</v>
      </c>
      <c r="B20" s="3">
        <f t="shared" si="1"/>
        <v>0.11874999999999998</v>
      </c>
      <c r="C20" s="4">
        <f t="shared" si="3"/>
        <v>0.11874999999999999</v>
      </c>
      <c r="G20" s="13">
        <f>ROUND(G19,4)</f>
        <v>6.4999999999999997E-3</v>
      </c>
      <c r="H20" s="13">
        <f t="shared" ref="H20:L20" si="6">ROUND(H19,4)</f>
        <v>4.1999999999999997E-3</v>
      </c>
      <c r="I20" s="13">
        <f t="shared" si="6"/>
        <v>1.5100000000000001E-2</v>
      </c>
      <c r="J20" s="13">
        <f t="shared" si="6"/>
        <v>3.3E-3</v>
      </c>
      <c r="K20" s="13">
        <f t="shared" si="6"/>
        <v>4.99E-2</v>
      </c>
      <c r="L20" s="13">
        <f t="shared" si="6"/>
        <v>3.9800000000000002E-2</v>
      </c>
      <c r="M20" s="9" t="str">
        <f>IF(C5=M19,"OK")</f>
        <v>OK</v>
      </c>
    </row>
    <row r="21" spans="1:14" hidden="1">
      <c r="A21" s="8" t="s">
        <v>12</v>
      </c>
      <c r="B21" s="3" t="b">
        <f t="shared" si="1"/>
        <v>0</v>
      </c>
      <c r="C21" s="4">
        <f t="shared" si="3"/>
        <v>0</v>
      </c>
      <c r="G21" s="16">
        <f>G20-G18</f>
        <v>0</v>
      </c>
      <c r="H21" s="16">
        <f t="shared" ref="H21:L21" si="7">H20-H18</f>
        <v>0</v>
      </c>
      <c r="I21" s="16">
        <f t="shared" si="7"/>
        <v>0</v>
      </c>
      <c r="J21" s="16">
        <f t="shared" si="7"/>
        <v>0</v>
      </c>
      <c r="K21" s="16">
        <f t="shared" si="7"/>
        <v>0</v>
      </c>
      <c r="L21" s="16">
        <f t="shared" si="7"/>
        <v>0</v>
      </c>
    </row>
    <row r="22" spans="1:14" hidden="1">
      <c r="A22" s="8"/>
      <c r="B22" s="3"/>
      <c r="C22" s="4"/>
    </row>
    <row r="25" spans="1:14" s="30" customFormat="1" ht="18" customHeight="1"/>
    <row r="26" spans="1:14" s="30" customFormat="1" ht="18" customHeight="1"/>
    <row r="27" spans="1:14" s="30" customFormat="1" ht="18" customHeight="1"/>
    <row r="28" spans="1:14" s="30" customFormat="1" ht="18" customHeight="1"/>
    <row r="29" spans="1:14" s="30" customFormat="1" ht="18" customHeight="1"/>
    <row r="30" spans="1:14" s="30" customFormat="1" ht="18" customHeight="1"/>
    <row r="31" spans="1:14" s="30" customFormat="1" ht="18" customHeight="1"/>
    <row r="32" spans="1:14" s="30" customFormat="1" ht="18" customHeight="1"/>
    <row r="33" s="30" customFormat="1" ht="18" customHeight="1"/>
    <row r="34" s="30" customFormat="1" ht="18" customHeight="1"/>
    <row r="35" s="30" customFormat="1" ht="18" customHeight="1"/>
    <row r="36" s="31" customFormat="1" ht="30" customHeight="1"/>
    <row r="37" s="30" customFormat="1" ht="18" customHeight="1"/>
  </sheetData>
  <sheetProtection sheet="1" objects="1" scenarios="1"/>
  <mergeCells count="5">
    <mergeCell ref="B3:B4"/>
    <mergeCell ref="C3:C4"/>
    <mergeCell ref="D3:I3"/>
    <mergeCell ref="G7:L7"/>
    <mergeCell ref="A1:O1"/>
  </mergeCells>
  <conditionalFormatting sqref="G21:L21">
    <cfRule type="expression" dxfId="19" priority="4">
      <formula>"SE+$G$19&lt;&gt;0"</formula>
    </cfRule>
  </conditionalFormatting>
  <conditionalFormatting sqref="G21:L21">
    <cfRule type="cellIs" dxfId="18" priority="1" operator="notEqual">
      <formula>0</formula>
    </cfRule>
    <cfRule type="cellIs" dxfId="17" priority="2" operator="lessThan">
      <formula>0</formula>
    </cfRule>
    <cfRule type="cellIs" dxfId="16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"/>
  <sheetViews>
    <sheetView showGridLines="0" workbookViewId="0">
      <selection activeCell="B5" sqref="B5"/>
    </sheetView>
  </sheetViews>
  <sheetFormatPr defaultRowHeight="14.4"/>
  <cols>
    <col min="1" max="1" width="21.88671875" customWidth="1"/>
    <col min="2" max="2" width="23.44140625" bestFit="1" customWidth="1"/>
    <col min="3" max="3" width="15.5546875" bestFit="1" customWidth="1"/>
    <col min="4" max="4" width="13.44140625" bestFit="1" customWidth="1"/>
    <col min="5" max="5" width="13.44140625" customWidth="1"/>
    <col min="6" max="6" width="11.44140625" bestFit="1" customWidth="1"/>
    <col min="7" max="7" width="13.6640625" bestFit="1" customWidth="1"/>
    <col min="8" max="10" width="11.44140625" bestFit="1" customWidth="1"/>
    <col min="11" max="13" width="9.5546875" bestFit="1" customWidth="1"/>
    <col min="15" max="15" width="18.6640625" hidden="1" customWidth="1"/>
    <col min="16" max="24" width="0" hidden="1" customWidth="1"/>
  </cols>
  <sheetData>
    <row r="1" spans="1:24" s="30" customFormat="1" ht="51.75" customHeight="1" thickBot="1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32"/>
      <c r="Q1" s="32"/>
      <c r="R1" s="32"/>
      <c r="S1" s="32"/>
      <c r="T1" s="32"/>
      <c r="U1" s="32"/>
      <c r="V1" s="32"/>
      <c r="W1" s="32"/>
      <c r="X1" s="32"/>
    </row>
    <row r="2" spans="1:24" ht="15" thickTop="1"/>
    <row r="3" spans="1:24" ht="15.75" customHeight="1">
      <c r="A3" s="35"/>
      <c r="B3" s="55" t="s">
        <v>6</v>
      </c>
      <c r="C3" s="56" t="s">
        <v>15</v>
      </c>
      <c r="D3" s="57" t="s">
        <v>16</v>
      </c>
      <c r="E3" s="57"/>
      <c r="F3" s="57"/>
      <c r="G3" s="57"/>
      <c r="H3" s="57"/>
      <c r="I3" s="57"/>
      <c r="J3" s="57"/>
    </row>
    <row r="4" spans="1:24">
      <c r="A4" s="35"/>
      <c r="B4" s="55"/>
      <c r="C4" s="56"/>
      <c r="D4" s="36" t="s">
        <v>0</v>
      </c>
      <c r="E4" s="36" t="s">
        <v>1</v>
      </c>
      <c r="F4" s="36" t="s">
        <v>2</v>
      </c>
      <c r="G4" s="36" t="s">
        <v>3</v>
      </c>
      <c r="H4" s="36" t="s">
        <v>4</v>
      </c>
      <c r="I4" s="36" t="s">
        <v>18</v>
      </c>
      <c r="J4" s="36" t="s">
        <v>5</v>
      </c>
    </row>
    <row r="5" spans="1:24" ht="26.4">
      <c r="A5" s="37" t="s">
        <v>14</v>
      </c>
      <c r="B5" s="38">
        <v>180000</v>
      </c>
      <c r="C5" s="39">
        <f>D17</f>
        <v>4.4999999999999998E-2</v>
      </c>
      <c r="D5" s="39">
        <f>G20</f>
        <v>2.5000000000000001E-3</v>
      </c>
      <c r="E5" s="39">
        <f t="shared" ref="E5:J5" si="0">H20</f>
        <v>1.6000000000000001E-3</v>
      </c>
      <c r="F5" s="39">
        <f t="shared" si="0"/>
        <v>5.1999999999999998E-3</v>
      </c>
      <c r="G5" s="39">
        <f t="shared" si="0"/>
        <v>1.1000000000000001E-3</v>
      </c>
      <c r="H5" s="39">
        <f t="shared" si="0"/>
        <v>1.6799999999999999E-2</v>
      </c>
      <c r="I5" s="39">
        <f t="shared" si="0"/>
        <v>3.3999999999999998E-3</v>
      </c>
      <c r="J5" s="39">
        <f t="shared" si="0"/>
        <v>1.44E-2</v>
      </c>
      <c r="M5" s="7"/>
    </row>
    <row r="6" spans="1:24">
      <c r="M6" s="7"/>
    </row>
    <row r="7" spans="1:24" ht="32.25" customHeight="1">
      <c r="G7" s="58" t="s">
        <v>17</v>
      </c>
      <c r="H7" s="59"/>
      <c r="I7" s="59"/>
      <c r="J7" s="59"/>
      <c r="K7" s="59"/>
      <c r="L7" s="60"/>
      <c r="M7" s="52"/>
    </row>
    <row r="8" spans="1:24" ht="27.6">
      <c r="A8" s="41"/>
      <c r="B8" s="53" t="s">
        <v>25</v>
      </c>
      <c r="C8" s="53" t="s">
        <v>24</v>
      </c>
      <c r="D8" s="53" t="s">
        <v>26</v>
      </c>
      <c r="E8" s="53" t="s">
        <v>27</v>
      </c>
      <c r="G8" s="41" t="s">
        <v>0</v>
      </c>
      <c r="H8" s="41" t="s">
        <v>1</v>
      </c>
      <c r="I8" s="41" t="s">
        <v>2</v>
      </c>
      <c r="J8" s="41" t="s">
        <v>3</v>
      </c>
      <c r="K8" s="41" t="s">
        <v>4</v>
      </c>
      <c r="L8" s="41" t="s">
        <v>18</v>
      </c>
      <c r="M8" s="41" t="s">
        <v>5</v>
      </c>
    </row>
    <row r="9" spans="1:24" ht="15" thickBot="1">
      <c r="A9" s="48" t="s">
        <v>7</v>
      </c>
      <c r="B9" s="42">
        <v>0</v>
      </c>
      <c r="C9" s="43">
        <v>180000</v>
      </c>
      <c r="D9" s="46">
        <v>4.4999999999999998E-2</v>
      </c>
      <c r="E9" s="49">
        <v>0</v>
      </c>
      <c r="F9" s="12"/>
      <c r="G9" s="46">
        <v>5.5E-2</v>
      </c>
      <c r="H9" s="46">
        <v>3.5000000000000003E-2</v>
      </c>
      <c r="I9" s="46">
        <v>0.11509999999999999</v>
      </c>
      <c r="J9" s="46">
        <v>2.4899999999999999E-2</v>
      </c>
      <c r="K9" s="46">
        <v>0.375</v>
      </c>
      <c r="L9" s="46">
        <v>7.4999999999999997E-2</v>
      </c>
      <c r="M9" s="46">
        <v>0.32</v>
      </c>
      <c r="P9" s="2">
        <v>5.5E-2</v>
      </c>
      <c r="Q9" s="2">
        <v>3.5000000000000003E-2</v>
      </c>
      <c r="R9" s="2">
        <v>0.11509999999999999</v>
      </c>
      <c r="S9" s="2">
        <v>2.4899999999999999E-2</v>
      </c>
      <c r="T9" s="2">
        <v>0.375</v>
      </c>
      <c r="U9" s="2">
        <v>7.4999999999999997E-2</v>
      </c>
      <c r="V9" s="2">
        <v>0.32</v>
      </c>
    </row>
    <row r="10" spans="1:24" ht="15" thickBot="1">
      <c r="A10" s="50" t="s">
        <v>8</v>
      </c>
      <c r="B10" s="44">
        <v>180000.01</v>
      </c>
      <c r="C10" s="45">
        <v>360000</v>
      </c>
      <c r="D10" s="47">
        <v>7.8E-2</v>
      </c>
      <c r="E10" s="51">
        <v>5940</v>
      </c>
      <c r="F10" s="12"/>
      <c r="G10" s="47">
        <v>5.5E-2</v>
      </c>
      <c r="H10" s="47">
        <v>3.5000000000000003E-2</v>
      </c>
      <c r="I10" s="47">
        <v>0.11509999999999999</v>
      </c>
      <c r="J10" s="47">
        <v>2.4899999999999999E-2</v>
      </c>
      <c r="K10" s="47">
        <v>0.375</v>
      </c>
      <c r="L10" s="47">
        <v>7.4999999999999997E-2</v>
      </c>
      <c r="M10" s="47">
        <v>0.32</v>
      </c>
      <c r="P10" s="2">
        <v>5.5E-2</v>
      </c>
      <c r="Q10" s="2">
        <v>3.5000000000000003E-2</v>
      </c>
      <c r="R10" s="2">
        <v>0.11509999999999999</v>
      </c>
      <c r="S10" s="2">
        <v>2.4899999999999999E-2</v>
      </c>
      <c r="T10" s="2">
        <v>0.375</v>
      </c>
      <c r="U10" s="2">
        <v>7.4999999999999997E-2</v>
      </c>
      <c r="V10" s="2">
        <v>0.32</v>
      </c>
    </row>
    <row r="11" spans="1:24" ht="15" thickBot="1">
      <c r="A11" s="48" t="s">
        <v>9</v>
      </c>
      <c r="B11" s="42">
        <v>360000.01</v>
      </c>
      <c r="C11" s="43">
        <v>720000</v>
      </c>
      <c r="D11" s="46">
        <v>0.1</v>
      </c>
      <c r="E11" s="49">
        <v>13860</v>
      </c>
      <c r="F11" s="12"/>
      <c r="G11" s="46">
        <v>5.5E-2</v>
      </c>
      <c r="H11" s="46">
        <v>3.5000000000000003E-2</v>
      </c>
      <c r="I11" s="46">
        <v>0.11509999999999999</v>
      </c>
      <c r="J11" s="46">
        <v>2.4899999999999999E-2</v>
      </c>
      <c r="K11" s="46">
        <v>0.375</v>
      </c>
      <c r="L11" s="46">
        <v>7.4999999999999997E-2</v>
      </c>
      <c r="M11" s="46">
        <v>0.32</v>
      </c>
      <c r="P11" s="2">
        <v>5.5E-2</v>
      </c>
      <c r="Q11" s="2">
        <v>3.5000000000000003E-2</v>
      </c>
      <c r="R11" s="2">
        <v>0.11509999999999999</v>
      </c>
      <c r="S11" s="2">
        <v>2.4899999999999999E-2</v>
      </c>
      <c r="T11" s="2">
        <v>0.375</v>
      </c>
      <c r="U11" s="2">
        <v>7.4999999999999997E-2</v>
      </c>
      <c r="V11" s="2">
        <v>0.32</v>
      </c>
    </row>
    <row r="12" spans="1:24" ht="15" thickBot="1">
      <c r="A12" s="50" t="s">
        <v>10</v>
      </c>
      <c r="B12" s="44">
        <v>720000.01</v>
      </c>
      <c r="C12" s="45">
        <v>1800000</v>
      </c>
      <c r="D12" s="47">
        <v>0.112</v>
      </c>
      <c r="E12" s="51">
        <v>22500</v>
      </c>
      <c r="F12" s="12"/>
      <c r="G12" s="47">
        <v>5.5E-2</v>
      </c>
      <c r="H12" s="47">
        <v>3.5000000000000003E-2</v>
      </c>
      <c r="I12" s="47">
        <v>0.11509999999999999</v>
      </c>
      <c r="J12" s="47">
        <v>2.4899999999999999E-2</v>
      </c>
      <c r="K12" s="47">
        <v>0.375</v>
      </c>
      <c r="L12" s="47">
        <v>7.4999999999999997E-2</v>
      </c>
      <c r="M12" s="47">
        <v>0.32</v>
      </c>
      <c r="P12" s="2">
        <v>5.5E-2</v>
      </c>
      <c r="Q12" s="2">
        <v>3.5000000000000003E-2</v>
      </c>
      <c r="R12" s="2">
        <v>0.11509999999999999</v>
      </c>
      <c r="S12" s="2">
        <v>2.4899999999999999E-2</v>
      </c>
      <c r="T12" s="2">
        <v>0.375</v>
      </c>
      <c r="U12" s="2">
        <v>7.4999999999999997E-2</v>
      </c>
      <c r="V12" s="2">
        <v>0.32</v>
      </c>
    </row>
    <row r="13" spans="1:24" ht="15" thickBot="1">
      <c r="A13" s="48" t="s">
        <v>11</v>
      </c>
      <c r="B13" s="42">
        <v>1800000.01</v>
      </c>
      <c r="C13" s="43">
        <v>3600000</v>
      </c>
      <c r="D13" s="46">
        <v>0.14699999999999999</v>
      </c>
      <c r="E13" s="49">
        <v>85500</v>
      </c>
      <c r="F13" s="12"/>
      <c r="G13" s="46">
        <v>5.5E-2</v>
      </c>
      <c r="H13" s="46">
        <v>3.5000000000000003E-2</v>
      </c>
      <c r="I13" s="46">
        <v>0.11509999999999999</v>
      </c>
      <c r="J13" s="46">
        <v>2.4899999999999999E-2</v>
      </c>
      <c r="K13" s="46">
        <v>0.375</v>
      </c>
      <c r="L13" s="46">
        <v>7.4999999999999997E-2</v>
      </c>
      <c r="M13" s="46">
        <v>0.32</v>
      </c>
      <c r="P13" s="2">
        <v>5.5E-2</v>
      </c>
      <c r="Q13" s="2">
        <v>3.5000000000000003E-2</v>
      </c>
      <c r="R13" s="2">
        <v>0.11509999999999999</v>
      </c>
      <c r="S13" s="2">
        <v>2.4899999999999999E-2</v>
      </c>
      <c r="T13" s="2">
        <v>0.375</v>
      </c>
      <c r="U13" s="2">
        <v>7.4999999999999997E-2</v>
      </c>
      <c r="V13" s="2">
        <v>0.32</v>
      </c>
    </row>
    <row r="14" spans="1:24" ht="15" thickBot="1">
      <c r="A14" s="50" t="s">
        <v>12</v>
      </c>
      <c r="B14" s="44">
        <v>3600000.01</v>
      </c>
      <c r="C14" s="45">
        <v>4800000</v>
      </c>
      <c r="D14" s="47">
        <v>0.3</v>
      </c>
      <c r="E14" s="51">
        <v>720000</v>
      </c>
      <c r="F14" s="12"/>
      <c r="G14" s="47">
        <v>8.5000000000000006E-2</v>
      </c>
      <c r="H14" s="47">
        <v>7.4999999999999997E-2</v>
      </c>
      <c r="I14" s="47">
        <v>0.20960000000000001</v>
      </c>
      <c r="J14" s="47">
        <v>4.5400000000000003E-2</v>
      </c>
      <c r="K14" s="47">
        <v>0.23499999999999999</v>
      </c>
      <c r="L14" s="47">
        <v>0.35</v>
      </c>
      <c r="M14" s="47">
        <v>0</v>
      </c>
      <c r="P14" s="2">
        <v>8.5000000000000006E-2</v>
      </c>
      <c r="Q14" s="2">
        <v>7.4999999999999997E-2</v>
      </c>
      <c r="R14" s="2">
        <v>0.20960000000000001</v>
      </c>
      <c r="S14" s="2">
        <v>4.5400000000000003E-2</v>
      </c>
      <c r="T14" s="2">
        <v>0.23499999999999999</v>
      </c>
      <c r="U14" s="2">
        <v>0.35</v>
      </c>
      <c r="V14" s="2">
        <v>0</v>
      </c>
    </row>
    <row r="15" spans="1:24">
      <c r="A15" s="8"/>
      <c r="B15" s="3"/>
      <c r="C15" s="4"/>
    </row>
    <row r="16" spans="1:24" hidden="1">
      <c r="A16" s="8" t="s">
        <v>7</v>
      </c>
      <c r="B16" s="3">
        <f t="shared" ref="B16:B21" si="1">IF(AND($B$5&gt;=B9,$B$5&lt;=C9),($B$5*D9-E9)/$B$5)</f>
        <v>4.4999999999999998E-2</v>
      </c>
      <c r="C16" s="4">
        <f t="shared" ref="C16" si="2">ROUND(B16,5)</f>
        <v>4.4999999999999998E-2</v>
      </c>
      <c r="D16" s="3">
        <f>IF(AND($B$5&gt;=B9,$B$5&lt;=C9),C16,IF(AND($B$5&gt;=B10,$B$5&lt;=C10),C17,IF(AND($B$5&gt;=B11,$B$5&lt;=C11),C18,IF(AND($B$5&gt;=B12,$B$5&lt;=C12),C19,IF(AND($B$5&gt;=B13,$B$5&lt;=C13),C20,IF(AND($B$5&gt;=B14,$B$5&lt;=C14),C21,IF(AND($B$5&gt;=#REF!,$B$5&lt;=#REF!),C22,IF(AND($B$5&gt;#REF!),C23))))))))</f>
        <v>4.4999999999999998E-2</v>
      </c>
      <c r="G16" s="11" t="s">
        <v>0</v>
      </c>
      <c r="H16" s="11" t="s">
        <v>1</v>
      </c>
      <c r="I16" s="11" t="s">
        <v>2</v>
      </c>
      <c r="J16" s="11" t="s">
        <v>3</v>
      </c>
      <c r="K16" s="11" t="s">
        <v>4</v>
      </c>
      <c r="L16" s="11" t="s">
        <v>18</v>
      </c>
      <c r="M16" s="11" t="s">
        <v>5</v>
      </c>
    </row>
    <row r="17" spans="1:15" hidden="1">
      <c r="A17" s="8" t="s">
        <v>8</v>
      </c>
      <c r="B17" s="3" t="b">
        <f t="shared" si="1"/>
        <v>0</v>
      </c>
      <c r="C17" s="4">
        <f>ROUND(B17,5)</f>
        <v>0</v>
      </c>
      <c r="D17" s="3">
        <f>ROUND(D16,4)</f>
        <v>4.4999999999999998E-2</v>
      </c>
      <c r="G17" s="6">
        <f>IF(AND($B$5&gt;=$B$9,$B$5&lt;=$C$9),$C$5*G9,IF(AND($B$5&gt;=$B$10,$B$5&lt;=$C$10),$C$5*G10,IF(AND($B$5&gt;=$B$11,$B$5&lt;=$C$11),$C$5*G11,IF(AND($B$5&gt;=$B$12,$B$5&lt;=$C$12),$C$5*G12,IF(AND($B$5&gt;=$B$13,$B$5&lt;=$C$13),$C$5*G13,IF(AND($B$5&gt;=$B$14,$B$5&lt;=$C$14),$C$5*G14,IF(AND($B$5&gt;=#REF!,$B$5&lt;=#REF!),$C$5*#REF!,IF(AND($B$5&gt;#REF!),$C$5*#REF!))))))))</f>
        <v>2.4749999999999998E-3</v>
      </c>
      <c r="H17" s="6">
        <f>IF(AND($B$5&gt;=$B$9,$B$5&lt;=$C$9),$C$5*H9,IF(AND($B$5&gt;=$B$10,$B$5&lt;=$C$10),$C$5*H10,IF(AND($B$5&gt;=$B$11,$B$5&lt;=$C$11),$C$5*H11,IF(AND($B$5&gt;=$B$12,$B$5&lt;=$C$12),$C$5*H12,IF(AND($B$5&gt;=$B$13,$B$5&lt;=$C$13),$C$5*H13,IF(AND($B$5&gt;=$B$14,$B$5&lt;=$C$14),$C$5*H14,IF(AND($B$5&gt;=#REF!,$B$5&lt;=#REF!),$C$5*#REF!,IF(AND($B$5&gt;#REF!),$C$5*#REF!))))))))</f>
        <v>1.575E-3</v>
      </c>
      <c r="I17" s="6">
        <f>IF(AND($B$5&gt;=$B$9,$B$5&lt;=$C$9),$C$5*I9,IF(AND($B$5&gt;=$B$10,$B$5&lt;=$C$10),$C$5*I10,IF(AND($B$5&gt;=$B$11,$B$5&lt;=$C$11),$C$5*I11,IF(AND($B$5&gt;=$B$12,$B$5&lt;=$C$12),$C$5*I12,IF(AND($B$5&gt;=$B$13,$B$5&lt;=$C$13),$C$5*I13,IF(AND($B$5&gt;=$B$14,$B$5&lt;=$C$14),$C$5*I14,IF(AND($B$5&gt;=#REF!,$B$5&lt;=#REF!),$C$5*#REF!,IF(AND($B$5&gt;#REF!),$C$5*#REF!))))))))</f>
        <v>5.1794999999999992E-3</v>
      </c>
      <c r="J17" s="6">
        <f>IF(AND($B$5&gt;=$B$9,$B$5&lt;=$C$9),$C$5*J9,IF(AND($B$5&gt;=$B$10,$B$5&lt;=$C$10),$C$5*J10,IF(AND($B$5&gt;=$B$11,$B$5&lt;=$C$11),$C$5*J11,IF(AND($B$5&gt;=$B$12,$B$5&lt;=$C$12),$C$5*J12,IF(AND($B$5&gt;=$B$13,$B$5&lt;=$C$13),$C$5*J13,IF(AND($B$5&gt;=$B$14,$B$5&lt;=$C$14),$C$5*J14,IF(AND($B$5&gt;=#REF!,$B$5&lt;=#REF!),$C$5*#REF!,IF(AND($B$5&gt;#REF!),$C$5*#REF!))))))))</f>
        <v>1.1205E-3</v>
      </c>
      <c r="K17" s="6">
        <f>IF(AND($B$5&gt;=$B$9,$B$5&lt;=$C$9),$C$5*K9,IF(AND($B$5&gt;=$B$10,$B$5&lt;=$C$10),$C$5*K10,IF(AND($B$5&gt;=$B$11,$B$5&lt;=$C$11),$C$5*K11,IF(AND($B$5&gt;=$B$12,$B$5&lt;=$C$12),$C$5*K12,IF(AND($B$5&gt;=$B$13,$B$5&lt;=$C$13),$C$5*K13,IF(AND($B$5&gt;=$B$14,$B$5&lt;=$C$14),$C$5*K14,IF(AND($B$5&gt;=#REF!,$B$5&lt;=#REF!),$C$5*#REF!,IF(AND($B$5&gt;#REF!),$C$5*#REF!))))))))</f>
        <v>1.6875000000000001E-2</v>
      </c>
      <c r="L17" s="6">
        <f>IF(AND($B$5&gt;=$B$9,$B$5&lt;=$C$9),$C$5*L9,IF(AND($B$5&gt;=$B$10,$B$5&lt;=$C$10),$C$5*L10,IF(AND($B$5&gt;=$B$11,$B$5&lt;=$C$11),$C$5*L11,IF(AND($B$5&gt;=$B$12,$B$5&lt;=$C$12),$C$5*L12,IF(AND($B$5&gt;=$B$13,$B$5&lt;=$C$13),$C$5*L13,IF(AND($B$5&gt;=$B$14,$B$5&lt;=$C$14),$C$5*L14,IF(AND($B$5&gt;=#REF!,$B$5&lt;=#REF!),$C$5*#REF!,IF(AND($B$5&gt;#REF!),$C$5*#REF!))))))))</f>
        <v>3.375E-3</v>
      </c>
      <c r="M17" s="6">
        <f>IF(AND($B$5&gt;=$B$9,$B$5&lt;=$C$9),$C$5*M9,IF(AND($B$5&gt;=$B$10,$B$5&lt;=$C$10),$C$5*M10,IF(AND($B$5&gt;=$B$11,$B$5&lt;=$C$11),$C$5*M11,IF(AND($B$5&gt;=$B$12,$B$5&lt;=$C$12),$C$5*M12,IF(AND($B$5&gt;=$B$13,$B$5&lt;=$C$13),$C$5*M13,IF(AND($B$5&gt;=$B$14,$B$5&lt;=$C$14),$C$5*M14,IF(AND($B$5&gt;=#REF!,$B$5&lt;=#REF!),$C$5*#REF!,IF(AND($B$5&gt;#REF!),$C$5*#REF!))))))))</f>
        <v>1.44E-2</v>
      </c>
    </row>
    <row r="18" spans="1:15" hidden="1">
      <c r="A18" s="8" t="s">
        <v>9</v>
      </c>
      <c r="B18" s="3" t="b">
        <f t="shared" si="1"/>
        <v>0</v>
      </c>
      <c r="C18" s="4">
        <f t="shared" ref="C18:C22" si="3">ROUND(B18,5)</f>
        <v>0</v>
      </c>
      <c r="G18" s="14">
        <f>ROUND(G17,4)</f>
        <v>2.5000000000000001E-3</v>
      </c>
      <c r="H18" s="14">
        <f t="shared" ref="H18:M18" si="4">ROUND(H17,4)</f>
        <v>1.6000000000000001E-3</v>
      </c>
      <c r="I18" s="14">
        <f t="shared" si="4"/>
        <v>5.1999999999999998E-3</v>
      </c>
      <c r="J18" s="14">
        <f t="shared" si="4"/>
        <v>1.1000000000000001E-3</v>
      </c>
      <c r="K18" s="14">
        <f t="shared" si="4"/>
        <v>1.6899999999999998E-2</v>
      </c>
      <c r="L18" s="14">
        <f t="shared" si="4"/>
        <v>3.3999999999999998E-3</v>
      </c>
      <c r="M18" s="14">
        <f t="shared" si="4"/>
        <v>1.44E-2</v>
      </c>
      <c r="N18" s="4">
        <f>SUM(G18:M18)</f>
        <v>4.5100000000000001E-2</v>
      </c>
    </row>
    <row r="19" spans="1:15" ht="23.4" hidden="1">
      <c r="A19" s="8" t="s">
        <v>10</v>
      </c>
      <c r="B19" s="3" t="b">
        <f t="shared" si="1"/>
        <v>0</v>
      </c>
      <c r="C19" s="4">
        <f t="shared" si="3"/>
        <v>0</v>
      </c>
      <c r="G19" s="13">
        <f t="shared" ref="G19:M19" si="5">IF(G18=MAX($G$18:$M$18),(G18+$N$21),IF(G18&lt;&gt;MAX($G$18:$M$18),G18))</f>
        <v>2.5000000000000001E-3</v>
      </c>
      <c r="H19" s="13">
        <f t="shared" si="5"/>
        <v>1.6000000000000001E-3</v>
      </c>
      <c r="I19" s="13">
        <f t="shared" si="5"/>
        <v>5.1999999999999998E-3</v>
      </c>
      <c r="J19" s="13">
        <f t="shared" si="5"/>
        <v>1.1000000000000001E-3</v>
      </c>
      <c r="K19" s="13">
        <f t="shared" si="5"/>
        <v>1.6799999999999995E-2</v>
      </c>
      <c r="L19" s="13">
        <f t="shared" si="5"/>
        <v>3.3999999999999998E-3</v>
      </c>
      <c r="M19" s="13">
        <f t="shared" si="5"/>
        <v>1.44E-2</v>
      </c>
      <c r="N19" s="4">
        <f>SUM(G19:M19)</f>
        <v>4.4999999999999998E-2</v>
      </c>
      <c r="O19" s="10">
        <f>SUM(G19:M19)</f>
        <v>4.4999999999999998E-2</v>
      </c>
    </row>
    <row r="20" spans="1:15" ht="23.4" hidden="1">
      <c r="A20" s="8" t="s">
        <v>11</v>
      </c>
      <c r="B20" s="3" t="b">
        <f t="shared" si="1"/>
        <v>0</v>
      </c>
      <c r="C20" s="4">
        <f t="shared" si="3"/>
        <v>0</v>
      </c>
      <c r="G20" s="13">
        <f>ROUND(G19,4)</f>
        <v>2.5000000000000001E-3</v>
      </c>
      <c r="H20" s="13">
        <f t="shared" ref="H20:M20" si="6">ROUND(H19,4)</f>
        <v>1.6000000000000001E-3</v>
      </c>
      <c r="I20" s="13">
        <f t="shared" si="6"/>
        <v>5.1999999999999998E-3</v>
      </c>
      <c r="J20" s="13">
        <f t="shared" si="6"/>
        <v>1.1000000000000001E-3</v>
      </c>
      <c r="K20" s="13">
        <f t="shared" si="6"/>
        <v>1.6799999999999999E-2</v>
      </c>
      <c r="L20" s="13">
        <f t="shared" si="6"/>
        <v>3.3999999999999998E-3</v>
      </c>
      <c r="M20" s="13">
        <f t="shared" si="6"/>
        <v>1.44E-2</v>
      </c>
      <c r="O20" s="9" t="str">
        <f>IF(C5=O19,"OK")</f>
        <v>OK</v>
      </c>
    </row>
    <row r="21" spans="1:15" hidden="1">
      <c r="A21" s="8" t="s">
        <v>12</v>
      </c>
      <c r="B21" s="3" t="b">
        <f t="shared" si="1"/>
        <v>0</v>
      </c>
      <c r="C21" s="4">
        <f t="shared" si="3"/>
        <v>0</v>
      </c>
      <c r="G21" s="13">
        <f>G20-G18</f>
        <v>0</v>
      </c>
      <c r="H21" s="13">
        <f t="shared" ref="H21:L21" si="7">H20-H18</f>
        <v>0</v>
      </c>
      <c r="I21" s="13">
        <f t="shared" si="7"/>
        <v>0</v>
      </c>
      <c r="J21" s="13">
        <f t="shared" si="7"/>
        <v>0</v>
      </c>
      <c r="K21" s="13">
        <f t="shared" si="7"/>
        <v>-9.9999999999999395E-5</v>
      </c>
      <c r="L21" s="13">
        <f t="shared" si="7"/>
        <v>0</v>
      </c>
      <c r="N21" s="4">
        <f>C5-N18</f>
        <v>-1.0000000000000286E-4</v>
      </c>
    </row>
    <row r="22" spans="1:15" hidden="1">
      <c r="A22" s="8" t="s">
        <v>13</v>
      </c>
      <c r="B22" s="3" t="e">
        <f>IF(AND($B$5&gt;=#REF!,$B$5&lt;=#REF!),($B$5*#REF!-#REF!)/$B$5)</f>
        <v>#REF!</v>
      </c>
      <c r="C22" s="4" t="e">
        <f t="shared" si="3"/>
        <v>#REF!</v>
      </c>
      <c r="G22" s="5"/>
    </row>
    <row r="23" spans="1:15" ht="19.5" customHeight="1">
      <c r="A23" s="8"/>
      <c r="B23" s="3"/>
      <c r="C23" s="4"/>
    </row>
    <row r="25" spans="1:15" s="30" customFormat="1" ht="18" customHeight="1"/>
    <row r="26" spans="1:15" s="30" customFormat="1" ht="18" customHeight="1"/>
    <row r="27" spans="1:15" s="30" customFormat="1" ht="18" customHeight="1"/>
    <row r="28" spans="1:15" s="30" customFormat="1" ht="18" customHeight="1"/>
    <row r="29" spans="1:15" s="30" customFormat="1" ht="18" customHeight="1"/>
    <row r="30" spans="1:15" s="30" customFormat="1" ht="18" customHeight="1"/>
    <row r="31" spans="1:15" s="30" customFormat="1" ht="18" customHeight="1"/>
    <row r="32" spans="1:15" s="30" customFormat="1" ht="18" customHeight="1"/>
    <row r="33" s="30" customFormat="1" ht="18" customHeight="1"/>
    <row r="34" s="30" customFormat="1" ht="18" customHeight="1"/>
    <row r="35" s="30" customFormat="1" ht="18" customHeight="1"/>
    <row r="36" s="31" customFormat="1" ht="30" customHeight="1"/>
    <row r="37" s="30" customFormat="1" ht="18" customHeight="1"/>
  </sheetData>
  <sheetProtection sheet="1" objects="1" scenarios="1"/>
  <mergeCells count="5">
    <mergeCell ref="C3:C4"/>
    <mergeCell ref="B3:B4"/>
    <mergeCell ref="G7:L7"/>
    <mergeCell ref="A1:O1"/>
    <mergeCell ref="D3:J3"/>
  </mergeCells>
  <conditionalFormatting sqref="G21:L21">
    <cfRule type="expression" dxfId="15" priority="4">
      <formula>"SE+$G$19&lt;&gt;0"</formula>
    </cfRule>
  </conditionalFormatting>
  <conditionalFormatting sqref="G21:L21">
    <cfRule type="cellIs" dxfId="14" priority="1" operator="not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0"/>
  <sheetViews>
    <sheetView showGridLines="0" showRowColHeaders="0" tabSelected="1" workbookViewId="0">
      <selection activeCell="A46" sqref="A46"/>
    </sheetView>
  </sheetViews>
  <sheetFormatPr defaultRowHeight="14.4"/>
  <cols>
    <col min="1" max="1" width="23.6640625" customWidth="1"/>
    <col min="2" max="2" width="23.44140625" bestFit="1" customWidth="1"/>
    <col min="3" max="3" width="17.5546875" bestFit="1" customWidth="1"/>
    <col min="4" max="4" width="13.44140625" bestFit="1" customWidth="1"/>
    <col min="5" max="5" width="13.44140625" customWidth="1"/>
    <col min="6" max="6" width="11.44140625" customWidth="1"/>
    <col min="7" max="7" width="13.44140625" customWidth="1"/>
    <col min="8" max="9" width="11.44140625" customWidth="1"/>
    <col min="10" max="10" width="9.88671875" customWidth="1"/>
    <col min="11" max="12" width="9.109375" customWidth="1"/>
    <col min="13" max="14" width="13.44140625" bestFit="1" customWidth="1"/>
    <col min="15" max="17" width="7" customWidth="1"/>
    <col min="18" max="18" width="6" customWidth="1"/>
    <col min="19" max="20" width="7" customWidth="1"/>
  </cols>
  <sheetData>
    <row r="1" spans="1:24" s="30" customFormat="1" ht="51.75" customHeight="1" thickBot="1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32"/>
      <c r="Q1" s="32"/>
      <c r="R1" s="32"/>
      <c r="S1" s="32"/>
      <c r="T1" s="32"/>
      <c r="U1" s="32"/>
      <c r="V1" s="32"/>
      <c r="W1" s="32"/>
      <c r="X1" s="32"/>
    </row>
    <row r="2" spans="1:24" ht="15" thickTop="1"/>
    <row r="3" spans="1:24" ht="15.75" customHeight="1">
      <c r="A3" s="35"/>
      <c r="B3" s="55" t="s">
        <v>6</v>
      </c>
      <c r="C3" s="56" t="s">
        <v>15</v>
      </c>
      <c r="D3" s="57" t="s">
        <v>16</v>
      </c>
      <c r="E3" s="57"/>
      <c r="F3" s="57"/>
      <c r="G3" s="57"/>
      <c r="H3" s="57"/>
      <c r="I3" s="57"/>
    </row>
    <row r="4" spans="1:24">
      <c r="A4" s="35"/>
      <c r="B4" s="55"/>
      <c r="C4" s="56"/>
      <c r="D4" s="36" t="s">
        <v>0</v>
      </c>
      <c r="E4" s="36" t="s">
        <v>1</v>
      </c>
      <c r="F4" s="36" t="s">
        <v>2</v>
      </c>
      <c r="G4" s="36" t="s">
        <v>3</v>
      </c>
      <c r="H4" s="36" t="s">
        <v>4</v>
      </c>
      <c r="I4" s="36" t="s">
        <v>19</v>
      </c>
    </row>
    <row r="5" spans="1:24" ht="26.4">
      <c r="A5" s="37" t="s">
        <v>14</v>
      </c>
      <c r="B5" s="38">
        <v>180000</v>
      </c>
      <c r="C5" s="39">
        <f>D17</f>
        <v>0.06</v>
      </c>
      <c r="D5" s="39">
        <f t="shared" ref="D5:I5" si="0">G26</f>
        <v>2.3999999999999998E-3</v>
      </c>
      <c r="E5" s="39">
        <f t="shared" si="0"/>
        <v>2.0999999999999999E-3</v>
      </c>
      <c r="F5" s="39">
        <f t="shared" si="0"/>
        <v>7.7000000000000002E-3</v>
      </c>
      <c r="G5" s="39">
        <f t="shared" si="0"/>
        <v>1.6999999999999999E-3</v>
      </c>
      <c r="H5" s="39">
        <f t="shared" si="0"/>
        <v>2.5999999999999999E-2</v>
      </c>
      <c r="I5" s="39">
        <f t="shared" si="0"/>
        <v>2.01E-2</v>
      </c>
    </row>
    <row r="6" spans="1:24">
      <c r="M6" s="7"/>
    </row>
    <row r="7" spans="1:24" ht="32.25" customHeight="1">
      <c r="G7" s="58" t="s">
        <v>17</v>
      </c>
      <c r="H7" s="59"/>
      <c r="I7" s="59"/>
      <c r="J7" s="59"/>
      <c r="K7" s="59"/>
      <c r="L7" s="60"/>
    </row>
    <row r="8" spans="1:24" ht="27.6">
      <c r="A8" s="41"/>
      <c r="B8" s="53" t="s">
        <v>25</v>
      </c>
      <c r="C8" s="53" t="s">
        <v>24</v>
      </c>
      <c r="D8" s="53" t="s">
        <v>26</v>
      </c>
      <c r="E8" s="53" t="s">
        <v>27</v>
      </c>
      <c r="G8" s="41" t="s">
        <v>0</v>
      </c>
      <c r="H8" s="41" t="s">
        <v>1</v>
      </c>
      <c r="I8" s="41" t="s">
        <v>2</v>
      </c>
      <c r="J8" s="41" t="s">
        <v>3</v>
      </c>
      <c r="K8" s="41" t="s">
        <v>4</v>
      </c>
      <c r="L8" s="41" t="s">
        <v>19</v>
      </c>
    </row>
    <row r="9" spans="1:24">
      <c r="A9" s="48" t="s">
        <v>7</v>
      </c>
      <c r="B9" s="42">
        <v>0</v>
      </c>
      <c r="C9" s="43">
        <v>180000</v>
      </c>
      <c r="D9" s="46">
        <v>0.06</v>
      </c>
      <c r="E9" s="49">
        <v>0</v>
      </c>
      <c r="F9" s="12"/>
      <c r="G9" s="46">
        <v>0.04</v>
      </c>
      <c r="H9" s="46">
        <v>3.5000000000000003E-2</v>
      </c>
      <c r="I9" s="46">
        <v>0.12820000000000001</v>
      </c>
      <c r="J9" s="46">
        <v>2.7799999999999998E-2</v>
      </c>
      <c r="K9" s="46">
        <v>0.434</v>
      </c>
      <c r="L9" s="46">
        <v>0.33500000000000002</v>
      </c>
    </row>
    <row r="10" spans="1:24">
      <c r="A10" s="50" t="s">
        <v>8</v>
      </c>
      <c r="B10" s="44">
        <v>180000.01</v>
      </c>
      <c r="C10" s="45">
        <v>360000</v>
      </c>
      <c r="D10" s="47">
        <v>0.112</v>
      </c>
      <c r="E10" s="51">
        <v>9360</v>
      </c>
      <c r="F10" s="12"/>
      <c r="G10" s="47">
        <v>0.04</v>
      </c>
      <c r="H10" s="47">
        <v>3.5000000000000003E-2</v>
      </c>
      <c r="I10" s="47">
        <v>0.14050000000000001</v>
      </c>
      <c r="J10" s="47">
        <v>3.0499999999999999E-2</v>
      </c>
      <c r="K10" s="47">
        <v>0.434</v>
      </c>
      <c r="L10" s="47">
        <v>0.32</v>
      </c>
    </row>
    <row r="11" spans="1:24">
      <c r="A11" s="48" t="s">
        <v>9</v>
      </c>
      <c r="B11" s="42">
        <v>360000.01</v>
      </c>
      <c r="C11" s="43">
        <v>720000</v>
      </c>
      <c r="D11" s="46">
        <v>0.13500000000000001</v>
      </c>
      <c r="E11" s="49">
        <v>17640</v>
      </c>
      <c r="F11" s="12"/>
      <c r="G11" s="46">
        <v>0.04</v>
      </c>
      <c r="H11" s="46">
        <v>3.5000000000000003E-2</v>
      </c>
      <c r="I11" s="46">
        <v>0.13639999999999999</v>
      </c>
      <c r="J11" s="46">
        <v>2.9600000000000001E-2</v>
      </c>
      <c r="K11" s="46">
        <v>0.434</v>
      </c>
      <c r="L11" s="46">
        <v>0.32500000000000001</v>
      </c>
    </row>
    <row r="12" spans="1:24">
      <c r="A12" s="50" t="s">
        <v>10</v>
      </c>
      <c r="B12" s="44">
        <v>720000.01</v>
      </c>
      <c r="C12" s="45">
        <v>1800000</v>
      </c>
      <c r="D12" s="47">
        <v>0.16</v>
      </c>
      <c r="E12" s="51">
        <v>35640</v>
      </c>
      <c r="F12" s="12"/>
      <c r="G12" s="47">
        <v>0.04</v>
      </c>
      <c r="H12" s="47">
        <v>3.5000000000000003E-2</v>
      </c>
      <c r="I12" s="47">
        <v>0.13639999999999999</v>
      </c>
      <c r="J12" s="47">
        <v>2.9600000000000001E-2</v>
      </c>
      <c r="K12" s="47">
        <v>0.434</v>
      </c>
      <c r="L12" s="47">
        <v>0.32500000000000001</v>
      </c>
    </row>
    <row r="13" spans="1:24">
      <c r="A13" s="48" t="s">
        <v>11</v>
      </c>
      <c r="B13" s="42">
        <v>1800000.01</v>
      </c>
      <c r="C13" s="43">
        <v>3600000</v>
      </c>
      <c r="D13" s="46">
        <v>0.21</v>
      </c>
      <c r="E13" s="49">
        <v>125640</v>
      </c>
      <c r="F13" s="12"/>
      <c r="G13" s="46">
        <v>0.04</v>
      </c>
      <c r="H13" s="46">
        <v>3.5000000000000003E-2</v>
      </c>
      <c r="I13" s="46">
        <v>0.12820000000000001</v>
      </c>
      <c r="J13" s="46">
        <v>2.7799999999999998E-2</v>
      </c>
      <c r="K13" s="46">
        <v>0.434</v>
      </c>
      <c r="L13" s="46">
        <v>0.33500000000000002</v>
      </c>
    </row>
    <row r="14" spans="1:24">
      <c r="A14" s="50" t="s">
        <v>12</v>
      </c>
      <c r="B14" s="44">
        <v>3600000.01</v>
      </c>
      <c r="C14" s="45">
        <v>4800000</v>
      </c>
      <c r="D14" s="47">
        <v>0.33</v>
      </c>
      <c r="E14" s="51">
        <v>648000</v>
      </c>
      <c r="F14" s="12"/>
      <c r="G14" s="47">
        <v>0.35</v>
      </c>
      <c r="H14" s="47">
        <v>0.15</v>
      </c>
      <c r="I14" s="47">
        <v>0.1603</v>
      </c>
      <c r="J14" s="47">
        <v>3.4700000000000002E-2</v>
      </c>
      <c r="K14" s="47">
        <v>0.30499999999999999</v>
      </c>
      <c r="L14" s="47">
        <v>0</v>
      </c>
    </row>
    <row r="15" spans="1:24">
      <c r="A15" s="8"/>
      <c r="B15" s="3"/>
      <c r="C15" s="4"/>
    </row>
    <row r="16" spans="1:24" hidden="1">
      <c r="A16" s="8" t="s">
        <v>7</v>
      </c>
      <c r="B16" s="3">
        <f t="shared" ref="B16:B21" si="1">IF(AND($B$5&gt;=B9,$B$5&lt;=C9),($B$5*D9-E9)/$B$5)</f>
        <v>0.06</v>
      </c>
      <c r="C16" s="4">
        <f t="shared" ref="C16" si="2">ROUND(B16,5)</f>
        <v>0.06</v>
      </c>
      <c r="D16" s="3">
        <f>IF(AND($B$5&gt;=B9,$B$5&lt;=C9),C16,IF(AND($B$5&gt;=B10,$B$5&lt;=C10),C17,IF(AND($B$5&gt;=B11,$B$5&lt;=C11),C18,IF(AND($B$5&gt;=B12,$B$5&lt;=C12),C19,IF(AND($B$5&gt;=B13,$B$5&lt;=C13),C20,IF(AND($B$5&gt;=B14,$B$5&lt;=C14),C21,IF(AND($B$5&gt;=#REF!,$B$5&lt;=#REF!),#REF!,IF(AND($B$5&gt;#REF!),C22))))))))</f>
        <v>0.06</v>
      </c>
      <c r="G16" s="11" t="s">
        <v>0</v>
      </c>
      <c r="H16" s="11" t="s">
        <v>1</v>
      </c>
      <c r="I16" s="11" t="s">
        <v>2</v>
      </c>
      <c r="J16" s="11" t="s">
        <v>3</v>
      </c>
      <c r="K16" s="11" t="s">
        <v>4</v>
      </c>
      <c r="L16" s="11" t="s">
        <v>19</v>
      </c>
      <c r="N16" s="22">
        <v>0.05</v>
      </c>
    </row>
    <row r="17" spans="1:14" hidden="1">
      <c r="A17" s="8" t="s">
        <v>8</v>
      </c>
      <c r="B17" s="3" t="b">
        <f t="shared" si="1"/>
        <v>0</v>
      </c>
      <c r="C17" s="4">
        <f>ROUND(B17,5)</f>
        <v>0</v>
      </c>
      <c r="D17" s="3">
        <f>ROUND(D16,4)</f>
        <v>0.06</v>
      </c>
      <c r="G17" s="6">
        <f>IF(AND($B$5&gt;=$B$9,$B$5&lt;=$C$9),$C$5*G9,IF(AND($B$5&gt;=$B$10,$B$5&lt;=$C$10),$C$5*G10,IF(AND($B$5&gt;=$B$11,$B$5&lt;=$C$11),$C$5*G11,IF(AND($B$5&gt;=$B$12,$B$5&lt;=$C$12),$C$5*G12,IF(AND($B$5&gt;=$B$13,$B$5&lt;=$C$13),$C$5*G13,IF(AND($B$5&gt;=$B$14,$B$5&lt;=$C$14),$C$5*G14,IF(AND($B$5&gt;=#REF!,$B$5&lt;=#REF!),$C$5*#REF!,IF(AND($B$5&gt;#REF!),$C$5*#REF!))))))))</f>
        <v>2.3999999999999998E-3</v>
      </c>
      <c r="H17" s="6">
        <f>IF(AND($B$5&gt;=$B$9,$B$5&lt;=$C$9),$C$5*H9,IF(AND($B$5&gt;=$B$10,$B$5&lt;=$C$10),$C$5*H10,IF(AND($B$5&gt;=$B$11,$B$5&lt;=$C$11),$C$5*H11,IF(AND($B$5&gt;=$B$12,$B$5&lt;=$C$12),$C$5*H12,IF(AND($B$5&gt;=$B$13,$B$5&lt;=$C$13),$C$5*H13,IF(AND($B$5&gt;=$B$14,$B$5&lt;=$C$14),$C$5*H14,IF(AND($B$5&gt;=#REF!,$B$5&lt;=#REF!),$C$5*#REF!,IF(AND($B$5&gt;#REF!),$C$5*#REF!))))))))</f>
        <v>2.1000000000000003E-3</v>
      </c>
      <c r="I17" s="6">
        <f>IF(AND($B$5&gt;=$B$9,$B$5&lt;=$C$9),$C$5*I9,IF(AND($B$5&gt;=$B$10,$B$5&lt;=$C$10),$C$5*I10,IF(AND($B$5&gt;=$B$11,$B$5&lt;=$C$11),$C$5*I11,IF(AND($B$5&gt;=$B$12,$B$5&lt;=$C$12),$C$5*I12,IF(AND($B$5&gt;=$B$13,$B$5&lt;=$C$13),$C$5*I13,IF(AND($B$5&gt;=$B$14,$B$5&lt;=$C$14),$C$5*I14,IF(AND($B$5&gt;=#REF!,$B$5&lt;=#REF!),$C$5*#REF!,IF(AND($B$5&gt;#REF!),$C$5*#REF!))))))))</f>
        <v>7.6920000000000001E-3</v>
      </c>
      <c r="J17" s="14">
        <f>IF(AND($B$5&gt;=$B$9,$B$5&lt;=$C$9),$C$5*J9,IF(AND($B$5&gt;=$B$10,$B$5&lt;=$C$10),$C$5*J10,IF(AND($B$5&gt;=$B$11,$B$5&lt;=$C$11),$C$5*J11,IF(AND($B$5&gt;=$B$12,$B$5&lt;=$C$12),$C$5*J12,IF(AND($B$5&gt;=$B$13,$B$5&lt;=$C$13),$C$5*J13,IF(AND($B$5&gt;=$B$14,$B$5&lt;=$C$14),$C$5*J14,IF(AND($B$5&gt;=#REF!,$B$5&lt;=#REF!),$C$5*#REF!,IF(AND($B$5&gt;#REF!),$C$5*#REF!))))))))</f>
        <v>1.6679999999999998E-3</v>
      </c>
      <c r="K17" s="6">
        <f>IF(AND($B$5&gt;=$B$9,$B$5&lt;=$C$9),$C$5*K9,IF(AND($B$5&gt;=$B$10,$B$5&lt;=$C$10),$C$5*K10,IF(AND($B$5&gt;=$B$11,$B$5&lt;=$C$11),$C$5*K11,IF(AND($B$5&gt;=$B$12,$B$5&lt;=$C$12),$C$5*K12,IF(AND($B$5&gt;=$B$13,$B$5&lt;=$C$13),$C$5*K13,IF(AND($B$5&gt;=$B$14,$B$5&lt;=$C$14),$C$5*K14,IF(AND($B$5&gt;=#REF!,$B$5&lt;=#REF!),$C$5*#REF!,IF(AND($B$5&gt;#REF!),$C$5*#REF!))))))))</f>
        <v>2.6039999999999997E-2</v>
      </c>
      <c r="L17" s="6">
        <f>IF(AND($B$5&gt;=$B$9,$B$5&lt;=$C$9),$C$5*L9,IF(AND($B$5&gt;=$B$10,$B$5&lt;=$C$10),$C$5*L10,IF(AND($B$5&gt;=$B$11,$B$5&lt;=$C$11),$C$5*L11,IF(AND($B$5&gt;=$B$12,$B$5&lt;=$C$12),$C$5*L12,IF(AND($B$5&gt;=$B$13,$B$5&lt;=$C$13),$C$5*L13,IF(AND($B$5&gt;=$B$14,$B$5&lt;=$C$14),$C$5*L14,IF(AND($B$5&gt;=#REF!,$B$5&lt;=#REF!),$C$5*#REF!,IF(AND($B$5&gt;#REF!),$C$5*#REF!))))))))</f>
        <v>2.01E-2</v>
      </c>
      <c r="M17" s="27"/>
    </row>
    <row r="18" spans="1:14" hidden="1">
      <c r="A18" s="8" t="s">
        <v>9</v>
      </c>
      <c r="B18" s="3" t="b">
        <f t="shared" si="1"/>
        <v>0</v>
      </c>
      <c r="C18" s="4">
        <f t="shared" ref="C18:C21" si="3">ROUND(B18,5)</f>
        <v>0</v>
      </c>
      <c r="G18" s="14">
        <f>ROUND(G17,4)</f>
        <v>2.3999999999999998E-3</v>
      </c>
      <c r="H18" s="14">
        <f t="shared" ref="H18:L18" si="4">ROUND(H17,4)</f>
        <v>2.0999999999999999E-3</v>
      </c>
      <c r="I18" s="14">
        <f t="shared" si="4"/>
        <v>7.7000000000000002E-3</v>
      </c>
      <c r="J18" s="14">
        <f t="shared" si="4"/>
        <v>1.6999999999999999E-3</v>
      </c>
      <c r="K18" s="14">
        <f t="shared" si="4"/>
        <v>2.5999999999999999E-2</v>
      </c>
      <c r="L18" s="14">
        <f t="shared" si="4"/>
        <v>2.01E-2</v>
      </c>
      <c r="M18" s="4">
        <f>SUM(G18:L18)</f>
        <v>0.06</v>
      </c>
    </row>
    <row r="19" spans="1:14" ht="23.4" hidden="1">
      <c r="A19" s="8" t="s">
        <v>10</v>
      </c>
      <c r="B19" s="3" t="b">
        <f t="shared" si="1"/>
        <v>0</v>
      </c>
      <c r="C19" s="4">
        <f t="shared" si="3"/>
        <v>0</v>
      </c>
      <c r="G19" s="13">
        <f t="shared" ref="G19:L19" si="5">IF(G18=MAX($G$18:$L$18),(G18+$M$21),IF(G18&lt;&gt;MAX($G$18:$L$18),G18))</f>
        <v>2.3999999999999998E-3</v>
      </c>
      <c r="H19" s="13">
        <f t="shared" si="5"/>
        <v>2.0999999999999999E-3</v>
      </c>
      <c r="I19" s="13">
        <f t="shared" si="5"/>
        <v>7.7000000000000002E-3</v>
      </c>
      <c r="J19" s="13">
        <f t="shared" si="5"/>
        <v>1.6999999999999999E-3</v>
      </c>
      <c r="K19" s="13">
        <f t="shared" si="5"/>
        <v>2.5999999999999999E-2</v>
      </c>
      <c r="L19" s="13">
        <f t="shared" si="5"/>
        <v>2.01E-2</v>
      </c>
      <c r="M19" s="4">
        <f>SUM(G19:L19)</f>
        <v>0.06</v>
      </c>
      <c r="N19" s="15">
        <f>SUM(G19:L19)</f>
        <v>0.06</v>
      </c>
    </row>
    <row r="20" spans="1:14" ht="23.4" hidden="1">
      <c r="A20" s="8" t="s">
        <v>11</v>
      </c>
      <c r="B20" s="3" t="b">
        <f t="shared" si="1"/>
        <v>0</v>
      </c>
      <c r="C20" s="4">
        <f t="shared" si="3"/>
        <v>0</v>
      </c>
      <c r="G20" s="13">
        <f>ROUND(G19,4)</f>
        <v>2.3999999999999998E-3</v>
      </c>
      <c r="H20" s="13">
        <f t="shared" ref="H20:L20" si="6">ROUND(H19,4)</f>
        <v>2.0999999999999999E-3</v>
      </c>
      <c r="I20" s="13">
        <f t="shared" si="6"/>
        <v>7.7000000000000002E-3</v>
      </c>
      <c r="J20" s="13">
        <f t="shared" si="6"/>
        <v>1.6999999999999999E-3</v>
      </c>
      <c r="K20" s="13">
        <f t="shared" si="6"/>
        <v>2.5999999999999999E-2</v>
      </c>
      <c r="L20" s="13">
        <f t="shared" si="6"/>
        <v>2.01E-2</v>
      </c>
      <c r="N20" s="9" t="str">
        <f>IF(C5=N19,"OK")</f>
        <v>OK</v>
      </c>
    </row>
    <row r="21" spans="1:14" hidden="1">
      <c r="A21" s="8" t="s">
        <v>12</v>
      </c>
      <c r="B21" s="3" t="b">
        <f t="shared" si="1"/>
        <v>0</v>
      </c>
      <c r="C21" s="4">
        <f t="shared" si="3"/>
        <v>0</v>
      </c>
      <c r="G21" s="13">
        <f>G20-G18</f>
        <v>0</v>
      </c>
      <c r="H21" s="13">
        <f t="shared" ref="H21:L21" si="7">H20-H18</f>
        <v>0</v>
      </c>
      <c r="I21" s="13">
        <f t="shared" si="7"/>
        <v>0</v>
      </c>
      <c r="J21" s="13">
        <f t="shared" si="7"/>
        <v>0</v>
      </c>
      <c r="K21" s="13">
        <f t="shared" si="7"/>
        <v>0</v>
      </c>
      <c r="L21" s="13">
        <f t="shared" si="7"/>
        <v>0</v>
      </c>
      <c r="M21" s="4">
        <f>C5-M18</f>
        <v>0</v>
      </c>
    </row>
    <row r="22" spans="1:14" hidden="1">
      <c r="A22" s="8"/>
      <c r="B22" s="3"/>
      <c r="C22" s="4"/>
      <c r="G22" s="13">
        <f>G20</f>
        <v>2.3999999999999998E-3</v>
      </c>
      <c r="H22" s="13">
        <f>H20</f>
        <v>2.0999999999999999E-3</v>
      </c>
      <c r="I22" s="13">
        <f>I20</f>
        <v>7.7000000000000002E-3</v>
      </c>
      <c r="J22" s="13">
        <f t="shared" ref="J22:L22" si="8">J20</f>
        <v>1.6999999999999999E-3</v>
      </c>
      <c r="K22" s="13">
        <f t="shared" si="8"/>
        <v>2.5999999999999999E-2</v>
      </c>
      <c r="L22" s="13">
        <f t="shared" si="8"/>
        <v>2.01E-2</v>
      </c>
      <c r="M22" s="13">
        <f>L22-N16</f>
        <v>-2.9900000000000003E-2</v>
      </c>
      <c r="N22" s="13">
        <f>IF(M22&gt;0,M22,0)</f>
        <v>0</v>
      </c>
    </row>
    <row r="23" spans="1:14" hidden="1">
      <c r="G23" s="13">
        <f>$N$22*G31</f>
        <v>0</v>
      </c>
      <c r="H23" s="13">
        <f t="shared" ref="H23:K23" si="9">$N$22*H31</f>
        <v>0</v>
      </c>
      <c r="I23" s="13">
        <f t="shared" si="9"/>
        <v>0</v>
      </c>
      <c r="J23" s="13">
        <f t="shared" si="9"/>
        <v>0</v>
      </c>
      <c r="K23" s="13">
        <f t="shared" si="9"/>
        <v>0</v>
      </c>
      <c r="M23" s="13">
        <f>SUM(G23:L23)</f>
        <v>0</v>
      </c>
    </row>
    <row r="24" spans="1:14" hidden="1">
      <c r="G24" s="13">
        <f>G20+G23</f>
        <v>2.3999999999999998E-3</v>
      </c>
      <c r="H24" s="13">
        <f t="shared" ref="H24:K24" si="10">H20+H23</f>
        <v>2.0999999999999999E-3</v>
      </c>
      <c r="I24" s="13">
        <f t="shared" si="10"/>
        <v>7.7000000000000002E-3</v>
      </c>
      <c r="J24" s="13">
        <f t="shared" si="10"/>
        <v>1.6999999999999999E-3</v>
      </c>
      <c r="K24" s="13">
        <f t="shared" si="10"/>
        <v>2.5999999999999999E-2</v>
      </c>
      <c r="L24" s="13">
        <f>L22-N22</f>
        <v>2.01E-2</v>
      </c>
      <c r="M24" s="13">
        <f>SUM(G24:L24)</f>
        <v>0.06</v>
      </c>
    </row>
    <row r="25" spans="1:14" hidden="1">
      <c r="G25" s="13">
        <f>ROUND(G24,4)</f>
        <v>2.3999999999999998E-3</v>
      </c>
      <c r="H25" s="13">
        <f t="shared" ref="H25:K25" si="11">ROUND(H24,4)</f>
        <v>2.0999999999999999E-3</v>
      </c>
      <c r="I25" s="13">
        <f t="shared" si="11"/>
        <v>7.7000000000000002E-3</v>
      </c>
      <c r="J25" s="13">
        <f t="shared" si="11"/>
        <v>1.6999999999999999E-3</v>
      </c>
      <c r="K25" s="13">
        <f t="shared" si="11"/>
        <v>2.5999999999999999E-2</v>
      </c>
      <c r="L25" s="13">
        <f>TRUNC(L24,4)</f>
        <v>2.01E-2</v>
      </c>
      <c r="M25" s="13">
        <f>SUM(G25:L25)</f>
        <v>0.06</v>
      </c>
      <c r="N25" s="13">
        <f>M24-M25</f>
        <v>0</v>
      </c>
    </row>
    <row r="26" spans="1:14" ht="23.4" hidden="1">
      <c r="A26" s="28" t="s">
        <v>21</v>
      </c>
      <c r="B26" s="29">
        <v>2064579</v>
      </c>
      <c r="G26" s="13">
        <f>IF(G25=MAX($G$25:$K$25),(G25+$N$25),IF(G25&lt;&gt;MAX($G$25:$K$25),G25))</f>
        <v>2.3999999999999998E-3</v>
      </c>
      <c r="H26" s="13">
        <f t="shared" ref="H26:L26" si="12">IF(H25=MAX($G$25:$L$25),(H25+$N$25),IF(H25&lt;&gt;MAX($G$25:$L$25),H25))</f>
        <v>2.0999999999999999E-3</v>
      </c>
      <c r="I26" s="13">
        <f t="shared" si="12"/>
        <v>7.7000000000000002E-3</v>
      </c>
      <c r="J26" s="13">
        <f t="shared" si="12"/>
        <v>1.6999999999999999E-3</v>
      </c>
      <c r="K26" s="13">
        <f t="shared" si="12"/>
        <v>2.5999999999999999E-2</v>
      </c>
      <c r="L26" s="13">
        <f t="shared" si="12"/>
        <v>2.01E-2</v>
      </c>
      <c r="M26" s="15">
        <f>SUM(G26:L26)</f>
        <v>0.06</v>
      </c>
    </row>
    <row r="27" spans="1:14" hidden="1">
      <c r="G27" s="13"/>
      <c r="H27" s="13"/>
      <c r="I27" s="13"/>
      <c r="J27" s="13"/>
      <c r="K27" s="13"/>
      <c r="L27" s="13"/>
      <c r="M27" s="13"/>
    </row>
    <row r="28" spans="1:14" hidden="1"/>
    <row r="29" spans="1:14" ht="15" hidden="1" thickBot="1">
      <c r="G29" s="2">
        <v>0.04</v>
      </c>
      <c r="H29" s="2">
        <v>3.5000000000000003E-2</v>
      </c>
      <c r="I29" s="2">
        <v>0.12820000000000001</v>
      </c>
      <c r="J29" s="2">
        <v>2.7799999999999998E-2</v>
      </c>
      <c r="K29" s="2">
        <v>0.434</v>
      </c>
      <c r="L29" s="13">
        <f>SUM(G29:K29)</f>
        <v>0.66500000000000004</v>
      </c>
    </row>
    <row r="30" spans="1:14" ht="15" hidden="1" thickBot="1">
      <c r="G30" s="1">
        <f>G29/$L$29</f>
        <v>6.0150375939849621E-2</v>
      </c>
      <c r="H30" s="1">
        <f t="shared" ref="H30:K30" si="13">H29/$L$29</f>
        <v>5.2631578947368425E-2</v>
      </c>
      <c r="I30" s="1">
        <f t="shared" si="13"/>
        <v>0.19278195488721805</v>
      </c>
      <c r="J30" s="1">
        <f t="shared" si="13"/>
        <v>4.1804511278195483E-2</v>
      </c>
      <c r="K30" s="1">
        <f t="shared" si="13"/>
        <v>0.65263157894736834</v>
      </c>
      <c r="L30" s="2">
        <f>SUM(G30:K30)</f>
        <v>0.99999999999999989</v>
      </c>
    </row>
    <row r="31" spans="1:14" hidden="1">
      <c r="G31" s="13">
        <f>G29/$L$29</f>
        <v>6.0150375939849621E-2</v>
      </c>
      <c r="H31" s="13">
        <f t="shared" ref="H31:K31" si="14">H29/$L$29</f>
        <v>5.2631578947368425E-2</v>
      </c>
      <c r="I31" s="13">
        <f t="shared" si="14"/>
        <v>0.19278195488721805</v>
      </c>
      <c r="J31" s="13">
        <f t="shared" si="14"/>
        <v>4.1804511278195483E-2</v>
      </c>
      <c r="K31" s="13">
        <f t="shared" si="14"/>
        <v>0.65263157894736834</v>
      </c>
      <c r="L31" s="13">
        <f>SUM(G31:K31)</f>
        <v>0.99999999999999989</v>
      </c>
    </row>
    <row r="32" spans="1:14" hidden="1">
      <c r="G32" s="14">
        <f>($C$5-5%)*G31</f>
        <v>6.0150375939849589E-4</v>
      </c>
      <c r="H32" s="14">
        <f>($C$5-5%)*H31</f>
        <v>5.2631578947368398E-4</v>
      </c>
      <c r="I32" s="14">
        <f>($C$5-5%)*I31</f>
        <v>1.9278195488721796E-3</v>
      </c>
      <c r="J32" s="14">
        <f>($C$5-5%)*J31</f>
        <v>4.1804511278195465E-4</v>
      </c>
      <c r="K32" s="14">
        <f>($C$5-5%)*K31</f>
        <v>6.5263157894736804E-3</v>
      </c>
      <c r="L32" s="22">
        <v>0.05</v>
      </c>
      <c r="M32" s="23">
        <f>SUM(G32:L32)</f>
        <v>0.06</v>
      </c>
    </row>
    <row r="33" spans="7:14" hidden="1">
      <c r="G33" s="13">
        <f>ROUND(G32,4)</f>
        <v>5.9999999999999995E-4</v>
      </c>
      <c r="H33" s="13">
        <f t="shared" ref="H33:L33" si="15">ROUND(H32,4)</f>
        <v>5.0000000000000001E-4</v>
      </c>
      <c r="I33" s="13">
        <f t="shared" si="15"/>
        <v>1.9E-3</v>
      </c>
      <c r="J33" s="13">
        <f t="shared" si="15"/>
        <v>4.0000000000000002E-4</v>
      </c>
      <c r="K33" s="13">
        <f t="shared" si="15"/>
        <v>6.4999999999999997E-3</v>
      </c>
      <c r="L33" s="13">
        <f t="shared" si="15"/>
        <v>0.05</v>
      </c>
      <c r="M33" s="23">
        <f>SUM(G33:L33)</f>
        <v>5.9900000000000002E-2</v>
      </c>
      <c r="N33" s="23">
        <f>-M33+M32</f>
        <v>9.9999999999995925E-5</v>
      </c>
    </row>
    <row r="34" spans="7:14" hidden="1">
      <c r="G34" s="13">
        <f>IF(G33=MAX($G$33:$L$33),(G33+$N$33),IF(G33&lt;&gt;MAX($G$33:$L$33),G33))</f>
        <v>5.9999999999999995E-4</v>
      </c>
      <c r="H34" s="13">
        <f t="shared" ref="H34:K34" si="16">IF(H33=MAX($G$33:$L$33),(H33+$N$33),IF(H33&lt;&gt;MAX($G$33:$L$33),H33))</f>
        <v>5.0000000000000001E-4</v>
      </c>
      <c r="I34" s="13">
        <f t="shared" si="16"/>
        <v>1.9E-3</v>
      </c>
      <c r="J34" s="13">
        <f t="shared" si="16"/>
        <v>4.0000000000000002E-4</v>
      </c>
      <c r="K34" s="13">
        <f t="shared" si="16"/>
        <v>6.4999999999999997E-3</v>
      </c>
      <c r="L34" s="13">
        <f>IF(L33=MAX($G$18:$L$18),(L33+$M$21),IF(L33&lt;&gt;MAX($G$18:$L$18),L33))</f>
        <v>0.05</v>
      </c>
      <c r="M34" s="13">
        <f>SUM(G34:L34)</f>
        <v>5.9900000000000002E-2</v>
      </c>
    </row>
    <row r="35" spans="7:14" hidden="1"/>
    <row r="36" spans="7:14" hidden="1"/>
    <row r="37" spans="7:14" hidden="1">
      <c r="G37" s="14" t="b">
        <f>IF($C$5&lt;=$N$5,($C$5)*G13)</f>
        <v>0</v>
      </c>
      <c r="H37" s="14" t="b">
        <f t="shared" ref="H37:L37" si="17">IF($C$5&lt;=$N$5,($C$5)*H13)</f>
        <v>0</v>
      </c>
      <c r="I37" s="14" t="b">
        <f t="shared" si="17"/>
        <v>0</v>
      </c>
      <c r="J37" s="14" t="b">
        <f t="shared" si="17"/>
        <v>0</v>
      </c>
      <c r="K37" s="14" t="b">
        <f t="shared" si="17"/>
        <v>0</v>
      </c>
      <c r="L37" s="14" t="b">
        <f t="shared" si="17"/>
        <v>0</v>
      </c>
    </row>
    <row r="38" spans="7:14" hidden="1">
      <c r="G38" s="14">
        <f>IF($C$5&gt;$N$5,($C$5-$R$10)*G31)</f>
        <v>3.6090225563909771E-3</v>
      </c>
      <c r="H38" s="14">
        <f t="shared" ref="H38:K38" si="18">IF($C$5&gt;$N$5,($C$5-$R$10)*H31)</f>
        <v>3.1578947368421052E-3</v>
      </c>
      <c r="I38" s="14">
        <f t="shared" si="18"/>
        <v>1.1566917293233083E-2</v>
      </c>
      <c r="J38" s="14">
        <f t="shared" si="18"/>
        <v>2.5082706766917291E-3</v>
      </c>
      <c r="K38" s="14">
        <f t="shared" si="18"/>
        <v>3.91578947368421E-2</v>
      </c>
    </row>
    <row r="39" spans="7:14" hidden="1"/>
    <row r="40" spans="7:14" hidden="1"/>
    <row r="41" spans="7:14" hidden="1"/>
    <row r="42" spans="7:14" ht="15" hidden="1" thickBot="1">
      <c r="G42" s="2">
        <v>0.04</v>
      </c>
      <c r="H42" s="2">
        <v>3.5000000000000003E-2</v>
      </c>
      <c r="I42" s="2">
        <v>0.12820000000000001</v>
      </c>
      <c r="J42" s="2">
        <v>2.7799999999999998E-2</v>
      </c>
      <c r="K42" s="2">
        <v>0.434</v>
      </c>
      <c r="L42" s="13">
        <f>SUM(G42:K42)</f>
        <v>0.66500000000000004</v>
      </c>
    </row>
    <row r="43" spans="7:14" hidden="1">
      <c r="G43" s="13">
        <f>G42/$L$42</f>
        <v>6.0150375939849621E-2</v>
      </c>
      <c r="H43" s="13">
        <f t="shared" ref="H43:K43" si="19">H42/$L$42</f>
        <v>5.2631578947368425E-2</v>
      </c>
      <c r="I43" s="13">
        <f t="shared" si="19"/>
        <v>0.19278195488721805</v>
      </c>
      <c r="J43" s="13">
        <f t="shared" si="19"/>
        <v>4.1804511278195483E-2</v>
      </c>
      <c r="K43" s="13">
        <f t="shared" si="19"/>
        <v>0.65263157894736834</v>
      </c>
    </row>
    <row r="44" spans="7:14" hidden="1"/>
    <row r="48" spans="7:14" s="30" customFormat="1" ht="18" customHeight="1"/>
    <row r="49" s="30" customFormat="1" ht="18" customHeight="1"/>
    <row r="50" s="30" customFormat="1" ht="18" customHeight="1"/>
    <row r="51" s="30" customFormat="1" ht="18" customHeight="1"/>
    <row r="52" s="30" customFormat="1" ht="18" customHeight="1"/>
    <row r="53" s="30" customFormat="1" ht="18" customHeight="1"/>
    <row r="54" s="30" customFormat="1" ht="18" customHeight="1"/>
    <row r="55" s="30" customFormat="1" ht="18" customHeight="1"/>
    <row r="56" s="30" customFormat="1" ht="18" customHeight="1"/>
    <row r="57" s="30" customFormat="1" ht="18" customHeight="1"/>
    <row r="58" s="30" customFormat="1" ht="18" customHeight="1"/>
    <row r="59" s="31" customFormat="1" ht="30" customHeight="1"/>
    <row r="60" s="30" customFormat="1" ht="18" customHeight="1"/>
  </sheetData>
  <sheetProtection sheet="1" objects="1" scenarios="1"/>
  <mergeCells count="5">
    <mergeCell ref="B3:B4"/>
    <mergeCell ref="C3:C4"/>
    <mergeCell ref="D3:I3"/>
    <mergeCell ref="G7:L7"/>
    <mergeCell ref="A1:O1"/>
  </mergeCells>
  <conditionalFormatting sqref="G21:L21">
    <cfRule type="expression" dxfId="11" priority="8">
      <formula>"SE+$G$19&lt;&gt;0"</formula>
    </cfRule>
  </conditionalFormatting>
  <conditionalFormatting sqref="G21:L21">
    <cfRule type="cellIs" dxfId="10" priority="5" operator="notEqual">
      <formula>0</formula>
    </cfRule>
    <cfRule type="cellIs" dxfId="9" priority="6" operator="lessThan">
      <formula>0</formula>
    </cfRule>
    <cfRule type="cellIs" dxfId="8" priority="7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0"/>
  <sheetViews>
    <sheetView showGridLines="0" showRowColHeaders="0" zoomScaleNormal="100" workbookViewId="0">
      <pane ySplit="1" topLeftCell="A2" activePane="bottomLeft" state="frozen"/>
      <selection pane="bottomLeft" activeCell="B5" sqref="B5"/>
    </sheetView>
  </sheetViews>
  <sheetFormatPr defaultRowHeight="14.4"/>
  <cols>
    <col min="1" max="1" width="23.6640625" customWidth="1"/>
    <col min="2" max="2" width="21.6640625" bestFit="1" customWidth="1"/>
    <col min="3" max="3" width="15.5546875" bestFit="1" customWidth="1"/>
    <col min="4" max="4" width="15.6640625" bestFit="1" customWidth="1"/>
    <col min="5" max="8" width="15.6640625" customWidth="1"/>
    <col min="9" max="9" width="9.109375" customWidth="1"/>
    <col min="10" max="10" width="12.88671875" customWidth="1"/>
    <col min="11" max="11" width="9.109375" hidden="1" customWidth="1"/>
    <col min="12" max="12" width="9.109375" customWidth="1"/>
    <col min="13" max="13" width="13.44140625" bestFit="1" customWidth="1"/>
    <col min="14" max="14" width="13.44140625" hidden="1" customWidth="1"/>
    <col min="15" max="15" width="9.109375" hidden="1" customWidth="1"/>
    <col min="16" max="16" width="11.44140625" hidden="1" customWidth="1"/>
    <col min="17" max="17" width="7" hidden="1" customWidth="1"/>
    <col min="18" max="23" width="0" hidden="1" customWidth="1"/>
  </cols>
  <sheetData>
    <row r="1" spans="1:24" s="30" customFormat="1" ht="51.75" customHeight="1" thickBot="1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32"/>
      <c r="Q1" s="32"/>
      <c r="R1" s="32"/>
      <c r="S1" s="32"/>
      <c r="T1" s="32"/>
      <c r="U1" s="32"/>
      <c r="V1" s="32"/>
      <c r="W1" s="32"/>
      <c r="X1" s="32"/>
    </row>
    <row r="2" spans="1:24" ht="15" thickTop="1"/>
    <row r="3" spans="1:24" ht="15.75" customHeight="1">
      <c r="A3" s="35"/>
      <c r="B3" s="61" t="s">
        <v>6</v>
      </c>
      <c r="C3" s="62" t="s">
        <v>15</v>
      </c>
      <c r="D3" s="63" t="s">
        <v>16</v>
      </c>
      <c r="E3" s="63"/>
      <c r="F3" s="63"/>
      <c r="G3" s="63"/>
      <c r="H3" s="63"/>
      <c r="I3" s="63"/>
      <c r="J3" s="33"/>
      <c r="K3" s="33"/>
      <c r="L3" s="33"/>
    </row>
    <row r="4" spans="1:24" ht="21">
      <c r="A4" s="35"/>
      <c r="B4" s="61"/>
      <c r="C4" s="62"/>
      <c r="D4" s="40" t="s">
        <v>0</v>
      </c>
      <c r="E4" s="40" t="s">
        <v>1</v>
      </c>
      <c r="F4" s="40" t="s">
        <v>2</v>
      </c>
      <c r="G4" s="40" t="s">
        <v>3</v>
      </c>
      <c r="H4" s="66" t="s">
        <v>19</v>
      </c>
      <c r="I4" s="67"/>
      <c r="J4" s="33"/>
      <c r="K4" s="33"/>
      <c r="L4" s="33"/>
      <c r="P4" s="20" t="s">
        <v>4</v>
      </c>
    </row>
    <row r="5" spans="1:24" ht="26.4">
      <c r="A5" s="37" t="s">
        <v>14</v>
      </c>
      <c r="B5" s="38">
        <v>180000</v>
      </c>
      <c r="C5" s="39">
        <f>D17</f>
        <v>4.4999999999999998E-2</v>
      </c>
      <c r="D5" s="39">
        <f>G26</f>
        <v>8.5000000000000006E-3</v>
      </c>
      <c r="E5" s="39">
        <f t="shared" ref="E5:G5" si="0">H26</f>
        <v>6.7999999999999996E-3</v>
      </c>
      <c r="F5" s="39">
        <f t="shared" si="0"/>
        <v>8.0000000000000002E-3</v>
      </c>
      <c r="G5" s="39">
        <f t="shared" si="0"/>
        <v>1.6999999999999999E-3</v>
      </c>
      <c r="H5" s="64">
        <f>L26</f>
        <v>0.02</v>
      </c>
      <c r="I5" s="65"/>
      <c r="J5" s="33"/>
      <c r="K5" s="33"/>
      <c r="L5" s="33"/>
      <c r="P5" s="21">
        <f>K26</f>
        <v>0</v>
      </c>
    </row>
    <row r="6" spans="1:24">
      <c r="M6" s="7"/>
    </row>
    <row r="7" spans="1:24" ht="32.25" customHeight="1">
      <c r="A7" s="33"/>
      <c r="B7" s="33"/>
      <c r="C7" s="33"/>
      <c r="D7" s="33"/>
      <c r="E7" s="33"/>
      <c r="F7" s="33"/>
      <c r="G7" s="58" t="s">
        <v>17</v>
      </c>
      <c r="H7" s="59"/>
      <c r="I7" s="59"/>
      <c r="J7" s="59"/>
      <c r="K7" s="59"/>
      <c r="L7" s="60"/>
    </row>
    <row r="8" spans="1:24" ht="28.2" thickBot="1">
      <c r="A8" s="41"/>
      <c r="B8" s="53" t="s">
        <v>25</v>
      </c>
      <c r="C8" s="53" t="s">
        <v>24</v>
      </c>
      <c r="D8" s="53" t="s">
        <v>26</v>
      </c>
      <c r="E8" s="53" t="s">
        <v>27</v>
      </c>
      <c r="F8" s="33"/>
      <c r="G8" s="41" t="s">
        <v>0</v>
      </c>
      <c r="H8" s="41" t="s">
        <v>1</v>
      </c>
      <c r="I8" s="41" t="s">
        <v>2</v>
      </c>
      <c r="J8" s="41" t="s">
        <v>3</v>
      </c>
      <c r="K8" s="41" t="s">
        <v>4</v>
      </c>
      <c r="L8" s="41" t="s">
        <v>19</v>
      </c>
    </row>
    <row r="9" spans="1:24" ht="15" thickBot="1">
      <c r="A9" s="48" t="s">
        <v>7</v>
      </c>
      <c r="B9" s="42">
        <v>0</v>
      </c>
      <c r="C9" s="43">
        <v>180000</v>
      </c>
      <c r="D9" s="46">
        <v>4.4999999999999998E-2</v>
      </c>
      <c r="E9" s="49">
        <v>0</v>
      </c>
      <c r="F9" s="34"/>
      <c r="G9" s="46">
        <v>0.188</v>
      </c>
      <c r="H9" s="46">
        <v>0.152</v>
      </c>
      <c r="I9" s="46">
        <v>0.1767</v>
      </c>
      <c r="J9" s="46">
        <v>3.8300000000000001E-2</v>
      </c>
      <c r="K9" s="46">
        <v>0</v>
      </c>
      <c r="L9" s="46">
        <v>0.44500000000000001</v>
      </c>
      <c r="P9" s="17">
        <v>0.188</v>
      </c>
      <c r="Q9" s="18">
        <v>0.152</v>
      </c>
      <c r="R9" s="18">
        <v>0.1767</v>
      </c>
      <c r="S9" s="18">
        <v>3.8300000000000001E-2</v>
      </c>
      <c r="T9" s="18">
        <v>0.44500000000000001</v>
      </c>
    </row>
    <row r="10" spans="1:24" ht="15" thickBot="1">
      <c r="A10" s="50" t="s">
        <v>8</v>
      </c>
      <c r="B10" s="44">
        <v>180000.01</v>
      </c>
      <c r="C10" s="45">
        <v>360000</v>
      </c>
      <c r="D10" s="47">
        <v>0.09</v>
      </c>
      <c r="E10" s="51">
        <v>8100</v>
      </c>
      <c r="F10" s="34"/>
      <c r="G10" s="47">
        <v>0.19800000000000001</v>
      </c>
      <c r="H10" s="47">
        <v>0.152</v>
      </c>
      <c r="I10" s="47">
        <v>0.20549999999999999</v>
      </c>
      <c r="J10" s="47">
        <v>4.4499999999999998E-2</v>
      </c>
      <c r="K10" s="47">
        <v>0</v>
      </c>
      <c r="L10" s="47">
        <v>0.4</v>
      </c>
      <c r="P10" s="24">
        <v>0.19800000000000001</v>
      </c>
      <c r="Q10" s="25">
        <v>0.152</v>
      </c>
      <c r="R10" s="25">
        <v>0.20549999999999999</v>
      </c>
      <c r="S10" s="25">
        <v>4.4499999999999998E-2</v>
      </c>
      <c r="T10" s="25">
        <v>0.4</v>
      </c>
    </row>
    <row r="11" spans="1:24" ht="15" thickBot="1">
      <c r="A11" s="48" t="s">
        <v>9</v>
      </c>
      <c r="B11" s="42">
        <v>360000.01</v>
      </c>
      <c r="C11" s="43">
        <v>720000</v>
      </c>
      <c r="D11" s="46">
        <v>0.10199999999999999</v>
      </c>
      <c r="E11" s="49">
        <v>12420</v>
      </c>
      <c r="F11" s="34"/>
      <c r="G11" s="46">
        <v>0.20799999999999999</v>
      </c>
      <c r="H11" s="46">
        <v>0.152</v>
      </c>
      <c r="I11" s="46">
        <v>0.1973</v>
      </c>
      <c r="J11" s="46">
        <v>4.2700000000000002E-2</v>
      </c>
      <c r="K11" s="46">
        <v>0</v>
      </c>
      <c r="L11" s="46">
        <v>0.4</v>
      </c>
      <c r="N11" s="22">
        <v>0.05</v>
      </c>
      <c r="O11" s="23">
        <f>N11/L12</f>
        <v>0.125</v>
      </c>
      <c r="P11" s="24">
        <v>0.20799999999999999</v>
      </c>
      <c r="Q11" s="25">
        <v>0.152</v>
      </c>
      <c r="R11" s="25">
        <v>0.1973</v>
      </c>
      <c r="S11" s="25">
        <v>4.2700000000000002E-2</v>
      </c>
      <c r="T11" s="25">
        <v>0.4</v>
      </c>
    </row>
    <row r="12" spans="1:24" ht="15" thickBot="1">
      <c r="A12" s="50" t="s">
        <v>10</v>
      </c>
      <c r="B12" s="44">
        <v>720000.01</v>
      </c>
      <c r="C12" s="45">
        <v>1800000</v>
      </c>
      <c r="D12" s="47">
        <v>0.14000000000000001</v>
      </c>
      <c r="E12" s="51">
        <v>39780</v>
      </c>
      <c r="F12" s="34"/>
      <c r="G12" s="47">
        <v>0.17799999999999999</v>
      </c>
      <c r="H12" s="47">
        <v>0.192</v>
      </c>
      <c r="I12" s="47">
        <v>0.189</v>
      </c>
      <c r="J12" s="47">
        <v>4.1000000000000002E-2</v>
      </c>
      <c r="K12" s="47">
        <v>0</v>
      </c>
      <c r="L12" s="47">
        <v>0.4</v>
      </c>
      <c r="O12" s="13">
        <f>N11/L13</f>
        <v>0.125</v>
      </c>
      <c r="P12" s="24">
        <v>0.17799999999999999</v>
      </c>
      <c r="Q12" s="25">
        <v>0.192</v>
      </c>
      <c r="R12" s="25">
        <v>0.189</v>
      </c>
      <c r="S12" s="25">
        <v>4.1000000000000002E-2</v>
      </c>
      <c r="T12" s="25">
        <v>0.4</v>
      </c>
    </row>
    <row r="13" spans="1:24" ht="15" thickBot="1">
      <c r="A13" s="48" t="s">
        <v>11</v>
      </c>
      <c r="B13" s="42">
        <v>1800000.01</v>
      </c>
      <c r="C13" s="43">
        <v>3600000</v>
      </c>
      <c r="D13" s="46">
        <v>0.22</v>
      </c>
      <c r="E13" s="49">
        <v>183780</v>
      </c>
      <c r="F13" s="34"/>
      <c r="G13" s="46">
        <v>0.188</v>
      </c>
      <c r="H13" s="46">
        <v>0.192</v>
      </c>
      <c r="I13" s="46">
        <v>0.18079999999999999</v>
      </c>
      <c r="J13" s="46">
        <v>3.9199999999999999E-2</v>
      </c>
      <c r="K13" s="46">
        <v>0</v>
      </c>
      <c r="L13" s="46">
        <v>0.4</v>
      </c>
      <c r="O13" s="13">
        <f>N11/L11</f>
        <v>0.125</v>
      </c>
      <c r="P13" s="24">
        <v>0.188</v>
      </c>
      <c r="Q13" s="25">
        <v>0.192</v>
      </c>
      <c r="R13" s="25">
        <v>0.18079999999999999</v>
      </c>
      <c r="S13" s="25">
        <v>3.9199999999999999E-2</v>
      </c>
      <c r="T13" s="25">
        <v>0.4</v>
      </c>
    </row>
    <row r="14" spans="1:24" ht="15" thickBot="1">
      <c r="A14" s="50" t="s">
        <v>12</v>
      </c>
      <c r="B14" s="44">
        <v>3600000.01</v>
      </c>
      <c r="C14" s="45">
        <v>4800000</v>
      </c>
      <c r="D14" s="47">
        <v>0.33</v>
      </c>
      <c r="E14" s="51">
        <v>828000</v>
      </c>
      <c r="F14" s="34"/>
      <c r="G14" s="47">
        <v>0.53500000000000003</v>
      </c>
      <c r="H14" s="47">
        <v>0.215</v>
      </c>
      <c r="I14" s="47">
        <v>0.20549999999999999</v>
      </c>
      <c r="J14" s="47">
        <v>4.4499999999999998E-2</v>
      </c>
      <c r="K14" s="47" t="s">
        <v>20</v>
      </c>
      <c r="L14" s="47">
        <v>0</v>
      </c>
      <c r="P14" s="24">
        <v>0.53500000000000003</v>
      </c>
      <c r="Q14" s="25">
        <v>0.215</v>
      </c>
      <c r="R14" s="25">
        <v>0.20549999999999999</v>
      </c>
      <c r="S14" s="25">
        <v>4.4499999999999998E-2</v>
      </c>
      <c r="T14" s="26" t="s">
        <v>20</v>
      </c>
    </row>
    <row r="15" spans="1:24">
      <c r="A15" s="8"/>
      <c r="B15" s="3"/>
      <c r="C15" s="4"/>
      <c r="K15" s="19"/>
    </row>
    <row r="16" spans="1:24" hidden="1">
      <c r="A16" s="8" t="s">
        <v>7</v>
      </c>
      <c r="B16" s="3">
        <f t="shared" ref="B16:B21" si="1">IF(AND($B$5&gt;=B9,$B$5&lt;=C9),($B$5*D9-E9)/$B$5)</f>
        <v>4.4999999999999998E-2</v>
      </c>
      <c r="C16" s="4">
        <f t="shared" ref="C16" si="2">ROUND(B16,5)</f>
        <v>4.4999999999999998E-2</v>
      </c>
      <c r="D16" s="3">
        <f>IF(AND($B$5&gt;=B9,$B$5&lt;=C9),C16,IF(AND($B$5&gt;=B10,$B$5&lt;=C10),C17,IF(AND($B$5&gt;=B11,$B$5&lt;=C11),C18,IF(AND($B$5&gt;=B12,$B$5&lt;=C12),C19,IF(AND($B$5&gt;=B13,$B$5&lt;=C13),C20,IF(AND($B$5&gt;=B14,$B$5&lt;=C14),C21,IF(AND($B$5&gt;=#REF!,$B$5&lt;=#REF!),#REF!,IF(AND($B$5&gt;#REF!),C24))))))))</f>
        <v>4.4999999999999998E-2</v>
      </c>
      <c r="G16" s="11" t="s">
        <v>0</v>
      </c>
      <c r="H16" s="11" t="s">
        <v>1</v>
      </c>
      <c r="I16" s="11" t="s">
        <v>2</v>
      </c>
      <c r="J16" s="11" t="s">
        <v>3</v>
      </c>
      <c r="K16" s="11" t="s">
        <v>4</v>
      </c>
      <c r="L16" s="11" t="s">
        <v>19</v>
      </c>
    </row>
    <row r="17" spans="1:14" hidden="1">
      <c r="A17" s="8" t="s">
        <v>8</v>
      </c>
      <c r="B17" s="3" t="b">
        <f t="shared" si="1"/>
        <v>0</v>
      </c>
      <c r="C17" s="4">
        <f>ROUND(B17,5)</f>
        <v>0</v>
      </c>
      <c r="D17" s="3">
        <f>ROUND(D16,4)</f>
        <v>4.4999999999999998E-2</v>
      </c>
      <c r="G17" s="6">
        <f>IF(AND($B$5&gt;=$B$9,$B$5&lt;=$C$9),$C$5*G9,IF(AND($B$5&gt;=$B$10,$B$5&lt;=$C$10),$C$5*G10,IF(AND($B$5&gt;=$B$11,$B$5&lt;=$C$11),$C$5*G11,IF(AND($B$5&gt;=$B$12,$B$5&lt;=$C$12),$C$5*G12,IF(AND($B$5&gt;=$B$13,$B$5&lt;=$C$13),$C$5*G13,IF(AND($B$5&gt;=$B$14,$B$5&lt;=$C$14),$C$5*G14,IF(AND($B$5&gt;=#REF!,$B$5&lt;=#REF!),$C$5*#REF!,IF(AND($B$5&gt;#REF!),$C$5*#REF!))))))))</f>
        <v>8.4600000000000005E-3</v>
      </c>
      <c r="H17" s="6">
        <f>IF(AND($B$5&gt;=$B$9,$B$5&lt;=$C$9),$C$5*H9,IF(AND($B$5&gt;=$B$10,$B$5&lt;=$C$10),$C$5*H10,IF(AND($B$5&gt;=$B$11,$B$5&lt;=$C$11),$C$5*H11,IF(AND($B$5&gt;=$B$12,$B$5&lt;=$C$12),$C$5*H12,IF(AND($B$5&gt;=$B$13,$B$5&lt;=$C$13),$C$5*H13,IF(AND($B$5&gt;=$B$14,$B$5&lt;=$C$14),$C$5*H14,IF(AND($B$5&gt;=#REF!,$B$5&lt;=#REF!),$C$5*#REF!,IF(AND($B$5&gt;#REF!),$C$5*#REF!))))))))</f>
        <v>6.8399999999999997E-3</v>
      </c>
      <c r="I17" s="6">
        <f>IF(AND($B$5&gt;=$B$9,$B$5&lt;=$C$9),$C$5*I9,IF(AND($B$5&gt;=$B$10,$B$5&lt;=$C$10),$C$5*I10,IF(AND($B$5&gt;=$B$11,$B$5&lt;=$C$11),$C$5*I11,IF(AND($B$5&gt;=$B$12,$B$5&lt;=$C$12),$C$5*I12,IF(AND($B$5&gt;=$B$13,$B$5&lt;=$C$13),$C$5*I13,IF(AND($B$5&gt;=$B$14,$B$5&lt;=$C$14),$C$5*I14,IF(AND($B$5&gt;=#REF!,$B$5&lt;=#REF!),$C$5*#REF!,IF(AND($B$5&gt;#REF!),$C$5*#REF!))))))))</f>
        <v>7.9515000000000002E-3</v>
      </c>
      <c r="J17" s="14">
        <f>IF(AND($B$5&gt;=$B$9,$B$5&lt;=$C$9),$C$5*J9,IF(AND($B$5&gt;=$B$10,$B$5&lt;=$C$10),$C$5*J10,IF(AND($B$5&gt;=$B$11,$B$5&lt;=$C$11),$C$5*J11,IF(AND($B$5&gt;=$B$12,$B$5&lt;=$C$12),$C$5*J12,IF(AND($B$5&gt;=$B$13,$B$5&lt;=$C$13),$C$5*J13,IF(AND($B$5&gt;=$B$14,$B$5&lt;=$C$14),$C$5*J14,IF(AND($B$5&gt;=#REF!,$B$5&lt;=#REF!),$C$5*#REF!,IF(AND($B$5&gt;#REF!),$C$5*#REF!))))))))</f>
        <v>1.7235E-3</v>
      </c>
      <c r="K17" s="6">
        <v>0</v>
      </c>
      <c r="L17" s="6">
        <f>IF(AND($B$5&gt;=$B$9,$B$5&lt;=$C$9),$C$5*L9,IF(AND($B$5&gt;=$B$10,$B$5&lt;=$C$10),$C$5*L10,IF(AND($B$5&gt;=$B$11,$B$5&lt;=$C$11),$C$5*L11,IF(AND($B$5&gt;=$B$12,$B$5&lt;=$C$12),$C$5*L12,IF(AND($B$5&gt;=$B$13,$B$5&lt;=$C$13),$C$5*L13,IF(AND($B$5&gt;=$B$14,$B$5&lt;=$C$14),$C$5*L14,IF(AND($B$5&gt;=#REF!,$B$5&lt;=#REF!),$C$5*#REF!,IF(AND($B$5&gt;#REF!),$C$5*#REF!))))))))</f>
        <v>2.0025000000000001E-2</v>
      </c>
      <c r="M17" s="27">
        <f>SUM(G17:L17)</f>
        <v>4.4999999999999998E-2</v>
      </c>
    </row>
    <row r="18" spans="1:14" hidden="1">
      <c r="A18" s="8" t="s">
        <v>9</v>
      </c>
      <c r="B18" s="3" t="b">
        <f t="shared" si="1"/>
        <v>0</v>
      </c>
      <c r="C18" s="4">
        <f t="shared" ref="C18:C21" si="3">ROUND(B18,5)</f>
        <v>0</v>
      </c>
      <c r="G18" s="14">
        <f>ROUND(G17,4)</f>
        <v>8.5000000000000006E-3</v>
      </c>
      <c r="H18" s="14">
        <f t="shared" ref="H18:L18" si="4">ROUND(H17,4)</f>
        <v>6.7999999999999996E-3</v>
      </c>
      <c r="I18" s="14">
        <f t="shared" si="4"/>
        <v>8.0000000000000002E-3</v>
      </c>
      <c r="J18" s="14">
        <f t="shared" si="4"/>
        <v>1.6999999999999999E-3</v>
      </c>
      <c r="K18" s="14">
        <f t="shared" si="4"/>
        <v>0</v>
      </c>
      <c r="L18" s="14">
        <f t="shared" si="4"/>
        <v>0.02</v>
      </c>
      <c r="M18" s="4">
        <f>SUM(G18:L18)</f>
        <v>4.4999999999999998E-2</v>
      </c>
    </row>
    <row r="19" spans="1:14" ht="23.4" hidden="1">
      <c r="A19" s="8" t="s">
        <v>10</v>
      </c>
      <c r="B19" s="3" t="b">
        <f t="shared" si="1"/>
        <v>0</v>
      </c>
      <c r="C19" s="4">
        <f t="shared" si="3"/>
        <v>0</v>
      </c>
      <c r="G19" s="13">
        <f t="shared" ref="G19:L19" si="5">IF(G18=MAX($G$18:$L$18),(G18+$M$21),IF(G18&lt;&gt;MAX($G$18:$L$18),G18))</f>
        <v>8.5000000000000006E-3</v>
      </c>
      <c r="H19" s="13">
        <f t="shared" si="5"/>
        <v>6.7999999999999996E-3</v>
      </c>
      <c r="I19" s="13">
        <f t="shared" si="5"/>
        <v>8.0000000000000002E-3</v>
      </c>
      <c r="J19" s="13">
        <f t="shared" si="5"/>
        <v>1.6999999999999999E-3</v>
      </c>
      <c r="K19" s="13">
        <f t="shared" si="5"/>
        <v>0</v>
      </c>
      <c r="L19" s="13">
        <f t="shared" si="5"/>
        <v>0.02</v>
      </c>
      <c r="M19" s="4">
        <f>SUM(G19:L19)</f>
        <v>4.4999999999999998E-2</v>
      </c>
      <c r="N19" s="15">
        <f>SUM(G19:L19)</f>
        <v>4.4999999999999998E-2</v>
      </c>
    </row>
    <row r="20" spans="1:14" ht="23.4" hidden="1">
      <c r="A20" s="8" t="s">
        <v>11</v>
      </c>
      <c r="B20" s="3" t="b">
        <f t="shared" si="1"/>
        <v>0</v>
      </c>
      <c r="C20" s="4">
        <f t="shared" si="3"/>
        <v>0</v>
      </c>
      <c r="G20" s="13">
        <f>ROUND(G19,4)</f>
        <v>8.5000000000000006E-3</v>
      </c>
      <c r="H20" s="13">
        <f t="shared" ref="H20:L20" si="6">ROUND(H19,4)</f>
        <v>6.7999999999999996E-3</v>
      </c>
      <c r="I20" s="13">
        <f t="shared" si="6"/>
        <v>8.0000000000000002E-3</v>
      </c>
      <c r="J20" s="13">
        <f t="shared" si="6"/>
        <v>1.6999999999999999E-3</v>
      </c>
      <c r="K20" s="13">
        <f t="shared" si="6"/>
        <v>0</v>
      </c>
      <c r="L20" s="13">
        <f t="shared" si="6"/>
        <v>0.02</v>
      </c>
      <c r="N20" s="9" t="str">
        <f>IF(C5=N19,"OK")</f>
        <v>OK</v>
      </c>
    </row>
    <row r="21" spans="1:14" hidden="1">
      <c r="A21" s="8" t="s">
        <v>12</v>
      </c>
      <c r="B21" s="3" t="b">
        <f t="shared" si="1"/>
        <v>0</v>
      </c>
      <c r="C21" s="4">
        <f t="shared" si="3"/>
        <v>0</v>
      </c>
      <c r="G21" s="13">
        <f>G20-G18</f>
        <v>0</v>
      </c>
      <c r="H21" s="13">
        <f t="shared" ref="H21:L21" si="7">H20-H18</f>
        <v>0</v>
      </c>
      <c r="I21" s="13">
        <f t="shared" si="7"/>
        <v>0</v>
      </c>
      <c r="J21" s="13">
        <f t="shared" si="7"/>
        <v>0</v>
      </c>
      <c r="K21" s="13">
        <f t="shared" si="7"/>
        <v>0</v>
      </c>
      <c r="L21" s="13">
        <f t="shared" si="7"/>
        <v>0</v>
      </c>
      <c r="M21" s="4">
        <f>C5-M18</f>
        <v>0</v>
      </c>
    </row>
    <row r="22" spans="1:14" hidden="1">
      <c r="A22" s="8"/>
      <c r="B22" s="3"/>
      <c r="C22" s="4"/>
      <c r="G22" s="13">
        <f>G20</f>
        <v>8.5000000000000006E-3</v>
      </c>
      <c r="H22" s="13">
        <f>H20</f>
        <v>6.7999999999999996E-3</v>
      </c>
      <c r="I22" s="13">
        <f>I20</f>
        <v>8.0000000000000002E-3</v>
      </c>
      <c r="J22" s="13">
        <f t="shared" ref="J22:L22" si="8">J20</f>
        <v>1.6999999999999999E-3</v>
      </c>
      <c r="K22" s="13">
        <f t="shared" si="8"/>
        <v>0</v>
      </c>
      <c r="L22" s="13">
        <f t="shared" si="8"/>
        <v>0.02</v>
      </c>
      <c r="M22" s="13">
        <f>L22-N11</f>
        <v>-3.0000000000000002E-2</v>
      </c>
      <c r="N22" s="13">
        <f>IF(M22&gt;0,M22,0)</f>
        <v>0</v>
      </c>
    </row>
    <row r="23" spans="1:14" hidden="1">
      <c r="A23" s="8"/>
      <c r="B23" s="3"/>
      <c r="C23" s="4"/>
      <c r="G23" s="13">
        <f>$N$22*G31</f>
        <v>0</v>
      </c>
      <c r="H23" s="13">
        <f t="shared" ref="H23:K23" si="9">$N$22*H31</f>
        <v>0</v>
      </c>
      <c r="I23" s="13">
        <f t="shared" si="9"/>
        <v>0</v>
      </c>
      <c r="J23" s="13">
        <f t="shared" si="9"/>
        <v>0</v>
      </c>
      <c r="K23" s="13">
        <f t="shared" si="9"/>
        <v>0</v>
      </c>
      <c r="M23" s="13">
        <f>SUM(G23:L23)</f>
        <v>0</v>
      </c>
    </row>
    <row r="24" spans="1:14" hidden="1">
      <c r="A24" s="8"/>
      <c r="B24" s="3"/>
      <c r="C24" s="4"/>
      <c r="G24" s="13">
        <f>G20+G23</f>
        <v>8.5000000000000006E-3</v>
      </c>
      <c r="H24" s="13">
        <f t="shared" ref="H24:K24" si="10">H20+H23</f>
        <v>6.7999999999999996E-3</v>
      </c>
      <c r="I24" s="13">
        <f t="shared" si="10"/>
        <v>8.0000000000000002E-3</v>
      </c>
      <c r="J24" s="13">
        <f t="shared" si="10"/>
        <v>1.6999999999999999E-3</v>
      </c>
      <c r="K24" s="13">
        <f t="shared" si="10"/>
        <v>0</v>
      </c>
      <c r="L24" s="13">
        <f>L22-N22</f>
        <v>0.02</v>
      </c>
      <c r="M24" s="13">
        <f>SUM(G24:L24)</f>
        <v>4.4999999999999998E-2</v>
      </c>
    </row>
    <row r="25" spans="1:14" hidden="1">
      <c r="G25" s="13">
        <f>ROUND(G24,4)</f>
        <v>8.5000000000000006E-3</v>
      </c>
      <c r="H25" s="13">
        <f t="shared" ref="H25:K25" si="11">ROUND(H24,4)</f>
        <v>6.7999999999999996E-3</v>
      </c>
      <c r="I25" s="13">
        <f t="shared" si="11"/>
        <v>8.0000000000000002E-3</v>
      </c>
      <c r="J25" s="13">
        <f t="shared" si="11"/>
        <v>1.6999999999999999E-3</v>
      </c>
      <c r="K25" s="13">
        <f t="shared" si="11"/>
        <v>0</v>
      </c>
      <c r="L25" s="13">
        <f>TRUNC(L24,4)</f>
        <v>0.02</v>
      </c>
      <c r="M25" s="13">
        <f>SUM(G25:L25)</f>
        <v>4.4999999999999998E-2</v>
      </c>
      <c r="N25" s="13">
        <f>M24-M25</f>
        <v>0</v>
      </c>
    </row>
    <row r="26" spans="1:14" ht="23.4" hidden="1">
      <c r="G26" s="13">
        <f>IF(G25=MAX($G$25:$J$25),(G25+$N$25),IF(G25&lt;&gt;MAX($G$25:$J$25),G25))</f>
        <v>8.5000000000000006E-3</v>
      </c>
      <c r="H26" s="13">
        <f t="shared" ref="H26:J26" si="12">IF(H25=MAX($G$25:$J$25),(H25+$N$25),IF(H25&lt;&gt;MAX($G$25:$J$25),H25))</f>
        <v>6.7999999999999996E-3</v>
      </c>
      <c r="I26" s="13">
        <f t="shared" si="12"/>
        <v>8.0000000000000002E-3</v>
      </c>
      <c r="J26" s="13">
        <f t="shared" si="12"/>
        <v>1.6999999999999999E-3</v>
      </c>
      <c r="K26" s="13">
        <f t="shared" ref="K26" si="13">IF(K25=MAX($G$25:$L$25),(K25+$N$25),IF(K25&lt;&gt;MAX($G$25:$L$25),K25))</f>
        <v>0</v>
      </c>
      <c r="L26" s="13">
        <f>L25</f>
        <v>0.02</v>
      </c>
      <c r="M26" s="15">
        <f>SUM(G26:L26)</f>
        <v>4.4999999999999998E-2</v>
      </c>
    </row>
    <row r="27" spans="1:14" hidden="1"/>
    <row r="28" spans="1:14" hidden="1"/>
    <row r="29" spans="1:14" hidden="1"/>
    <row r="30" spans="1:14" ht="15" hidden="1" thickBot="1">
      <c r="G30" s="24">
        <v>0.188</v>
      </c>
      <c r="H30" s="25">
        <v>0.192</v>
      </c>
      <c r="I30" s="25">
        <v>0.18079999999999999</v>
      </c>
      <c r="J30" s="25">
        <v>3.9199999999999999E-2</v>
      </c>
      <c r="K30" s="1">
        <f>SUM(G30:J30)</f>
        <v>0.6</v>
      </c>
      <c r="L30" s="13"/>
    </row>
    <row r="31" spans="1:14" hidden="1">
      <c r="G31" s="13">
        <f>G30/$K$30</f>
        <v>0.31333333333333335</v>
      </c>
      <c r="H31" s="13">
        <f t="shared" ref="H31:J31" si="14">H30/$K$30</f>
        <v>0.32</v>
      </c>
      <c r="I31" s="13">
        <f t="shared" si="14"/>
        <v>0.30133333333333334</v>
      </c>
      <c r="J31" s="13">
        <f t="shared" si="14"/>
        <v>6.533333333333334E-2</v>
      </c>
      <c r="K31" s="13"/>
    </row>
    <row r="32" spans="1:14" hidden="1">
      <c r="G32" s="13">
        <f>ROUND(G31,4)</f>
        <v>0.31330000000000002</v>
      </c>
      <c r="H32" s="13">
        <v>0.33110000000000001</v>
      </c>
      <c r="I32" s="13">
        <f t="shared" ref="I32:J32" si="15">ROUND(I31,4)</f>
        <v>0.30130000000000001</v>
      </c>
      <c r="J32" s="13">
        <f t="shared" si="15"/>
        <v>6.5299999999999997E-2</v>
      </c>
      <c r="K32" s="13"/>
    </row>
    <row r="33" spans="7:14" hidden="1">
      <c r="G33" s="14">
        <f>($C$5-5%)*G32</f>
        <v>-1.5665000000000015E-3</v>
      </c>
      <c r="H33" s="14">
        <f>($C$5-5%)*H32</f>
        <v>-1.6555000000000016E-3</v>
      </c>
      <c r="I33" s="14">
        <f>($C$5-5%)*I32</f>
        <v>-1.5065000000000013E-3</v>
      </c>
      <c r="J33" s="14">
        <f>($C$5-5%)*J32</f>
        <v>-3.2650000000000029E-4</v>
      </c>
      <c r="K33" s="14">
        <f>($C$5-5%)*K32</f>
        <v>0</v>
      </c>
      <c r="L33" s="22">
        <v>0.05</v>
      </c>
      <c r="M33" s="23">
        <f>SUM(G33:L33)</f>
        <v>4.4944999999999999E-2</v>
      </c>
    </row>
    <row r="34" spans="7:14" hidden="1">
      <c r="G34" s="13">
        <f>ROUND(G33,4)</f>
        <v>-1.6000000000000001E-3</v>
      </c>
      <c r="H34" s="13">
        <f t="shared" ref="H34:L34" si="16">ROUND(H33,4)</f>
        <v>-1.6999999999999999E-3</v>
      </c>
      <c r="I34" s="13">
        <f t="shared" si="16"/>
        <v>-1.5E-3</v>
      </c>
      <c r="J34" s="13">
        <f t="shared" si="16"/>
        <v>-2.9999999999999997E-4</v>
      </c>
      <c r="K34" s="13">
        <f t="shared" si="16"/>
        <v>0</v>
      </c>
      <c r="L34" s="13">
        <f t="shared" si="16"/>
        <v>0.05</v>
      </c>
      <c r="M34" s="23">
        <f>SUM(G34:L34)</f>
        <v>4.4900000000000002E-2</v>
      </c>
      <c r="N34" s="23">
        <f>-M34+M33</f>
        <v>4.4999999999996432E-5</v>
      </c>
    </row>
    <row r="35" spans="7:14" hidden="1">
      <c r="G35" s="13">
        <f>IF(G34=MAX($G$33:$L$33),(G34+$N$33),IF(G34&lt;&gt;MAX($G$33:$L$33),G34))</f>
        <v>-1.6000000000000001E-3</v>
      </c>
      <c r="H35" s="13">
        <f t="shared" ref="H35:K35" si="17">IF(H34=MAX($G$33:$L$33),(H34+$N$33),IF(H34&lt;&gt;MAX($G$33:$L$33),H34))</f>
        <v>-1.6999999999999999E-3</v>
      </c>
      <c r="I35" s="13">
        <f t="shared" si="17"/>
        <v>-1.5E-3</v>
      </c>
      <c r="J35" s="13">
        <f t="shared" si="17"/>
        <v>-2.9999999999999997E-4</v>
      </c>
      <c r="K35" s="13">
        <f t="shared" si="17"/>
        <v>0</v>
      </c>
      <c r="L35" s="13">
        <f>IF(L34=MAX($G$18:$L$18),(L34+$M$21),IF(L34&lt;&gt;MAX($G$18:$L$18),L34))</f>
        <v>0.05</v>
      </c>
      <c r="M35" s="13">
        <f>SUM(G35:L35)</f>
        <v>4.4900000000000002E-2</v>
      </c>
    </row>
    <row r="36" spans="7:14" hidden="1"/>
    <row r="37" spans="7:14" hidden="1"/>
    <row r="38" spans="7:14" hidden="1">
      <c r="G38" s="14">
        <f>IF($C$5&lt;=$O$11,($C$5)*G13)</f>
        <v>8.4600000000000005E-3</v>
      </c>
      <c r="H38" s="14">
        <f t="shared" ref="H38:J38" si="18">IF($C$5&lt;=$O$11,($C$5)*H13)</f>
        <v>8.6400000000000001E-3</v>
      </c>
      <c r="I38" s="14">
        <f t="shared" si="18"/>
        <v>8.1359999999999991E-3</v>
      </c>
      <c r="J38" s="14">
        <f t="shared" si="18"/>
        <v>1.7639999999999999E-3</v>
      </c>
      <c r="K38" s="14">
        <f>IF($C$5&lt;=$O$11,($C$5)*K13)</f>
        <v>0</v>
      </c>
      <c r="L38" s="14">
        <f>IF($C$5&lt;=$O$11,($C$5)*L13)</f>
        <v>1.7999999999999999E-2</v>
      </c>
    </row>
    <row r="39" spans="7:14" hidden="1">
      <c r="G39" s="14" t="b">
        <f>IF($C$5&gt;$O$11,($C$5-$N$11)*G32)</f>
        <v>0</v>
      </c>
      <c r="H39" s="14" t="b">
        <f t="shared" ref="H39:K39" si="19">IF($C$5&gt;$O$11,($C$5-$N$11)*H32)</f>
        <v>0</v>
      </c>
      <c r="I39" s="14" t="b">
        <f t="shared" si="19"/>
        <v>0</v>
      </c>
      <c r="J39" s="14" t="b">
        <f t="shared" si="19"/>
        <v>0</v>
      </c>
      <c r="K39" s="14" t="b">
        <f t="shared" si="19"/>
        <v>0</v>
      </c>
    </row>
    <row r="40" spans="7:14" hidden="1"/>
    <row r="41" spans="7:14" hidden="1"/>
    <row r="42" spans="7:14" hidden="1"/>
    <row r="43" spans="7:14" hidden="1"/>
    <row r="44" spans="7:14" hidden="1"/>
    <row r="45" spans="7:14" hidden="1"/>
    <row r="46" spans="7:14" hidden="1"/>
    <row r="48" spans="7:14" s="30" customFormat="1" ht="18" customHeight="1"/>
    <row r="49" s="30" customFormat="1" ht="18" customHeight="1"/>
    <row r="50" s="30" customFormat="1" ht="18" customHeight="1"/>
    <row r="51" s="30" customFormat="1" ht="18" customHeight="1"/>
    <row r="52" s="30" customFormat="1" ht="18" customHeight="1"/>
    <row r="53" s="30" customFormat="1" ht="18" customHeight="1"/>
    <row r="54" s="30" customFormat="1" ht="18" customHeight="1"/>
    <row r="55" s="30" customFormat="1" ht="18" customHeight="1"/>
    <row r="56" s="30" customFormat="1" ht="18" customHeight="1"/>
    <row r="57" s="30" customFormat="1" ht="18" customHeight="1"/>
    <row r="58" s="30" customFormat="1" ht="18" customHeight="1"/>
    <row r="59" s="31" customFormat="1" ht="30" customHeight="1"/>
    <row r="60" s="30" customFormat="1" ht="18" customHeight="1"/>
  </sheetData>
  <sheetProtection sheet="1" objects="1" scenarios="1"/>
  <mergeCells count="7">
    <mergeCell ref="B3:B4"/>
    <mergeCell ref="C3:C4"/>
    <mergeCell ref="D3:I3"/>
    <mergeCell ref="G7:L7"/>
    <mergeCell ref="A1:O1"/>
    <mergeCell ref="H5:I5"/>
    <mergeCell ref="H4:I4"/>
  </mergeCells>
  <conditionalFormatting sqref="G21:L21">
    <cfRule type="expression" dxfId="7" priority="4">
      <formula>"SE+$G$19&lt;&gt;0"</formula>
    </cfRule>
  </conditionalFormatting>
  <conditionalFormatting sqref="G21:L21">
    <cfRule type="cellIs" dxfId="6" priority="1" operator="notEqual">
      <formula>0</formula>
    </cfRule>
    <cfRule type="cellIs" dxfId="5" priority="2" operator="lessThan">
      <formula>0</formula>
    </cfRule>
    <cfRule type="cellIs" dxfId="4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1"/>
  <sheetViews>
    <sheetView showGridLines="0" showRowColHeaders="0" workbookViewId="0">
      <selection activeCell="B5" sqref="B5"/>
    </sheetView>
  </sheetViews>
  <sheetFormatPr defaultRowHeight="14.4"/>
  <cols>
    <col min="1" max="1" width="23.6640625" customWidth="1"/>
    <col min="2" max="2" width="21.6640625" bestFit="1" customWidth="1"/>
    <col min="3" max="3" width="15.5546875" bestFit="1" customWidth="1"/>
    <col min="4" max="4" width="13.44140625" bestFit="1" customWidth="1"/>
    <col min="5" max="5" width="13.44140625" customWidth="1"/>
    <col min="6" max="6" width="16.88671875" customWidth="1"/>
    <col min="7" max="12" width="14.33203125" customWidth="1"/>
    <col min="13" max="13" width="8.109375" bestFit="1" customWidth="1"/>
    <col min="14" max="14" width="13.44140625" bestFit="1" customWidth="1"/>
  </cols>
  <sheetData>
    <row r="1" spans="1:24" s="30" customFormat="1" ht="51.75" customHeight="1" thickBot="1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32"/>
      <c r="Q1" s="32"/>
      <c r="R1" s="32"/>
      <c r="S1" s="32"/>
      <c r="T1" s="32"/>
      <c r="U1" s="32"/>
      <c r="V1" s="32"/>
      <c r="W1" s="32"/>
      <c r="X1" s="32"/>
    </row>
    <row r="2" spans="1:24" ht="15" thickTop="1"/>
    <row r="3" spans="1:24" ht="15.75" customHeight="1">
      <c r="A3" s="35"/>
      <c r="B3" s="55" t="s">
        <v>6</v>
      </c>
      <c r="C3" s="56" t="s">
        <v>15</v>
      </c>
      <c r="D3" s="57" t="s">
        <v>16</v>
      </c>
      <c r="E3" s="57"/>
      <c r="F3" s="57"/>
      <c r="G3" s="57"/>
      <c r="H3" s="57"/>
      <c r="I3" s="57"/>
      <c r="J3" s="33"/>
      <c r="K3" s="33"/>
      <c r="L3" s="33"/>
    </row>
    <row r="4" spans="1:24">
      <c r="A4" s="35"/>
      <c r="B4" s="55"/>
      <c r="C4" s="56"/>
      <c r="D4" s="36" t="s">
        <v>0</v>
      </c>
      <c r="E4" s="36" t="s">
        <v>1</v>
      </c>
      <c r="F4" s="36" t="s">
        <v>2</v>
      </c>
      <c r="G4" s="36" t="s">
        <v>3</v>
      </c>
      <c r="H4" s="36" t="s">
        <v>4</v>
      </c>
      <c r="I4" s="36" t="s">
        <v>19</v>
      </c>
      <c r="J4" s="33"/>
      <c r="K4" s="33"/>
      <c r="L4" s="33"/>
    </row>
    <row r="5" spans="1:24" ht="26.4">
      <c r="A5" s="37" t="s">
        <v>14</v>
      </c>
      <c r="B5" s="38">
        <v>180000</v>
      </c>
      <c r="C5" s="39">
        <f>D17</f>
        <v>0.155</v>
      </c>
      <c r="D5" s="39">
        <f>G20</f>
        <v>3.8800000000000001E-2</v>
      </c>
      <c r="E5" s="39">
        <f t="shared" ref="E5:I5" si="0">H20</f>
        <v>2.3300000000000001E-2</v>
      </c>
      <c r="F5" s="39">
        <f t="shared" si="0"/>
        <v>2.1899999999999999E-2</v>
      </c>
      <c r="G5" s="39">
        <f t="shared" si="0"/>
        <v>4.7000000000000002E-3</v>
      </c>
      <c r="H5" s="39">
        <f t="shared" si="0"/>
        <v>4.4600000000000001E-2</v>
      </c>
      <c r="I5" s="39">
        <f t="shared" si="0"/>
        <v>2.1700000000000001E-2</v>
      </c>
      <c r="J5" s="33"/>
      <c r="K5" s="33"/>
      <c r="L5" s="33"/>
    </row>
    <row r="6" spans="1:24">
      <c r="M6" s="7"/>
    </row>
    <row r="7" spans="1:24" ht="32.25" customHeight="1">
      <c r="A7" s="33"/>
      <c r="B7" s="33"/>
      <c r="C7" s="33"/>
      <c r="D7" s="33"/>
      <c r="E7" s="33"/>
      <c r="F7" s="33"/>
      <c r="G7" s="58" t="s">
        <v>17</v>
      </c>
      <c r="H7" s="59"/>
      <c r="I7" s="59"/>
      <c r="J7" s="59"/>
      <c r="K7" s="59"/>
      <c r="L7" s="60"/>
    </row>
    <row r="8" spans="1:24" ht="27.6">
      <c r="A8" s="41"/>
      <c r="B8" s="53" t="s">
        <v>25</v>
      </c>
      <c r="C8" s="53" t="s">
        <v>24</v>
      </c>
      <c r="D8" s="53" t="s">
        <v>26</v>
      </c>
      <c r="E8" s="53" t="s">
        <v>27</v>
      </c>
      <c r="F8" s="33"/>
      <c r="G8" s="41" t="s">
        <v>0</v>
      </c>
      <c r="H8" s="41" t="s">
        <v>1</v>
      </c>
      <c r="I8" s="41" t="s">
        <v>2</v>
      </c>
      <c r="J8" s="41" t="s">
        <v>3</v>
      </c>
      <c r="K8" s="41" t="s">
        <v>4</v>
      </c>
      <c r="L8" s="41" t="s">
        <v>19</v>
      </c>
    </row>
    <row r="9" spans="1:24">
      <c r="A9" s="48" t="s">
        <v>7</v>
      </c>
      <c r="B9" s="42">
        <v>0</v>
      </c>
      <c r="C9" s="43">
        <v>180000</v>
      </c>
      <c r="D9" s="46">
        <v>0.155</v>
      </c>
      <c r="E9" s="49">
        <v>0</v>
      </c>
      <c r="F9" s="34"/>
      <c r="G9" s="46">
        <v>0.25</v>
      </c>
      <c r="H9" s="46">
        <v>0.15</v>
      </c>
      <c r="I9" s="46">
        <v>0.14099999999999999</v>
      </c>
      <c r="J9" s="46">
        <v>3.0499999999999999E-2</v>
      </c>
      <c r="K9" s="46">
        <v>0.28849999999999998</v>
      </c>
      <c r="L9" s="46">
        <v>0.14000000000000001</v>
      </c>
    </row>
    <row r="10" spans="1:24">
      <c r="A10" s="50" t="s">
        <v>8</v>
      </c>
      <c r="B10" s="44">
        <v>180000.01</v>
      </c>
      <c r="C10" s="45">
        <v>360000</v>
      </c>
      <c r="D10" s="47">
        <v>0.18</v>
      </c>
      <c r="E10" s="51">
        <v>4500</v>
      </c>
      <c r="F10" s="34"/>
      <c r="G10" s="47">
        <v>0.23</v>
      </c>
      <c r="H10" s="47">
        <v>0.15</v>
      </c>
      <c r="I10" s="47">
        <v>0.14099999999999999</v>
      </c>
      <c r="J10" s="47">
        <v>3.0499999999999999E-2</v>
      </c>
      <c r="K10" s="47">
        <v>0.27850000000000003</v>
      </c>
      <c r="L10" s="47">
        <v>0.17</v>
      </c>
    </row>
    <row r="11" spans="1:24">
      <c r="A11" s="48" t="s">
        <v>9</v>
      </c>
      <c r="B11" s="42">
        <v>360000.01</v>
      </c>
      <c r="C11" s="43">
        <v>720000</v>
      </c>
      <c r="D11" s="46">
        <v>0.19500000000000001</v>
      </c>
      <c r="E11" s="49">
        <v>9900</v>
      </c>
      <c r="F11" s="34"/>
      <c r="G11" s="46">
        <v>0.24</v>
      </c>
      <c r="H11" s="46">
        <v>0.15</v>
      </c>
      <c r="I11" s="46">
        <v>0.1492</v>
      </c>
      <c r="J11" s="46">
        <v>3.2300000000000002E-2</v>
      </c>
      <c r="K11" s="46">
        <v>0.23849999999999999</v>
      </c>
      <c r="L11" s="46">
        <v>0.19</v>
      </c>
    </row>
    <row r="12" spans="1:24">
      <c r="A12" s="50" t="s">
        <v>10</v>
      </c>
      <c r="B12" s="44">
        <v>720000.01</v>
      </c>
      <c r="C12" s="45">
        <v>1800000</v>
      </c>
      <c r="D12" s="47">
        <v>0.20499999999999999</v>
      </c>
      <c r="E12" s="51">
        <v>17100</v>
      </c>
      <c r="F12" s="34"/>
      <c r="G12" s="47">
        <v>0.21</v>
      </c>
      <c r="H12" s="47">
        <v>0.15</v>
      </c>
      <c r="I12" s="47">
        <v>0.15740000000000001</v>
      </c>
      <c r="J12" s="47">
        <v>3.4099999999999998E-2</v>
      </c>
      <c r="K12" s="47">
        <v>0.23849999999999999</v>
      </c>
      <c r="L12" s="47">
        <v>0.21</v>
      </c>
    </row>
    <row r="13" spans="1:24">
      <c r="A13" s="48" t="s">
        <v>11</v>
      </c>
      <c r="B13" s="42">
        <v>1800000.01</v>
      </c>
      <c r="C13" s="43">
        <v>3600000</v>
      </c>
      <c r="D13" s="46">
        <v>0.23</v>
      </c>
      <c r="E13" s="49">
        <v>62100</v>
      </c>
      <c r="F13" s="34"/>
      <c r="G13" s="46">
        <v>0.23</v>
      </c>
      <c r="H13" s="46">
        <v>0.125</v>
      </c>
      <c r="I13" s="46">
        <v>0.14099999999999999</v>
      </c>
      <c r="J13" s="46">
        <v>3.0499999999999999E-2</v>
      </c>
      <c r="K13" s="46">
        <v>0.23849999999999999</v>
      </c>
      <c r="L13" s="46">
        <v>0.23499999999999999</v>
      </c>
    </row>
    <row r="14" spans="1:24">
      <c r="A14" s="50" t="s">
        <v>12</v>
      </c>
      <c r="B14" s="44">
        <v>3600000.01</v>
      </c>
      <c r="C14" s="45">
        <v>4800000</v>
      </c>
      <c r="D14" s="47">
        <v>0.30499999999999999</v>
      </c>
      <c r="E14" s="51">
        <v>540000</v>
      </c>
      <c r="F14" s="34"/>
      <c r="G14" s="47">
        <v>0.35</v>
      </c>
      <c r="H14" s="47">
        <v>0.155</v>
      </c>
      <c r="I14" s="47">
        <v>0.16439999999999999</v>
      </c>
      <c r="J14" s="47">
        <v>3.56E-2</v>
      </c>
      <c r="K14" s="47">
        <v>0.29499999999999998</v>
      </c>
      <c r="L14" s="47">
        <v>0</v>
      </c>
    </row>
    <row r="15" spans="1:24">
      <c r="A15" s="8"/>
      <c r="B15" s="3"/>
      <c r="C15" s="4"/>
    </row>
    <row r="16" spans="1:24" hidden="1">
      <c r="A16" s="8" t="s">
        <v>7</v>
      </c>
      <c r="B16" s="3">
        <f t="shared" ref="B16:B21" si="1">IF(AND($B$5&gt;=B9,$B$5&lt;=C9),($B$5*D9-E9)/$B$5)</f>
        <v>0.155</v>
      </c>
      <c r="C16" s="4">
        <f t="shared" ref="C16" si="2">ROUND(B16,5)</f>
        <v>0.155</v>
      </c>
      <c r="D16" s="3">
        <f>IF(AND($B$5&gt;=B9,$B$5&lt;=C9),C16,IF(AND($B$5&gt;=B10,$B$5&lt;=C10),C17,IF(AND($B$5&gt;=B11,$B$5&lt;=C11),C18,IF(AND($B$5&gt;=B12,$B$5&lt;=C12),C19,IF(AND($B$5&gt;=B13,$B$5&lt;=C13),C20,IF(AND($B$5&gt;=B14,$B$5&lt;=C14),C21,IF(AND($B$5&gt;=#REF!,$B$5&lt;=#REF!),#REF!,IF(AND($B$5&gt;#REF!),C22))))))))</f>
        <v>0.155</v>
      </c>
      <c r="G16" s="11" t="s">
        <v>0</v>
      </c>
      <c r="H16" s="11" t="s">
        <v>1</v>
      </c>
      <c r="I16" s="11" t="s">
        <v>2</v>
      </c>
      <c r="J16" s="11" t="s">
        <v>3</v>
      </c>
      <c r="K16" s="11" t="s">
        <v>4</v>
      </c>
      <c r="L16" s="11" t="s">
        <v>19</v>
      </c>
    </row>
    <row r="17" spans="1:14" hidden="1">
      <c r="A17" s="8" t="s">
        <v>8</v>
      </c>
      <c r="B17" s="3" t="b">
        <f t="shared" si="1"/>
        <v>0</v>
      </c>
      <c r="C17" s="4">
        <f>ROUND(B17,5)</f>
        <v>0</v>
      </c>
      <c r="D17" s="3">
        <f>ROUND(D16,4)</f>
        <v>0.155</v>
      </c>
      <c r="G17" s="6">
        <f>IF(AND($B$5&gt;=$B$9,$B$5&lt;=$C$9),$C$5*G9,IF(AND($B$5&gt;=$B$10,$B$5&lt;=$C$10),$C$5*G10,IF(AND($B$5&gt;=$B$11,$B$5&lt;=$C$11),$C$5*G11,IF(AND($B$5&gt;=$B$12,$B$5&lt;=$C$12),$C$5*G12,IF(AND($B$5&gt;=$B$13,$B$5&lt;=$C$13),$C$5*G13,IF(AND($B$5&gt;=$B$14,$B$5&lt;=$C$14),$C$5*G14,IF(AND($B$5&gt;=#REF!,$B$5&lt;=#REF!),$C$5*#REF!,IF(AND($B$5&gt;#REF!),$C$5*#REF!))))))))</f>
        <v>3.875E-2</v>
      </c>
      <c r="H17" s="6">
        <f>IF(AND($B$5&gt;=$B$9,$B$5&lt;=$C$9),$C$5*H9,IF(AND($B$5&gt;=$B$10,$B$5&lt;=$C$10),$C$5*H10,IF(AND($B$5&gt;=$B$11,$B$5&lt;=$C$11),$C$5*H11,IF(AND($B$5&gt;=$B$12,$B$5&lt;=$C$12),$C$5*H12,IF(AND($B$5&gt;=$B$13,$B$5&lt;=$C$13),$C$5*H13,IF(AND($B$5&gt;=$B$14,$B$5&lt;=$C$14),$C$5*H14,IF(AND($B$5&gt;=#REF!,$B$5&lt;=#REF!),$C$5*#REF!,IF(AND($B$5&gt;#REF!),$C$5*#REF!))))))))</f>
        <v>2.325E-2</v>
      </c>
      <c r="I17" s="6">
        <f>IF(AND($B$5&gt;=$B$9,$B$5&lt;=$C$9),$C$5*I9,IF(AND($B$5&gt;=$B$10,$B$5&lt;=$C$10),$C$5*I10,IF(AND($B$5&gt;=$B$11,$B$5&lt;=$C$11),$C$5*I11,IF(AND($B$5&gt;=$B$12,$B$5&lt;=$C$12),$C$5*I12,IF(AND($B$5&gt;=$B$13,$B$5&lt;=$C$13),$C$5*I13,IF(AND($B$5&gt;=$B$14,$B$5&lt;=$C$14),$C$5*I14,IF(AND($B$5&gt;=#REF!,$B$5&lt;=#REF!),$C$5*#REF!,IF(AND($B$5&gt;#REF!),$C$5*#REF!))))))))</f>
        <v>2.1854999999999999E-2</v>
      </c>
      <c r="J17" s="14">
        <f>IF(AND($B$5&gt;=$B$9,$B$5&lt;=$C$9),$C$5*J9,IF(AND($B$5&gt;=$B$10,$B$5&lt;=$C$10),$C$5*J10,IF(AND($B$5&gt;=$B$11,$B$5&lt;=$C$11),$C$5*J11,IF(AND($B$5&gt;=$B$12,$B$5&lt;=$C$12),$C$5*J12,IF(AND($B$5&gt;=$B$13,$B$5&lt;=$C$13),$C$5*J13,IF(AND($B$5&gt;=$B$14,$B$5&lt;=$C$14),$C$5*J14,IF(AND($B$5&gt;=#REF!,$B$5&lt;=#REF!),$C$5*#REF!,IF(AND($B$5&gt;#REF!),$C$5*#REF!))))))))</f>
        <v>4.7274999999999999E-3</v>
      </c>
      <c r="K17" s="6">
        <f>IF(AND($B$5&gt;=$B$9,$B$5&lt;=$C$9),$C$5*K9,IF(AND($B$5&gt;=$B$10,$B$5&lt;=$C$10),$C$5*K10,IF(AND($B$5&gt;=$B$11,$B$5&lt;=$C$11),$C$5*K11,IF(AND($B$5&gt;=$B$12,$B$5&lt;=$C$12),$C$5*K12,IF(AND($B$5&gt;=$B$13,$B$5&lt;=$C$13),$C$5*K13,IF(AND($B$5&gt;=$B$14,$B$5&lt;=$C$14),$C$5*K14,IF(AND($B$5&gt;=#REF!,$B$5&lt;=#REF!),$C$5*#REF!,IF(AND($B$5&gt;#REF!),$C$5*#REF!))))))))</f>
        <v>4.4717499999999993E-2</v>
      </c>
      <c r="L17" s="6">
        <f>IF(AND($B$5&gt;=$B$9,$B$5&lt;=$C$9),$C$5*L9,IF(AND($B$5&gt;=$B$10,$B$5&lt;=$C$10),$C$5*L10,IF(AND($B$5&gt;=$B$11,$B$5&lt;=$C$11),$C$5*L11,IF(AND($B$5&gt;=$B$12,$B$5&lt;=$C$12),$C$5*L12,IF(AND($B$5&gt;=$B$13,$B$5&lt;=$C$13),$C$5*L13,IF(AND($B$5&gt;=$B$14,$B$5&lt;=$C$14),$C$5*L14,IF(AND($B$5&gt;=#REF!,$B$5&lt;=#REF!),$C$5*#REF!,IF(AND($B$5&gt;#REF!),$C$5*#REF!))))))))</f>
        <v>2.1700000000000001E-2</v>
      </c>
    </row>
    <row r="18" spans="1:14" hidden="1">
      <c r="A18" s="8" t="s">
        <v>9</v>
      </c>
      <c r="B18" s="3" t="b">
        <f t="shared" si="1"/>
        <v>0</v>
      </c>
      <c r="C18" s="4">
        <f t="shared" ref="C18:C21" si="3">ROUND(B18,5)</f>
        <v>0</v>
      </c>
      <c r="G18" s="14">
        <f>ROUND(G17,4)</f>
        <v>3.8800000000000001E-2</v>
      </c>
      <c r="H18" s="14">
        <f t="shared" ref="H18:L18" si="4">ROUND(H17,4)</f>
        <v>2.3300000000000001E-2</v>
      </c>
      <c r="I18" s="14">
        <f t="shared" si="4"/>
        <v>2.1899999999999999E-2</v>
      </c>
      <c r="J18" s="14">
        <f t="shared" si="4"/>
        <v>4.7000000000000002E-3</v>
      </c>
      <c r="K18" s="14">
        <f t="shared" si="4"/>
        <v>4.4699999999999997E-2</v>
      </c>
      <c r="L18" s="14">
        <f t="shared" si="4"/>
        <v>2.1700000000000001E-2</v>
      </c>
      <c r="M18" s="4">
        <f>SUM(G18:L18)</f>
        <v>0.15509999999999999</v>
      </c>
    </row>
    <row r="19" spans="1:14" ht="23.4" hidden="1">
      <c r="A19" s="8" t="s">
        <v>10</v>
      </c>
      <c r="B19" s="3" t="b">
        <f t="shared" si="1"/>
        <v>0</v>
      </c>
      <c r="C19" s="4">
        <f t="shared" si="3"/>
        <v>0</v>
      </c>
      <c r="G19" s="13">
        <f t="shared" ref="G19:L19" si="5">IF(G18=MAX($G$18:$L$18),(G18+$M$21),IF(G18&lt;&gt;MAX($G$18:$L$18),G18))</f>
        <v>3.8800000000000001E-2</v>
      </c>
      <c r="H19" s="13">
        <f t="shared" si="5"/>
        <v>2.3300000000000001E-2</v>
      </c>
      <c r="I19" s="13">
        <f t="shared" si="5"/>
        <v>2.1899999999999999E-2</v>
      </c>
      <c r="J19" s="13">
        <f t="shared" si="5"/>
        <v>4.7000000000000002E-3</v>
      </c>
      <c r="K19" s="13">
        <f t="shared" si="5"/>
        <v>4.4600000000000008E-2</v>
      </c>
      <c r="L19" s="13">
        <f t="shared" si="5"/>
        <v>2.1700000000000001E-2</v>
      </c>
      <c r="M19" s="4">
        <f>SUM(G19:L19)</f>
        <v>0.155</v>
      </c>
      <c r="N19" s="15">
        <f>SUM(G19:L19)</f>
        <v>0.155</v>
      </c>
    </row>
    <row r="20" spans="1:14" ht="23.4" hidden="1">
      <c r="A20" s="8" t="s">
        <v>11</v>
      </c>
      <c r="B20" s="3" t="b">
        <f t="shared" si="1"/>
        <v>0</v>
      </c>
      <c r="C20" s="4">
        <f t="shared" si="3"/>
        <v>0</v>
      </c>
      <c r="G20" s="13">
        <f>ROUND(G19,4)</f>
        <v>3.8800000000000001E-2</v>
      </c>
      <c r="H20" s="13">
        <f t="shared" ref="H20:L20" si="6">ROUND(H19,4)</f>
        <v>2.3300000000000001E-2</v>
      </c>
      <c r="I20" s="13">
        <f t="shared" si="6"/>
        <v>2.1899999999999999E-2</v>
      </c>
      <c r="J20" s="13">
        <f t="shared" si="6"/>
        <v>4.7000000000000002E-3</v>
      </c>
      <c r="K20" s="13">
        <f t="shared" si="6"/>
        <v>4.4600000000000001E-2</v>
      </c>
      <c r="L20" s="13">
        <f t="shared" si="6"/>
        <v>2.1700000000000001E-2</v>
      </c>
      <c r="N20" s="9" t="str">
        <f>IF(C5=N19,"OK")</f>
        <v>OK</v>
      </c>
    </row>
    <row r="21" spans="1:14" hidden="1">
      <c r="A21" s="8" t="s">
        <v>12</v>
      </c>
      <c r="B21" s="3" t="b">
        <f t="shared" si="1"/>
        <v>0</v>
      </c>
      <c r="C21" s="4">
        <f t="shared" si="3"/>
        <v>0</v>
      </c>
      <c r="G21" s="13">
        <f>G20-G18</f>
        <v>0</v>
      </c>
      <c r="H21" s="13">
        <f t="shared" ref="H21:L21" si="7">H20-H18</f>
        <v>0</v>
      </c>
      <c r="I21" s="13">
        <f t="shared" si="7"/>
        <v>0</v>
      </c>
      <c r="J21" s="13">
        <f t="shared" si="7"/>
        <v>0</v>
      </c>
      <c r="K21" s="13">
        <f t="shared" si="7"/>
        <v>-9.9999999999995925E-5</v>
      </c>
      <c r="L21" s="13">
        <f t="shared" si="7"/>
        <v>0</v>
      </c>
      <c r="M21" s="4">
        <f>C5-M18</f>
        <v>-9.9999999999988987E-5</v>
      </c>
    </row>
    <row r="22" spans="1:14" hidden="1">
      <c r="A22" s="8"/>
      <c r="B22" s="3"/>
      <c r="C22" s="4"/>
    </row>
    <row r="23" spans="1:14" hidden="1"/>
    <row r="24" spans="1:14" hidden="1"/>
    <row r="25" spans="1:14" hidden="1"/>
    <row r="29" spans="1:14" s="30" customFormat="1" ht="18" customHeight="1"/>
    <row r="30" spans="1:14" s="30" customFormat="1" ht="18" customHeight="1"/>
    <row r="31" spans="1:14" s="30" customFormat="1" ht="18" customHeight="1"/>
    <row r="32" spans="1:14" s="30" customFormat="1" ht="18" customHeight="1"/>
    <row r="33" s="30" customFormat="1" ht="18" customHeight="1"/>
    <row r="34" s="30" customFormat="1" ht="18" customHeight="1"/>
    <row r="35" s="30" customFormat="1" ht="18" customHeight="1"/>
    <row r="36" s="30" customFormat="1" ht="18" customHeight="1"/>
    <row r="37" s="30" customFormat="1" ht="18" customHeight="1"/>
    <row r="38" s="30" customFormat="1" ht="18" customHeight="1"/>
    <row r="39" s="30" customFormat="1" ht="18" customHeight="1"/>
    <row r="40" s="31" customFormat="1" ht="30" customHeight="1"/>
    <row r="41" s="30" customFormat="1" ht="18" customHeight="1"/>
  </sheetData>
  <sheetProtection sheet="1" objects="1" scenarios="1"/>
  <mergeCells count="5">
    <mergeCell ref="B3:B4"/>
    <mergeCell ref="C3:C4"/>
    <mergeCell ref="D3:I3"/>
    <mergeCell ref="G7:L7"/>
    <mergeCell ref="A1:O1"/>
  </mergeCells>
  <conditionalFormatting sqref="G21:L21">
    <cfRule type="expression" dxfId="3" priority="4">
      <formula>"SE+$G$19&lt;&gt;0"</formula>
    </cfRule>
  </conditionalFormatting>
  <conditionalFormatting sqref="G21:L21">
    <cfRule type="cellIs" dxfId="2" priority="1" operator="not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0CDE-D216-4B8A-9702-6867461405F0}">
  <dimension ref="A1:X128"/>
  <sheetViews>
    <sheetView showGridLines="0" showRowColHeaders="0" workbookViewId="0">
      <pane ySplit="1" topLeftCell="A2" activePane="bottomLeft" state="frozen"/>
      <selection pane="bottomLeft" sqref="A1:XFD1"/>
    </sheetView>
  </sheetViews>
  <sheetFormatPr defaultColWidth="9.109375" defaultRowHeight="13.8"/>
  <cols>
    <col min="1" max="16384" width="9.109375" style="30"/>
  </cols>
  <sheetData>
    <row r="1" spans="1:24" ht="51.75" customHeight="1" thickBot="1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32"/>
      <c r="Q1" s="32"/>
      <c r="R1" s="32"/>
      <c r="S1" s="32"/>
      <c r="T1" s="32"/>
      <c r="U1" s="32"/>
      <c r="V1" s="32"/>
      <c r="W1" s="32"/>
      <c r="X1" s="32"/>
    </row>
    <row r="2" spans="1:24" ht="18" customHeight="1" thickTop="1"/>
    <row r="3" spans="1:24" ht="18" customHeight="1"/>
    <row r="4" spans="1:24" ht="18" customHeight="1"/>
    <row r="5" spans="1:24" ht="18" customHeight="1"/>
    <row r="6" spans="1:24" ht="18" customHeight="1"/>
    <row r="7" spans="1:24" ht="18" customHeight="1"/>
    <row r="8" spans="1:24" ht="18" customHeight="1"/>
    <row r="9" spans="1:24" ht="18" customHeight="1"/>
    <row r="10" spans="1:24" ht="18" customHeight="1"/>
    <row r="11" spans="1:24" ht="18" customHeight="1"/>
    <row r="12" spans="1:24" ht="18" customHeight="1"/>
    <row r="13" spans="1:24" ht="18" customHeight="1"/>
    <row r="14" spans="1:24" ht="18" customHeight="1"/>
    <row r="15" spans="1:24" ht="18" customHeight="1"/>
    <row r="16" spans="1:24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s="31" customFormat="1" ht="30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</sheetData>
  <mergeCells count="1">
    <mergeCell ref="A1:O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Instruções</vt:lpstr>
      <vt:lpstr>Anexo I Comércio</vt:lpstr>
      <vt:lpstr>Anexo II - Indústria</vt:lpstr>
      <vt:lpstr>Anexo III - Serviços Inst.</vt:lpstr>
      <vt:lpstr>Anexo IV - Serviços em geral</vt:lpstr>
      <vt:lpstr>Anexo V - Serv. de Academias</vt:lpstr>
      <vt:lpstr>Sua empresa além da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NelsonBoing; ContaAzul</dc:creator>
  <cp:lastModifiedBy>Isaque Marinho Ribeiro</cp:lastModifiedBy>
  <dcterms:created xsi:type="dcterms:W3CDTF">2015-03-08T09:25:42Z</dcterms:created>
  <dcterms:modified xsi:type="dcterms:W3CDTF">2018-11-06T13:40:21Z</dcterms:modified>
</cp:coreProperties>
</file>