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selmo\Google Drive\Inbound\planilhas-ht\lote-2\"/>
    </mc:Choice>
  </mc:AlternateContent>
  <bookViews>
    <workbookView xWindow="0" yWindow="0" windowWidth="20490" windowHeight="7530" tabRatio="500"/>
  </bookViews>
  <sheets>
    <sheet name="Planilha de Custos" sheetId="1" r:id="rId1"/>
    <sheet name="Instruções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L7" i="1"/>
  <c r="L8" i="1"/>
  <c r="L9" i="1"/>
  <c r="L10" i="1"/>
  <c r="L11" i="1"/>
  <c r="L12" i="1"/>
  <c r="L13" i="1"/>
  <c r="L14" i="1"/>
  <c r="L15" i="1"/>
  <c r="L16" i="1"/>
  <c r="L17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N17" i="1"/>
  <c r="M17" i="1"/>
  <c r="E7" i="1"/>
  <c r="J7" i="1"/>
  <c r="E8" i="1"/>
  <c r="J8" i="1"/>
  <c r="E9" i="1"/>
  <c r="J9" i="1"/>
  <c r="E10" i="1"/>
  <c r="J10" i="1"/>
  <c r="E11" i="1"/>
  <c r="J11" i="1"/>
  <c r="E12" i="1"/>
  <c r="J12" i="1"/>
  <c r="E13" i="1"/>
  <c r="J13" i="1"/>
  <c r="E14" i="1"/>
  <c r="J14" i="1"/>
  <c r="E15" i="1"/>
  <c r="J15" i="1"/>
  <c r="E16" i="1"/>
  <c r="J16" i="1"/>
  <c r="J17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H17" i="1"/>
  <c r="I17" i="1"/>
  <c r="G17" i="1"/>
  <c r="F17" i="1"/>
  <c r="E17" i="1"/>
  <c r="D17" i="1"/>
  <c r="C17" i="1"/>
  <c r="B17" i="1"/>
  <c r="H21" i="1"/>
  <c r="H19" i="1"/>
  <c r="B20" i="1"/>
  <c r="H20" i="1"/>
  <c r="J20" i="1"/>
</calcChain>
</file>

<file path=xl/sharedStrings.xml><?xml version="1.0" encoding="utf-8"?>
<sst xmlns="http://schemas.openxmlformats.org/spreadsheetml/2006/main" count="36" uniqueCount="35">
  <si>
    <t>Empresa:</t>
  </si>
  <si>
    <t>Período: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</si>
  <si>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</si>
  <si>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</si>
  <si>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</si>
  <si>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</si>
  <si>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</si>
  <si>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</si>
  <si>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</si>
  <si>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</si>
  <si>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</si>
  <si>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Despesas Fixas</t>
  </si>
  <si>
    <t>Faturamento Total</t>
  </si>
  <si>
    <t>Despesas Variáveis</t>
  </si>
  <si>
    <t>Margem de Lucro</t>
  </si>
  <si>
    <t>Despesas com Vendas</t>
  </si>
  <si>
    <t>Ponto de Equilíbrio</t>
  </si>
  <si>
    <t>Sua empresa</t>
  </si>
  <si>
    <t>Markup %</t>
  </si>
  <si>
    <t>Total</t>
  </si>
  <si>
    <t>Planilha de Custos</t>
  </si>
  <si>
    <t>PRODUTO</t>
  </si>
  <si>
    <t>CUSTO COMPRA</t>
  </si>
  <si>
    <t>OUTRAS DESPESAS</t>
  </si>
  <si>
    <t>DESPESAS COM VENDAS</t>
  </si>
  <si>
    <t>CUSTO POR PRODUTO</t>
  </si>
  <si>
    <t>PREÇO DE VENDA</t>
  </si>
  <si>
    <t>MARGEM DO PRODUTO R$</t>
  </si>
  <si>
    <t>MARGEM DO PRODUTO %</t>
  </si>
  <si>
    <t>QUANTIDADE DE VENDAS</t>
  </si>
  <si>
    <t>TOTAL DESP. VARIÁVEIS</t>
  </si>
  <si>
    <t>FATURAMENTO R$</t>
  </si>
  <si>
    <t>% SOBRE FATUR.</t>
  </si>
  <si>
    <t>MARKUP FATOR</t>
  </si>
  <si>
    <t>Produto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</si>
</sst>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[$-416]mmmm\-yyyy;@"/>
    <numFmt numFmtId="165" formatCode="&quot;R$ &quot;#,##0.00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2687E9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0"/>
      <color rgb="FF385A7B"/>
      <name val="Arial"/>
      <family val="2"/>
    </font>
    <font>
      <b/>
      <sz val="10"/>
      <color rgb="FF385A7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983BB"/>
        <bgColor indexed="64"/>
      </patternFill>
    </fill>
    <fill>
      <patternFill patternType="solid">
        <fgColor rgb="FFF6F8FB"/>
        <bgColor indexed="64"/>
      </patternFill>
    </fill>
    <fill>
      <patternFill patternType="solid">
        <fgColor rgb="FF8BC8F6"/>
        <bgColor indexed="64"/>
      </patternFill>
    </fill>
    <fill>
      <patternFill patternType="solid">
        <fgColor rgb="FFF2D899"/>
        <bgColor indexed="64"/>
      </patternFill>
    </fill>
    <fill>
      <patternFill patternType="solid">
        <fgColor rgb="FFF7EED7"/>
        <bgColor indexed="64"/>
      </patternFill>
    </fill>
    <fill>
      <patternFill patternType="solid">
        <fgColor rgb="FFC6E2A1"/>
        <bgColor indexed="64"/>
      </patternFill>
    </fill>
    <fill>
      <patternFill patternType="solid">
        <fgColor rgb="FFE7F8D9"/>
        <bgColor indexed="64"/>
      </patternFill>
    </fill>
    <fill>
      <patternFill patternType="solid">
        <fgColor rgb="FFD1EAB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CE4F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3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165" fontId="5" fillId="0" borderId="0" xfId="0" applyNumberFormat="1" applyFont="1" applyBorder="1" applyAlignment="1"/>
    <xf numFmtId="9" fontId="5" fillId="0" borderId="0" xfId="1" applyFont="1" applyBorder="1" applyAlignment="1"/>
    <xf numFmtId="9" fontId="10" fillId="0" borderId="0" xfId="1" applyFont="1" applyFill="1" applyBorder="1" applyAlignment="1"/>
    <xf numFmtId="0" fontId="10" fillId="5" borderId="2" xfId="0" applyFont="1" applyFill="1" applyBorder="1" applyAlignment="1">
      <alignment horizontal="left" vertical="center" indent="1"/>
    </xf>
    <xf numFmtId="0" fontId="10" fillId="6" borderId="2" xfId="0" applyFont="1" applyFill="1" applyBorder="1" applyAlignment="1">
      <alignment horizontal="left" vertical="center" indent="1"/>
    </xf>
    <xf numFmtId="9" fontId="10" fillId="10" borderId="0" xfId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 indent="1"/>
    </xf>
    <xf numFmtId="164" fontId="9" fillId="4" borderId="2" xfId="0" applyNumberFormat="1" applyFont="1" applyFill="1" applyBorder="1" applyAlignment="1">
      <alignment horizontal="left" vertical="center" indent="1"/>
    </xf>
    <xf numFmtId="0" fontId="10" fillId="8" borderId="4" xfId="0" applyFont="1" applyFill="1" applyBorder="1" applyAlignment="1">
      <alignment horizontal="left" vertical="center" indent="1"/>
    </xf>
    <xf numFmtId="0" fontId="10" fillId="8" borderId="3" xfId="0" applyFont="1" applyFill="1" applyBorder="1" applyAlignment="1">
      <alignment horizontal="left" vertical="center" indent="1"/>
    </xf>
    <xf numFmtId="44" fontId="10" fillId="9" borderId="4" xfId="0" applyNumberFormat="1" applyFont="1" applyFill="1" applyBorder="1" applyAlignment="1">
      <alignment horizontal="center" vertical="center"/>
    </xf>
    <xf numFmtId="44" fontId="10" fillId="9" borderId="3" xfId="0" applyNumberFormat="1" applyFont="1" applyFill="1" applyBorder="1" applyAlignment="1">
      <alignment horizontal="center" vertical="center"/>
    </xf>
    <xf numFmtId="44" fontId="10" fillId="7" borderId="4" xfId="0" applyNumberFormat="1" applyFont="1" applyFill="1" applyBorder="1" applyAlignment="1">
      <alignment horizontal="left" vertical="center"/>
    </xf>
    <xf numFmtId="44" fontId="10" fillId="7" borderId="3" xfId="0" applyNumberFormat="1" applyFont="1" applyFill="1" applyBorder="1" applyAlignment="1">
      <alignment horizontal="left" vertical="center"/>
    </xf>
    <xf numFmtId="9" fontId="10" fillId="7" borderId="4" xfId="1" applyFont="1" applyFill="1" applyBorder="1" applyAlignment="1">
      <alignment horizontal="center" vertical="center"/>
    </xf>
    <xf numFmtId="9" fontId="10" fillId="7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8"/>
    </xf>
    <xf numFmtId="9" fontId="9" fillId="4" borderId="0" xfId="1" applyFont="1" applyFill="1" applyBorder="1" applyAlignment="1">
      <alignment horizontal="center" vertical="center"/>
    </xf>
    <xf numFmtId="44" fontId="9" fillId="4" borderId="0" xfId="0" applyNumberFormat="1" applyFont="1" applyFill="1" applyBorder="1" applyAlignment="1">
      <alignment vertical="center"/>
    </xf>
    <xf numFmtId="9" fontId="9" fillId="11" borderId="0" xfId="1" applyFont="1" applyFill="1" applyBorder="1" applyAlignment="1">
      <alignment horizontal="center" vertical="center"/>
    </xf>
    <xf numFmtId="44" fontId="9" fillId="11" borderId="0" xfId="0" applyNumberFormat="1" applyFont="1" applyFill="1" applyBorder="1" applyAlignment="1">
      <alignment vertical="center"/>
    </xf>
    <xf numFmtId="9" fontId="7" fillId="11" borderId="0" xfId="0" applyNumberFormat="1" applyFont="1" applyFill="1" applyBorder="1" applyAlignment="1">
      <alignment horizontal="center" vertical="center"/>
    </xf>
    <xf numFmtId="44" fontId="10" fillId="11" borderId="0" xfId="0" applyNumberFormat="1" applyFont="1" applyFill="1" applyBorder="1" applyAlignment="1">
      <alignment vertical="center"/>
    </xf>
    <xf numFmtId="10" fontId="9" fillId="11" borderId="0" xfId="1" applyNumberFormat="1" applyFont="1" applyFill="1" applyBorder="1" applyAlignment="1">
      <alignment horizontal="center" vertical="center"/>
    </xf>
    <xf numFmtId="2" fontId="9" fillId="11" borderId="0" xfId="0" applyNumberFormat="1" applyFont="1" applyFill="1" applyBorder="1" applyAlignment="1">
      <alignment horizontal="center" vertical="center"/>
    </xf>
    <xf numFmtId="166" fontId="9" fillId="11" borderId="0" xfId="0" applyNumberFormat="1" applyFont="1" applyFill="1" applyBorder="1" applyAlignment="1">
      <alignment horizontal="center" vertical="center"/>
    </xf>
    <xf numFmtId="10" fontId="7" fillId="11" borderId="0" xfId="0" applyNumberFormat="1" applyFont="1" applyFill="1" applyBorder="1" applyAlignment="1">
      <alignment horizontal="center" vertical="center"/>
    </xf>
    <xf numFmtId="2" fontId="7" fillId="11" borderId="0" xfId="0" applyNumberFormat="1" applyFont="1" applyFill="1" applyBorder="1" applyAlignment="1">
      <alignment horizontal="center" vertical="center"/>
    </xf>
    <xf numFmtId="166" fontId="7" fillId="11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indent="1"/>
    </xf>
    <xf numFmtId="0" fontId="7" fillId="11" borderId="0" xfId="0" applyFont="1" applyFill="1" applyBorder="1" applyAlignment="1">
      <alignment horizontal="right" vertical="center" indent="1"/>
    </xf>
    <xf numFmtId="0" fontId="7" fillId="11" borderId="0" xfId="0" applyFont="1" applyFill="1" applyBorder="1" applyAlignment="1">
      <alignment horizontal="center" vertical="center"/>
    </xf>
  </cellXfs>
  <cellStyles count="6">
    <cellStyle name="Hiperlink" xfId="2" builtinId="8" hidden="1"/>
    <cellStyle name="Hiperlink" xfId="4" builtinId="8" hidden="1"/>
    <cellStyle name="Hiperlink Visitado" xfId="3" builtinId="9" hidden="1"/>
    <cellStyle name="Hiperlink Visitado" xfId="5" builtinId="9" hidden="1"/>
    <cellStyle name="Normal" xfId="0" builtinId="0"/>
    <cellStyle name="Porcentagem" xfId="1" builtinId="5"/>
  </cellStyles>
  <dxfs count="37">
    <dxf>
      <fill>
        <patternFill patternType="solid">
          <fgColor indexed="64"/>
          <bgColor rgb="FFF6F8F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rgb="FFF6F8FB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rgb="FFF6F8FB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"/>
      <fill>
        <patternFill patternType="none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  <fill>
        <patternFill patternType="none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ill>
        <patternFill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theme="4" tint="0.59999389629810485"/>
        </patternFill>
      </fill>
      <alignment horizontal="righ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fill>
        <patternFill patternType="solid">
          <fgColor indexed="64"/>
          <bgColor rgb="FFF6F8FB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rgb="FFF6F8FB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fill>
        <patternFill patternType="none">
          <fgColor indexed="64"/>
          <bgColor rgb="FFF6F8FB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166" formatCode="0.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2" formatCode="0.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14" formatCode="0.00%"/>
      <fill>
        <patternFill patternType="solid">
          <fgColor indexed="64"/>
          <bgColor theme="4" tint="0.5999938962981048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385A7B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rgb="FFF6F8F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auto="1"/>
          <bgColor rgb="FFE8EDF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color theme="1"/>
      </font>
    </dxf>
    <dxf>
      <font>
        <b/>
        <color theme="1"/>
      </font>
    </dxf>
    <dxf>
      <font>
        <color rgb="FF385A7B"/>
      </font>
      <fill>
        <patternFill>
          <bgColor rgb="FFF6F8FB"/>
        </patternFill>
      </fill>
      <border>
        <left style="thin">
          <color theme="0"/>
        </left>
        <right style="thin">
          <color theme="0"/>
        </right>
        <top style="thin">
          <color rgb="FF4983BB"/>
        </top>
        <bottom style="thin">
          <color theme="0"/>
        </bottom>
        <vertical style="thin">
          <color theme="0"/>
        </vertical>
        <horizontal/>
      </border>
    </dxf>
    <dxf>
      <font>
        <b/>
        <color theme="0"/>
      </font>
      <fill>
        <patternFill patternType="solid">
          <fgColor auto="1"/>
          <bgColor rgb="FF4983B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9" defaultPivotStyle="PivotStyleMedium4">
    <tableStyle name="ContaAzul-M1" pivot="0" count="8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secondRowStripe" dxfId="30"/>
      <tableStyleElement type="firstColumnStripe" dxfId="29"/>
    </tableStyle>
  </tableStyles>
  <colors>
    <mruColors>
      <color rgb="FFF6F8FB"/>
      <color rgb="FFD1EAB5"/>
      <color rgb="FFE7F8D9"/>
      <color rgb="FFC6E2A1"/>
      <color rgb="FFF7EED7"/>
      <color rgb="FFF2D899"/>
      <color rgb="FF8BC8F6"/>
      <color rgb="FF385A7B"/>
      <color rgb="FFE8EDF9"/>
      <color rgb="FF4983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cadastro?utm_source=planilha&amp;utm_medium=content&amp;utm_campaign=materiais&amp;utm_content=planilha-custos-contaazu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cadastro?utm_source=planilha&amp;utm_medium=content&amp;utm_campaign=materiais&amp;utm_content=planilha-custos-contaazu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0</xdr:row>
      <xdr:rowOff>657225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333375</xdr:colOff>
      <xdr:row>14</xdr:row>
      <xdr:rowOff>104778</xdr:rowOff>
    </xdr:from>
    <xdr:to>
      <xdr:col>16</xdr:col>
      <xdr:colOff>762000</xdr:colOff>
      <xdr:row>17</xdr:row>
      <xdr:rowOff>438150</xdr:rowOff>
    </xdr:to>
    <xdr:sp macro="" textlink="">
      <xdr:nvSpPr>
        <xdr:cNvPr id="18" name="Texto Explicativo 1 17"/>
        <xdr:cNvSpPr/>
      </xdr:nvSpPr>
      <xdr:spPr>
        <a:xfrm>
          <a:off x="15725775" y="4124328"/>
          <a:ext cx="2066925" cy="1019172"/>
        </a:xfrm>
        <a:prstGeom prst="borderCallout1">
          <a:avLst>
            <a:gd name="adj1" fmla="val 27960"/>
            <a:gd name="adj2" fmla="val 890"/>
            <a:gd name="adj3" fmla="val 27581"/>
            <a:gd name="adj4" fmla="val -17841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TABELA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Precisa de mais linhas? </a:t>
          </a:r>
          <a:endParaRPr lang="pt-BR" sz="900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Clique nesta célula e Pressione a tecla </a:t>
          </a:r>
          <a:r>
            <a:rPr lang="en-US" sz="9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Tab</a:t>
          </a:r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pt-BR" sz="900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406718</xdr:colOff>
      <xdr:row>15</xdr:row>
      <xdr:rowOff>195349</xdr:rowOff>
    </xdr:from>
    <xdr:to>
      <xdr:col>16</xdr:col>
      <xdr:colOff>661987</xdr:colOff>
      <xdr:row>15</xdr:row>
      <xdr:rowOff>195349</xdr:rowOff>
    </xdr:to>
    <xdr:cxnSp macro="">
      <xdr:nvCxnSpPr>
        <xdr:cNvPr id="8" name="Conector de Linha Reta 49"/>
        <xdr:cNvCxnSpPr/>
      </xdr:nvCxnSpPr>
      <xdr:spPr>
        <a:xfrm flipH="1">
          <a:off x="15799118" y="4443499"/>
          <a:ext cx="1893569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14</xdr:col>
      <xdr:colOff>333375</xdr:colOff>
      <xdr:row>6</xdr:row>
      <xdr:rowOff>85726</xdr:rowOff>
    </xdr:from>
    <xdr:to>
      <xdr:col>16</xdr:col>
      <xdr:colOff>762000</xdr:colOff>
      <xdr:row>11</xdr:row>
      <xdr:rowOff>142874</xdr:rowOff>
    </xdr:to>
    <xdr:sp macro="" textlink="">
      <xdr:nvSpPr>
        <xdr:cNvPr id="12" name="Texto Explicativo 1 11"/>
        <xdr:cNvSpPr/>
      </xdr:nvSpPr>
      <xdr:spPr>
        <a:xfrm>
          <a:off x="15725775" y="2276476"/>
          <a:ext cx="2066925" cy="1200148"/>
        </a:xfrm>
        <a:prstGeom prst="borderCallout1">
          <a:avLst>
            <a:gd name="adj1" fmla="val 27960"/>
            <a:gd name="adj2" fmla="val 890"/>
            <a:gd name="adj3" fmla="val 27581"/>
            <a:gd name="adj4" fmla="val -17841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TABELA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Preencha as colunas com fundo azul claro. As demais estão protegidas, para preservar as fórmulas e garantir os cálculos automatizados.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406718</xdr:colOff>
      <xdr:row>7</xdr:row>
      <xdr:rowOff>176298</xdr:rowOff>
    </xdr:from>
    <xdr:to>
      <xdr:col>16</xdr:col>
      <xdr:colOff>661987</xdr:colOff>
      <xdr:row>7</xdr:row>
      <xdr:rowOff>176298</xdr:rowOff>
    </xdr:to>
    <xdr:cxnSp macro="">
      <xdr:nvCxnSpPr>
        <xdr:cNvPr id="13" name="Conector de Linha Reta 49"/>
        <xdr:cNvCxnSpPr/>
      </xdr:nvCxnSpPr>
      <xdr:spPr>
        <a:xfrm flipH="1">
          <a:off x="15799118" y="2595648"/>
          <a:ext cx="1893569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0</xdr:col>
      <xdr:colOff>209550</xdr:colOff>
      <xdr:row>30</xdr:row>
      <xdr:rowOff>104592</xdr:rowOff>
    </xdr:from>
    <xdr:to>
      <xdr:col>0</xdr:col>
      <xdr:colOff>1381125</xdr:colOff>
      <xdr:row>30</xdr:row>
      <xdr:rowOff>285567</xdr:rowOff>
    </xdr:to>
    <xdr:pic>
      <xdr:nvPicPr>
        <xdr:cNvPr id="6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010342"/>
          <a:ext cx="11715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24</xdr:row>
      <xdr:rowOff>66675</xdr:rowOff>
    </xdr:from>
    <xdr:to>
      <xdr:col>5</xdr:col>
      <xdr:colOff>504825</xdr:colOff>
      <xdr:row>28</xdr:row>
      <xdr:rowOff>123458</xdr:rowOff>
    </xdr:to>
    <xdr:pic>
      <xdr:nvPicPr>
        <xdr:cNvPr id="7" name="Imagem 3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152400" y="6600825"/>
          <a:ext cx="6886575" cy="971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6438900" cy="10458450"/>
    <xdr:sp macro="" textlink="">
      <xdr:nvSpPr>
        <xdr:cNvPr id="3" name="CaixaDeTexto 2"/>
        <xdr:cNvSpPr txBox="1"/>
      </xdr:nvSpPr>
      <xdr:spPr>
        <a:xfrm>
          <a:off x="0" y="876300"/>
          <a:ext cx="6438900" cy="10458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tIns="180000" rIns="180000" bIns="180000" rtlCol="0" anchor="t">
          <a:noAutofit/>
        </a:bodyPr>
        <a:lstStyle/>
        <a:p>
          <a:pPr>
            <a:lnSpc>
              <a:spcPts val="1700"/>
            </a:lnSpc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Introdução</a:t>
          </a:r>
          <a:r>
            <a:rPr lang="pt-BR" sz="1800">
              <a:solidFill>
                <a:srgbClr val="4983BB"/>
              </a:solidFill>
            </a:rPr>
            <a:t> </a:t>
          </a:r>
        </a:p>
        <a:p>
          <a:pPr>
            <a:lnSpc>
              <a:spcPts val="1800"/>
            </a:lnSpc>
          </a:pPr>
          <a:endParaRPr lang="pt-BR" sz="2000">
            <a:solidFill>
              <a:srgbClr val="4983BB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>
            <a:lnSpc>
              <a:spcPct val="150000"/>
            </a:lnSpc>
          </a:pP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Esta planilha vai auxiliar no controle de custos da produção, desde o custo do produto até a margem de lucro sobre a venda. Você pode usá-la a partir da pré-produção, para fazer um levantamento de custos, como também seguir com o mesmo estudo até a venda final, quando será possível confirmar a margem de lucro. Antes de começar a preencher a tabela propriamente dita, coloque o nome da sua empresa e o período referente aos custos que você quer levantar nesta planilha.</a:t>
          </a:r>
        </a:p>
        <a:p>
          <a:pPr eaLnBrk="1" fontAlgn="auto" latinLnBrk="0" hangingPunct="1">
            <a:lnSpc>
              <a:spcPct val="150000"/>
            </a:lnSpc>
          </a:pPr>
          <a:endParaRPr lang="pt-BR" sz="1100" baseline="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2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Instruções de uso 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 primeiro passo é preencher a coluna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que são os nomes dos produtos que a sua empresa vai fazer neste período determinado. Depois, acrescente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Custo de Compra, Outras Despesas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 percentual da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Despesa com Vendas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(normalmente é a mesma despesa para todos os produtos) 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Preço de Venda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(valor final do produto). Ao completar esses quatro passos, você terá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Custo por Produto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Margem do Produto R$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Margem do Produto %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assim como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Markup Fator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Markup %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Todos esses números e percentuais são calculados automaticamente.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Você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só precisa preencher as colunas marcadas com fundo azul claro.</a:t>
          </a: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 sequência, precisa apontar 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Quantidade de Vendas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do período estipulado. Ao acrescentar este número,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de Despesas Variáveis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Faturamento R$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são preenchidos automaticamente, assim como o %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Sobre Faturamento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(o total desta coluna sempre será 100%).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 Total de cada coluna vai sendo calculado automaticamente conforme os valores e os percentuais vão sendo discriminados na tabela.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Depois de preencher a tabela principal, é preciso verificar as duas tabelas menores, rolando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planilha para baixo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Na primeira, você tem que indicar o valor das Despesas Fixas (valor fixo usado na manutenção da produção, não varia de acordo com o produto) e das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Despesas com Vendas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(igual da tabela principal). 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Despesas Variáveis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replicam o da tabela principal.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 outra tabela menor, os valores vão sendo calculados conforme as outras tabelas vão sendo preenchidas, inclusive o percentual da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Margem de Lucro. </a:t>
          </a:r>
          <a:endParaRPr lang="pt-BR" sz="1100" b="1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2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Não se esqueça de... 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983BB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Apontar todos os valores corretamente. Evite fazer arredondamentos, pois isto pode modificar os valores finais e não refletir corretamente o Faturamento Total, a Margem de Lucro e o Ponto de Equilíbrio.</a:t>
          </a:r>
        </a:p>
      </xdr:txBody>
    </xdr:sp>
    <xdr:clientData/>
  </xdr:oneCellAnchor>
  <xdr:twoCellAnchor>
    <xdr:from>
      <xdr:col>0</xdr:col>
      <xdr:colOff>209550</xdr:colOff>
      <xdr:row>62</xdr:row>
      <xdr:rowOff>104775</xdr:rowOff>
    </xdr:from>
    <xdr:to>
      <xdr:col>2</xdr:col>
      <xdr:colOff>9525</xdr:colOff>
      <xdr:row>62</xdr:row>
      <xdr:rowOff>285750</xdr:rowOff>
    </xdr:to>
    <xdr:pic>
      <xdr:nvPicPr>
        <xdr:cNvPr id="4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982700"/>
          <a:ext cx="11715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55</xdr:row>
      <xdr:rowOff>95433</xdr:rowOff>
    </xdr:from>
    <xdr:to>
      <xdr:col>10</xdr:col>
      <xdr:colOff>180975</xdr:colOff>
      <xdr:row>60</xdr:row>
      <xdr:rowOff>66491</xdr:rowOff>
    </xdr:to>
    <xdr:pic>
      <xdr:nvPicPr>
        <xdr:cNvPr id="5" name="Imagem 3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152400" y="11573058"/>
          <a:ext cx="6886575" cy="971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6:N17" totalsRowCount="1" headerRowDxfId="28" dataDxfId="27" totalsRowDxfId="4">
  <autoFilter ref="A6:N16"/>
  <tableColumns count="14">
    <tableColumn id="1" name="PRODUTO" totalsRowLabel="Total" dataDxfId="17" totalsRowDxfId="16"/>
    <tableColumn id="2" name="CUSTO COMPRA" totalsRowFunction="sum" dataDxfId="3" totalsRowDxfId="15"/>
    <tableColumn id="3" name="OUTRAS DESPESAS" totalsRowFunction="sum" dataDxfId="2"/>
    <tableColumn id="4" name="DESPESAS COM VENDAS" totalsRowFunction="max" dataDxfId="0"/>
    <tableColumn id="5" name="CUSTO POR PRODUTO" totalsRowFunction="sum" dataDxfId="1" totalsRowDxfId="14"/>
    <tableColumn id="6" name="PREÇO DE VENDA" totalsRowFunction="sum" dataDxfId="18" totalsRowDxfId="13"/>
    <tableColumn id="7" name="MARGEM DO PRODUTO R$" totalsRowFunction="sum" dataDxfId="19" totalsRowDxfId="12"/>
    <tableColumn id="8" name="MARGEM DO PRODUTO %" totalsRowFunction="average" dataDxfId="22" totalsRowDxfId="11"/>
    <tableColumn id="9" name="QUANTIDADE DE VENDAS" totalsRowFunction="sum" dataDxfId="20" totalsRowDxfId="10"/>
    <tableColumn id="10" name="TOTAL DESP. VARIÁVEIS" totalsRowFunction="sum" dataDxfId="21" totalsRowDxfId="9"/>
    <tableColumn id="11" name="FATURAMENTO R$" totalsRowFunction="sum" dataDxfId="26" totalsRowDxfId="8"/>
    <tableColumn id="12" name="% SOBRE FATUR." totalsRowFunction="sum" dataDxfId="25" totalsRowDxfId="7">
      <calculatedColumnFormula>K7/Table1[[#Totals],[FATURAMENTO R$]]</calculatedColumnFormula>
    </tableColumn>
    <tableColumn id="13" name="MARKUP FATOR" totalsRowFunction="average" dataDxfId="24" totalsRowDxfId="6"/>
    <tableColumn id="14" name="Markup %" totalsRowFunction="average" dataDxfId="23" totalsRowDxfId="5"/>
  </tableColumns>
  <tableStyleInfo name="ContaAzul-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showGridLines="0" tabSelected="1" zoomScaleNormal="100" zoomScalePageLayoutView="125" workbookViewId="0">
      <pane ySplit="1" topLeftCell="A2" activePane="bottomLeft" state="frozen"/>
      <selection pane="bottomLeft" activeCell="A7" sqref="A7"/>
    </sheetView>
  </sheetViews>
  <sheetFormatPr defaultColWidth="10.75" defaultRowHeight="15.75" x14ac:dyDescent="0.25"/>
  <cols>
    <col min="1" max="1" width="33.875" style="1" customWidth="1"/>
    <col min="2" max="2" width="13.625" style="1" customWidth="1"/>
    <col min="3" max="4" width="12.25" style="1" customWidth="1"/>
    <col min="5" max="7" width="13.75" style="1" customWidth="1"/>
    <col min="8" max="9" width="12.25" style="1" customWidth="1"/>
    <col min="10" max="11" width="13.75" style="1" customWidth="1"/>
    <col min="12" max="14" width="12.25" style="1" customWidth="1"/>
    <col min="15" max="16384" width="10.75" style="1"/>
  </cols>
  <sheetData>
    <row r="1" spans="1:14" s="24" customFormat="1" ht="52.5" customHeight="1" thickBot="1" x14ac:dyDescent="0.3">
      <c r="A1" s="24" t="s">
        <v>20</v>
      </c>
    </row>
    <row r="2" spans="1:14" s="2" customFormat="1" ht="6" customHeight="1" thickTop="1" x14ac:dyDescent="0.2"/>
    <row r="3" spans="1:14" s="2" customFormat="1" ht="22.5" customHeight="1" x14ac:dyDescent="0.2">
      <c r="A3" s="11" t="s">
        <v>0</v>
      </c>
      <c r="B3" s="14" t="s">
        <v>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2" customFormat="1" ht="22.5" customHeight="1" x14ac:dyDescent="0.2">
      <c r="A4" s="11" t="s">
        <v>1</v>
      </c>
      <c r="B4" s="15">
        <v>42430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s="2" customFormat="1" ht="6" customHeight="1" x14ac:dyDescent="0.2">
      <c r="B5" s="4"/>
      <c r="C5" s="4"/>
      <c r="D5" s="4"/>
      <c r="E5" s="4"/>
    </row>
    <row r="6" spans="1:14" s="5" customFormat="1" ht="39" customHeight="1" x14ac:dyDescent="0.2">
      <c r="A6" s="7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18</v>
      </c>
    </row>
    <row r="7" spans="1:14" s="3" customFormat="1" ht="18" customHeight="1" x14ac:dyDescent="0.2">
      <c r="A7" s="38" t="s">
        <v>2</v>
      </c>
      <c r="B7" s="26">
        <v>500</v>
      </c>
      <c r="C7" s="26"/>
      <c r="D7" s="25">
        <v>0.23500000000000004</v>
      </c>
      <c r="E7" s="28">
        <f t="shared" ref="E7:E16" si="0">B7+C7+(F7*D7)</f>
        <v>758.5</v>
      </c>
      <c r="F7" s="26">
        <v>1100</v>
      </c>
      <c r="G7" s="28">
        <f>F7-E7</f>
        <v>341.5</v>
      </c>
      <c r="H7" s="27">
        <f>G7/F7</f>
        <v>0.31045454545454543</v>
      </c>
      <c r="I7" s="37">
        <v>10</v>
      </c>
      <c r="J7" s="28">
        <f>I7*E7</f>
        <v>7585</v>
      </c>
      <c r="K7" s="28">
        <f>I7*F7</f>
        <v>11000</v>
      </c>
      <c r="L7" s="31">
        <f>K7/Table1[[#Totals],[FATURAMENTO R$]]</f>
        <v>6.0823887199336464E-2</v>
      </c>
      <c r="M7" s="32">
        <f>F7/B7</f>
        <v>2.2000000000000002</v>
      </c>
      <c r="N7" s="33">
        <f>(M7-1)*100</f>
        <v>120.00000000000001</v>
      </c>
    </row>
    <row r="8" spans="1:14" s="3" customFormat="1" ht="18" customHeight="1" x14ac:dyDescent="0.2">
      <c r="A8" s="38" t="s">
        <v>3</v>
      </c>
      <c r="B8" s="26">
        <v>600</v>
      </c>
      <c r="C8" s="26">
        <v>50</v>
      </c>
      <c r="D8" s="25">
        <v>0.23500000000000004</v>
      </c>
      <c r="E8" s="28">
        <f t="shared" si="0"/>
        <v>955.5</v>
      </c>
      <c r="F8" s="26">
        <v>1300</v>
      </c>
      <c r="G8" s="28">
        <f t="shared" ref="G8:G16" si="1">F8-E8</f>
        <v>344.5</v>
      </c>
      <c r="H8" s="27">
        <f>G8/F8</f>
        <v>0.26500000000000001</v>
      </c>
      <c r="I8" s="37">
        <v>15</v>
      </c>
      <c r="J8" s="28">
        <f t="shared" ref="J8:J16" si="2">I8*E8</f>
        <v>14332.5</v>
      </c>
      <c r="K8" s="28">
        <f t="shared" ref="K8:K16" si="3">I8*F8</f>
        <v>19500</v>
      </c>
      <c r="L8" s="31">
        <f>K8/Table1[[#Totals],[FATURAMENTO R$]]</f>
        <v>0.10782416367155101</v>
      </c>
      <c r="M8" s="32">
        <f t="shared" ref="M8:M16" si="4">F8/B8</f>
        <v>2.1666666666666665</v>
      </c>
      <c r="N8" s="33">
        <f t="shared" ref="N8:N16" si="5">(M8-1)*100</f>
        <v>116.66666666666666</v>
      </c>
    </row>
    <row r="9" spans="1:14" s="3" customFormat="1" ht="18" customHeight="1" x14ac:dyDescent="0.2">
      <c r="A9" s="38" t="s">
        <v>4</v>
      </c>
      <c r="B9" s="26">
        <v>200</v>
      </c>
      <c r="C9" s="26"/>
      <c r="D9" s="25">
        <v>0.23500000000000004</v>
      </c>
      <c r="E9" s="28">
        <f t="shared" si="0"/>
        <v>305.75</v>
      </c>
      <c r="F9" s="26">
        <v>450</v>
      </c>
      <c r="G9" s="28">
        <f t="shared" si="1"/>
        <v>144.25</v>
      </c>
      <c r="H9" s="27">
        <f t="shared" ref="H9:H16" si="6">G9/F9</f>
        <v>0.32055555555555554</v>
      </c>
      <c r="I9" s="37">
        <v>20</v>
      </c>
      <c r="J9" s="28">
        <f t="shared" si="2"/>
        <v>6115</v>
      </c>
      <c r="K9" s="28">
        <f t="shared" si="3"/>
        <v>9000</v>
      </c>
      <c r="L9" s="31">
        <f>K9/Table1[[#Totals],[FATURAMENTO R$]]</f>
        <v>4.9764998617638924E-2</v>
      </c>
      <c r="M9" s="32">
        <f t="shared" si="4"/>
        <v>2.25</v>
      </c>
      <c r="N9" s="33">
        <f t="shared" si="5"/>
        <v>125</v>
      </c>
    </row>
    <row r="10" spans="1:14" s="3" customFormat="1" ht="18" customHeight="1" x14ac:dyDescent="0.2">
      <c r="A10" s="38" t="s">
        <v>5</v>
      </c>
      <c r="B10" s="26">
        <v>150</v>
      </c>
      <c r="C10" s="26"/>
      <c r="D10" s="25">
        <v>0.23500000000000004</v>
      </c>
      <c r="E10" s="28">
        <f t="shared" si="0"/>
        <v>220.5</v>
      </c>
      <c r="F10" s="26">
        <v>300</v>
      </c>
      <c r="G10" s="28">
        <f t="shared" si="1"/>
        <v>79.5</v>
      </c>
      <c r="H10" s="27">
        <f t="shared" si="6"/>
        <v>0.26500000000000001</v>
      </c>
      <c r="I10" s="37">
        <v>25</v>
      </c>
      <c r="J10" s="28">
        <f t="shared" si="2"/>
        <v>5512.5</v>
      </c>
      <c r="K10" s="28">
        <f t="shared" si="3"/>
        <v>7500</v>
      </c>
      <c r="L10" s="31">
        <f>K10/Table1[[#Totals],[FATURAMENTO R$]]</f>
        <v>4.1470832181365776E-2</v>
      </c>
      <c r="M10" s="32">
        <f t="shared" si="4"/>
        <v>2</v>
      </c>
      <c r="N10" s="33">
        <f t="shared" si="5"/>
        <v>100</v>
      </c>
    </row>
    <row r="11" spans="1:14" s="3" customFormat="1" ht="18" customHeight="1" x14ac:dyDescent="0.2">
      <c r="A11" s="38" t="s">
        <v>6</v>
      </c>
      <c r="B11" s="26">
        <v>700</v>
      </c>
      <c r="C11" s="26"/>
      <c r="D11" s="25">
        <v>0.23500000000000004</v>
      </c>
      <c r="E11" s="28">
        <f t="shared" si="0"/>
        <v>1076</v>
      </c>
      <c r="F11" s="26">
        <v>1600</v>
      </c>
      <c r="G11" s="28">
        <f t="shared" si="1"/>
        <v>524</v>
      </c>
      <c r="H11" s="27">
        <f t="shared" si="6"/>
        <v>0.32750000000000001</v>
      </c>
      <c r="I11" s="37">
        <v>5</v>
      </c>
      <c r="J11" s="28">
        <f t="shared" si="2"/>
        <v>5380</v>
      </c>
      <c r="K11" s="28">
        <f t="shared" si="3"/>
        <v>8000</v>
      </c>
      <c r="L11" s="31">
        <f>K11/Table1[[#Totals],[FATURAMENTO R$]]</f>
        <v>4.4235554326790161E-2</v>
      </c>
      <c r="M11" s="32">
        <f t="shared" si="4"/>
        <v>2.2857142857142856</v>
      </c>
      <c r="N11" s="33">
        <f t="shared" si="5"/>
        <v>128.57142857142856</v>
      </c>
    </row>
    <row r="12" spans="1:14" s="3" customFormat="1" ht="18" customHeight="1" x14ac:dyDescent="0.2">
      <c r="A12" s="38" t="s">
        <v>7</v>
      </c>
      <c r="B12" s="26">
        <v>700</v>
      </c>
      <c r="C12" s="26">
        <v>100</v>
      </c>
      <c r="D12" s="25">
        <v>0.23500000000000004</v>
      </c>
      <c r="E12" s="28">
        <f t="shared" si="0"/>
        <v>1199.5</v>
      </c>
      <c r="F12" s="26">
        <v>1700</v>
      </c>
      <c r="G12" s="28">
        <f t="shared" si="1"/>
        <v>500.5</v>
      </c>
      <c r="H12" s="27">
        <f t="shared" si="6"/>
        <v>0.29441176470588237</v>
      </c>
      <c r="I12" s="37">
        <v>32</v>
      </c>
      <c r="J12" s="28">
        <f t="shared" si="2"/>
        <v>38384</v>
      </c>
      <c r="K12" s="28">
        <f t="shared" si="3"/>
        <v>54400</v>
      </c>
      <c r="L12" s="31">
        <f>K12/Table1[[#Totals],[FATURAMENTO R$]]</f>
        <v>0.30080176942217307</v>
      </c>
      <c r="M12" s="32">
        <f t="shared" si="4"/>
        <v>2.4285714285714284</v>
      </c>
      <c r="N12" s="33">
        <f t="shared" si="5"/>
        <v>142.85714285714283</v>
      </c>
    </row>
    <row r="13" spans="1:14" s="3" customFormat="1" ht="18" customHeight="1" x14ac:dyDescent="0.2">
      <c r="A13" s="38" t="s">
        <v>8</v>
      </c>
      <c r="B13" s="26">
        <v>600</v>
      </c>
      <c r="C13" s="26"/>
      <c r="D13" s="25">
        <v>0.23500000000000004</v>
      </c>
      <c r="E13" s="28">
        <f t="shared" si="0"/>
        <v>882</v>
      </c>
      <c r="F13" s="26">
        <v>1200</v>
      </c>
      <c r="G13" s="28">
        <f t="shared" si="1"/>
        <v>318</v>
      </c>
      <c r="H13" s="27">
        <f t="shared" si="6"/>
        <v>0.26500000000000001</v>
      </c>
      <c r="I13" s="37">
        <v>26</v>
      </c>
      <c r="J13" s="28">
        <f t="shared" si="2"/>
        <v>22932</v>
      </c>
      <c r="K13" s="28">
        <f t="shared" si="3"/>
        <v>31200</v>
      </c>
      <c r="L13" s="31">
        <f>K13/Table1[[#Totals],[FATURAMENTO R$]]</f>
        <v>0.17251866187448162</v>
      </c>
      <c r="M13" s="32">
        <f t="shared" si="4"/>
        <v>2</v>
      </c>
      <c r="N13" s="33">
        <f t="shared" si="5"/>
        <v>100</v>
      </c>
    </row>
    <row r="14" spans="1:14" s="3" customFormat="1" ht="18" customHeight="1" x14ac:dyDescent="0.2">
      <c r="A14" s="38" t="s">
        <v>9</v>
      </c>
      <c r="B14" s="26">
        <v>500</v>
      </c>
      <c r="C14" s="26"/>
      <c r="D14" s="25">
        <v>0.23500000000000004</v>
      </c>
      <c r="E14" s="28">
        <f t="shared" si="0"/>
        <v>735</v>
      </c>
      <c r="F14" s="26">
        <v>1000</v>
      </c>
      <c r="G14" s="28">
        <f t="shared" si="1"/>
        <v>265</v>
      </c>
      <c r="H14" s="27">
        <f t="shared" si="6"/>
        <v>0.26500000000000001</v>
      </c>
      <c r="I14" s="37">
        <v>21</v>
      </c>
      <c r="J14" s="28">
        <f t="shared" si="2"/>
        <v>15435</v>
      </c>
      <c r="K14" s="28">
        <f t="shared" si="3"/>
        <v>21000</v>
      </c>
      <c r="L14" s="31">
        <f>K14/Table1[[#Totals],[FATURAMENTO R$]]</f>
        <v>0.11611833010782416</v>
      </c>
      <c r="M14" s="32">
        <f t="shared" si="4"/>
        <v>2</v>
      </c>
      <c r="N14" s="33">
        <f t="shared" si="5"/>
        <v>100</v>
      </c>
    </row>
    <row r="15" spans="1:14" s="3" customFormat="1" ht="18" customHeight="1" x14ac:dyDescent="0.2">
      <c r="A15" s="38" t="s">
        <v>10</v>
      </c>
      <c r="B15" s="26">
        <v>300</v>
      </c>
      <c r="C15" s="26"/>
      <c r="D15" s="25">
        <v>0.23500000000000004</v>
      </c>
      <c r="E15" s="28">
        <f t="shared" si="0"/>
        <v>464.5</v>
      </c>
      <c r="F15" s="26">
        <v>700</v>
      </c>
      <c r="G15" s="28">
        <f t="shared" si="1"/>
        <v>235.5</v>
      </c>
      <c r="H15" s="27">
        <f t="shared" si="6"/>
        <v>0.33642857142857141</v>
      </c>
      <c r="I15" s="37">
        <v>20</v>
      </c>
      <c r="J15" s="28">
        <f t="shared" si="2"/>
        <v>9290</v>
      </c>
      <c r="K15" s="28">
        <f t="shared" si="3"/>
        <v>14000</v>
      </c>
      <c r="L15" s="31">
        <f>K15/Table1[[#Totals],[FATURAMENTO R$]]</f>
        <v>7.7412220071882781E-2</v>
      </c>
      <c r="M15" s="32">
        <f t="shared" si="4"/>
        <v>2.3333333333333335</v>
      </c>
      <c r="N15" s="33">
        <f t="shared" si="5"/>
        <v>133.33333333333334</v>
      </c>
    </row>
    <row r="16" spans="1:14" s="3" customFormat="1" ht="18" customHeight="1" x14ac:dyDescent="0.2">
      <c r="A16" s="38" t="s">
        <v>34</v>
      </c>
      <c r="B16" s="26">
        <v>150</v>
      </c>
      <c r="C16" s="26"/>
      <c r="D16" s="25">
        <v>0.23500000000000004</v>
      </c>
      <c r="E16" s="28">
        <f t="shared" si="0"/>
        <v>232.25</v>
      </c>
      <c r="F16" s="26">
        <v>350</v>
      </c>
      <c r="G16" s="28">
        <f t="shared" si="1"/>
        <v>117.75</v>
      </c>
      <c r="H16" s="27">
        <f t="shared" si="6"/>
        <v>0.33642857142857141</v>
      </c>
      <c r="I16" s="37">
        <v>15</v>
      </c>
      <c r="J16" s="28">
        <f t="shared" si="2"/>
        <v>3483.75</v>
      </c>
      <c r="K16" s="28">
        <f t="shared" si="3"/>
        <v>5250</v>
      </c>
      <c r="L16" s="31">
        <f>K16/Table1[[#Totals],[FATURAMENTO R$]]</f>
        <v>2.902958252695604E-2</v>
      </c>
      <c r="M16" s="32">
        <f t="shared" si="4"/>
        <v>2.3333333333333335</v>
      </c>
      <c r="N16" s="33">
        <f t="shared" si="5"/>
        <v>133.33333333333334</v>
      </c>
    </row>
    <row r="17" spans="1:14" s="2" customFormat="1" ht="18" customHeight="1" x14ac:dyDescent="0.2">
      <c r="A17" s="39" t="s">
        <v>19</v>
      </c>
      <c r="B17" s="30">
        <f>SUBTOTAL(109,Table1[CUSTO COMPRA])</f>
        <v>4400</v>
      </c>
      <c r="C17" s="30">
        <f>SUBTOTAL(109,Table1[OUTRAS DESPESAS])</f>
        <v>150</v>
      </c>
      <c r="D17" s="29">
        <f>SUBTOTAL(104,Table1[DESPESAS COM VENDAS])</f>
        <v>0.23500000000000004</v>
      </c>
      <c r="E17" s="30">
        <f>SUBTOTAL(109,Table1[CUSTO POR PRODUTO])</f>
        <v>6829.5</v>
      </c>
      <c r="F17" s="30">
        <f>SUBTOTAL(109,Table1[PREÇO DE VENDA])</f>
        <v>9700</v>
      </c>
      <c r="G17" s="30">
        <f>SUBTOTAL(109,Table1[MARGEM DO PRODUTO R$])</f>
        <v>2870.5</v>
      </c>
      <c r="H17" s="29">
        <f>SUBTOTAL(101,Table1[MARGEM DO PRODUTO %])</f>
        <v>0.29857790085731262</v>
      </c>
      <c r="I17" s="40">
        <f>SUBTOTAL(109,Table1[QUANTIDADE DE VENDAS])</f>
        <v>189</v>
      </c>
      <c r="J17" s="30">
        <f>SUBTOTAL(109,Table1[TOTAL DESP. VARIÁVEIS])</f>
        <v>128449.75</v>
      </c>
      <c r="K17" s="30">
        <f>SUBTOTAL(109,Table1[FATURAMENTO R$])</f>
        <v>180850</v>
      </c>
      <c r="L17" s="34">
        <f>SUBTOTAL(109,Table1[% SOBRE FATUR.])</f>
        <v>1</v>
      </c>
      <c r="M17" s="35">
        <f>SUBTOTAL(101,Table1[MARKUP FATOR])</f>
        <v>2.1997619047619046</v>
      </c>
      <c r="N17" s="36">
        <f>SUBTOTAL(101,Table1[Markup %])</f>
        <v>119.97619047619045</v>
      </c>
    </row>
    <row r="18" spans="1:14" s="2" customFormat="1" ht="36.75" customHeight="1" x14ac:dyDescent="0.2"/>
    <row r="19" spans="1:14" s="2" customFormat="1" ht="18" customHeight="1" x14ac:dyDescent="0.2">
      <c r="A19" s="12" t="s">
        <v>11</v>
      </c>
      <c r="B19" s="20">
        <v>13580</v>
      </c>
      <c r="C19" s="21"/>
      <c r="D19" s="8"/>
      <c r="F19" s="16" t="s">
        <v>12</v>
      </c>
      <c r="G19" s="17"/>
      <c r="H19" s="18">
        <f>K17</f>
        <v>180850</v>
      </c>
      <c r="I19" s="19"/>
    </row>
    <row r="20" spans="1:14" s="2" customFormat="1" ht="18" customHeight="1" x14ac:dyDescent="0.2">
      <c r="A20" s="12" t="s">
        <v>13</v>
      </c>
      <c r="B20" s="20">
        <f>J17</f>
        <v>128449.75</v>
      </c>
      <c r="C20" s="21"/>
      <c r="D20" s="8"/>
      <c r="F20" s="16" t="s">
        <v>14</v>
      </c>
      <c r="G20" s="17"/>
      <c r="H20" s="18">
        <f>H19-B19-B20</f>
        <v>38820.25</v>
      </c>
      <c r="I20" s="19"/>
      <c r="J20" s="13">
        <f>H20/H19</f>
        <v>0.21465440973182195</v>
      </c>
      <c r="K20" s="10"/>
    </row>
    <row r="21" spans="1:14" s="2" customFormat="1" ht="18" customHeight="1" x14ac:dyDescent="0.2">
      <c r="A21" s="12" t="s">
        <v>15</v>
      </c>
      <c r="B21" s="22">
        <v>0.23500000000000004</v>
      </c>
      <c r="C21" s="23"/>
      <c r="D21" s="9"/>
      <c r="F21" s="16" t="s">
        <v>16</v>
      </c>
      <c r="G21" s="17"/>
      <c r="H21" s="18">
        <f>B19/(K17/J17)</f>
        <v>9645.2729057229753</v>
      </c>
      <c r="I21" s="19"/>
    </row>
    <row r="22" spans="1:14" s="2" customFormat="1" ht="18" customHeight="1" x14ac:dyDescent="0.2"/>
    <row r="23" spans="1:14" s="2" customFormat="1" ht="18" customHeight="1" x14ac:dyDescent="0.2"/>
    <row r="24" spans="1:14" s="2" customFormat="1" ht="18" customHeight="1" x14ac:dyDescent="0.2"/>
    <row r="25" spans="1:14" ht="18" customHeight="1" x14ac:dyDescent="0.25"/>
    <row r="26" spans="1:14" ht="18" customHeight="1" x14ac:dyDescent="0.25"/>
    <row r="27" spans="1:14" ht="18" customHeight="1" x14ac:dyDescent="0.25"/>
    <row r="28" spans="1:14" ht="18" customHeight="1" x14ac:dyDescent="0.25"/>
    <row r="29" spans="1:14" ht="18" customHeight="1" x14ac:dyDescent="0.25"/>
    <row r="30" spans="1:14" ht="18" customHeight="1" x14ac:dyDescent="0.25"/>
    <row r="31" spans="1:14" s="6" customFormat="1" ht="30" customHeight="1" x14ac:dyDescent="0.25"/>
    <row r="32" spans="1:1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</sheetData>
  <mergeCells count="12">
    <mergeCell ref="A1:XFD1"/>
    <mergeCell ref="H21:I21"/>
    <mergeCell ref="B19:C19"/>
    <mergeCell ref="B20:C20"/>
    <mergeCell ref="B21:C21"/>
    <mergeCell ref="F21:G21"/>
    <mergeCell ref="B3:N3"/>
    <mergeCell ref="B4:N4"/>
    <mergeCell ref="F19:G19"/>
    <mergeCell ref="F20:G20"/>
    <mergeCell ref="H19:I19"/>
    <mergeCell ref="H20:I20"/>
  </mergeCells>
  <pageMargins left="0.75" right="0.75" top="1" bottom="1" header="0.5" footer="0.5"/>
  <pageSetup paperSize="9" orientation="portrait" horizontalDpi="4294967294" verticalDpi="4294967294" r:id="rId1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showGridLines="0" showRowColHeaders="0" workbookViewId="0">
      <pane ySplit="1" topLeftCell="A2" activePane="bottomLeft" state="frozen"/>
      <selection pane="bottomLeft" activeCell="A2" sqref="A2"/>
    </sheetView>
  </sheetViews>
  <sheetFormatPr defaultRowHeight="15.75" x14ac:dyDescent="0.25"/>
  <sheetData>
    <row r="1" spans="1:1" s="24" customFormat="1" ht="52.5" customHeight="1" thickBot="1" x14ac:dyDescent="0.3">
      <c r="A1" s="24" t="s">
        <v>20</v>
      </c>
    </row>
    <row r="2" spans="1:1" ht="16.5" thickTop="1" x14ac:dyDescent="0.25"/>
    <row r="63" s="6" customFormat="1" ht="30" customHeight="1" x14ac:dyDescent="0.25"/>
  </sheetData>
  <sheetProtection sheet="1" objects="1" scenarios="1"/>
  <mergeCells count="1">
    <mergeCell ref="A1:XF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Custos</vt:lpstr>
      <vt:lpstr>Instruções</vt:lpstr>
    </vt:vector>
  </TitlesOfParts>
  <Company>A minha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Belalian</dc:creator>
  <cp:lastModifiedBy>Anselmo Massad</cp:lastModifiedBy>
  <dcterms:created xsi:type="dcterms:W3CDTF">2012-08-16T12:51:59Z</dcterms:created>
  <dcterms:modified xsi:type="dcterms:W3CDTF">2016-04-08T04:56:51Z</dcterms:modified>
</cp:coreProperties>
</file>