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Aerospace\ADSEE\"/>
    </mc:Choice>
  </mc:AlternateContent>
  <xr:revisionPtr revIDLastSave="0" documentId="13_ncr:1_{343BB958-BDC5-46F2-B323-69616BEF964E}" xr6:coauthVersionLast="47" xr6:coauthVersionMax="47" xr10:uidLastSave="{00000000-0000-0000-0000-000000000000}"/>
  <bookViews>
    <workbookView xWindow="-108" yWindow="-108" windowWidth="23256" windowHeight="12456" firstSheet="9" activeTab="12" xr2:uid="{B0EDAE5C-5DAE-4AFD-85A9-74F2333B50BB}"/>
  </bookViews>
  <sheets>
    <sheet name="Cover sheet" sheetId="1" r:id="rId1"/>
    <sheet name="TLAR" sheetId="5" r:id="rId2"/>
    <sheet name="Reference Aircraft" sheetId="4" r:id="rId3"/>
    <sheet name="Configuration Selection" sheetId="6" r:id="rId4"/>
    <sheet name="Fuselage" sheetId="7" r:id="rId5"/>
    <sheet name="Drag Polar" sheetId="8" r:id="rId6"/>
    <sheet name="Mass Estimation" sheetId="9" r:id="rId7"/>
    <sheet name="Matching Diagram" sheetId="3" r:id="rId8"/>
    <sheet name="Wing" sheetId="11" r:id="rId9"/>
    <sheet name="Propulsion System" sheetId="14" r:id="rId10"/>
    <sheet name="Propulsion System 2" sheetId="16" r:id="rId11"/>
    <sheet name="CG and Loading Diagram" sheetId="15" r:id="rId12"/>
    <sheet name="Landing Gear" sheetId="13" r:id="rId13"/>
    <sheet name="Landing Gear 2" sheetId="17" r:id="rId14"/>
    <sheet name="Tail" sheetId="12" r:id="rId15"/>
    <sheet name="Design Log Book" sheetId="10" r:id="rId16"/>
    <sheet name="Sheet2" sheetId="2" state="hidden"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5" l="1"/>
  <c r="D26" i="15"/>
  <c r="D27" i="15"/>
  <c r="C30" i="15" s="1"/>
  <c r="D25" i="15"/>
  <c r="D13" i="15"/>
  <c r="D14" i="15"/>
  <c r="D15" i="15"/>
  <c r="D11" i="15"/>
  <c r="B16" i="15"/>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H101"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I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01"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01" i="3"/>
  <c r="D18" i="14"/>
  <c r="E23" i="7"/>
  <c r="E6" i="7"/>
  <c r="P7" i="4"/>
  <c r="O7" i="4"/>
  <c r="C16" i="15" l="1"/>
  <c r="E89" i="3"/>
  <c r="A94" i="3"/>
  <c r="D80" i="3"/>
  <c r="D74" i="3"/>
  <c r="D73" i="3"/>
  <c r="F39" i="5" l="1"/>
  <c r="H61" i="3" s="1"/>
  <c r="F32" i="5"/>
  <c r="G61" i="3" s="1"/>
  <c r="F25" i="5"/>
  <c r="F61" i="3" s="1"/>
  <c r="B34" i="15"/>
  <c r="B33" i="15"/>
  <c r="E94" i="3"/>
  <c r="K99" i="3"/>
  <c r="J99" i="3"/>
  <c r="I99" i="3"/>
  <c r="H99" i="3"/>
  <c r="H62" i="3"/>
  <c r="G62" i="3"/>
  <c r="F62" i="3"/>
  <c r="E62" i="3"/>
  <c r="D62" i="3"/>
  <c r="F18" i="5"/>
  <c r="E61" i="3" s="1"/>
  <c r="F10" i="5"/>
  <c r="D61" i="3" s="1"/>
  <c r="E6" i="15"/>
  <c r="F5" i="15"/>
  <c r="C20" i="15" s="1"/>
  <c r="B24" i="1"/>
  <c r="E5" i="7" s="1"/>
  <c r="B23" i="9" l="1"/>
  <c r="B22" i="9"/>
  <c r="B21" i="9"/>
  <c r="B11" i="6" l="1"/>
  <c r="I73" i="7" l="1"/>
  <c r="F3" i="15"/>
  <c r="D4" i="14"/>
  <c r="D3" i="14"/>
  <c r="D2" i="14"/>
  <c r="F4" i="15" s="1"/>
  <c r="A4" i="14"/>
  <c r="A3" i="14"/>
  <c r="A2" i="14"/>
  <c r="B11" i="11"/>
  <c r="B2" i="11"/>
  <c r="B29" i="15" l="1"/>
  <c r="B30" i="15"/>
  <c r="B28" i="15"/>
  <c r="A89" i="3"/>
  <c r="E99" i="3"/>
  <c r="F99" i="3"/>
  <c r="G99" i="3"/>
  <c r="L99" i="3"/>
  <c r="B5" i="4" l="1"/>
  <c r="B4" i="4"/>
  <c r="B2"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tc={FB2885BD-E7E2-425E-BEBA-F889588011D3}</author>
  </authors>
  <commentList>
    <comment ref="C9" authorId="0" shapeId="0" xr:uid="{FB2885BD-E7E2-425E-BEBA-F889588011D3}">
      <text>
        <t xml:space="preserve">[Threaded comment]
Your version of Excel allows you to read this threaded comment; however, any edits to it will get removed if the file is opened in a newer version of Excel. Learn more: https://go.microsoft.com/fwlink/?linkid=870924
Comment:
    Fix the data for this plane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tc={8DA7865C-AFD5-423E-9A2A-7709B3362DC8}</author>
  </authors>
  <commentList>
    <comment ref="D18" authorId="0" shapeId="0" xr:uid="{8DA7865C-AFD5-423E-9A2A-7709B3362DC8}">
      <text>
        <t xml:space="preserve">[Threaded comment]
Your version of Excel allows you to read this threaded comment; however, any edits to it will get removed if the file is opened in a newer version of Excel. Learn more: https://go.microsoft.com/fwlink/?linkid=870924
Comment:
    Change this shit later
</t>
      </text>
    </comment>
  </commentList>
</comments>
</file>

<file path=xl/sharedStrings.xml><?xml version="1.0" encoding="utf-8"?>
<sst xmlns="http://schemas.openxmlformats.org/spreadsheetml/2006/main" count="1122" uniqueCount="694">
  <si>
    <t>AE1222-II</t>
  </si>
  <si>
    <t>Aircraft Design and Systems Engineering Elements I</t>
  </si>
  <si>
    <t>Instructions:</t>
  </si>
  <si>
    <t>Notes:</t>
  </si>
  <si>
    <t>First name:</t>
  </si>
  <si>
    <t>Last name:</t>
  </si>
  <si>
    <t>Student number:</t>
  </si>
  <si>
    <t>Date:</t>
  </si>
  <si>
    <t>Aircraft number:</t>
  </si>
  <si>
    <t>Top level aircraft requirements:</t>
  </si>
  <si>
    <t>Specify the requirements associated to your aircraft number below.</t>
  </si>
  <si>
    <t># Passengers</t>
  </si>
  <si>
    <t>Mass per passenger inc. Luggage</t>
  </si>
  <si>
    <t>Passenger luggage volume:</t>
  </si>
  <si>
    <t>Luggage volume in cargo hold</t>
  </si>
  <si>
    <t>Luggage volume in cabin</t>
  </si>
  <si>
    <t>Cargo mass</t>
  </si>
  <si>
    <t>Cargo volume</t>
  </si>
  <si>
    <t>Maximum structural payload mass</t>
  </si>
  <si>
    <t>Unit</t>
  </si>
  <si>
    <t>-</t>
  </si>
  <si>
    <t>kg</t>
  </si>
  <si>
    <r>
      <t>m</t>
    </r>
    <r>
      <rPr>
        <vertAlign val="superscript"/>
        <sz val="11"/>
        <color theme="1"/>
        <rFont val="Calibri"/>
        <family val="2"/>
        <scheme val="minor"/>
      </rPr>
      <t>3</t>
    </r>
  </si>
  <si>
    <t>Cruise altitude</t>
  </si>
  <si>
    <t>m</t>
  </si>
  <si>
    <t>Take-off</t>
  </si>
  <si>
    <t>Take-off distance</t>
  </si>
  <si>
    <t>Runway surface type</t>
  </si>
  <si>
    <t>Airport altitude</t>
  </si>
  <si>
    <t>Climb</t>
  </si>
  <si>
    <t>Minimum climb rate required</t>
  </si>
  <si>
    <t>Altitude for climb performance</t>
  </si>
  <si>
    <t>Cruise</t>
  </si>
  <si>
    <t>Minimum cruise speed/Mach required</t>
  </si>
  <si>
    <t>Landing</t>
  </si>
  <si>
    <t>Landing field length</t>
  </si>
  <si>
    <t>Runway condition</t>
  </si>
  <si>
    <t>Mass fraction take-off</t>
  </si>
  <si>
    <t>Mass fraction climb</t>
  </si>
  <si>
    <t>Mass fraction cruise</t>
  </si>
  <si>
    <t>Mass fraction landing</t>
  </si>
  <si>
    <t>Diversion range</t>
  </si>
  <si>
    <t>Loiter time</t>
  </si>
  <si>
    <t>min</t>
  </si>
  <si>
    <t>km</t>
  </si>
  <si>
    <t>K</t>
  </si>
  <si>
    <t>m/s</t>
  </si>
  <si>
    <t>Dropdown lists</t>
  </si>
  <si>
    <t>Runway surface</t>
  </si>
  <si>
    <t>grass</t>
  </si>
  <si>
    <t>gravel</t>
  </si>
  <si>
    <t>concrete</t>
  </si>
  <si>
    <t>dry</t>
  </si>
  <si>
    <t>wet</t>
  </si>
  <si>
    <t>icy</t>
  </si>
  <si>
    <t>Aircraft engine type:</t>
  </si>
  <si>
    <t>Aircraft type</t>
  </si>
  <si>
    <t>jet</t>
  </si>
  <si>
    <t>propeller</t>
  </si>
  <si>
    <t>Engine type</t>
  </si>
  <si>
    <t>Single aisle</t>
  </si>
  <si>
    <t>Regional</t>
  </si>
  <si>
    <t>Commuter</t>
  </si>
  <si>
    <t>General aviation</t>
  </si>
  <si>
    <t>Twin aisle</t>
  </si>
  <si>
    <t>Certification specifications</t>
  </si>
  <si>
    <t>CS</t>
  </si>
  <si>
    <t>CS-23</t>
  </si>
  <si>
    <t>CS-25</t>
  </si>
  <si>
    <t>Approach speed</t>
  </si>
  <si>
    <t>Mass fraction</t>
  </si>
  <si>
    <t>Available Thrust (fraction)</t>
  </si>
  <si>
    <t>Landing gear configuration</t>
  </si>
  <si>
    <t>Flap setting</t>
  </si>
  <si>
    <t>Climb gradient</t>
  </si>
  <si>
    <t>%</t>
  </si>
  <si>
    <t>Clean</t>
  </si>
  <si>
    <t>Retracted</t>
  </si>
  <si>
    <t>Extended</t>
  </si>
  <si>
    <t>Mission range</t>
  </si>
  <si>
    <t>Range</t>
  </si>
  <si>
    <t>Reference</t>
  </si>
  <si>
    <t>Manufacturer</t>
  </si>
  <si>
    <t>Aircraft name</t>
  </si>
  <si>
    <t>Type A</t>
  </si>
  <si>
    <t>Type B</t>
  </si>
  <si>
    <t>Type C</t>
  </si>
  <si>
    <t>Type II</t>
  </si>
  <si>
    <t>Type III</t>
  </si>
  <si>
    <t>Type IV</t>
  </si>
  <si>
    <t>Type I</t>
  </si>
  <si>
    <t>Total:</t>
  </si>
  <si>
    <t>Design objective</t>
  </si>
  <si>
    <t>Select wing position</t>
  </si>
  <si>
    <t>wing position</t>
  </si>
  <si>
    <t>high</t>
  </si>
  <si>
    <t>mid</t>
  </si>
  <si>
    <t>low</t>
  </si>
  <si>
    <t>Explanation behind selection</t>
  </si>
  <si>
    <t>Energy carrier</t>
  </si>
  <si>
    <t>Specfic energy</t>
  </si>
  <si>
    <t>energy carrier</t>
  </si>
  <si>
    <t>kerosene</t>
  </si>
  <si>
    <t>hydrogen</t>
  </si>
  <si>
    <t>No. of engines</t>
  </si>
  <si>
    <t>Integration</t>
  </si>
  <si>
    <t>engine integration</t>
  </si>
  <si>
    <t>Under wing</t>
  </si>
  <si>
    <t>Over wing</t>
  </si>
  <si>
    <t>Burried in the wing</t>
  </si>
  <si>
    <t>On fuselage side</t>
  </si>
  <si>
    <t>In fuselage nose</t>
  </si>
  <si>
    <t>Tail mounted</t>
  </si>
  <si>
    <t>Fuselage mounted + tail</t>
  </si>
  <si>
    <t>Wing mounted + tail</t>
  </si>
  <si>
    <t>Landing gear layout</t>
  </si>
  <si>
    <t>Retractable</t>
  </si>
  <si>
    <t>Fixed</t>
  </si>
  <si>
    <t>Why?</t>
  </si>
  <si>
    <t>Landing gear type</t>
  </si>
  <si>
    <t>Fuselage mounted</t>
  </si>
  <si>
    <t>Wing mounted</t>
  </si>
  <si>
    <t>Tail dragger</t>
  </si>
  <si>
    <t>Tricycle</t>
  </si>
  <si>
    <t>Bicycle</t>
  </si>
  <si>
    <t>Main landing gear attachment</t>
  </si>
  <si>
    <t>Tail configuration</t>
  </si>
  <si>
    <t>Tail configurations</t>
  </si>
  <si>
    <t>T-Tail</t>
  </si>
  <si>
    <t>Tailless</t>
  </si>
  <si>
    <t>V-Tail</t>
  </si>
  <si>
    <t>Y-Tail</t>
  </si>
  <si>
    <t>Twin-boom</t>
  </si>
  <si>
    <t>Twin-vertical</t>
  </si>
  <si>
    <t>Triple-vertical</t>
  </si>
  <si>
    <t>Cruciform tail</t>
  </si>
  <si>
    <t>Low tail</t>
  </si>
  <si>
    <t>Minimum MTOM</t>
  </si>
  <si>
    <t>How do you comply with turbine disk or propeller failure?</t>
  </si>
  <si>
    <t>Assignment 5.1</t>
  </si>
  <si>
    <t>State how your reference airplanes store cargo and luggage</t>
  </si>
  <si>
    <t>Make assumptions on the volume per passenger, the density of luggage and the density of cargo. State these assumptions</t>
  </si>
  <si>
    <t>Compute the approximate volume of passengers, carry-on luggage, cargo-hold luggage and cargo</t>
  </si>
  <si>
    <t>Decide how you distribute the payload witin your fuselage. Expain why you choose this distribution</t>
  </si>
  <si>
    <t>Decide whether to store luggage and cargo in bulk and/or in unit load devices. Motivate your decision.</t>
  </si>
  <si>
    <t>Assignment 5.2</t>
  </si>
  <si>
    <t>Use the design sequence for the cabin cross section to design the cabin cross section of your airplane</t>
  </si>
  <si>
    <t>What is the total perimeter length of your fuselage cross section?</t>
  </si>
  <si>
    <t>Assignment 5.3 - Design fuselage top view</t>
  </si>
  <si>
    <t>Choose a value for the following dimensional parameters of the nose and tail cone of the fuselage. Substantiate your choice in a single sentence.</t>
  </si>
  <si>
    <t>Assignment 5.4 - Design fuselage side view</t>
  </si>
  <si>
    <t>What upward view angle do you choose?</t>
  </si>
  <si>
    <t>What over-nose angle do you choose?</t>
  </si>
  <si>
    <t>What upsweep angle do you choose for the tail cone of your fuselage?</t>
  </si>
  <si>
    <t>Motivate your decision on the distribution of the emergency exits</t>
  </si>
  <si>
    <t>Aspect ratio</t>
  </si>
  <si>
    <t>Assignment 6.1</t>
  </si>
  <si>
    <t>Decide which aspect ratio you choose for your airplane</t>
  </si>
  <si>
    <t>Motivate your decision:</t>
  </si>
  <si>
    <t>How does the choice in aspect ratio compare to the ones found on your reference airplanes?</t>
  </si>
  <si>
    <t>What is the envisioned effect of your choice on the lift-induced drag?</t>
  </si>
  <si>
    <t>What is the envisioned effect of your choice on the wing weight?</t>
  </si>
  <si>
    <t>What is the envisioned effect of your choice on internal wing volume for fuel and systems?</t>
  </si>
  <si>
    <t>Assignment 6.2</t>
  </si>
  <si>
    <t>In this assignment you are going to estimate the zero-lift drag coefficient of you airplane.</t>
  </si>
  <si>
    <t>Estimate of the ratio of wetted-area to reference area for your airplane</t>
  </si>
  <si>
    <t>Calculate wetted area for your airplane</t>
  </si>
  <si>
    <t>Estimate the equivalent friction coefficient for your airplane</t>
  </si>
  <si>
    <t>Estimate the zero-lift drag coefficient of your airplane</t>
  </si>
  <si>
    <t>Assignment 6.3</t>
  </si>
  <si>
    <t>What value for the span efficiency factor do you assume?</t>
  </si>
  <si>
    <t>Based on these assumption, what is the Oswald efficiency factor of your airplane?</t>
  </si>
  <si>
    <t>Assignment 6.4</t>
  </si>
  <si>
    <t>What (thermal) efficiency do you assume for your engine?</t>
  </si>
  <si>
    <t>If you use a propeller, what propulsor efficiency do you assume?</t>
  </si>
  <si>
    <t>If you use a turbofan, what bypass ratio do you choose?</t>
  </si>
  <si>
    <t>if you use a turbofan, what jet efficiency do you compute?</t>
  </si>
  <si>
    <t>What is the maximum L/D value for your airplane in cruise configuration?</t>
  </si>
  <si>
    <t>Assignment 6.5</t>
  </si>
  <si>
    <t>Calculate the fuel mass fraction</t>
  </si>
  <si>
    <t>Assignment 6.6</t>
  </si>
  <si>
    <t>Find the maximum take-off mass</t>
  </si>
  <si>
    <t>OEM/MTOM</t>
  </si>
  <si>
    <t>Assignment 6.7</t>
  </si>
  <si>
    <t>Compute the maximum take-off mass of your airplane</t>
  </si>
  <si>
    <t>Compute the fuel mass of your airplane</t>
  </si>
  <si>
    <t>Assignment 3.2</t>
  </si>
  <si>
    <t>Draw a two-dimensional mission profile that depicts the mission of your airplane</t>
  </si>
  <si>
    <t>Assignment 6.8</t>
  </si>
  <si>
    <t>Compute the range at maximum structural payload</t>
  </si>
  <si>
    <t>Computer the ferry range at zero payload mass</t>
  </si>
  <si>
    <t>Wing loading</t>
  </si>
  <si>
    <t>Minimum speed</t>
  </si>
  <si>
    <t>Cruise Speed</t>
  </si>
  <si>
    <t>Climb rate</t>
  </si>
  <si>
    <t>Take-off field length</t>
  </si>
  <si>
    <t>Fill out the values you compute for the different constraints (power/thrust loading) for the range of wingloading values provided in column A.</t>
  </si>
  <si>
    <t>Make sure to still show all the constraint lines that are required!</t>
  </si>
  <si>
    <r>
      <t>You can "zoom in" on the area of interest by deleting all values (empty the rows) of +500N/m</t>
    </r>
    <r>
      <rPr>
        <vertAlign val="superscript"/>
        <sz val="11"/>
        <color theme="1"/>
        <rFont val="Calibri"/>
        <family val="2"/>
        <scheme val="minor"/>
      </rPr>
      <t>2</t>
    </r>
    <r>
      <rPr>
        <sz val="11"/>
        <color theme="1"/>
        <rFont val="Calibri"/>
        <family val="2"/>
        <scheme val="minor"/>
      </rPr>
      <t xml:space="preserve"> above your maximum wing loading constraint</t>
    </r>
  </si>
  <si>
    <t>Assignment 7.8</t>
  </si>
  <si>
    <t>Assignment 7.1</t>
  </si>
  <si>
    <t>What airplane type are you designing?</t>
  </si>
  <si>
    <t>Do you envision your airplane to have high-lift devices on the trailing edge?</t>
  </si>
  <si>
    <t>Do you envision your airplane to have high-lift devices on the leading edge?</t>
  </si>
  <si>
    <t>Assignment 7.2</t>
  </si>
  <si>
    <t>Given your minimum speed requirement (assignment 3.5) state the following:</t>
  </si>
  <si>
    <t>altitude</t>
  </si>
  <si>
    <t>Approach speed:</t>
  </si>
  <si>
    <t>Altitude</t>
  </si>
  <si>
    <t>Temperature difference</t>
  </si>
  <si>
    <t>Compute the maximum take-off wing loading of your airplane according to the minimum speed constraint of the previous step</t>
  </si>
  <si>
    <t>Assignment 7.3</t>
  </si>
  <si>
    <t>Given your landing-field length requirement (assignment 3.3) state the following:</t>
  </si>
  <si>
    <t>Compute the density for this requirement:</t>
  </si>
  <si>
    <t>Compute the maximum wing loading of your airplane for this constraint</t>
  </si>
  <si>
    <t>Assignment 7.4</t>
  </si>
  <si>
    <t>What is the cruise altitude of your aircraft?</t>
  </si>
  <si>
    <t>Compute the power/thrust lapse of your engine in cruise conditions</t>
  </si>
  <si>
    <t>Assignment 7.5</t>
  </si>
  <si>
    <t>Compute V_cr</t>
  </si>
  <si>
    <t>Assignment 7.6</t>
  </si>
  <si>
    <t>State the climb rate requirement for your aircraft:</t>
  </si>
  <si>
    <t>Compute the atmospheric properties</t>
  </si>
  <si>
    <t>Temperature</t>
  </si>
  <si>
    <t>Pressure</t>
  </si>
  <si>
    <t>Density</t>
  </si>
  <si>
    <t>Compute the lift coefficient for which the highest climb rate occurs</t>
  </si>
  <si>
    <t>Assignment 7.7</t>
  </si>
  <si>
    <t>What is the maximum flap deflection you choose for landing?</t>
  </si>
  <si>
    <t>What is the intermediate flap deflection you choose for take-off?</t>
  </si>
  <si>
    <t>Compute zero-lift drag and Oswald factor for the following conditions:</t>
  </si>
  <si>
    <t>Condition</t>
  </si>
  <si>
    <t>CD_o</t>
  </si>
  <si>
    <t>e</t>
  </si>
  <si>
    <t>retracted</t>
  </si>
  <si>
    <t>extended</t>
  </si>
  <si>
    <t>Flap deflection [deg]</t>
  </si>
  <si>
    <t>State the climb gradient requirement for your airplane</t>
  </si>
  <si>
    <t>Temperature Difference</t>
  </si>
  <si>
    <t>OEI</t>
  </si>
  <si>
    <t>AEO</t>
  </si>
  <si>
    <t>Compute the lift coefficient for which the climb gradient is maximized (use an appropriate margin to the stall speed if applicable)</t>
  </si>
  <si>
    <t>Assignment 7.9</t>
  </si>
  <si>
    <t>Zero lift drag coefficient</t>
  </si>
  <si>
    <t>Oswald factor</t>
  </si>
  <si>
    <t>Assignment 7.10</t>
  </si>
  <si>
    <t>Compute:</t>
  </si>
  <si>
    <t>Specify your design point:</t>
  </si>
  <si>
    <r>
      <t>W</t>
    </r>
    <r>
      <rPr>
        <vertAlign val="subscript"/>
        <sz val="11"/>
        <color theme="1"/>
        <rFont val="Calibri"/>
        <family val="2"/>
        <scheme val="minor"/>
      </rPr>
      <t>TO</t>
    </r>
    <r>
      <rPr>
        <sz val="11"/>
        <color theme="1"/>
        <rFont val="Calibri"/>
        <family val="2"/>
        <scheme val="minor"/>
      </rPr>
      <t>/S</t>
    </r>
    <r>
      <rPr>
        <vertAlign val="subscript"/>
        <sz val="11"/>
        <color theme="1"/>
        <rFont val="Calibri"/>
        <family val="2"/>
        <scheme val="minor"/>
      </rPr>
      <t>W</t>
    </r>
  </si>
  <si>
    <t>Use this tab to record your design decisions/changes. These will not be graded but are useful to you to identify driving design decisions or conflicting requirements. They will also be helpful to understand your rationale during the grading process and to improve the course</t>
  </si>
  <si>
    <t>Date</t>
  </si>
  <si>
    <t>Design decision/change</t>
  </si>
  <si>
    <t>Part(s) affected</t>
  </si>
  <si>
    <t>Airport temperature</t>
  </si>
  <si>
    <t>Assignment 8.1</t>
  </si>
  <si>
    <t>Cruise Mach number</t>
  </si>
  <si>
    <t>(From TLAR)</t>
  </si>
  <si>
    <t>Determine the quarter chord sweep angle</t>
  </si>
  <si>
    <t>Why did you choose this angle?</t>
  </si>
  <si>
    <t>Assignment 8.2</t>
  </si>
  <si>
    <t>Determine the taper ratio for your wing</t>
  </si>
  <si>
    <t>Why did you choose this taper ratio?</t>
  </si>
  <si>
    <t>Assignment 8.3</t>
  </si>
  <si>
    <t>Calculate the span</t>
  </si>
  <si>
    <t>Calculate the root chord</t>
  </si>
  <si>
    <t>Calculate the tip chord</t>
  </si>
  <si>
    <t>Wing aspect ratio</t>
  </si>
  <si>
    <t>(From drag polar 6.1)</t>
  </si>
  <si>
    <t>Make a picture of your drawing and save it as &lt;studentID&gt;_missionProfile.jpg</t>
  </si>
  <si>
    <t>Copy the constraint diagram from Excel to a program of your choice (paint, powerpoint, etc.) and indicate the feasible design space. Save this as a separate image with the name &lt;studentID&gt;_matchingDiagram.jpg</t>
  </si>
  <si>
    <t xml:space="preserve">The matching diagram is automatically generated from your computed values. </t>
  </si>
  <si>
    <t>Follow the steps laid out at the beginning of this section and draw your fuselage in side view and indicate the main dimensions/angles</t>
  </si>
  <si>
    <t>Use the sequence of the design steps at the beginning of this section to draw your fuselage in topview and indicate the main dimensions/angles</t>
  </si>
  <si>
    <t>Assignment 8.4</t>
  </si>
  <si>
    <t>In the previous drawing, draw the mean aerodynamic chord on the symmetry line of the wing and indicate the length</t>
  </si>
  <si>
    <t>Assignment 8.5</t>
  </si>
  <si>
    <r>
      <t xml:space="preserve">Calculate the </t>
    </r>
    <r>
      <rPr>
        <b/>
        <sz val="11"/>
        <color theme="1"/>
        <rFont val="Calibri"/>
        <family val="2"/>
        <scheme val="minor"/>
      </rPr>
      <t>minimum</t>
    </r>
    <r>
      <rPr>
        <sz val="11"/>
        <color theme="1"/>
        <rFont val="Calibri"/>
        <family val="2"/>
        <scheme val="minor"/>
      </rPr>
      <t xml:space="preserve"> zero lift drag coefficient of the two-dimensional airfoil for your wing</t>
    </r>
  </si>
  <si>
    <r>
      <t xml:space="preserve">Calculate the </t>
    </r>
    <r>
      <rPr>
        <b/>
        <sz val="11"/>
        <color theme="1"/>
        <rFont val="Calibri"/>
        <family val="2"/>
        <scheme val="minor"/>
      </rPr>
      <t>maximum</t>
    </r>
    <r>
      <rPr>
        <sz val="11"/>
        <color theme="1"/>
        <rFont val="Calibri"/>
        <family val="2"/>
        <scheme val="minor"/>
      </rPr>
      <t xml:space="preserve"> zero lift drag coefficient of the two-dimensional airfoil for your wing</t>
    </r>
  </si>
  <si>
    <r>
      <t xml:space="preserve">What is the corresponding </t>
    </r>
    <r>
      <rPr>
        <b/>
        <sz val="11"/>
        <color theme="1"/>
        <rFont val="Calibri"/>
        <family val="2"/>
        <scheme val="minor"/>
      </rPr>
      <t>maximum</t>
    </r>
    <r>
      <rPr>
        <sz val="11"/>
        <color theme="1"/>
        <rFont val="Calibri"/>
        <family val="2"/>
        <scheme val="minor"/>
      </rPr>
      <t xml:space="preserve"> thickness-to-chord ratio?</t>
    </r>
  </si>
  <si>
    <r>
      <t xml:space="preserve">What is the corresponding </t>
    </r>
    <r>
      <rPr>
        <b/>
        <sz val="11"/>
        <color theme="1"/>
        <rFont val="Calibri"/>
        <family val="2"/>
        <scheme val="minor"/>
      </rPr>
      <t>minimum</t>
    </r>
    <r>
      <rPr>
        <sz val="11"/>
        <color theme="1"/>
        <rFont val="Calibri"/>
        <family val="2"/>
        <scheme val="minor"/>
      </rPr>
      <t xml:space="preserve"> thickness-to-chord ratio?</t>
    </r>
  </si>
  <si>
    <t>If the Cruise Mach number is in excess of 0.65; what is the maximum thickness-to-chord ratio to minimize the wave drag?</t>
  </si>
  <si>
    <t>Based on these calculations, what is the minimum value of the thickness-to-chord ratio?</t>
  </si>
  <si>
    <t>What is the maximum value of the thickness-to-chord ratio?</t>
  </si>
  <si>
    <t>What value do you choose for the thickness-to-chord ratio?</t>
  </si>
  <si>
    <r>
      <t>Is there a need to revisit your earlier assumptions on C</t>
    </r>
    <r>
      <rPr>
        <vertAlign val="subscript"/>
        <sz val="11"/>
        <color theme="1"/>
        <rFont val="Calibri"/>
        <family val="2"/>
        <scheme val="minor"/>
      </rPr>
      <t>Lmax_cruise</t>
    </r>
    <r>
      <rPr>
        <sz val="11"/>
        <color theme="1"/>
        <rFont val="Calibri"/>
        <family val="2"/>
        <scheme val="minor"/>
      </rPr>
      <t xml:space="preserve"> and/or C</t>
    </r>
    <r>
      <rPr>
        <vertAlign val="subscript"/>
        <sz val="11"/>
        <color theme="1"/>
        <rFont val="Calibri"/>
        <family val="2"/>
        <scheme val="minor"/>
      </rPr>
      <t>f</t>
    </r>
    <r>
      <rPr>
        <sz val="11"/>
        <color theme="1"/>
        <rFont val="Calibri"/>
        <family val="2"/>
        <scheme val="minor"/>
      </rPr>
      <t xml:space="preserve"> based on your choice of t/c?</t>
    </r>
  </si>
  <si>
    <t>If so, report your initially assumed and calculated values in the design log book. Make sure to report all values, also from previous assignments that could be impacted and report the changes you have made to assumptions.</t>
  </si>
  <si>
    <t>This information is important for tracability of your design decisions, in case you need to modify something later on.</t>
  </si>
  <si>
    <t>Assignment 8.6</t>
  </si>
  <si>
    <t>Calculate the dihedral angle of your wing</t>
  </si>
  <si>
    <t>Based on ground clearance considerations, you increase this angle?</t>
  </si>
  <si>
    <t>If so, why?</t>
  </si>
  <si>
    <t>What dihedral angle do you finally choose?</t>
  </si>
  <si>
    <t>Assignment 8.7</t>
  </si>
  <si>
    <t>Thrust/Power loading upper bound (for plotting):</t>
  </si>
  <si>
    <t>From configuration selection</t>
  </si>
  <si>
    <t>Would you like to change the configuration of your engines/layout?</t>
  </si>
  <si>
    <t>If yes, please record this change in the logbook (old values) and update the configuration selection (and dependent calculations)</t>
  </si>
  <si>
    <t>For propeller engines:</t>
  </si>
  <si>
    <t>Calculate engine diameter</t>
  </si>
  <si>
    <t>Calculate engine length</t>
  </si>
  <si>
    <t>Calculate propeller diameter</t>
  </si>
  <si>
    <t>Calculate engine envelope width</t>
  </si>
  <si>
    <t>Calculate engine envelope length</t>
  </si>
  <si>
    <t>Calculate engine envelope height</t>
  </si>
  <si>
    <t>For jet engines:</t>
  </si>
  <si>
    <t>Calculate the inlet diameter</t>
  </si>
  <si>
    <t>Calculate the fan cowling length</t>
  </si>
  <si>
    <t>MAC</t>
  </si>
  <si>
    <t>fuselage group</t>
  </si>
  <si>
    <t>wing group</t>
  </si>
  <si>
    <t>item</t>
  </si>
  <si>
    <t>wing</t>
  </si>
  <si>
    <t>empennage</t>
  </si>
  <si>
    <t>fuselage</t>
  </si>
  <si>
    <t>nacelle</t>
  </si>
  <si>
    <t>propulsion</t>
  </si>
  <si>
    <t>fixed equipment</t>
  </si>
  <si>
    <t>sum</t>
  </si>
  <si>
    <t>Fuselage length</t>
  </si>
  <si>
    <t>Nacelle length</t>
  </si>
  <si>
    <t>Fill out the table below, use statistical data on the component weight fractions</t>
  </si>
  <si>
    <t>Calculate the leading edge position of the MAC</t>
  </si>
  <si>
    <r>
      <t>(x/c)</t>
    </r>
    <r>
      <rPr>
        <b/>
        <vertAlign val="subscript"/>
        <sz val="11"/>
        <color rgb="FF000000"/>
        <rFont val="Calibri"/>
        <family val="2"/>
        <scheme val="minor"/>
      </rPr>
      <t>OEW</t>
    </r>
    <r>
      <rPr>
        <b/>
        <sz val="11"/>
        <color rgb="FF000000"/>
        <rFont val="Calibri"/>
        <family val="2"/>
        <scheme val="minor"/>
      </rPr>
      <t xml:space="preserve"> </t>
    </r>
    <r>
      <rPr>
        <b/>
        <vertAlign val="subscript"/>
        <sz val="11"/>
        <color rgb="FF000000"/>
        <rFont val="Calibri"/>
        <family val="2"/>
        <scheme val="minor"/>
      </rPr>
      <t>cg</t>
    </r>
  </si>
  <si>
    <t>Next, calculate the CG travel during loading in the table below</t>
  </si>
  <si>
    <t>OEW</t>
  </si>
  <si>
    <t>payload</t>
  </si>
  <si>
    <t>fuel</t>
  </si>
  <si>
    <t>X_(WOE+WP)</t>
  </si>
  <si>
    <t>X_(WOE+WP+WF)</t>
  </si>
  <si>
    <t>X_(WOE+WF)</t>
  </si>
  <si>
    <t>What is the fuel mass fraction of your airplane?</t>
  </si>
  <si>
    <t>What is the payload mass fraction of your airplane?</t>
  </si>
  <si>
    <t>Most forward CG position</t>
  </si>
  <si>
    <t>Most aft CG position</t>
  </si>
  <si>
    <t>Copy the loading diagram that is generated from Excel to a program of your choice (paint, powerpoint, etc.). Save this as a separate image with the name &lt;studentID&gt;_loadingDiagram.jpg</t>
  </si>
  <si>
    <t>Horizontal Tail</t>
  </si>
  <si>
    <t>Choose a longitudinal location of the horizontal tail aerodynamic center:</t>
  </si>
  <si>
    <t>Determine the moment arm to the aft-most CG position:</t>
  </si>
  <si>
    <t>Select an appropriate volume coefficient:</t>
  </si>
  <si>
    <t>Compute the required tail area:</t>
  </si>
  <si>
    <t>Determine the tail sweep:</t>
  </si>
  <si>
    <t>Determine the tail aspect ratio:</t>
  </si>
  <si>
    <t>Determine the tail taper ratio:</t>
  </si>
  <si>
    <t>Determine the tail span:</t>
  </si>
  <si>
    <t>Determine the tail root chord:</t>
  </si>
  <si>
    <t>Determine the tail tip chord:</t>
  </si>
  <si>
    <t>Determine the tail MAC:</t>
  </si>
  <si>
    <t>Vertical tail</t>
  </si>
  <si>
    <t>Determine the moment arm to the most aft CG position</t>
  </si>
  <si>
    <t>Draw and position the surface in the fuselage side view, indicate the key dimensions.</t>
  </si>
  <si>
    <t>Draw and position the surface in the fuselage top view, indicate the key dimensions.</t>
  </si>
  <si>
    <t>Complete drawings</t>
  </si>
  <si>
    <t>Complete the 3 view drawings of your aircraft. Add the tail surfaces to the different views.</t>
  </si>
  <si>
    <t>Make sure to add a pylon or fairing, depending on your type of engine.</t>
  </si>
  <si>
    <t>Make a picture of your final aircraft 3 view drawing and save it as &lt;studentID&gt;_aircraft3View.jpg</t>
  </si>
  <si>
    <t>The loading diagram will be plotted automatically</t>
  </si>
  <si>
    <t>Nose gear positioning</t>
  </si>
  <si>
    <t>Choose a shock absorber stroke:</t>
  </si>
  <si>
    <t>In your aircraft side view:</t>
  </si>
  <si>
    <t>Draw scrape-angle constraint on wheel with compressed oleo</t>
  </si>
  <si>
    <t>Draw tip-over constraint for axle with extended oleo</t>
  </si>
  <si>
    <t>Determine longitudinal location of MLG wheel</t>
  </si>
  <si>
    <t>Determine forward bound of NLG axle for steering constraint</t>
  </si>
  <si>
    <t>Determine longitudinal location of NLG</t>
  </si>
  <si>
    <t>Check retraction</t>
  </si>
  <si>
    <t>Main gear positioning</t>
  </si>
  <si>
    <t>Show (initial) axle locations of NLG and MLG in your aircraft topview</t>
  </si>
  <si>
    <t>In your aircraft front and topview, draw ground clearance constraints</t>
  </si>
  <si>
    <t>Compute minimum track width for lateral tip over:</t>
  </si>
  <si>
    <t>Determine and draw the lateral and longitudinal position of MLG (axle)</t>
  </si>
  <si>
    <t>Check the feasibility of retraction mechanism; draw the retracted state</t>
  </si>
  <si>
    <t>Make sure you have a good quality picture/copy of your drawing before adding the landing gear. You may want to try this first in a copy!</t>
  </si>
  <si>
    <t>Make copies and pictures during the various drawing steps. In some cases you want to try a certain step first in a copy or on a seperate paper.</t>
  </si>
  <si>
    <t>Always try this before adding it to your final drawing, to avoid having to redraw parts!</t>
  </si>
  <si>
    <t>Use the graphing paper that is provided during the lectures.</t>
  </si>
  <si>
    <t>If necessary, draw an auxiliary spar and yehudi. Report this in your design log book as well.</t>
  </si>
  <si>
    <t>Do you need to modify your landing gear position/design?</t>
  </si>
  <si>
    <t>If necessary, draw a fairing. Report this in your design log book as well.</t>
  </si>
  <si>
    <t>Complete the 3 view drawings with the nose and main gear.</t>
  </si>
  <si>
    <t>If yes, report this in the design log book before redesigning. Make sure to report the constraint that is violated and what changes are required.</t>
  </si>
  <si>
    <t>save pictures as:</t>
  </si>
  <si>
    <t>For example:</t>
  </si>
  <si>
    <t>For example: 1234567_missionProfile.jpg</t>
  </si>
  <si>
    <t>&lt;studentID&gt;_missionProfile.jpg</t>
  </si>
  <si>
    <t>&lt;studentID&gt;_PLRdiagram.jpg</t>
  </si>
  <si>
    <t>&lt;studentID&gt;_matchingDiagram.jpg</t>
  </si>
  <si>
    <t>On a separate sheet, draw a three view of your engine, envelope, propeller and spinner, including the main dimensions.</t>
  </si>
  <si>
    <t>&lt;studentID&gt;_loadingDiagram.jpg</t>
  </si>
  <si>
    <t>Make sure you have a good quality picture/copy of your drawing before adding the tail. You may want to try this first in a copy, or by drawing the tail on a separate sheet and use this for positioning!</t>
  </si>
  <si>
    <t>&lt;studentID&gt;_aircraft3View.jpg</t>
  </si>
  <si>
    <t>Checklist assignments</t>
  </si>
  <si>
    <t>You should have completed all these sheets:</t>
  </si>
  <si>
    <t>Cover sheet</t>
  </si>
  <si>
    <t>TLAR</t>
  </si>
  <si>
    <t>Reference Aircraft</t>
  </si>
  <si>
    <t>Configuration Selection</t>
  </si>
  <si>
    <t>Fuselage</t>
  </si>
  <si>
    <t>Drag Polar</t>
  </si>
  <si>
    <t>Mass Estimation</t>
  </si>
  <si>
    <t>Matching Diagram</t>
  </si>
  <si>
    <t>Wing</t>
  </si>
  <si>
    <t>Propulsion System</t>
  </si>
  <si>
    <t>CG and Loading Diagram</t>
  </si>
  <si>
    <t>Landing Gear</t>
  </si>
  <si>
    <t>Tail</t>
  </si>
  <si>
    <t>Design Log Book</t>
  </si>
  <si>
    <t>Checklist files</t>
  </si>
  <si>
    <t>Make a picture of your drawing, this may come in handy later!</t>
  </si>
  <si>
    <t>On a separate paper, draw the planform of your wing (you may also draw one wing half) and indicate the dimensions/angle</t>
  </si>
  <si>
    <t>Length MAC:</t>
  </si>
  <si>
    <t>Complete wing/fuselage drawings</t>
  </si>
  <si>
    <t>Complete the 3 view drawings of your wing or fuselage by adding the engines to the different views, depending on the configuration you chose for your engines</t>
  </si>
  <si>
    <t>Complete aircraft 3 view drawings</t>
  </si>
  <si>
    <t>Now that you know the position of the wing from the leading edge MAC position, you can make a 3 view drawing of your aircraft.</t>
  </si>
  <si>
    <t>Complete the 3 view drawings of your aircraft. Combine wing, fuselage and propulsion systems in the different views. Indicate the CG positions (OEW, forward, aft) in the side view.</t>
  </si>
  <si>
    <t>1234567_aircraft3View.jpg</t>
  </si>
  <si>
    <t>&lt;studentID&gt;_AE1222II_ACD_2024.xlsx</t>
  </si>
  <si>
    <t>Draw the cross section of your fuselage on a separate sheet, indicate the key dimensions.</t>
  </si>
  <si>
    <t>Make a picture of the fuselage cross section and save it as &lt;studentID&gt;_fuselageCrossSection.jpg</t>
  </si>
  <si>
    <t>&lt;studentID&gt;_fuselageCrossSection.jpg</t>
  </si>
  <si>
    <t>Volume per passenger:</t>
  </si>
  <si>
    <t>Luggage density</t>
  </si>
  <si>
    <t>Cargo density</t>
  </si>
  <si>
    <r>
      <t>kg/m</t>
    </r>
    <r>
      <rPr>
        <vertAlign val="superscript"/>
        <sz val="11"/>
        <color theme="1"/>
        <rFont val="Calibri"/>
        <family val="2"/>
        <scheme val="minor"/>
      </rPr>
      <t>3</t>
    </r>
  </si>
  <si>
    <t>electricity</t>
  </si>
  <si>
    <t>Before submitting, complete the checklist below to make sure your assignment is complete and you have added all required pictures!</t>
  </si>
  <si>
    <t>cm</t>
  </si>
  <si>
    <t>You should have all these files, according to this naming convention. Replace &lt;studentID&gt; with your student number, e.g. 1234567</t>
  </si>
  <si>
    <r>
      <t xml:space="preserve">Changing the axis limits is allowed, however, other changes are </t>
    </r>
    <r>
      <rPr>
        <b/>
        <sz val="11"/>
        <color rgb="FFFF0000"/>
        <rFont val="Calibri"/>
        <family val="2"/>
        <scheme val="minor"/>
      </rPr>
      <t>NOT</t>
    </r>
    <r>
      <rPr>
        <sz val="11"/>
        <color theme="1"/>
        <rFont val="Calibri"/>
        <family val="2"/>
        <scheme val="minor"/>
      </rPr>
      <t xml:space="preserve"> permitted</t>
    </r>
  </si>
  <si>
    <t>In order to determine the different constraints in the matching diagram, follow the assignments below.</t>
  </si>
  <si>
    <t>You can define the upper plotting limit of the power/thrust loading for the vertical constraint lines in cell B96</t>
  </si>
  <si>
    <r>
      <t>Using the minimal allowed margin to the stall speed, compute the value of C</t>
    </r>
    <r>
      <rPr>
        <vertAlign val="subscript"/>
        <sz val="11"/>
        <color theme="1"/>
        <rFont val="Calibri"/>
        <family val="2"/>
        <scheme val="minor"/>
      </rPr>
      <t>L</t>
    </r>
    <r>
      <rPr>
        <vertAlign val="subscript"/>
        <sz val="8"/>
        <color theme="1"/>
        <rFont val="Calibri"/>
        <family val="2"/>
        <scheme val="minor"/>
      </rPr>
      <t>2</t>
    </r>
  </si>
  <si>
    <r>
      <t>W/S - [N/m</t>
    </r>
    <r>
      <rPr>
        <b/>
        <vertAlign val="superscript"/>
        <sz val="11"/>
        <color theme="1"/>
        <rFont val="Calibri"/>
        <family val="2"/>
        <scheme val="minor"/>
      </rPr>
      <t>2</t>
    </r>
    <r>
      <rPr>
        <b/>
        <sz val="11"/>
        <color theme="1"/>
        <rFont val="Calibri"/>
        <family val="2"/>
        <scheme val="minor"/>
      </rPr>
      <t>]</t>
    </r>
  </si>
  <si>
    <t>Compute the drag coefficient for which the climb gradient is maximized</t>
  </si>
  <si>
    <t>Maximum Payload mass</t>
  </si>
  <si>
    <r>
      <t>S</t>
    </r>
    <r>
      <rPr>
        <vertAlign val="subscript"/>
        <sz val="11"/>
        <color theme="1"/>
        <rFont val="Calibri"/>
        <family val="2"/>
        <scheme val="minor"/>
      </rPr>
      <t>w</t>
    </r>
  </si>
  <si>
    <r>
      <t>b</t>
    </r>
    <r>
      <rPr>
        <vertAlign val="subscript"/>
        <sz val="11"/>
        <color theme="1"/>
        <rFont val="Calibri"/>
        <family val="2"/>
        <scheme val="minor"/>
      </rPr>
      <t>w</t>
    </r>
  </si>
  <si>
    <t>Design payload mass</t>
  </si>
  <si>
    <t>Seat width</t>
  </si>
  <si>
    <t>asphalt/tarmac</t>
  </si>
  <si>
    <t>Find the (operating) empty mass (depending on what is listed in literature)</t>
  </si>
  <si>
    <t>Compute the (operating) empty mass fraction for each reference aircraft</t>
  </si>
  <si>
    <t>Make an estimation of the (operating) empty mass fraction of your aircraft:</t>
  </si>
  <si>
    <t>Compute the (operating) empty mass of your airplane</t>
  </si>
  <si>
    <t>Approach speed requirement</t>
  </si>
  <si>
    <t>Altitude for approach speed</t>
  </si>
  <si>
    <t>Mass fraction approach speed</t>
  </si>
  <si>
    <t>Specify the aisle width you choose at shoulder height:</t>
  </si>
  <si>
    <t>Specify the aisle width you choose at armrest height:</t>
  </si>
  <si>
    <t>MJ/kg</t>
  </si>
  <si>
    <r>
      <t>Applicable zero lift drag coefficient (</t>
    </r>
    <r>
      <rPr>
        <b/>
        <sz val="11"/>
        <color theme="1"/>
        <rFont val="Calibri"/>
        <family val="2"/>
        <scheme val="minor"/>
      </rPr>
      <t>Drag polar - assignment 7.7</t>
    </r>
    <r>
      <rPr>
        <sz val="11"/>
        <color theme="1"/>
        <rFont val="Calibri"/>
        <family val="2"/>
        <scheme val="minor"/>
      </rPr>
      <t>)</t>
    </r>
  </si>
  <si>
    <r>
      <t>Applicable Oswald factor (</t>
    </r>
    <r>
      <rPr>
        <b/>
        <sz val="11"/>
        <color theme="1"/>
        <rFont val="Calibri"/>
        <family val="2"/>
        <scheme val="minor"/>
      </rPr>
      <t>Drag polar - assignment 7.7</t>
    </r>
    <r>
      <rPr>
        <sz val="11"/>
        <color theme="1"/>
        <rFont val="Calibri"/>
        <family val="2"/>
        <scheme val="minor"/>
      </rPr>
      <t>)</t>
    </r>
  </si>
  <si>
    <t>Tabulate the take-off power/thrust loading values to satisfy the take-off constraint in column (H99:H189) for a range of wing loading values (use column D99:D189)</t>
  </si>
  <si>
    <t>Tabulate the take-off power/thrust loading values to satisfy the climb rate constraint in column (F99:F189) for a range of wing loading values (use column D99:D189)</t>
  </si>
  <si>
    <t>Tabulate the power loading or thrust loading in Column E99:E189 as a function of wingloading (use column D99:D189)</t>
  </si>
  <si>
    <t>Plot the landing constraint by inputting the value in C99:C189</t>
  </si>
  <si>
    <t>Plot the minimum speed constraint by inputting the value in B99:B189</t>
  </si>
  <si>
    <r>
      <t>E.g. if your maximum is at 4000N/m</t>
    </r>
    <r>
      <rPr>
        <vertAlign val="superscript"/>
        <sz val="11"/>
        <color theme="1"/>
        <rFont val="Calibri"/>
        <family val="2"/>
        <scheme val="minor"/>
      </rPr>
      <t>2</t>
    </r>
    <r>
      <rPr>
        <sz val="11"/>
        <color theme="1"/>
        <rFont val="Calibri"/>
        <family val="2"/>
        <scheme val="minor"/>
      </rPr>
      <t>, empty all cells A145:H189 to only show the plot between 0 and 4500 N/m</t>
    </r>
    <r>
      <rPr>
        <vertAlign val="superscript"/>
        <sz val="11"/>
        <color theme="1"/>
        <rFont val="Calibri"/>
        <family val="2"/>
        <scheme val="minor"/>
      </rPr>
      <t>2</t>
    </r>
    <r>
      <rPr>
        <sz val="11"/>
        <color theme="1"/>
        <rFont val="Calibri"/>
        <family val="2"/>
        <scheme val="minor"/>
      </rPr>
      <t xml:space="preserve"> wingloading</t>
    </r>
  </si>
  <si>
    <t>Copy the constraint diagram from Excel to a program of your choice (paint, powerpoint, etc.). Save this as a separate image with the name &lt;studentID&gt;_PLRdiagram.jpg</t>
  </si>
  <si>
    <t>The payload range diagram on the right is automatically generated from your values.</t>
  </si>
  <si>
    <t>Fuselage 3-view drawing - use an A3 paper here. You will later on add the rest of the aircraft.</t>
  </si>
  <si>
    <t># of operating engines</t>
  </si>
  <si>
    <t>25.121(a)</t>
  </si>
  <si>
    <t>25.121(b)</t>
  </si>
  <si>
    <t>25.121(c)</t>
  </si>
  <si>
    <t>25.121(d)</t>
  </si>
  <si>
    <t>No. of operating engines</t>
  </si>
  <si>
    <t>Tabulate the take-off power/thrust loading values to satisfy the climb gradients constraint in column (G99:G189) for a range of wing loading values (use column D99:D189)</t>
  </si>
  <si>
    <t>Climb gradient CS25.119</t>
  </si>
  <si>
    <t>Climb gradient CS25.121a</t>
  </si>
  <si>
    <t>Climb gradient CS25.121b</t>
  </si>
  <si>
    <t>Climb gradient CS25.121c</t>
  </si>
  <si>
    <t>Climb gradient CS25.121d</t>
  </si>
  <si>
    <t>Make sure that when integrating your engines that all integration constraints are met.</t>
  </si>
  <si>
    <t>What are your considerations for positioning the engines w.r.t. minimizing the maximum take-off mass of your aircraft?</t>
  </si>
  <si>
    <t>For each of your reference airplanes compute the reference aspect ratio (in the tab "Reference Aircraft")</t>
  </si>
  <si>
    <t>Make an estimate of the ratio of wetted-area to reference area for your reference airplanes (in the tab "Reference Aircraft")</t>
  </si>
  <si>
    <t>Calculate wetted area for your reference airplanes (in the tab "Reference Aircraft")</t>
  </si>
  <si>
    <r>
      <t>m</t>
    </r>
    <r>
      <rPr>
        <vertAlign val="superscript"/>
        <sz val="11"/>
        <color theme="1"/>
        <rFont val="Calibri"/>
        <family val="2"/>
        <scheme val="minor"/>
      </rPr>
      <t>2</t>
    </r>
  </si>
  <si>
    <t>Deg</t>
  </si>
  <si>
    <t>For your reference aircraft:  (in the tab "Reference Aircraft")</t>
  </si>
  <si>
    <t>Pa</t>
  </si>
  <si>
    <t>kg/s</t>
  </si>
  <si>
    <t>fraction of MAC</t>
  </si>
  <si>
    <t>ISA SL conditions</t>
  </si>
  <si>
    <t>Climb gradient requirements CS 25 at ISA SL</t>
  </si>
  <si>
    <t>Climb gradient requirements 25.119</t>
  </si>
  <si>
    <t>Climb gradient requirements 25.121a</t>
  </si>
  <si>
    <t>Climb gradient requirements 25.121b</t>
  </si>
  <si>
    <t>Climb gradient requirements 25.121c</t>
  </si>
  <si>
    <t>Climb gradient requirements 25.121d</t>
  </si>
  <si>
    <t>Decide the # of Engines for your aircraft:</t>
  </si>
  <si>
    <t>kts/Mach</t>
  </si>
  <si>
    <t>Cruise (specify speed in either knots or Mach number, specify the unit)</t>
  </si>
  <si>
    <t xml:space="preserve">Fill this sheet with the requirements for your aircraft. Some fields are prefilled. </t>
  </si>
  <si>
    <t>Make sure to also perform assignment 3.2 and specify the number of engines you choose.</t>
  </si>
  <si>
    <t>Aircraft No.</t>
  </si>
  <si>
    <r>
      <t>S</t>
    </r>
    <r>
      <rPr>
        <b/>
        <vertAlign val="subscript"/>
        <sz val="11"/>
        <color theme="1"/>
        <rFont val="Calibri"/>
        <family val="2"/>
        <scheme val="minor"/>
      </rPr>
      <t>wet</t>
    </r>
    <r>
      <rPr>
        <b/>
        <sz val="11"/>
        <color theme="1"/>
        <rFont val="Calibri"/>
        <family val="2"/>
        <scheme val="minor"/>
      </rPr>
      <t>/S</t>
    </r>
  </si>
  <si>
    <r>
      <t>S</t>
    </r>
    <r>
      <rPr>
        <b/>
        <vertAlign val="subscript"/>
        <sz val="11"/>
        <color theme="1"/>
        <rFont val="Calibri"/>
        <family val="2"/>
        <scheme val="minor"/>
      </rPr>
      <t>wet</t>
    </r>
  </si>
  <si>
    <t>Use this sheet to perform your configuration selection. You can select possibilities from the drop-down lists. Some aspects are prefilled and cannot be changed</t>
  </si>
  <si>
    <t>Always explain your choice in relation to the objective to design for minimum MTOM</t>
  </si>
  <si>
    <t>Does the tail configuration of your choice have an influence on the other design choices you have made regarding the configuration? In otherwords, would you change any of the design decisions you have made before, now that you have chosen your tail configuration? Motivate your answer. In case you make any changes, make sure to report them in the design log book.</t>
  </si>
  <si>
    <t>Has the decision of your landing-gear layout changed your decision on the vertical wing position or how to  integrate the propulsion system? In case you make any changes, make sure to report them in the design log book.</t>
  </si>
  <si>
    <t>Has the integration of the propulsion system changed your design decision regarding the wing configuration? If so, explain. In case you make any changes, make sure to report them in the design log book.</t>
  </si>
  <si>
    <t>Add the fuselage topview in your fuselage 3 view drawing</t>
  </si>
  <si>
    <t>Use this sheet to perform your fuselage design. You'll need to make several drawing on graphing paper. Use the American convention for positioning your front view and side view with respect to your top view.</t>
  </si>
  <si>
    <t>Use this sheet to calculate the drag polar from chapter 6. You will need to refer to this sheet again during the assignments for chapter 7 on the matching diagram</t>
  </si>
  <si>
    <t>Fligth Condition</t>
  </si>
  <si>
    <t>Landing gear position</t>
  </si>
  <si>
    <t>Use this sheet to perform the mass estimation for chapter 6. The resulting payload range diagram is automatically constructed based on your calculations</t>
  </si>
  <si>
    <t>Assignments 6.1 and 6.2 will require you calculate values for your reference aircraft in the tab "Reference Aircraft"</t>
  </si>
  <si>
    <t>Assignment 6.6 will require you calculate values for your reference aircraft in the tab "Reference Aircraft"</t>
  </si>
  <si>
    <t>Design range</t>
  </si>
  <si>
    <t>Design payload</t>
  </si>
  <si>
    <t>Maximum structural payload</t>
  </si>
  <si>
    <r>
      <t xml:space="preserve">Using the steps presented above, add a front view and side view to the wing drawing you made in </t>
    </r>
    <r>
      <rPr>
        <i/>
        <u/>
        <sz val="11"/>
        <color theme="1"/>
        <rFont val="Calibri"/>
        <family val="2"/>
        <scheme val="minor"/>
      </rPr>
      <t>Assignment</t>
    </r>
    <r>
      <rPr>
        <i/>
        <sz val="11"/>
        <color theme="1"/>
        <rFont val="Calibri"/>
        <family val="2"/>
        <scheme val="minor"/>
      </rPr>
      <t xml:space="preserve"> 8.3.</t>
    </r>
  </si>
  <si>
    <r>
      <t xml:space="preserve">Indicate the dihedral angle and </t>
    </r>
    <r>
      <rPr>
        <i/>
        <sz val="11"/>
        <color theme="1"/>
        <rFont val="Calibri"/>
        <family val="2"/>
      </rPr>
      <t xml:space="preserve">ΔZ value </t>
    </r>
    <r>
      <rPr>
        <i/>
        <sz val="11"/>
        <color theme="1"/>
        <rFont val="Calibri"/>
        <family val="2"/>
        <scheme val="minor"/>
      </rPr>
      <t>om the drawing</t>
    </r>
  </si>
  <si>
    <r>
      <t xml:space="preserve">Use the American convention for positioning your front view and side view with respect to your top view, similar to </t>
    </r>
    <r>
      <rPr>
        <i/>
        <u/>
        <sz val="11"/>
        <color theme="1"/>
        <rFont val="Calibri"/>
        <family val="2"/>
        <scheme val="minor"/>
      </rPr>
      <t>Example</t>
    </r>
    <r>
      <rPr>
        <i/>
        <sz val="11"/>
        <color theme="1"/>
        <rFont val="Calibri"/>
        <family val="2"/>
        <scheme val="minor"/>
      </rPr>
      <t xml:space="preserve"> 8.5.</t>
    </r>
  </si>
  <si>
    <t>Why do you make these choices?</t>
  </si>
  <si>
    <r>
      <t>List the values for w</t>
    </r>
    <r>
      <rPr>
        <vertAlign val="subscript"/>
        <sz val="11"/>
        <color theme="1"/>
        <rFont val="Calibri"/>
        <family val="2"/>
        <scheme val="minor"/>
      </rPr>
      <t>cabin</t>
    </r>
    <r>
      <rPr>
        <sz val="11"/>
        <color theme="1"/>
        <rFont val="Calibri"/>
        <family val="2"/>
        <scheme val="minor"/>
      </rPr>
      <t>:</t>
    </r>
  </si>
  <si>
    <r>
      <t>d</t>
    </r>
    <r>
      <rPr>
        <vertAlign val="subscript"/>
        <sz val="11"/>
        <color theme="1"/>
        <rFont val="Calibri"/>
        <family val="2"/>
        <scheme val="minor"/>
      </rPr>
      <t>f_inner</t>
    </r>
    <r>
      <rPr>
        <sz val="11"/>
        <color theme="1"/>
        <rFont val="Calibri"/>
        <family val="2"/>
        <scheme val="minor"/>
      </rPr>
      <t xml:space="preserve"> (if applicable)</t>
    </r>
  </si>
  <si>
    <r>
      <t>d</t>
    </r>
    <r>
      <rPr>
        <vertAlign val="subscript"/>
        <sz val="11"/>
        <color theme="1"/>
        <rFont val="Calibri"/>
        <family val="2"/>
        <scheme val="minor"/>
      </rPr>
      <t xml:space="preserve">f_outer </t>
    </r>
    <r>
      <rPr>
        <sz val="11"/>
        <color theme="1"/>
        <rFont val="Calibri"/>
        <family val="2"/>
        <scheme val="minor"/>
      </rPr>
      <t>(if applicable)</t>
    </r>
  </si>
  <si>
    <r>
      <t>What is the resulting height (h</t>
    </r>
    <r>
      <rPr>
        <vertAlign val="subscript"/>
        <sz val="11"/>
        <color theme="1"/>
        <rFont val="Calibri"/>
        <family val="2"/>
        <scheme val="minor"/>
      </rPr>
      <t>fus</t>
    </r>
    <r>
      <rPr>
        <sz val="11"/>
        <color theme="1"/>
        <rFont val="Calibri"/>
        <family val="2"/>
        <scheme val="minor"/>
      </rPr>
      <t>) of the fuselage cross section that you have designed?</t>
    </r>
  </si>
  <si>
    <r>
      <t>What is the resulting width (w</t>
    </r>
    <r>
      <rPr>
        <vertAlign val="subscript"/>
        <sz val="11"/>
        <color theme="1"/>
        <rFont val="Calibri"/>
        <family val="2"/>
        <scheme val="minor"/>
      </rPr>
      <t>fus</t>
    </r>
    <r>
      <rPr>
        <sz val="11"/>
        <color theme="1"/>
        <rFont val="Calibri"/>
        <family val="2"/>
        <scheme val="minor"/>
      </rPr>
      <t>) of the fuselage cross section that you have designed?</t>
    </r>
  </si>
  <si>
    <r>
      <t>Nose-cone slenderness ratio: l</t>
    </r>
    <r>
      <rPr>
        <vertAlign val="subscript"/>
        <sz val="11"/>
        <color theme="1"/>
        <rFont val="Calibri"/>
        <family val="2"/>
        <scheme val="minor"/>
      </rPr>
      <t>nc</t>
    </r>
    <r>
      <rPr>
        <sz val="11"/>
        <color theme="1"/>
        <rFont val="Calibri"/>
        <family val="2"/>
        <scheme val="minor"/>
      </rPr>
      <t>/d</t>
    </r>
    <r>
      <rPr>
        <vertAlign val="subscript"/>
        <sz val="11"/>
        <color theme="1"/>
        <rFont val="Calibri"/>
        <family val="2"/>
        <scheme val="minor"/>
      </rPr>
      <t>fus</t>
    </r>
  </si>
  <si>
    <r>
      <t>Tail-cone slenderness ratio: l</t>
    </r>
    <r>
      <rPr>
        <vertAlign val="subscript"/>
        <sz val="11"/>
        <color theme="1"/>
        <rFont val="Calibri"/>
        <family val="2"/>
        <scheme val="minor"/>
      </rPr>
      <t>tc</t>
    </r>
    <r>
      <rPr>
        <sz val="11"/>
        <color theme="1"/>
        <rFont val="Calibri"/>
        <family val="2"/>
        <scheme val="minor"/>
      </rPr>
      <t>/d</t>
    </r>
    <r>
      <rPr>
        <vertAlign val="subscript"/>
        <sz val="11"/>
        <color theme="1"/>
        <rFont val="Calibri"/>
        <family val="2"/>
        <scheme val="minor"/>
      </rPr>
      <t>fus</t>
    </r>
  </si>
  <si>
    <r>
      <t>Tail-to-tail-cone length ratio: l</t>
    </r>
    <r>
      <rPr>
        <vertAlign val="subscript"/>
        <sz val="11"/>
        <color theme="1"/>
        <rFont val="Calibri"/>
        <family val="2"/>
        <scheme val="minor"/>
      </rPr>
      <t>t</t>
    </r>
    <r>
      <rPr>
        <sz val="11"/>
        <color theme="1"/>
        <rFont val="Calibri"/>
        <family val="2"/>
        <scheme val="minor"/>
      </rPr>
      <t>/l</t>
    </r>
    <r>
      <rPr>
        <vertAlign val="subscript"/>
        <sz val="11"/>
        <color theme="1"/>
        <rFont val="Calibri"/>
        <family val="2"/>
        <scheme val="minor"/>
      </rPr>
      <t>tc</t>
    </r>
  </si>
  <si>
    <r>
      <t>Nose length: l</t>
    </r>
    <r>
      <rPr>
        <vertAlign val="subscript"/>
        <sz val="11"/>
        <color theme="1"/>
        <rFont val="Calibri"/>
        <family val="2"/>
        <scheme val="minor"/>
      </rPr>
      <t>n</t>
    </r>
  </si>
  <si>
    <r>
      <t>What is the resulting cabin length, l</t>
    </r>
    <r>
      <rPr>
        <vertAlign val="subscript"/>
        <sz val="11"/>
        <color theme="1"/>
        <rFont val="Calibri"/>
        <family val="2"/>
        <scheme val="minor"/>
      </rPr>
      <t>cabin</t>
    </r>
    <r>
      <rPr>
        <sz val="11"/>
        <color theme="1"/>
        <rFont val="Calibri"/>
        <family val="2"/>
        <scheme val="minor"/>
      </rPr>
      <t>?</t>
    </r>
  </si>
  <si>
    <r>
      <t>What is the resulting length of your fuselage, l</t>
    </r>
    <r>
      <rPr>
        <vertAlign val="subscript"/>
        <sz val="11"/>
        <color theme="1"/>
        <rFont val="Calibri"/>
        <family val="2"/>
        <scheme val="minor"/>
      </rPr>
      <t>fus</t>
    </r>
    <r>
      <rPr>
        <sz val="11"/>
        <color theme="1"/>
        <rFont val="Calibri"/>
        <family val="2"/>
        <scheme val="minor"/>
      </rPr>
      <t>?</t>
    </r>
  </si>
  <si>
    <t>Number of emergency exits:</t>
  </si>
  <si>
    <r>
      <t>In cruise configuration, what C</t>
    </r>
    <r>
      <rPr>
        <vertAlign val="subscript"/>
        <sz val="11"/>
        <color theme="1"/>
        <rFont val="Calibri"/>
        <family val="2"/>
        <scheme val="minor"/>
      </rPr>
      <t>Lmax_cruise</t>
    </r>
    <r>
      <rPr>
        <sz val="11"/>
        <color theme="1"/>
        <rFont val="Calibri"/>
        <family val="2"/>
        <scheme val="minor"/>
      </rPr>
      <t xml:space="preserve"> do you assume?</t>
    </r>
  </si>
  <si>
    <r>
      <t>What landing C</t>
    </r>
    <r>
      <rPr>
        <vertAlign val="subscript"/>
        <sz val="11"/>
        <color theme="1"/>
        <rFont val="Calibri"/>
        <family val="2"/>
        <scheme val="minor"/>
      </rPr>
      <t>Lmax_landing</t>
    </r>
    <r>
      <rPr>
        <sz val="11"/>
        <color theme="1"/>
        <rFont val="Calibri"/>
        <family val="2"/>
        <scheme val="minor"/>
      </rPr>
      <t xml:space="preserve"> do you assume?</t>
    </r>
  </si>
  <si>
    <r>
      <t>What take-off C</t>
    </r>
    <r>
      <rPr>
        <vertAlign val="subscript"/>
        <sz val="11"/>
        <color theme="1"/>
        <rFont val="Calibri"/>
        <family val="2"/>
        <scheme val="minor"/>
      </rPr>
      <t>Lmax_take-off</t>
    </r>
    <r>
      <rPr>
        <sz val="11"/>
        <color theme="1"/>
        <rFont val="Calibri"/>
        <family val="2"/>
        <scheme val="minor"/>
      </rPr>
      <t xml:space="preserve"> do you assume?</t>
    </r>
  </si>
  <si>
    <t>By-pass ratio (if applicable):</t>
  </si>
  <si>
    <r>
      <t>N/m</t>
    </r>
    <r>
      <rPr>
        <vertAlign val="superscript"/>
        <sz val="11"/>
        <color theme="1"/>
        <rFont val="Calibri"/>
        <family val="2"/>
        <scheme val="minor"/>
      </rPr>
      <t>2</t>
    </r>
  </si>
  <si>
    <t>If you use unit load devices, specify the type:</t>
  </si>
  <si>
    <t>If you use unit load devices, specify the dimensions</t>
  </si>
  <si>
    <t>internal volume</t>
  </si>
  <si>
    <t>base width</t>
  </si>
  <si>
    <t>overall width</t>
  </si>
  <si>
    <t>Contour (none, single, double)</t>
  </si>
  <si>
    <t>Full width of half width</t>
  </si>
  <si>
    <t>height (overall)</t>
  </si>
  <si>
    <t>height (un-contoured part) equal to overall height in case non contour</t>
  </si>
  <si>
    <t>What value for the parasite drag parameter do you assume?</t>
  </si>
  <si>
    <t>Cells on the right of the diagram are unlocked and can be used for intermediate calculations.</t>
  </si>
  <si>
    <r>
      <t>X</t>
    </r>
    <r>
      <rPr>
        <b/>
        <vertAlign val="subscript"/>
        <sz val="11"/>
        <color rgb="FF000000"/>
        <rFont val="Calibri"/>
        <family val="2"/>
        <scheme val="minor"/>
      </rPr>
      <t>LEMAC</t>
    </r>
  </si>
  <si>
    <r>
      <t>X</t>
    </r>
    <r>
      <rPr>
        <vertAlign val="subscript"/>
        <sz val="11"/>
        <rFont val="Calibri"/>
        <family val="2"/>
        <scheme val="minor"/>
      </rPr>
      <t>TEMAC</t>
    </r>
  </si>
  <si>
    <r>
      <t>M</t>
    </r>
    <r>
      <rPr>
        <vertAlign val="subscript"/>
        <sz val="11"/>
        <color rgb="FF000000"/>
        <rFont val="Calibri"/>
        <family val="2"/>
        <scheme val="minor"/>
      </rPr>
      <t>i</t>
    </r>
  </si>
  <si>
    <r>
      <t>X</t>
    </r>
    <r>
      <rPr>
        <vertAlign val="subscript"/>
        <sz val="11"/>
        <color rgb="FF000000"/>
        <rFont val="Calibri"/>
        <family val="2"/>
        <scheme val="minor"/>
      </rPr>
      <t>i</t>
    </r>
    <r>
      <rPr>
        <sz val="11"/>
        <color rgb="FF000000"/>
        <rFont val="Calibri"/>
        <family val="2"/>
        <scheme val="minor"/>
      </rPr>
      <t xml:space="preserve"> (m)</t>
    </r>
  </si>
  <si>
    <r>
      <t>M</t>
    </r>
    <r>
      <rPr>
        <vertAlign val="subscript"/>
        <sz val="11"/>
        <color rgb="FF000000"/>
        <rFont val="Calibri"/>
        <family val="2"/>
        <scheme val="minor"/>
      </rPr>
      <t>i</t>
    </r>
    <r>
      <rPr>
        <sz val="11"/>
        <color rgb="FF000000"/>
        <rFont val="Calibri"/>
        <family val="2"/>
        <scheme val="minor"/>
      </rPr>
      <t>X</t>
    </r>
    <r>
      <rPr>
        <vertAlign val="subscript"/>
        <sz val="11"/>
        <color rgb="FF000000"/>
        <rFont val="Calibri"/>
        <family val="2"/>
        <scheme val="minor"/>
      </rPr>
      <t>i</t>
    </r>
    <r>
      <rPr>
        <sz val="11"/>
        <color rgb="FF000000"/>
        <rFont val="Calibri"/>
        <family val="2"/>
        <scheme val="minor"/>
      </rPr>
      <t xml:space="preserve"> (m)</t>
    </r>
  </si>
  <si>
    <r>
      <t>M</t>
    </r>
    <r>
      <rPr>
        <vertAlign val="subscript"/>
        <sz val="11"/>
        <color rgb="FF000000"/>
        <rFont val="Calibri"/>
        <family val="2"/>
        <scheme val="minor"/>
      </rPr>
      <t>j</t>
    </r>
  </si>
  <si>
    <r>
      <t>x</t>
    </r>
    <r>
      <rPr>
        <vertAlign val="subscript"/>
        <sz val="11"/>
        <color rgb="FF000000"/>
        <rFont val="Calibri"/>
        <family val="2"/>
        <scheme val="minor"/>
      </rPr>
      <t>j</t>
    </r>
    <r>
      <rPr>
        <sz val="11"/>
        <color rgb="FF000000"/>
        <rFont val="Calibri"/>
        <family val="2"/>
        <scheme val="minor"/>
      </rPr>
      <t xml:space="preserve"> (m)</t>
    </r>
  </si>
  <si>
    <r>
      <t>M</t>
    </r>
    <r>
      <rPr>
        <vertAlign val="subscript"/>
        <sz val="11"/>
        <color rgb="FF000000"/>
        <rFont val="Calibri"/>
        <family val="2"/>
        <scheme val="minor"/>
      </rPr>
      <t>j</t>
    </r>
    <r>
      <rPr>
        <sz val="11"/>
        <color rgb="FF000000"/>
        <rFont val="Calibri"/>
        <family val="2"/>
        <scheme val="minor"/>
      </rPr>
      <t>x</t>
    </r>
    <r>
      <rPr>
        <vertAlign val="subscript"/>
        <sz val="11"/>
        <color rgb="FF000000"/>
        <rFont val="Calibri"/>
        <family val="2"/>
        <scheme val="minor"/>
      </rPr>
      <t>j</t>
    </r>
    <r>
      <rPr>
        <sz val="11"/>
        <color rgb="FF000000"/>
        <rFont val="Calibri"/>
        <family val="2"/>
        <scheme val="minor"/>
      </rPr>
      <t xml:space="preserve"> (m)</t>
    </r>
  </si>
  <si>
    <t>Choose a longitudinal location of the vertical tail aerodynamic center:</t>
  </si>
  <si>
    <t>Determine the number of main landing gear wheels for your aircraft:</t>
  </si>
  <si>
    <t>Determine the number of wheels per main gear strut:</t>
  </si>
  <si>
    <t>Landing gear design and positioning</t>
  </si>
  <si>
    <t>In your design log book, reflect on the chosen design point in relation to your reference aircraft in terms of your aircraft performance/requirements/design choices.</t>
  </si>
  <si>
    <t>Maximum take-off mass [kg]</t>
  </si>
  <si>
    <t>Maximum payload [kg]</t>
  </si>
  <si>
    <t>Range [km]</t>
  </si>
  <si>
    <t>Empty mass (or Operating Empty Mass) [kg]</t>
  </si>
  <si>
    <r>
      <t>Wing Area [m</t>
    </r>
    <r>
      <rPr>
        <b/>
        <vertAlign val="superscript"/>
        <sz val="11"/>
        <color theme="1"/>
        <rFont val="Calibri"/>
        <family val="2"/>
        <scheme val="minor"/>
      </rPr>
      <t>2</t>
    </r>
    <r>
      <rPr>
        <b/>
        <sz val="11"/>
        <color theme="1"/>
        <rFont val="Calibri"/>
        <family val="2"/>
        <scheme val="minor"/>
      </rPr>
      <t>]</t>
    </r>
  </si>
  <si>
    <t>Wing span [m]</t>
  </si>
  <si>
    <t>Use this table to specify the reference aircraft you select. Select 5 aircraft that are close to your requirements. Later, you will complete the assignments from chapter 6 and 7 in the same table</t>
  </si>
  <si>
    <t>Specify for your reference aircraft their take-off power or thrust loading.</t>
  </si>
  <si>
    <t>LCN number</t>
  </si>
  <si>
    <t>Determine the tire pressure</t>
  </si>
  <si>
    <t>kPa</t>
  </si>
  <si>
    <t>Compute static load per main gear wheel</t>
  </si>
  <si>
    <t>Tire diameter</t>
  </si>
  <si>
    <t>Tire width</t>
  </si>
  <si>
    <t>Specify the type (British or American) of tire</t>
  </si>
  <si>
    <t>Select the smallest applicable tire and report:</t>
  </si>
  <si>
    <t>State the design payload mass</t>
  </si>
  <si>
    <t>State the maximum payload mass</t>
  </si>
  <si>
    <t>Assume an appropriate cargo hold luggage mass per passenger</t>
  </si>
  <si>
    <t>Assume an appropriate passenger mass excluding luggage</t>
  </si>
  <si>
    <t>Compute the total passenger mass excluding luggage</t>
  </si>
  <si>
    <t>Assume an appropriate carry-on luggage mass per passenger</t>
  </si>
  <si>
    <t>Compute the total carry-on luggage mass</t>
  </si>
  <si>
    <t>Compute the total cargo-hold luggage based mass</t>
  </si>
  <si>
    <t>Compute the remaining cargo mass for the design payload</t>
  </si>
  <si>
    <t>Compute the remaining cargo mass for the maximum structural payload</t>
  </si>
  <si>
    <t>By-pass ratio</t>
  </si>
  <si>
    <r>
      <t>Choose an appropriate turbine inlet temperature (T</t>
    </r>
    <r>
      <rPr>
        <vertAlign val="subscript"/>
        <sz val="11"/>
        <color theme="1"/>
        <rFont val="Calibri"/>
        <family val="2"/>
        <scheme val="minor"/>
      </rPr>
      <t>t4</t>
    </r>
    <r>
      <rPr>
        <sz val="11"/>
        <color theme="1"/>
        <rFont val="Calibri"/>
        <family val="2"/>
        <scheme val="minor"/>
      </rPr>
      <t>)</t>
    </r>
  </si>
  <si>
    <r>
      <t>Assume a value for the combined turbine and fan efficiency η</t>
    </r>
    <r>
      <rPr>
        <vertAlign val="subscript"/>
        <sz val="11"/>
        <color theme="1"/>
        <rFont val="Calibri"/>
        <family val="2"/>
        <scheme val="minor"/>
      </rPr>
      <t>tf</t>
    </r>
  </si>
  <si>
    <r>
      <t>Assume a value for the nozzle effiency, η</t>
    </r>
    <r>
      <rPr>
        <vertAlign val="subscript"/>
        <sz val="11"/>
        <color theme="1"/>
        <rFont val="Calibri"/>
        <family val="2"/>
        <scheme val="minor"/>
      </rPr>
      <t>noz</t>
    </r>
  </si>
  <si>
    <t>Calculate the gas generator property, G</t>
  </si>
  <si>
    <t>Calculate the mass flow through your engine</t>
  </si>
  <si>
    <t>What type of nacelle do you choose for your turbofan engine?</t>
  </si>
  <si>
    <t>Explain your decision</t>
  </si>
  <si>
    <t>nacelle type</t>
  </si>
  <si>
    <t>Calculate the nacelle length (excluding cone)</t>
  </si>
  <si>
    <t>Calculate the maximum nacelle diameter</t>
  </si>
  <si>
    <t>Calculate exit diameter of the fan cowling</t>
  </si>
  <si>
    <t>Determine a value for ϕ</t>
  </si>
  <si>
    <t>Determine the exposed gas generator cowling length</t>
  </si>
  <si>
    <t>Calculate the cowling diameter of the exposed gasturbine core at fan cowling exit</t>
  </si>
  <si>
    <t>Calculate the exit diameter of the gasturbine cowling</t>
  </si>
  <si>
    <t>Aircraft Design Data sheet</t>
  </si>
  <si>
    <t>Academic year of first enrolment</t>
  </si>
  <si>
    <t>academic year</t>
  </si>
  <si>
    <t>Before 2023/2024</t>
  </si>
  <si>
    <t>2023/2024</t>
  </si>
  <si>
    <t>depth</t>
  </si>
  <si>
    <t>Prohnitchi</t>
  </si>
  <si>
    <t>Alexandru</t>
  </si>
  <si>
    <t>0.7 M</t>
  </si>
  <si>
    <t>227.7</t>
  </si>
  <si>
    <t>0.92</t>
  </si>
  <si>
    <t>3.2</t>
  </si>
  <si>
    <t>0.5</t>
  </si>
  <si>
    <t>2.4</t>
  </si>
  <si>
    <t>1.2</t>
  </si>
  <si>
    <t>2.1</t>
  </si>
  <si>
    <t>Embraer</t>
  </si>
  <si>
    <t>E-175-E2</t>
  </si>
  <si>
    <t>6.56</t>
  </si>
  <si>
    <t>Bombardier</t>
  </si>
  <si>
    <t xml:space="preserve">BAe </t>
  </si>
  <si>
    <t>Bae-146-100</t>
  </si>
  <si>
    <t>77.3</t>
  </si>
  <si>
    <t>26.34</t>
  </si>
  <si>
    <t>ATR</t>
  </si>
  <si>
    <t>72-600</t>
  </si>
  <si>
    <t>27.06</t>
  </si>
  <si>
    <t>Saab</t>
  </si>
  <si>
    <t>55.7</t>
  </si>
  <si>
    <t>24.8</t>
  </si>
  <si>
    <t>11.04</t>
  </si>
  <si>
    <t>As the aircraft being designed is a jet powered civilian aircraft, a low wing position is expected. This wing position allows for the landing gear to be integrated inside it. A low wing configuration also allows the wing to be easily accesible, therefore maintance and refueling can be done much easier, and this is a very important criteria for this airplane, as a civilian aircraft will usually be flying multiple times a day</t>
  </si>
  <si>
    <t>Taking into account the parameters of the aircraft, such as the Mach number, and especially a cruising speed of 9300 meters, where air is very thin, a jet engine, and specifically a turbofan would be the best suited choice, taking into account both flight parameters and financial parameters.</t>
  </si>
  <si>
    <t xml:space="preserve">As the aircraft is desgined for 74 passengers and the wing has a low position, under wing mounted jet engines will have issues with ground clearance, will increase the risk of FOD, and will add stress to the wings. Therefore, a pair of jet engines mounted on the rear fuselage will solve these issues, and will even reduce the noise that is heard by the passengers. The additional weight added by structural reinforcements required by the fuselage will not be much of an issue due to the small range of the aircraft. In case of a one-engine failure, the yawing moment is much smaller due to the engines being located closer to the symmetry plane, therefore it is easier to control the aircraft </t>
  </si>
  <si>
    <t>Equip the engine with containment rings and a nacelle desgined to contain debris from a failing turbine disk or blade. Redundancy for critical systems should also be added. In addition to this, by placing the engines in the rear of the fuselage, we are moving it away from critical control surfaces and from the main cabin. Use advanced materials with a high strenght and resistance to cracking and fatigue.</t>
  </si>
  <si>
    <t>In this case, no, as the integration of the propulsion system and the wing configuration have been designed at the same time</t>
  </si>
  <si>
    <t>The decision of the landing gear attachament has addded one more reason for a rear fuselage engine placement.</t>
  </si>
  <si>
    <t>The choice of a retractable landing gear is quite obvious due to drag reasons. A tricycle layout is the one chosen. The majority of modern aircraft have a tricycle layout as they are much easier to land, and they reduce the possibility of a ground loop. A wing mounted attachment has been chosen. Because the engines are placed on the rear of the fuselage, this means that the wings already have to be reinforced (which would be the case as well for wing mounted landing gear), as such we kill two birds with one stone. The wing placement is low, therefore a long landing gear leg will not be necessary, further reducing mass.</t>
  </si>
  <si>
    <t>For a rear fuselage engine placement, a T-Tail is the best choice, so that the exhaust from the engines will not hit it. A T-Tail also has the maximum stabilizing effectiveness, and because the arm between the COG and the horizontal taiplane is maximized, this means the the horizontal taiplane can be lighter, therefore balancing out the necessary reinforcements to the vertical taiplane</t>
  </si>
  <si>
    <t>Quite the opposite, the engine placement had an effect on the tail configuration, as a normal low tail or even a cruciform tail would not be possible here due to the engine exhaust.</t>
  </si>
  <si>
    <t>288.15</t>
  </si>
  <si>
    <t>0.72</t>
  </si>
  <si>
    <t>2.47</t>
  </si>
  <si>
    <t>4.36</t>
  </si>
  <si>
    <t>0.093</t>
  </si>
  <si>
    <t>6.83</t>
  </si>
  <si>
    <t>The fuselage will be divded into two levels, one above for the passengers, and one below for the cargo. This ìs done so that the passengers have an horizontal platform to stand on and move in the plane. It is also how the reference aircrafts approach this question.</t>
  </si>
  <si>
    <t>The cargo will be stored in bulk, as there is not enough cargo and not enough space either to store it in unit load devices</t>
  </si>
  <si>
    <t>0.4</t>
  </si>
  <si>
    <t>2.48</t>
  </si>
  <si>
    <t>In my case, I have decided that the best option for the aspect ratio would be to simply take the average of the aspect ratios in my references planes, which I rounded up from 9.46 to 9.5. This is a mid to high aspect ratio in relation to other planes in the industry.</t>
  </si>
  <si>
    <t>A relatively high aspect ratio will considerably reduce the lift-induced drag on the airplane.</t>
  </si>
  <si>
    <t>Generally, the higher the aspect ratio, the higher the wing weight, therefore the wing will be heavier than average.</t>
  </si>
  <si>
    <t>This aspect ratio will make the wing thinner, therefore there will not be a lot of space for big fuel tanks or other systems.</t>
  </si>
  <si>
    <t>5.5</t>
  </si>
  <si>
    <t>CRJ700</t>
  </si>
  <si>
    <t>6.5</t>
  </si>
  <si>
    <t>0.00325</t>
  </si>
  <si>
    <t>0.017875</t>
  </si>
  <si>
    <t>0.0075</t>
  </si>
  <si>
    <t>39.3%</t>
  </si>
  <si>
    <t>0.106</t>
  </si>
  <si>
    <t>0.71</t>
  </si>
  <si>
    <t>68.6</t>
  </si>
  <si>
    <t>23.2</t>
  </si>
  <si>
    <t>7.85</t>
  </si>
  <si>
    <t>0.6</t>
  </si>
  <si>
    <t>0.61</t>
  </si>
  <si>
    <t>0.566</t>
  </si>
  <si>
    <t>0.63</t>
  </si>
  <si>
    <t>0.62</t>
  </si>
  <si>
    <t>Civilian Jet</t>
  </si>
  <si>
    <t>Yes</t>
  </si>
  <si>
    <t>No</t>
  </si>
  <si>
    <t>2.3</t>
  </si>
  <si>
    <t>1.95</t>
  </si>
  <si>
    <t>1.7</t>
  </si>
  <si>
    <t>9.85</t>
  </si>
  <si>
    <t>To determine the quarter chord sweep angle, I looked at the cruise number, and as it was greater than 0,66, used the method presented in the book to find the angle based on the arccos calculations. At the same time, this angle is similar to some of the reference plane's.</t>
  </si>
  <si>
    <t>Using the linear regression curve and its formula from the book, by taking into account the quarter chord sweep angle, I arrived at a taper ratio of 0,35 for the wing, which falls into the realm of common sense and is also similar to some reference planes.</t>
  </si>
  <si>
    <t>These choices were made using the reference aircrafts as the basis, and also using common sense when it comes to dimensioning and scaling.</t>
  </si>
  <si>
    <t>This angle allows for an increase in clearance between the ground and the fuselage when the airplane has an increased pitch attitude</t>
  </si>
  <si>
    <t>These are some common values used in the industry, including in the reference aircraft</t>
  </si>
  <si>
    <t>The number of passengers is 74, however some aicraft may decide to add at most 2 additional rows of seats, bringing the total number to 82 passengers, over the lower limit of 80, therefore needing at least 2 type 1 emergency exists and 1 type 3 emergency exists</t>
  </si>
  <si>
    <t>No, as there exists a range of possible values of t/c to choose from</t>
  </si>
  <si>
    <t>For the plane, 3.5 degrees just seems to small to comply with ground clearance values.</t>
  </si>
  <si>
    <t>Lower wetted area, less mass for the nacelle</t>
  </si>
  <si>
    <t>02.04.2023</t>
  </si>
  <si>
    <t>Changed location of aft type I emergency exit</t>
  </si>
  <si>
    <t>Compute static load per nose gear wheel</t>
  </si>
  <si>
    <t>British</t>
  </si>
  <si>
    <t>36 x 10,75 - 16,5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</si>
</sst>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vertAlign val="superscript"/>
      <sz val="11"/>
      <color theme="1"/>
      <name val="Calibri"/>
      <family val="2"/>
      <scheme val="minor"/>
    </font>
    <font>
      <b/>
      <sz val="11"/>
      <color theme="1"/>
      <name val="Calibri"/>
      <family val="2"/>
      <scheme val="minor"/>
    </font>
    <font>
      <vertAlign val="subscript"/>
      <sz val="11"/>
      <color theme="1"/>
      <name val="Calibri"/>
      <family val="2"/>
      <scheme val="minor"/>
    </font>
    <font>
      <b/>
      <sz val="11"/>
      <color rgb="FFC00000"/>
      <name val="Calibri"/>
      <family val="2"/>
      <scheme val="minor"/>
    </font>
    <font>
      <sz val="11"/>
      <color rgb="FFFF0000"/>
      <name val="Calibri"/>
      <family val="2"/>
      <scheme val="minor"/>
    </font>
    <font>
      <b/>
      <sz val="11"/>
      <color rgb="FF000000"/>
      <name val="Calibri"/>
      <family val="2"/>
      <scheme val="minor"/>
    </font>
    <font>
      <b/>
      <vertAlign val="subscript"/>
      <sz val="11"/>
      <color rgb="FF000000"/>
      <name val="Calibri"/>
      <family val="2"/>
      <scheme val="minor"/>
    </font>
    <font>
      <sz val="11"/>
      <color rgb="FF000000"/>
      <name val="Calibri"/>
      <family val="2"/>
      <scheme val="minor"/>
    </font>
    <font>
      <sz val="11"/>
      <name val="Calibri"/>
      <family val="2"/>
      <scheme val="minor"/>
    </font>
    <font>
      <i/>
      <sz val="11"/>
      <color theme="1"/>
      <name val="Calibri"/>
      <family val="2"/>
      <scheme val="minor"/>
    </font>
    <font>
      <b/>
      <sz val="11"/>
      <color rgb="FFFF0000"/>
      <name val="Calibri"/>
      <family val="2"/>
      <scheme val="minor"/>
    </font>
    <font>
      <sz val="11"/>
      <color theme="0"/>
      <name val="Calibri"/>
      <family val="2"/>
      <scheme val="minor"/>
    </font>
    <font>
      <b/>
      <i/>
      <sz val="11"/>
      <color theme="1"/>
      <name val="Calibri"/>
      <family val="2"/>
      <scheme val="minor"/>
    </font>
    <font>
      <b/>
      <vertAlign val="superscript"/>
      <sz val="11"/>
      <color theme="1"/>
      <name val="Calibri"/>
      <family val="2"/>
      <scheme val="minor"/>
    </font>
    <font>
      <vertAlign val="subscript"/>
      <sz val="8"/>
      <color theme="1"/>
      <name val="Calibri"/>
      <family val="2"/>
      <scheme val="minor"/>
    </font>
    <font>
      <b/>
      <sz val="11"/>
      <color theme="4"/>
      <name val="Calibri"/>
      <family val="2"/>
      <scheme val="minor"/>
    </font>
    <font>
      <b/>
      <sz val="11"/>
      <color theme="5"/>
      <name val="Calibri"/>
      <family val="2"/>
      <scheme val="minor"/>
    </font>
    <font>
      <b/>
      <sz val="11"/>
      <color rgb="FF7030A0"/>
      <name val="Calibri"/>
      <family val="2"/>
      <scheme val="minor"/>
    </font>
    <font>
      <b/>
      <sz val="11"/>
      <color theme="7"/>
      <name val="Calibri"/>
      <family val="2"/>
      <scheme val="minor"/>
    </font>
    <font>
      <b/>
      <sz val="11"/>
      <color theme="9"/>
      <name val="Calibri"/>
      <family val="2"/>
      <scheme val="minor"/>
    </font>
    <font>
      <b/>
      <sz val="14"/>
      <color theme="1"/>
      <name val="Calibri"/>
      <family val="2"/>
      <scheme val="minor"/>
    </font>
    <font>
      <b/>
      <sz val="11"/>
      <color theme="7" tint="-0.249977111117893"/>
      <name val="Calibri"/>
      <family val="2"/>
      <scheme val="minor"/>
    </font>
    <font>
      <b/>
      <sz val="11"/>
      <color rgb="FF00B0F0"/>
      <name val="Calibri"/>
      <family val="2"/>
      <scheme val="minor"/>
    </font>
    <font>
      <b/>
      <sz val="11"/>
      <color rgb="FFFF7401"/>
      <name val="Calibri"/>
      <family val="2"/>
      <scheme val="minor"/>
    </font>
    <font>
      <b/>
      <sz val="11"/>
      <name val="Calibri"/>
      <family val="2"/>
      <scheme val="minor"/>
    </font>
    <font>
      <b/>
      <i/>
      <sz val="12"/>
      <color theme="1"/>
      <name val="Calibri"/>
      <family val="2"/>
      <scheme val="minor"/>
    </font>
    <font>
      <b/>
      <vertAlign val="subscript"/>
      <sz val="11"/>
      <color theme="1"/>
      <name val="Calibri"/>
      <family val="2"/>
      <scheme val="minor"/>
    </font>
    <font>
      <i/>
      <u/>
      <sz val="11"/>
      <color theme="1"/>
      <name val="Calibri"/>
      <family val="2"/>
      <scheme val="minor"/>
    </font>
    <font>
      <i/>
      <sz val="11"/>
      <color theme="1"/>
      <name val="Calibri"/>
      <family val="2"/>
    </font>
    <font>
      <sz val="11"/>
      <color theme="5"/>
      <name val="Calibri"/>
      <family val="2"/>
      <scheme val="minor"/>
    </font>
    <font>
      <i/>
      <sz val="11"/>
      <name val="Calibri"/>
      <family val="2"/>
      <scheme val="minor"/>
    </font>
    <font>
      <i/>
      <sz val="11"/>
      <color rgb="FF000000"/>
      <name val="Calibri"/>
      <family val="2"/>
      <scheme val="minor"/>
    </font>
    <font>
      <vertAlign val="subscript"/>
      <sz val="11"/>
      <name val="Calibri"/>
      <family val="2"/>
      <scheme val="minor"/>
    </font>
    <font>
      <vertAlign val="subscript"/>
      <sz val="11"/>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2">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s>
  <cellStyleXfs count="1">
    <xf numFmtId="0" fontId="0" fillId="0" borderId="0"/>
  </cellStyleXfs>
  <cellXfs count="139">
    <xf numFmtId="0" fontId="0" fillId="0" borderId="0" xfId="0"/>
    <xf numFmtId="0" fontId="0" fillId="2" borderId="2" xfId="0" applyFill="1" applyBorder="1" applyProtection="1">
      <protection locked="0"/>
    </xf>
    <xf numFmtId="0" fontId="0" fillId="2" borderId="0" xfId="0" applyFill="1"/>
    <xf numFmtId="0" fontId="11" fillId="2" borderId="0" xfId="0" applyFont="1" applyFill="1" applyAlignment="1">
      <alignment horizontal="center" vertical="center"/>
    </xf>
    <xf numFmtId="0" fontId="2" fillId="2" borderId="0" xfId="0" applyFont="1" applyFill="1" applyAlignment="1">
      <alignment horizontal="left" wrapText="1"/>
    </xf>
    <xf numFmtId="0" fontId="2" fillId="2" borderId="0" xfId="0" applyFont="1" applyFill="1" applyAlignment="1">
      <alignment horizontal="center"/>
    </xf>
    <xf numFmtId="0" fontId="9" fillId="2" borderId="0" xfId="0" applyFont="1" applyFill="1"/>
    <xf numFmtId="0" fontId="2" fillId="2" borderId="0" xfId="0" applyFont="1" applyFill="1"/>
    <xf numFmtId="0" fontId="21" fillId="2" borderId="0" xfId="0" applyFont="1" applyFill="1"/>
    <xf numFmtId="49" fontId="0" fillId="2" borderId="2" xfId="0" applyNumberFormat="1" applyFill="1" applyBorder="1" applyProtection="1">
      <protection locked="0"/>
    </xf>
    <xf numFmtId="14" fontId="0" fillId="2" borderId="2" xfId="0" applyNumberFormat="1" applyFill="1" applyBorder="1" applyProtection="1">
      <protection locked="0"/>
    </xf>
    <xf numFmtId="1" fontId="0" fillId="2" borderId="2" xfId="0" applyNumberFormat="1" applyFill="1" applyBorder="1" applyProtection="1">
      <protection locked="0"/>
    </xf>
    <xf numFmtId="0" fontId="0" fillId="2" borderId="0" xfId="0" applyFill="1" applyAlignment="1">
      <alignment horizontal="left"/>
    </xf>
    <xf numFmtId="0" fontId="25" fillId="2" borderId="0" xfId="0" applyFont="1" applyFill="1"/>
    <xf numFmtId="0" fontId="0" fillId="2" borderId="2" xfId="0" applyFill="1" applyBorder="1"/>
    <xf numFmtId="0" fontId="0" fillId="2" borderId="0" xfId="0" applyFill="1" applyProtection="1">
      <protection locked="0"/>
    </xf>
    <xf numFmtId="0" fontId="0" fillId="0" borderId="0" xfId="0" applyProtection="1">
      <protection locked="0"/>
    </xf>
    <xf numFmtId="0" fontId="2" fillId="2" borderId="0" xfId="0" applyFont="1" applyFill="1" applyProtection="1">
      <protection locked="0"/>
    </xf>
    <xf numFmtId="0" fontId="26" fillId="2" borderId="0" xfId="0" applyFont="1" applyFill="1"/>
    <xf numFmtId="0" fontId="2" fillId="0" borderId="0" xfId="0" applyFont="1" applyAlignment="1">
      <alignment wrapText="1"/>
    </xf>
    <xf numFmtId="0" fontId="2" fillId="2" borderId="0" xfId="0" applyFont="1" applyFill="1" applyAlignment="1">
      <alignment wrapText="1"/>
    </xf>
    <xf numFmtId="0" fontId="0" fillId="0" borderId="0" xfId="0" applyAlignment="1" applyProtection="1">
      <alignment wrapText="1"/>
      <protection locked="0"/>
    </xf>
    <xf numFmtId="1" fontId="0" fillId="2" borderId="0" xfId="0" applyNumberFormat="1" applyFill="1"/>
    <xf numFmtId="0" fontId="0" fillId="0" borderId="0" xfId="0" applyAlignment="1">
      <alignment wrapText="1"/>
    </xf>
    <xf numFmtId="0" fontId="0" fillId="2" borderId="0" xfId="0" applyFill="1" applyAlignment="1">
      <alignment wrapText="1"/>
    </xf>
    <xf numFmtId="0" fontId="10" fillId="2" borderId="0" xfId="0" applyFont="1" applyFill="1" applyAlignment="1">
      <alignment horizontal="left"/>
    </xf>
    <xf numFmtId="0" fontId="0" fillId="2" borderId="3" xfId="0" applyFill="1" applyBorder="1" applyProtection="1">
      <protection locked="0"/>
    </xf>
    <xf numFmtId="0" fontId="2" fillId="2" borderId="0" xfId="0" applyFont="1" applyFill="1" applyAlignment="1">
      <alignment horizontal="left" vertical="top"/>
    </xf>
    <xf numFmtId="0" fontId="2" fillId="2" borderId="0" xfId="0" applyFont="1" applyFill="1" applyAlignment="1">
      <alignment horizontal="left" vertical="top" wrapText="1"/>
    </xf>
    <xf numFmtId="0" fontId="5" fillId="2" borderId="0" xfId="0" applyFont="1" applyFill="1"/>
    <xf numFmtId="0" fontId="13" fillId="2" borderId="0" xfId="0" applyFont="1" applyFill="1"/>
    <xf numFmtId="0" fontId="0" fillId="2" borderId="0" xfId="0" applyFill="1" applyAlignment="1">
      <alignment horizontal="left" vertical="top" wrapText="1"/>
    </xf>
    <xf numFmtId="0" fontId="0" fillId="2" borderId="0" xfId="0" applyFill="1" applyAlignment="1">
      <alignment horizontal="left" vertical="top"/>
    </xf>
    <xf numFmtId="0" fontId="0" fillId="2" borderId="2" xfId="0" applyFill="1" applyBorder="1" applyAlignment="1" applyProtection="1">
      <alignment horizontal="left" vertical="top" wrapText="1"/>
      <protection locked="0"/>
    </xf>
    <xf numFmtId="0" fontId="0" fillId="2" borderId="0" xfId="0" applyFill="1" applyAlignment="1">
      <alignment vertical="top" wrapText="1"/>
    </xf>
    <xf numFmtId="0" fontId="12" fillId="2" borderId="0" xfId="0" applyFont="1" applyFill="1"/>
    <xf numFmtId="0" fontId="0" fillId="2" borderId="0" xfId="0" applyFill="1" applyAlignment="1">
      <alignment vertical="top"/>
    </xf>
    <xf numFmtId="0" fontId="0" fillId="2" borderId="0" xfId="0" applyFill="1" applyAlignment="1">
      <alignment horizontal="right"/>
    </xf>
    <xf numFmtId="0" fontId="10" fillId="2" borderId="0" xfId="0" applyFont="1" applyFill="1"/>
    <xf numFmtId="0" fontId="30" fillId="2" borderId="0" xfId="0" applyFont="1" applyFill="1"/>
    <xf numFmtId="0" fontId="0" fillId="2" borderId="5" xfId="0" applyFill="1" applyBorder="1"/>
    <xf numFmtId="0" fontId="0" fillId="2" borderId="14" xfId="0" applyFill="1" applyBorder="1" applyAlignment="1">
      <alignment horizontal="left" vertical="top"/>
    </xf>
    <xf numFmtId="0" fontId="0" fillId="2" borderId="15" xfId="0" applyFill="1" applyBorder="1" applyAlignment="1">
      <alignment horizontal="left" vertical="top"/>
    </xf>
    <xf numFmtId="0" fontId="28" fillId="2" borderId="0" xfId="0" applyFont="1" applyFill="1"/>
    <xf numFmtId="0" fontId="0" fillId="2" borderId="5" xfId="0" applyFill="1" applyBorder="1" applyProtection="1">
      <protection locked="0"/>
    </xf>
    <xf numFmtId="0" fontId="2" fillId="2" borderId="0" xfId="0" applyFont="1" applyFill="1" applyAlignment="1" applyProtection="1">
      <alignment horizontal="center" textRotation="45" wrapText="1"/>
      <protection locked="0"/>
    </xf>
    <xf numFmtId="0" fontId="16" fillId="2" borderId="0" xfId="0" applyFont="1" applyFill="1" applyAlignment="1" applyProtection="1">
      <alignment horizontal="center" textRotation="45" wrapText="1"/>
      <protection locked="0"/>
    </xf>
    <xf numFmtId="0" fontId="17" fillId="2" borderId="0" xfId="0" applyFont="1" applyFill="1" applyAlignment="1" applyProtection="1">
      <alignment horizontal="center" textRotation="45" wrapText="1"/>
      <protection locked="0"/>
    </xf>
    <xf numFmtId="0" fontId="18" fillId="2" borderId="0" xfId="0" applyFont="1" applyFill="1" applyAlignment="1" applyProtection="1">
      <alignment horizontal="center" textRotation="45" wrapText="1"/>
      <protection locked="0"/>
    </xf>
    <xf numFmtId="0" fontId="19" fillId="2" borderId="0" xfId="0" applyFont="1" applyFill="1" applyAlignment="1" applyProtection="1">
      <alignment horizontal="center" textRotation="45" wrapText="1"/>
      <protection locked="0"/>
    </xf>
    <xf numFmtId="0" fontId="4" fillId="2" borderId="0" xfId="0" applyFont="1" applyFill="1" applyAlignment="1" applyProtection="1">
      <alignment horizontal="center" textRotation="45" wrapText="1"/>
      <protection locked="0"/>
    </xf>
    <xf numFmtId="0" fontId="11" fillId="2" borderId="0" xfId="0" applyFont="1" applyFill="1" applyAlignment="1" applyProtection="1">
      <alignment horizontal="center" textRotation="45" wrapText="1"/>
      <protection locked="0"/>
    </xf>
    <xf numFmtId="0" fontId="24" fillId="2" borderId="0" xfId="0" applyFont="1" applyFill="1" applyAlignment="1" applyProtection="1">
      <alignment horizontal="center" textRotation="45" wrapText="1"/>
      <protection locked="0"/>
    </xf>
    <xf numFmtId="0" fontId="22" fillId="2" borderId="0" xfId="0" applyFont="1" applyFill="1" applyAlignment="1" applyProtection="1">
      <alignment horizontal="center" textRotation="45" wrapText="1"/>
      <protection locked="0"/>
    </xf>
    <xf numFmtId="0" fontId="23" fillId="2" borderId="0" xfId="0" applyFont="1" applyFill="1" applyAlignment="1" applyProtection="1">
      <alignment horizontal="center" textRotation="45" wrapText="1"/>
      <protection locked="0"/>
    </xf>
    <xf numFmtId="0" fontId="20" fillId="2" borderId="0" xfId="0" applyFont="1" applyFill="1" applyAlignment="1" applyProtection="1">
      <alignment horizontal="center" textRotation="45" wrapText="1"/>
      <protection locked="0"/>
    </xf>
    <xf numFmtId="0" fontId="10" fillId="2" borderId="3" xfId="0" applyFont="1" applyFill="1" applyBorder="1" applyProtection="1">
      <protection locked="0"/>
    </xf>
    <xf numFmtId="0" fontId="31" fillId="2" borderId="0" xfId="0" applyFont="1" applyFill="1"/>
    <xf numFmtId="0" fontId="6" fillId="2" borderId="0" xfId="0" applyFont="1" applyFill="1" applyAlignment="1">
      <alignment horizontal="left" wrapText="1" readingOrder="1"/>
    </xf>
    <xf numFmtId="0" fontId="8" fillId="2" borderId="0" xfId="0" applyFont="1" applyFill="1" applyAlignment="1">
      <alignment horizontal="left" wrapText="1" readingOrder="1"/>
    </xf>
    <xf numFmtId="0" fontId="9" fillId="2" borderId="0" xfId="0" applyFont="1" applyFill="1" applyAlignment="1">
      <alignment wrapText="1"/>
    </xf>
    <xf numFmtId="0" fontId="8" fillId="2" borderId="0" xfId="0" applyFont="1" applyFill="1" applyAlignment="1">
      <alignment horizontal="right" wrapText="1" readingOrder="1"/>
    </xf>
    <xf numFmtId="0" fontId="9" fillId="2" borderId="0" xfId="0" applyFont="1" applyFill="1" applyAlignment="1">
      <alignment horizontal="right" wrapText="1"/>
    </xf>
    <xf numFmtId="0" fontId="9" fillId="2" borderId="0" xfId="0" applyFont="1" applyFill="1" applyAlignment="1">
      <alignment horizontal="left" wrapText="1" readingOrder="1"/>
    </xf>
    <xf numFmtId="0" fontId="8" fillId="2" borderId="2" xfId="0" applyFont="1" applyFill="1" applyBorder="1" applyAlignment="1">
      <alignment horizontal="left" wrapText="1" readingOrder="1"/>
    </xf>
    <xf numFmtId="0" fontId="32" fillId="2" borderId="0" xfId="0" applyFont="1" applyFill="1" applyAlignment="1">
      <alignment horizontal="left" readingOrder="1"/>
    </xf>
    <xf numFmtId="0" fontId="31" fillId="2" borderId="0" xfId="0" applyFont="1" applyFill="1" applyAlignment="1">
      <alignment horizontal="left" readingOrder="1"/>
    </xf>
    <xf numFmtId="0" fontId="9" fillId="2" borderId="0" xfId="0" applyFont="1" applyFill="1" applyAlignment="1">
      <alignment horizontal="right" wrapText="1" readingOrder="1"/>
    </xf>
    <xf numFmtId="0" fontId="9" fillId="2" borderId="1" xfId="0" applyFont="1" applyFill="1" applyBorder="1" applyAlignment="1">
      <alignment horizontal="left" wrapText="1" readingOrder="1"/>
    </xf>
    <xf numFmtId="0" fontId="9" fillId="2" borderId="1" xfId="0" applyFont="1" applyFill="1" applyBorder="1" applyAlignment="1">
      <alignment horizontal="right" wrapText="1" readingOrder="1"/>
    </xf>
    <xf numFmtId="0" fontId="8" fillId="2" borderId="2" xfId="0" applyFont="1" applyFill="1" applyBorder="1" applyAlignment="1" applyProtection="1">
      <alignment horizontal="right" wrapText="1" readingOrder="1"/>
      <protection locked="0"/>
    </xf>
    <xf numFmtId="0" fontId="9" fillId="2" borderId="2" xfId="0" applyFont="1" applyFill="1" applyBorder="1" applyAlignment="1" applyProtection="1">
      <alignment horizontal="right" wrapText="1" readingOrder="1"/>
      <protection locked="0"/>
    </xf>
    <xf numFmtId="0" fontId="8" fillId="2" borderId="2" xfId="0" applyFont="1" applyFill="1" applyBorder="1" applyAlignment="1" applyProtection="1">
      <alignment horizontal="left" wrapText="1" readingOrder="1"/>
      <protection locked="0"/>
    </xf>
    <xf numFmtId="0" fontId="9" fillId="2" borderId="2" xfId="0" applyFont="1" applyFill="1" applyBorder="1" applyAlignment="1" applyProtection="1">
      <alignment wrapText="1"/>
      <protection locked="0"/>
    </xf>
    <xf numFmtId="0" fontId="9" fillId="2" borderId="2" xfId="0" applyFont="1" applyFill="1" applyBorder="1" applyAlignment="1" applyProtection="1">
      <alignment horizontal="left" wrapText="1" readingOrder="1"/>
      <protection locked="0"/>
    </xf>
    <xf numFmtId="0" fontId="25" fillId="2" borderId="0" xfId="0" applyFont="1" applyFill="1" applyAlignment="1">
      <alignment wrapText="1"/>
    </xf>
    <xf numFmtId="0" fontId="9" fillId="2" borderId="19" xfId="0" applyFont="1" applyFill="1" applyBorder="1" applyAlignment="1">
      <alignment horizontal="left" wrapText="1" readingOrder="1"/>
    </xf>
    <xf numFmtId="0" fontId="9" fillId="2" borderId="5" xfId="0" applyFont="1" applyFill="1" applyBorder="1" applyAlignment="1" applyProtection="1">
      <alignment horizontal="right" wrapText="1" readingOrder="1"/>
      <protection locked="0"/>
    </xf>
    <xf numFmtId="0" fontId="9" fillId="2" borderId="5" xfId="0" applyFont="1" applyFill="1" applyBorder="1" applyAlignment="1" applyProtection="1">
      <alignment wrapText="1"/>
      <protection locked="0"/>
    </xf>
    <xf numFmtId="0" fontId="9" fillId="2" borderId="20" xfId="0" applyFont="1" applyFill="1" applyBorder="1" applyAlignment="1" applyProtection="1">
      <alignment horizontal="right" wrapText="1" readingOrder="1"/>
      <protection locked="0"/>
    </xf>
    <xf numFmtId="0" fontId="8" fillId="2" borderId="5" xfId="0" applyFont="1" applyFill="1" applyBorder="1" applyAlignment="1" applyProtection="1">
      <alignment horizontal="right" wrapText="1" readingOrder="1"/>
      <protection locked="0"/>
    </xf>
    <xf numFmtId="0" fontId="8" fillId="2" borderId="17" xfId="0" applyFont="1" applyFill="1" applyBorder="1" applyAlignment="1">
      <alignment horizontal="left" wrapText="1" readingOrder="1"/>
    </xf>
    <xf numFmtId="0" fontId="8" fillId="2" borderId="20" xfId="0" applyFont="1" applyFill="1" applyBorder="1" applyAlignment="1" applyProtection="1">
      <alignment horizontal="right" wrapText="1" readingOrder="1"/>
      <protection locked="0"/>
    </xf>
    <xf numFmtId="0" fontId="8" fillId="2" borderId="20" xfId="0" applyFont="1" applyFill="1" applyBorder="1" applyAlignment="1" applyProtection="1">
      <alignment horizontal="left" wrapText="1" readingOrder="1"/>
      <protection locked="0"/>
    </xf>
    <xf numFmtId="0" fontId="8" fillId="2" borderId="2" xfId="0" applyFont="1" applyFill="1" applyBorder="1" applyAlignment="1">
      <alignment horizontal="center" wrapText="1" readingOrder="1"/>
    </xf>
    <xf numFmtId="0" fontId="25" fillId="2" borderId="2" xfId="0" applyFont="1" applyFill="1" applyBorder="1" applyAlignment="1">
      <alignment horizontal="left" wrapText="1" readingOrder="1"/>
    </xf>
    <xf numFmtId="0" fontId="6" fillId="2" borderId="2" xfId="0" applyFont="1" applyFill="1" applyBorder="1" applyAlignment="1">
      <alignment horizontal="left" wrapText="1" readingOrder="1"/>
    </xf>
    <xf numFmtId="0" fontId="6" fillId="2" borderId="5" xfId="0" applyFont="1" applyFill="1" applyBorder="1" applyAlignment="1">
      <alignment horizontal="left" wrapText="1" readingOrder="1"/>
    </xf>
    <xf numFmtId="0" fontId="8" fillId="2" borderId="5" xfId="0" applyFont="1" applyFill="1" applyBorder="1" applyAlignment="1">
      <alignment horizontal="center" wrapText="1" readingOrder="1"/>
    </xf>
    <xf numFmtId="0" fontId="2" fillId="0" borderId="0" xfId="0" applyFont="1" applyProtection="1">
      <protection locked="0"/>
    </xf>
    <xf numFmtId="0" fontId="10" fillId="2" borderId="0" xfId="0" applyFont="1" applyFill="1" applyAlignment="1">
      <alignment horizontal="left" wrapText="1"/>
    </xf>
    <xf numFmtId="0" fontId="0" fillId="2" borderId="9" xfId="0" applyFill="1" applyBorder="1"/>
    <xf numFmtId="0" fontId="0" fillId="2" borderId="7" xfId="0" applyFill="1" applyBorder="1" applyProtection="1">
      <protection locked="0"/>
    </xf>
    <xf numFmtId="0" fontId="0" fillId="2" borderId="6" xfId="0" applyFill="1" applyBorder="1"/>
    <xf numFmtId="0" fontId="0" fillId="2" borderId="21" xfId="0" applyFill="1" applyBorder="1"/>
    <xf numFmtId="16" fontId="0" fillId="2" borderId="2" xfId="0" applyNumberFormat="1" applyFill="1" applyBorder="1" applyProtection="1">
      <protection locked="0"/>
    </xf>
    <xf numFmtId="3" fontId="0" fillId="2" borderId="2" xfId="0" applyNumberFormat="1" applyFill="1" applyBorder="1" applyProtection="1">
      <protection locked="0"/>
    </xf>
    <xf numFmtId="0" fontId="5" fillId="3" borderId="2" xfId="0" applyFont="1" applyFill="1" applyBorder="1" applyProtection="1">
      <protection locked="0"/>
    </xf>
    <xf numFmtId="0" fontId="0" fillId="3" borderId="2" xfId="0" applyFill="1" applyBorder="1" applyProtection="1">
      <protection locked="0"/>
    </xf>
    <xf numFmtId="9" fontId="0" fillId="2" borderId="2" xfId="0" applyNumberFormat="1" applyFill="1" applyBorder="1" applyProtection="1">
      <protection locked="0"/>
    </xf>
    <xf numFmtId="0" fontId="11" fillId="2" borderId="0" xfId="0" applyFont="1" applyFill="1" applyAlignment="1">
      <alignment horizontal="left" wrapText="1"/>
    </xf>
    <xf numFmtId="0" fontId="2" fillId="2" borderId="0" xfId="0" applyFont="1" applyFill="1" applyAlignment="1">
      <alignment horizontal="left" wrapText="1"/>
    </xf>
    <xf numFmtId="0" fontId="2" fillId="2" borderId="0" xfId="0" applyFont="1" applyFill="1" applyAlignment="1">
      <alignment horizontal="left"/>
    </xf>
    <xf numFmtId="0" fontId="0" fillId="2" borderId="0" xfId="0" applyFill="1" applyAlignment="1">
      <alignment horizontal="left"/>
    </xf>
    <xf numFmtId="0" fontId="0" fillId="2" borderId="0" xfId="0" applyFill="1" applyAlignment="1">
      <alignment horizontal="left" wrapText="1"/>
    </xf>
    <xf numFmtId="0" fontId="26" fillId="2" borderId="0" xfId="0" applyFont="1" applyFill="1" applyAlignment="1">
      <alignment horizontal="left"/>
    </xf>
    <xf numFmtId="0" fontId="10" fillId="2" borderId="2" xfId="0" applyFont="1" applyFill="1" applyBorder="1" applyAlignment="1" applyProtection="1">
      <alignment horizontal="left" vertical="top" wrapText="1"/>
      <protection locked="0"/>
    </xf>
    <xf numFmtId="0" fontId="0" fillId="2" borderId="0" xfId="0" applyFill="1" applyAlignment="1">
      <alignment horizontal="left" vertical="top" wrapText="1"/>
    </xf>
    <xf numFmtId="0" fontId="0" fillId="2" borderId="2" xfId="0" applyFill="1" applyBorder="1" applyAlignment="1" applyProtection="1">
      <alignment horizontal="left" vertical="top" wrapText="1"/>
      <protection locked="0"/>
    </xf>
    <xf numFmtId="0" fontId="0" fillId="2" borderId="4" xfId="0" applyFill="1" applyBorder="1" applyAlignment="1">
      <alignment horizontal="left" vertical="top" wrapText="1"/>
    </xf>
    <xf numFmtId="0" fontId="0" fillId="2" borderId="3" xfId="0" applyFill="1" applyBorder="1" applyAlignment="1" applyProtection="1">
      <alignment horizontal="left" vertical="top" wrapText="1"/>
      <protection locked="0"/>
    </xf>
    <xf numFmtId="0" fontId="9" fillId="2" borderId="0" xfId="0" applyFont="1" applyFill="1" applyAlignment="1">
      <alignment horizontal="left" vertical="top" wrapText="1"/>
    </xf>
    <xf numFmtId="0" fontId="0" fillId="2" borderId="2" xfId="0" applyFill="1" applyBorder="1" applyAlignment="1" applyProtection="1">
      <alignment horizontal="left" vertical="top"/>
      <protection locked="0"/>
    </xf>
    <xf numFmtId="0" fontId="0" fillId="2" borderId="8" xfId="0" applyFill="1" applyBorder="1" applyAlignment="1" applyProtection="1">
      <alignment horizontal="left" vertical="top"/>
      <protection locked="0"/>
    </xf>
    <xf numFmtId="0" fontId="0" fillId="2" borderId="9" xfId="0" applyFill="1" applyBorder="1" applyAlignment="1" applyProtection="1">
      <alignment horizontal="left" vertical="top"/>
      <protection locked="0"/>
    </xf>
    <xf numFmtId="0" fontId="0" fillId="2" borderId="10" xfId="0" applyFill="1" applyBorder="1" applyAlignment="1" applyProtection="1">
      <alignment horizontal="left" vertical="top"/>
      <protection locked="0"/>
    </xf>
    <xf numFmtId="0" fontId="0" fillId="2" borderId="0" xfId="0" applyFill="1" applyAlignment="1">
      <alignment horizontal="left" vertical="top"/>
    </xf>
    <xf numFmtId="0" fontId="10" fillId="2" borderId="0" xfId="0" applyFont="1" applyFill="1" applyAlignment="1">
      <alignment horizontal="left" vertical="top"/>
    </xf>
    <xf numFmtId="0" fontId="0" fillId="2" borderId="14" xfId="0" applyFill="1" applyBorder="1" applyAlignment="1">
      <alignment horizontal="left" vertical="top"/>
    </xf>
    <xf numFmtId="0" fontId="0" fillId="2" borderId="15" xfId="0" applyFill="1" applyBorder="1" applyAlignment="1">
      <alignment horizontal="left" vertical="top"/>
    </xf>
    <xf numFmtId="0" fontId="0" fillId="2" borderId="16" xfId="0" applyFill="1" applyBorder="1" applyAlignment="1">
      <alignment horizontal="left" vertical="top"/>
    </xf>
    <xf numFmtId="0" fontId="0" fillId="2" borderId="17" xfId="0" applyFill="1" applyBorder="1" applyAlignment="1">
      <alignment horizontal="left" vertical="top"/>
    </xf>
    <xf numFmtId="0" fontId="0" fillId="2" borderId="18" xfId="0" applyFill="1" applyBorder="1" applyAlignment="1">
      <alignment horizontal="left" vertical="top"/>
    </xf>
    <xf numFmtId="0" fontId="0" fillId="2" borderId="4" xfId="0" applyFill="1" applyBorder="1" applyAlignment="1">
      <alignment horizontal="left"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13" xfId="0" applyFill="1" applyBorder="1" applyAlignment="1">
      <alignment horizontal="left" vertical="top" wrapText="1"/>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13" xfId="0" applyFill="1" applyBorder="1" applyAlignment="1">
      <alignment horizontal="left" vertical="top"/>
    </xf>
    <xf numFmtId="0" fontId="10" fillId="2" borderId="0" xfId="0" applyFont="1" applyFill="1" applyAlignment="1">
      <alignment horizontal="left" vertical="top" wrapText="1"/>
    </xf>
    <xf numFmtId="0" fontId="0" fillId="2" borderId="4" xfId="0" applyFill="1" applyBorder="1" applyAlignment="1">
      <alignment horizontal="left" vertical="top"/>
    </xf>
    <xf numFmtId="0" fontId="9" fillId="2" borderId="4" xfId="0" applyFont="1" applyFill="1" applyBorder="1" applyAlignment="1">
      <alignment horizontal="left" vertical="top" wrapText="1"/>
    </xf>
    <xf numFmtId="0" fontId="6" fillId="2" borderId="20" xfId="0" applyFont="1" applyFill="1" applyBorder="1" applyAlignment="1">
      <alignment horizontal="center" wrapText="1" readingOrder="1"/>
    </xf>
    <xf numFmtId="0" fontId="10" fillId="2" borderId="0" xfId="0" applyFont="1" applyFill="1" applyAlignment="1">
      <alignment horizontal="left" wrapText="1"/>
    </xf>
    <xf numFmtId="0" fontId="10" fillId="2" borderId="0" xfId="0" applyFont="1" applyFill="1" applyAlignment="1">
      <alignment horizontal="left"/>
    </xf>
    <xf numFmtId="0" fontId="28" fillId="2" borderId="0" xfId="0" applyFont="1" applyFill="1" applyAlignment="1">
      <alignment horizontal="left"/>
    </xf>
    <xf numFmtId="0" fontId="13" fillId="2" borderId="0" xfId="0" applyFont="1" applyFill="1" applyAlignment="1">
      <alignment horizontal="left" wrapText="1"/>
    </xf>
    <xf numFmtId="0" fontId="0" fillId="0" borderId="0" xfId="0" applyAlignment="1">
      <alignment horizontal="center" wrapText="1"/>
    </xf>
  </cellXfs>
  <cellStyles count="1">
    <cellStyle name="Normal" xfId="0" builtinId="0"/>
  </cellStyles>
  <dxfs count="1">
    <dxf>
      <numFmt numFmtId="164" formatCode=";;;"/>
    </dxf>
  </dxfs>
  <tableStyles count="0" defaultTableStyle="TableStyleMedium2" defaultPivotStyle="PivotStyleLight16"/>
  <colors>
    <mruColors>
      <color rgb="FFFF74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Payload Range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19050" cap="rnd">
                <a:solidFill>
                  <a:schemeClr val="accent1"/>
                </a:solidFill>
                <a:round/>
              </a:ln>
              <a:effectLst/>
            </c:spPr>
            <c:extLst>
              <c:ext xmlns:c16="http://schemas.microsoft.com/office/drawing/2014/chart" uri="{C3380CC4-5D6E-409C-BE32-E72D297353CC}">
                <c16:uniqueId val="{00000001-ADDA-4491-BF8B-E020AF14C623}"/>
              </c:ext>
            </c:extLst>
          </c:dPt>
          <c:xVal>
            <c:numRef>
              <c:f>('Mass Estimation'!$B$20,'Mass Estimation'!$B$25,'Mass Estimation'!$B$21,'Mass Estimation'!$B$26)</c:f>
              <c:numCache>
                <c:formatCode>General</c:formatCode>
                <c:ptCount val="4"/>
                <c:pt idx="0">
                  <c:v>0</c:v>
                </c:pt>
                <c:pt idx="1">
                  <c:v>1675</c:v>
                </c:pt>
                <c:pt idx="2">
                  <c:v>2100</c:v>
                </c:pt>
                <c:pt idx="3">
                  <c:v>3520</c:v>
                </c:pt>
              </c:numCache>
            </c:numRef>
          </c:xVal>
          <c:yVal>
            <c:numRef>
              <c:f>('Mass Estimation'!$B$23,'Mass Estimation'!$B$23,'Mass Estimation'!$B$22,'Mass Estimation'!$B$20)</c:f>
              <c:numCache>
                <c:formatCode>General</c:formatCode>
                <c:ptCount val="4"/>
                <c:pt idx="0">
                  <c:v>8116</c:v>
                </c:pt>
                <c:pt idx="1">
                  <c:v>8116</c:v>
                </c:pt>
                <c:pt idx="2">
                  <c:v>6660</c:v>
                </c:pt>
                <c:pt idx="3">
                  <c:v>0</c:v>
                </c:pt>
              </c:numCache>
            </c:numRef>
          </c:yVal>
          <c:smooth val="0"/>
          <c:extLst>
            <c:ext xmlns:c16="http://schemas.microsoft.com/office/drawing/2014/chart" uri="{C3380CC4-5D6E-409C-BE32-E72D297353CC}">
              <c16:uniqueId val="{00000006-AA09-45B6-97E3-770646362EA3}"/>
            </c:ext>
          </c:extLst>
        </c:ser>
        <c:dLbls>
          <c:showLegendKey val="0"/>
          <c:showVal val="0"/>
          <c:showCatName val="0"/>
          <c:showSerName val="0"/>
          <c:showPercent val="0"/>
          <c:showBubbleSize val="0"/>
        </c:dLbls>
        <c:axId val="882583920"/>
        <c:axId val="721010176"/>
      </c:scatterChart>
      <c:valAx>
        <c:axId val="882583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Range [km]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21010176"/>
        <c:crosses val="autoZero"/>
        <c:crossBetween val="midCat"/>
      </c:valAx>
      <c:valAx>
        <c:axId val="72101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Payload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82583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baseline="0"/>
              <a:t>Matching diagram </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smoothMarker"/>
        <c:varyColors val="0"/>
        <c:ser>
          <c:idx val="0"/>
          <c:order val="0"/>
          <c:tx>
            <c:strRef>
              <c:f>'Matching Diagram'!$C$98</c:f>
              <c:strCache>
                <c:ptCount val="1"/>
                <c:pt idx="0">
                  <c:v>Minimum speed</c:v>
                </c:pt>
              </c:strCache>
            </c:strRef>
          </c:tx>
          <c:spPr>
            <a:ln w="15875" cap="rnd">
              <a:solidFill>
                <a:schemeClr val="accent1"/>
              </a:solidFill>
              <a:round/>
            </a:ln>
            <a:effectLst/>
          </c:spPr>
          <c:marker>
            <c:symbol val="none"/>
          </c:marker>
          <c:xVal>
            <c:numRef>
              <c:f>'Matching Diagram'!$C$100:$C$190</c:f>
              <c:numCache>
                <c:formatCode>General</c:formatCode>
                <c:ptCount val="91"/>
                <c:pt idx="0">
                  <c:v>4300</c:v>
                </c:pt>
                <c:pt idx="1">
                  <c:v>4300</c:v>
                </c:pt>
                <c:pt idx="2">
                  <c:v>4300</c:v>
                </c:pt>
                <c:pt idx="3">
                  <c:v>4300</c:v>
                </c:pt>
                <c:pt idx="4">
                  <c:v>4300</c:v>
                </c:pt>
                <c:pt idx="5">
                  <c:v>4300</c:v>
                </c:pt>
                <c:pt idx="6">
                  <c:v>4300</c:v>
                </c:pt>
                <c:pt idx="7">
                  <c:v>4300</c:v>
                </c:pt>
                <c:pt idx="8">
                  <c:v>4300</c:v>
                </c:pt>
                <c:pt idx="9">
                  <c:v>4300</c:v>
                </c:pt>
                <c:pt idx="10">
                  <c:v>4300</c:v>
                </c:pt>
                <c:pt idx="11">
                  <c:v>4300</c:v>
                </c:pt>
                <c:pt idx="12">
                  <c:v>4300</c:v>
                </c:pt>
                <c:pt idx="13">
                  <c:v>4300</c:v>
                </c:pt>
                <c:pt idx="14">
                  <c:v>4300</c:v>
                </c:pt>
                <c:pt idx="15">
                  <c:v>4300</c:v>
                </c:pt>
                <c:pt idx="16">
                  <c:v>4300</c:v>
                </c:pt>
                <c:pt idx="17">
                  <c:v>4300</c:v>
                </c:pt>
                <c:pt idx="18">
                  <c:v>4300</c:v>
                </c:pt>
                <c:pt idx="19">
                  <c:v>4300</c:v>
                </c:pt>
                <c:pt idx="20">
                  <c:v>4300</c:v>
                </c:pt>
                <c:pt idx="21">
                  <c:v>4300</c:v>
                </c:pt>
                <c:pt idx="22">
                  <c:v>4300</c:v>
                </c:pt>
                <c:pt idx="23">
                  <c:v>4300</c:v>
                </c:pt>
                <c:pt idx="24">
                  <c:v>4300</c:v>
                </c:pt>
                <c:pt idx="25">
                  <c:v>4300</c:v>
                </c:pt>
                <c:pt idx="26">
                  <c:v>4300</c:v>
                </c:pt>
                <c:pt idx="27">
                  <c:v>4300</c:v>
                </c:pt>
                <c:pt idx="28">
                  <c:v>4300</c:v>
                </c:pt>
                <c:pt idx="29">
                  <c:v>4300</c:v>
                </c:pt>
                <c:pt idx="30">
                  <c:v>4300</c:v>
                </c:pt>
                <c:pt idx="31">
                  <c:v>4300</c:v>
                </c:pt>
                <c:pt idx="32">
                  <c:v>4300</c:v>
                </c:pt>
                <c:pt idx="33">
                  <c:v>4300</c:v>
                </c:pt>
                <c:pt idx="34">
                  <c:v>4300</c:v>
                </c:pt>
                <c:pt idx="35">
                  <c:v>4300</c:v>
                </c:pt>
                <c:pt idx="36">
                  <c:v>4300</c:v>
                </c:pt>
                <c:pt idx="37">
                  <c:v>4300</c:v>
                </c:pt>
                <c:pt idx="38">
                  <c:v>4300</c:v>
                </c:pt>
                <c:pt idx="39">
                  <c:v>4300</c:v>
                </c:pt>
                <c:pt idx="40">
                  <c:v>4300</c:v>
                </c:pt>
                <c:pt idx="41">
                  <c:v>4300</c:v>
                </c:pt>
                <c:pt idx="42">
                  <c:v>4300</c:v>
                </c:pt>
                <c:pt idx="43">
                  <c:v>4300</c:v>
                </c:pt>
                <c:pt idx="44">
                  <c:v>4300</c:v>
                </c:pt>
                <c:pt idx="45">
                  <c:v>4300</c:v>
                </c:pt>
                <c:pt idx="46">
                  <c:v>4300</c:v>
                </c:pt>
                <c:pt idx="47">
                  <c:v>4300</c:v>
                </c:pt>
                <c:pt idx="48">
                  <c:v>4300</c:v>
                </c:pt>
                <c:pt idx="49">
                  <c:v>4300</c:v>
                </c:pt>
                <c:pt idx="50">
                  <c:v>4300</c:v>
                </c:pt>
              </c:numCache>
            </c:numRef>
          </c:xVal>
          <c:yVal>
            <c:numRef>
              <c:f>('Matching Diagram'!$B$100,'Matching Diagram'!$B$97)</c:f>
              <c:numCache>
                <c:formatCode>General</c:formatCode>
                <c:ptCount val="2"/>
                <c:pt idx="0">
                  <c:v>0</c:v>
                </c:pt>
                <c:pt idx="1">
                  <c:v>1</c:v>
                </c:pt>
              </c:numCache>
            </c:numRef>
          </c:yVal>
          <c:smooth val="1"/>
          <c:extLst>
            <c:ext xmlns:c16="http://schemas.microsoft.com/office/drawing/2014/chart" uri="{C3380CC4-5D6E-409C-BE32-E72D297353CC}">
              <c16:uniqueId val="{00000000-65EF-46F3-8424-C56189925B14}"/>
            </c:ext>
          </c:extLst>
        </c:ser>
        <c:ser>
          <c:idx val="1"/>
          <c:order val="1"/>
          <c:tx>
            <c:strRef>
              <c:f>'Matching Diagram'!$D$98</c:f>
              <c:strCache>
                <c:ptCount val="1"/>
                <c:pt idx="0">
                  <c:v>Landing field length</c:v>
                </c:pt>
              </c:strCache>
            </c:strRef>
          </c:tx>
          <c:spPr>
            <a:ln w="15875" cap="rnd">
              <a:solidFill>
                <a:schemeClr val="accent2"/>
              </a:solidFill>
              <a:round/>
            </a:ln>
            <a:effectLst/>
          </c:spPr>
          <c:marker>
            <c:symbol val="none"/>
          </c:marker>
          <c:xVal>
            <c:numRef>
              <c:f>'Matching Diagram'!$D$100:$D$190</c:f>
              <c:numCache>
                <c:formatCode>General</c:formatCode>
                <c:ptCount val="91"/>
                <c:pt idx="0">
                  <c:v>4100</c:v>
                </c:pt>
                <c:pt idx="1">
                  <c:v>4100</c:v>
                </c:pt>
                <c:pt idx="2">
                  <c:v>4100</c:v>
                </c:pt>
                <c:pt idx="3">
                  <c:v>4100</c:v>
                </c:pt>
                <c:pt idx="4">
                  <c:v>4100</c:v>
                </c:pt>
                <c:pt idx="5">
                  <c:v>4100</c:v>
                </c:pt>
                <c:pt idx="6">
                  <c:v>4100</c:v>
                </c:pt>
                <c:pt idx="7">
                  <c:v>4100</c:v>
                </c:pt>
                <c:pt idx="8">
                  <c:v>4100</c:v>
                </c:pt>
                <c:pt idx="9">
                  <c:v>4100</c:v>
                </c:pt>
                <c:pt idx="10">
                  <c:v>4100</c:v>
                </c:pt>
                <c:pt idx="11">
                  <c:v>4100</c:v>
                </c:pt>
                <c:pt idx="12">
                  <c:v>4100</c:v>
                </c:pt>
                <c:pt idx="13">
                  <c:v>4100</c:v>
                </c:pt>
                <c:pt idx="14">
                  <c:v>4100</c:v>
                </c:pt>
                <c:pt idx="15">
                  <c:v>4100</c:v>
                </c:pt>
                <c:pt idx="16">
                  <c:v>4100</c:v>
                </c:pt>
                <c:pt idx="17">
                  <c:v>4100</c:v>
                </c:pt>
                <c:pt idx="18">
                  <c:v>4100</c:v>
                </c:pt>
                <c:pt idx="19">
                  <c:v>4100</c:v>
                </c:pt>
                <c:pt idx="20">
                  <c:v>4100</c:v>
                </c:pt>
                <c:pt idx="21">
                  <c:v>4100</c:v>
                </c:pt>
                <c:pt idx="22">
                  <c:v>4100</c:v>
                </c:pt>
                <c:pt idx="23">
                  <c:v>4100</c:v>
                </c:pt>
                <c:pt idx="24">
                  <c:v>4100</c:v>
                </c:pt>
                <c:pt idx="25">
                  <c:v>4100</c:v>
                </c:pt>
                <c:pt idx="26">
                  <c:v>4100</c:v>
                </c:pt>
                <c:pt idx="27">
                  <c:v>4100</c:v>
                </c:pt>
                <c:pt idx="28">
                  <c:v>4100</c:v>
                </c:pt>
                <c:pt idx="29">
                  <c:v>4100</c:v>
                </c:pt>
                <c:pt idx="30">
                  <c:v>4100</c:v>
                </c:pt>
                <c:pt idx="31">
                  <c:v>4100</c:v>
                </c:pt>
                <c:pt idx="32">
                  <c:v>4100</c:v>
                </c:pt>
                <c:pt idx="33">
                  <c:v>4100</c:v>
                </c:pt>
                <c:pt idx="34">
                  <c:v>4100</c:v>
                </c:pt>
                <c:pt idx="35">
                  <c:v>4100</c:v>
                </c:pt>
                <c:pt idx="36">
                  <c:v>4100</c:v>
                </c:pt>
                <c:pt idx="37">
                  <c:v>4100</c:v>
                </c:pt>
                <c:pt idx="38">
                  <c:v>4100</c:v>
                </c:pt>
                <c:pt idx="39">
                  <c:v>4100</c:v>
                </c:pt>
                <c:pt idx="40">
                  <c:v>4100</c:v>
                </c:pt>
                <c:pt idx="41">
                  <c:v>4100</c:v>
                </c:pt>
                <c:pt idx="42">
                  <c:v>4100</c:v>
                </c:pt>
                <c:pt idx="43">
                  <c:v>4100</c:v>
                </c:pt>
                <c:pt idx="44">
                  <c:v>4100</c:v>
                </c:pt>
                <c:pt idx="45">
                  <c:v>4100</c:v>
                </c:pt>
                <c:pt idx="46">
                  <c:v>4100</c:v>
                </c:pt>
                <c:pt idx="47">
                  <c:v>4100</c:v>
                </c:pt>
                <c:pt idx="48">
                  <c:v>4100</c:v>
                </c:pt>
                <c:pt idx="49">
                  <c:v>4100</c:v>
                </c:pt>
                <c:pt idx="50">
                  <c:v>4100</c:v>
                </c:pt>
              </c:numCache>
            </c:numRef>
          </c:xVal>
          <c:yVal>
            <c:numRef>
              <c:f>('Matching Diagram'!$B$100,'Matching Diagram'!$B$97)</c:f>
              <c:numCache>
                <c:formatCode>General</c:formatCode>
                <c:ptCount val="2"/>
                <c:pt idx="0">
                  <c:v>0</c:v>
                </c:pt>
                <c:pt idx="1">
                  <c:v>1</c:v>
                </c:pt>
              </c:numCache>
            </c:numRef>
          </c:yVal>
          <c:smooth val="1"/>
          <c:extLst>
            <c:ext xmlns:c16="http://schemas.microsoft.com/office/drawing/2014/chart" uri="{C3380CC4-5D6E-409C-BE32-E72D297353CC}">
              <c16:uniqueId val="{00000002-8835-4C2B-AE7D-523C147B5079}"/>
            </c:ext>
          </c:extLst>
        </c:ser>
        <c:ser>
          <c:idx val="2"/>
          <c:order val="2"/>
          <c:tx>
            <c:strRef>
              <c:f>'Matching Diagram'!$E$98</c:f>
              <c:strCache>
                <c:ptCount val="1"/>
                <c:pt idx="0">
                  <c:v>Cruise Speed</c:v>
                </c:pt>
              </c:strCache>
            </c:strRef>
          </c:tx>
          <c:spPr>
            <a:ln w="15875" cap="rnd">
              <a:solidFill>
                <a:srgbClr val="7030A0"/>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Diagram'!$E$100:$E$190</c:f>
              <c:numCache>
                <c:formatCode>General</c:formatCode>
                <c:ptCount val="91"/>
                <c:pt idx="8">
                  <c:v>1.0848322416634151</c:v>
                </c:pt>
                <c:pt idx="9">
                  <c:v>0.96763404069444137</c:v>
                </c:pt>
                <c:pt idx="10">
                  <c:v>0.87422899089505823</c:v>
                </c:pt>
                <c:pt idx="11">
                  <c:v>0.79812805103719564</c:v>
                </c:pt>
                <c:pt idx="12">
                  <c:v>0.73500519363547356</c:v>
                </c:pt>
                <c:pt idx="13">
                  <c:v>0.68186547658462848</c:v>
                </c:pt>
                <c:pt idx="14">
                  <c:v>0.63656965552375833</c:v>
                </c:pt>
                <c:pt idx="15">
                  <c:v>0.59754895125486818</c:v>
                </c:pt>
                <c:pt idx="16">
                  <c:v>0.56362677937946182</c:v>
                </c:pt>
                <c:pt idx="17">
                  <c:v>0.53390339888692429</c:v>
                </c:pt>
                <c:pt idx="18">
                  <c:v>0.50767901121344428</c:v>
                </c:pt>
                <c:pt idx="19">
                  <c:v>0.48440114380864419</c:v>
                </c:pt>
                <c:pt idx="20">
                  <c:v>0.46362781863222202</c:v>
                </c:pt>
                <c:pt idx="21">
                  <c:v>0.44500124393726675</c:v>
                </c:pt>
                <c:pt idx="22">
                  <c:v>0.42822868102176004</c:v>
                </c:pt>
                <c:pt idx="23">
                  <c:v>0.41306830226229563</c:v>
                </c:pt>
                <c:pt idx="24">
                  <c:v>0.39931858463936826</c:v>
                </c:pt>
                <c:pt idx="25">
                  <c:v>0.38681024881659337</c:v>
                </c:pt>
                <c:pt idx="26">
                  <c:v>0.37540005843241497</c:v>
                </c:pt>
                <c:pt idx="27">
                  <c:v>0.36496599732698903</c:v>
                </c:pt>
                <c:pt idx="28">
                  <c:v>0.35540348022044921</c:v>
                </c:pt>
                <c:pt idx="29">
                  <c:v>0.34662234738877279</c:v>
                </c:pt>
                <c:pt idx="30">
                  <c:v>0.33854446040447345</c:v>
                </c:pt>
                <c:pt idx="31">
                  <c:v>0.33110176321780499</c:v>
                </c:pt>
                <c:pt idx="32">
                  <c:v>0.32423470678523952</c:v>
                </c:pt>
                <c:pt idx="33">
                  <c:v>0.31789096012913137</c:v>
                </c:pt>
                <c:pt idx="34">
                  <c:v>0.31202434885744007</c:v>
                </c:pt>
                <c:pt idx="35">
                  <c:v>0.30659397565150143</c:v>
                </c:pt>
                <c:pt idx="36">
                  <c:v>0.30156348733916932</c:v>
                </c:pt>
                <c:pt idx="37">
                  <c:v>0.29690046082096216</c:v>
                </c:pt>
                <c:pt idx="38">
                  <c:v>0.29257588595523853</c:v>
                </c:pt>
                <c:pt idx="39">
                  <c:v>0.2885637279994997</c:v>
                </c:pt>
                <c:pt idx="40">
                  <c:v>0.28484055568549677</c:v>
                </c:pt>
                <c:pt idx="41">
                  <c:v>0.28138522372237101</c:v>
                </c:pt>
                <c:pt idx="42">
                  <c:v>0.27817860065648842</c:v>
                </c:pt>
                <c:pt idx="43">
                  <c:v>0.27520333470432029</c:v>
                </c:pt>
                <c:pt idx="44">
                  <c:v>0.27244365151720434</c:v>
                </c:pt>
                <c:pt idx="45">
                  <c:v>0.26988517891080377</c:v>
                </c:pt>
                <c:pt idx="46">
                  <c:v>0.26751479445594145</c:v>
                </c:pt>
                <c:pt idx="47">
                  <c:v>0.26532049252592343</c:v>
                </c:pt>
                <c:pt idx="48">
                  <c:v>0.26329126796294705</c:v>
                </c:pt>
                <c:pt idx="49">
                  <c:v>0.26141701398943817</c:v>
                </c:pt>
                <c:pt idx="50">
                  <c:v>0.25968843237002892</c:v>
                </c:pt>
              </c:numCache>
            </c:numRef>
          </c:yVal>
          <c:smooth val="1"/>
          <c:extLst>
            <c:ext xmlns:c16="http://schemas.microsoft.com/office/drawing/2014/chart" uri="{C3380CC4-5D6E-409C-BE32-E72D297353CC}">
              <c16:uniqueId val="{00000003-8835-4C2B-AE7D-523C147B5079}"/>
            </c:ext>
          </c:extLst>
        </c:ser>
        <c:ser>
          <c:idx val="3"/>
          <c:order val="3"/>
          <c:tx>
            <c:strRef>
              <c:f>'Matching Diagram'!$F$98</c:f>
              <c:strCache>
                <c:ptCount val="1"/>
                <c:pt idx="0">
                  <c:v>Climb rate</c:v>
                </c:pt>
              </c:strCache>
            </c:strRef>
          </c:tx>
          <c:spPr>
            <a:ln w="15875" cap="rnd">
              <a:solidFill>
                <a:schemeClr val="accent4"/>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Diagram'!$F$100:$F$190</c:f>
              <c:numCache>
                <c:formatCode>General</c:formatCode>
                <c:ptCount val="91"/>
                <c:pt idx="1">
                  <c:v>0.64922984610833734</c:v>
                </c:pt>
                <c:pt idx="2">
                  <c:v>0.52300734063352672</c:v>
                </c:pt>
                <c:pt idx="3">
                  <c:v>0.46739400306085693</c:v>
                </c:pt>
                <c:pt idx="4">
                  <c:v>0.43442168832722078</c:v>
                </c:pt>
                <c:pt idx="5">
                  <c:v>0.4120258048571207</c:v>
                </c:pt>
                <c:pt idx="6">
                  <c:v>0.39555631734653679</c:v>
                </c:pt>
                <c:pt idx="7">
                  <c:v>0.38279236641074721</c:v>
                </c:pt>
                <c:pt idx="8">
                  <c:v>0.3725228582082139</c:v>
                </c:pt>
                <c:pt idx="9">
                  <c:v>0.36402441647902578</c:v>
                </c:pt>
                <c:pt idx="10">
                  <c:v>0.35683519674865383</c:v>
                </c:pt>
                <c:pt idx="11">
                  <c:v>0.35064489270486793</c:v>
                </c:pt>
                <c:pt idx="12">
                  <c:v>0.34523642167170626</c:v>
                </c:pt>
                <c:pt idx="13">
                  <c:v>0.34045285644348128</c:v>
                </c:pt>
                <c:pt idx="14">
                  <c:v>0.33617763232869791</c:v>
                </c:pt>
                <c:pt idx="15">
                  <c:v>0.33232216205709758</c:v>
                </c:pt>
                <c:pt idx="16">
                  <c:v>0.32881779240296793</c:v>
                </c:pt>
                <c:pt idx="17">
                  <c:v>0.32561041270062951</c:v>
                </c:pt>
                <c:pt idx="18">
                  <c:v>0.3226567411905743</c:v>
                </c:pt>
                <c:pt idx="19">
                  <c:v>0.31992170571758521</c:v>
                </c:pt>
                <c:pt idx="20">
                  <c:v>0.31737655742978094</c:v>
                </c:pt>
                <c:pt idx="21">
                  <c:v>0.31499748707102726</c:v>
                </c:pt>
                <c:pt idx="22">
                  <c:v>0.31276459312043131</c:v>
                </c:pt>
                <c:pt idx="23">
                  <c:v>0.3106611008659384</c:v>
                </c:pt>
                <c:pt idx="24">
                  <c:v>0.3086727634577261</c:v>
                </c:pt>
                <c:pt idx="25">
                  <c:v>0.30678739694497104</c:v>
                </c:pt>
                <c:pt idx="26">
                  <c:v>0.30499451532296057</c:v>
                </c:pt>
                <c:pt idx="27">
                  <c:v>0.30328504117397415</c:v>
                </c:pt>
                <c:pt idx="28">
                  <c:v>0.30165107410712877</c:v>
                </c:pt>
                <c:pt idx="29">
                  <c:v>0.30008570386124622</c:v>
                </c:pt>
                <c:pt idx="30">
                  <c:v>0.29858285825886649</c:v>
                </c:pt>
                <c:pt idx="31">
                  <c:v>0.29713717860210964</c:v>
                </c:pt>
                <c:pt idx="32">
                  <c:v>0.29574391685854196</c:v>
                </c:pt>
                <c:pt idx="33">
                  <c:v>0.29439885028508095</c:v>
                </c:pt>
                <c:pt idx="34">
                  <c:v>0.29309821010942255</c:v>
                </c:pt>
                <c:pt idx="35">
                  <c:v>0.29183862162150342</c:v>
                </c:pt>
                <c:pt idx="36">
                  <c:v>0.29061705358562367</c:v>
                </c:pt>
                <c:pt idx="37">
                  <c:v>0.28943077531243078</c:v>
                </c:pt>
                <c:pt idx="38">
                  <c:v>0.28827732006165835</c:v>
                </c:pt>
                <c:pt idx="39">
                  <c:v>0.28715445370516413</c:v>
                </c:pt>
                <c:pt idx="40">
                  <c:v>0.28606014778294075</c:v>
                </c:pt>
                <c:pt idx="41">
                  <c:v>0.28499255624532904</c:v>
                </c:pt>
                <c:pt idx="42">
                  <c:v>0.28394999530241005</c:v>
                </c:pt>
                <c:pt idx="43">
                  <c:v>0.2829309259037745</c:v>
                </c:pt>
                <c:pt idx="44">
                  <c:v>0.28193393845413245</c:v>
                </c:pt>
                <c:pt idx="45">
                  <c:v>0.28095773943680097</c:v>
                </c:pt>
                <c:pt idx="46">
                  <c:v>0.28000113967124368</c:v>
                </c:pt>
                <c:pt idx="47">
                  <c:v>0.27906304397507375</c:v>
                </c:pt>
                <c:pt idx="48">
                  <c:v>0.27814244203727151</c:v>
                </c:pt>
                <c:pt idx="49">
                  <c:v>0.27723840033931318</c:v>
                </c:pt>
                <c:pt idx="50">
                  <c:v>0.2763500549857234</c:v>
                </c:pt>
              </c:numCache>
            </c:numRef>
          </c:yVal>
          <c:smooth val="1"/>
          <c:extLst>
            <c:ext xmlns:c16="http://schemas.microsoft.com/office/drawing/2014/chart" uri="{C3380CC4-5D6E-409C-BE32-E72D297353CC}">
              <c16:uniqueId val="{00000004-8835-4C2B-AE7D-523C147B5079}"/>
            </c:ext>
          </c:extLst>
        </c:ser>
        <c:ser>
          <c:idx val="4"/>
          <c:order val="4"/>
          <c:tx>
            <c:strRef>
              <c:f>'Matching Diagram'!$G$98</c:f>
              <c:strCache>
                <c:ptCount val="1"/>
                <c:pt idx="0">
                  <c:v>Climb gradient CS25.119</c:v>
                </c:pt>
              </c:strCache>
            </c:strRef>
          </c:tx>
          <c:spPr>
            <a:ln w="15875" cap="rnd">
              <a:solidFill>
                <a:srgbClr val="C00000"/>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Diagram'!$G$100:$G$190</c:f>
              <c:numCache>
                <c:formatCode>General</c:formatCode>
                <c:ptCount val="91"/>
                <c:pt idx="1">
                  <c:v>0.15565625430108562</c:v>
                </c:pt>
                <c:pt idx="2">
                  <c:v>0.15960755999611931</c:v>
                </c:pt>
                <c:pt idx="3">
                  <c:v>0.16216273705695911</c:v>
                </c:pt>
                <c:pt idx="4">
                  <c:v>0.16410773062795486</c:v>
                </c:pt>
                <c:pt idx="5">
                  <c:v>0.16570079324974074</c:v>
                </c:pt>
                <c:pt idx="6">
                  <c:v>0.16706144875332815</c:v>
                </c:pt>
                <c:pt idx="7">
                  <c:v>0.16825559578224528</c:v>
                </c:pt>
                <c:pt idx="8">
                  <c:v>0.16932374006761619</c:v>
                </c:pt>
                <c:pt idx="9">
                  <c:v>0.1702927096171632</c:v>
                </c:pt>
                <c:pt idx="10">
                  <c:v>0.1711812712952504</c:v>
                </c:pt>
                <c:pt idx="11">
                  <c:v>0.17200311321011508</c:v>
                </c:pt>
                <c:pt idx="12">
                  <c:v>0.17276855433429267</c:v>
                </c:pt>
                <c:pt idx="13">
                  <c:v>0.17348558479967732</c:v>
                </c:pt>
                <c:pt idx="14">
                  <c:v>0.17416052999520845</c:v>
                </c:pt>
                <c:pt idx="15">
                  <c:v>0.17479849154402169</c:v>
                </c:pt>
                <c:pt idx="16">
                  <c:v>0.17540364993983618</c:v>
                </c:pt>
                <c:pt idx="17">
                  <c:v>0.17597947814445455</c:v>
                </c:pt>
                <c:pt idx="18">
                  <c:v>0.17652889602250943</c:v>
                </c:pt>
                <c:pt idx="19">
                  <c:v>0.17705438436791687</c:v>
                </c:pt>
                <c:pt idx="20">
                  <c:v>0.17755807066036419</c:v>
                </c:pt>
                <c:pt idx="21">
                  <c:v>0.1780417946210571</c:v>
                </c:pt>
                <c:pt idx="22">
                  <c:v>0.17850715906013415</c:v>
                </c:pt>
                <c:pt idx="23">
                  <c:v>0.17895556983360425</c:v>
                </c:pt>
                <c:pt idx="24">
                  <c:v>0.17938826761408172</c:v>
                </c:pt>
                <c:pt idx="25">
                  <c:v>0.17980635342356391</c:v>
                </c:pt>
                <c:pt idx="26">
                  <c:v>0.18021080935355832</c:v>
                </c:pt>
                <c:pt idx="27">
                  <c:v>0.1806025155299624</c:v>
                </c:pt>
                <c:pt idx="28">
                  <c:v>0.1809822641172496</c:v>
                </c:pt>
                <c:pt idx="29">
                  <c:v>0.18135077096604083</c:v>
                </c:pt>
                <c:pt idx="30">
                  <c:v>0.18170868536831883</c:v>
                </c:pt>
                <c:pt idx="31">
                  <c:v>0.18205659828065321</c:v>
                </c:pt>
                <c:pt idx="32">
                  <c:v>0.18239504929776937</c:v>
                </c:pt>
                <c:pt idx="33">
                  <c:v>0.18272453259956134</c:v>
                </c:pt>
                <c:pt idx="34">
                  <c:v>0.18304550204926062</c:v>
                </c:pt>
                <c:pt idx="35">
                  <c:v>0.18335837558538379</c:v>
                </c:pt>
                <c:pt idx="36">
                  <c:v>0.18366353902272339</c:v>
                </c:pt>
                <c:pt idx="37">
                  <c:v>0.18396134935615102</c:v>
                </c:pt>
                <c:pt idx="38">
                  <c:v>0.18425213764398832</c:v>
                </c:pt>
                <c:pt idx="39">
                  <c:v>0.18453621153413977</c:v>
                </c:pt>
                <c:pt idx="40">
                  <c:v>0.18481385748530405</c:v>
                </c:pt>
                <c:pt idx="41">
                  <c:v>0.18508534272680041</c:v>
                </c:pt>
                <c:pt idx="42">
                  <c:v>0.18535091699341757</c:v>
                </c:pt>
                <c:pt idx="43">
                  <c:v>0.18561081406587429</c:v>
                </c:pt>
                <c:pt idx="44">
                  <c:v>0.18586525314270411</c:v>
                </c:pt>
                <c:pt idx="45">
                  <c:v>0.18611444006544214</c:v>
                </c:pt>
                <c:pt idx="46">
                  <c:v>0.18635856841572329</c:v>
                </c:pt>
                <c:pt idx="47">
                  <c:v>0.18659782050019147</c:v>
                </c:pt>
                <c:pt idx="48">
                  <c:v>0.18683236823684457</c:v>
                </c:pt>
                <c:pt idx="49">
                  <c:v>0.18706237395453787</c:v>
                </c:pt>
                <c:pt idx="50">
                  <c:v>0.18728799111576031</c:v>
                </c:pt>
              </c:numCache>
            </c:numRef>
          </c:yVal>
          <c:smooth val="1"/>
          <c:extLst>
            <c:ext xmlns:c16="http://schemas.microsoft.com/office/drawing/2014/chart" uri="{C3380CC4-5D6E-409C-BE32-E72D297353CC}">
              <c16:uniqueId val="{00000005-8835-4C2B-AE7D-523C147B5079}"/>
            </c:ext>
          </c:extLst>
        </c:ser>
        <c:ser>
          <c:idx val="5"/>
          <c:order val="9"/>
          <c:tx>
            <c:strRef>
              <c:f>'Matching Diagram'!$L$98</c:f>
              <c:strCache>
                <c:ptCount val="1"/>
                <c:pt idx="0">
                  <c:v>Take-off field length</c:v>
                </c:pt>
              </c:strCache>
            </c:strRef>
          </c:tx>
          <c:spPr>
            <a:ln w="15875" cap="rnd">
              <a:solidFill>
                <a:schemeClr val="accent6"/>
              </a:solidFill>
              <a:round/>
            </a:ln>
            <a:effectLst/>
          </c:spPr>
          <c:marker>
            <c:symbol val="none"/>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Diagram'!$L$100:$L$190</c:f>
              <c:numCache>
                <c:formatCode>General</c:formatCode>
                <c:ptCount val="91"/>
                <c:pt idx="1">
                  <c:v>4.4075832784648959E-2</c:v>
                </c:pt>
                <c:pt idx="2">
                  <c:v>4.979817870821078E-2</c:v>
                </c:pt>
                <c:pt idx="3">
                  <c:v>5.416505529398493E-2</c:v>
                </c:pt>
                <c:pt idx="4">
                  <c:v>5.7817700597381547E-2</c:v>
                </c:pt>
                <c:pt idx="5">
                  <c:v>6.1011079224803255E-2</c:v>
                </c:pt>
                <c:pt idx="6">
                  <c:v>6.3877511484559432E-2</c:v>
                </c:pt>
                <c:pt idx="7">
                  <c:v>6.6496118634871926E-2</c:v>
                </c:pt>
                <c:pt idx="8">
                  <c:v>6.8918654881734209E-2</c:v>
                </c:pt>
                <c:pt idx="9">
                  <c:v>7.1181155119801165E-2</c:v>
                </c:pt>
                <c:pt idx="10">
                  <c:v>7.3309893981284804E-2</c:v>
                </c:pt>
                <c:pt idx="11">
                  <c:v>7.5324722602752581E-2</c:v>
                </c:pt>
                <c:pt idx="12">
                  <c:v>7.7241068819757591E-2</c:v>
                </c:pt>
                <c:pt idx="13">
                  <c:v>7.9071201977766514E-2</c:v>
                </c:pt>
                <c:pt idx="14">
                  <c:v>8.0825067959061261E-2</c:v>
                </c:pt>
                <c:pt idx="15">
                  <c:v>8.2510860420809254E-2</c:v>
                </c:pt>
                <c:pt idx="16">
                  <c:v>8.4135423419187561E-2</c:v>
                </c:pt>
                <c:pt idx="17">
                  <c:v>8.5704542501692002E-2</c:v>
                </c:pt>
                <c:pt idx="18">
                  <c:v>8.7223159833071606E-2</c:v>
                </c:pt>
                <c:pt idx="19">
                  <c:v>8.8695536250914517E-2</c:v>
                </c:pt>
                <c:pt idx="20">
                  <c:v>9.0125375415232079E-2</c:v>
                </c:pt>
                <c:pt idx="21">
                  <c:v>9.1515920348775162E-2</c:v>
                </c:pt>
                <c:pt idx="22">
                  <c:v>9.2870029515287847E-2</c:v>
                </c:pt>
                <c:pt idx="23">
                  <c:v>9.4190237495002063E-2</c:v>
                </c:pt>
                <c:pt idx="24">
                  <c:v>9.5478803902251511E-2</c:v>
                </c:pt>
                <c:pt idx="25">
                  <c:v>9.6737753213079633E-2</c:v>
                </c:pt>
                <c:pt idx="26">
                  <c:v>9.796890748388383E-2</c:v>
                </c:pt>
                <c:pt idx="27">
                  <c:v>9.9173913451532786E-2</c:v>
                </c:pt>
                <c:pt idx="28">
                  <c:v>0.10035426514980927</c:v>
                </c:pt>
                <c:pt idx="29">
                  <c:v>0.10151132291584733</c:v>
                </c:pt>
                <c:pt idx="30">
                  <c:v>0.10264632946602047</c:v>
                </c:pt>
                <c:pt idx="31">
                  <c:v>0.10376042357468042</c:v>
                </c:pt>
                <c:pt idx="32">
                  <c:v>0.10485465177814515</c:v>
                </c:pt>
                <c:pt idx="33">
                  <c:v>0.105929978441154</c:v>
                </c:pt>
                <c:pt idx="34">
                  <c:v>0.10698729445704158</c:v>
                </c:pt>
                <c:pt idx="35">
                  <c:v>0.10802742480136956</c:v>
                </c:pt>
                <c:pt idx="36">
                  <c:v>0.10905113511820093</c:v>
                </c:pt>
                <c:pt idx="37">
                  <c:v>0.11005913748604533</c:v>
                </c:pt>
                <c:pt idx="38">
                  <c:v>0.11105209548482327</c:v>
                </c:pt>
                <c:pt idx="39">
                  <c:v>0.11203062866455271</c:v>
                </c:pt>
                <c:pt idx="40">
                  <c:v>0.11299531649976875</c:v>
                </c:pt>
                <c:pt idx="41">
                  <c:v>0.11394670190009977</c:v>
                </c:pt>
                <c:pt idx="42">
                  <c:v>0.11488529433631696</c:v>
                </c:pt>
                <c:pt idx="43">
                  <c:v>0.11581157263203155</c:v>
                </c:pt>
                <c:pt idx="44">
                  <c:v>0.11672598746366537</c:v>
                </c:pt>
                <c:pt idx="45">
                  <c:v>0.11762896360504851</c:v>
                </c:pt>
                <c:pt idx="46">
                  <c:v>0.11852090194776758</c:v>
                </c:pt>
                <c:pt idx="47">
                  <c:v>0.11940218132400612</c:v>
                </c:pt>
                <c:pt idx="48">
                  <c:v>0.12027316015493424</c:v>
                </c:pt>
                <c:pt idx="49">
                  <c:v>0.12113417794459257</c:v>
                </c:pt>
                <c:pt idx="50">
                  <c:v>0.12198555663657816</c:v>
                </c:pt>
              </c:numCache>
            </c:numRef>
          </c:yVal>
          <c:smooth val="1"/>
          <c:extLst>
            <c:ext xmlns:c16="http://schemas.microsoft.com/office/drawing/2014/chart" uri="{C3380CC4-5D6E-409C-BE32-E72D297353CC}">
              <c16:uniqueId val="{00000006-8835-4C2B-AE7D-523C147B5079}"/>
            </c:ext>
          </c:extLst>
        </c:ser>
        <c:dLbls>
          <c:showLegendKey val="0"/>
          <c:showVal val="0"/>
          <c:showCatName val="0"/>
          <c:showSerName val="0"/>
          <c:showPercent val="0"/>
          <c:showBubbleSize val="0"/>
        </c:dLbls>
        <c:axId val="1101437999"/>
        <c:axId val="171455071"/>
      </c:scatterChart>
      <c:scatterChart>
        <c:scatterStyle val="lineMarker"/>
        <c:varyColors val="0"/>
        <c:ser>
          <c:idx val="7"/>
          <c:order val="5"/>
          <c:tx>
            <c:strRef>
              <c:f>'Matching Diagram'!$H$98</c:f>
              <c:strCache>
                <c:ptCount val="1"/>
                <c:pt idx="0">
                  <c:v>Climb gradient CS25.121a</c:v>
                </c:pt>
              </c:strCache>
            </c:strRef>
          </c:tx>
          <c:spPr>
            <a:ln w="15875" cap="rnd">
              <a:solidFill>
                <a:srgbClr val="FF0000"/>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Diagram'!$H$100:$H$190</c:f>
              <c:numCache>
                <c:formatCode>General</c:formatCode>
                <c:ptCount val="91"/>
                <c:pt idx="1">
                  <c:v>0.19989641656865875</c:v>
                </c:pt>
                <c:pt idx="2">
                  <c:v>0.20523695907571812</c:v>
                </c:pt>
                <c:pt idx="3">
                  <c:v>0.20871970357448641</c:v>
                </c:pt>
                <c:pt idx="4">
                  <c:v>0.21138108223961904</c:v>
                </c:pt>
                <c:pt idx="5">
                  <c:v>0.21356509048741951</c:v>
                </c:pt>
                <c:pt idx="6">
                  <c:v>0.21543205481733399</c:v>
                </c:pt>
                <c:pt idx="7">
                  <c:v>0.2170708464452481</c:v>
                </c:pt>
                <c:pt idx="8">
                  <c:v>0.21853632916563226</c:v>
                </c:pt>
                <c:pt idx="9">
                  <c:v>0.2198649726846672</c:v>
                </c:pt>
                <c:pt idx="10">
                  <c:v>0.22108236777952023</c:v>
                </c:pt>
                <c:pt idx="11">
                  <c:v>0.22220723036183523</c:v>
                </c:pt>
                <c:pt idx="12">
                  <c:v>0.22325370354637458</c:v>
                </c:pt>
                <c:pt idx="13">
                  <c:v>0.2242327621076694</c:v>
                </c:pt>
                <c:pt idx="14">
                  <c:v>0.22515311114421918</c:v>
                </c:pt>
                <c:pt idx="15">
                  <c:v>0.22602178407268891</c:v>
                </c:pt>
                <c:pt idx="16">
                  <c:v>0.22684455381108687</c:v>
                </c:pt>
                <c:pt idx="17">
                  <c:v>0.22762622349826359</c:v>
                </c:pt>
                <c:pt idx="18">
                  <c:v>0.22837083703035202</c:v>
                </c:pt>
                <c:pt idx="19">
                  <c:v>0.22908183474356322</c:v>
                </c:pt>
                <c:pt idx="20">
                  <c:v>0.22976217066336801</c:v>
                </c:pt>
                <c:pt idx="21">
                  <c:v>0.23041440225190263</c:v>
                </c:pt>
                <c:pt idx="22">
                  <c:v>0.23104076010485253</c:v>
                </c:pt>
                <c:pt idx="23">
                  <c:v>0.23164320278405984</c:v>
                </c:pt>
                <c:pt idx="24">
                  <c:v>0.23222346046391126</c:v>
                </c:pt>
                <c:pt idx="25">
                  <c:v>0.23278307004437365</c:v>
                </c:pt>
                <c:pt idx="26">
                  <c:v>0.23332340367360821</c:v>
                </c:pt>
                <c:pt idx="27">
                  <c:v>0.23384569212308637</c:v>
                </c:pt>
                <c:pt idx="28">
                  <c:v>0.23435104410051752</c:v>
                </c:pt>
                <c:pt idx="29">
                  <c:v>0.23484046232651212</c:v>
                </c:pt>
                <c:pt idx="30">
                  <c:v>0.235314857010293</c:v>
                </c:pt>
                <c:pt idx="31">
                  <c:v>0.23577505721804068</c:v>
                </c:pt>
                <c:pt idx="32">
                  <c:v>0.23622182052088189</c:v>
                </c:pt>
                <c:pt idx="33">
                  <c:v>0.23665584122859049</c:v>
                </c:pt>
                <c:pt idx="34">
                  <c:v>0.23707775745297943</c:v>
                </c:pt>
                <c:pt idx="35">
                  <c:v>0.2374881571969388</c:v>
                </c:pt>
                <c:pt idx="36">
                  <c:v>0.23788758362759532</c:v>
                </c:pt>
                <c:pt idx="37">
                  <c:v>0.23827653966260132</c:v>
                </c:pt>
                <c:pt idx="38">
                  <c:v>0.23865549197522781</c:v>
                </c:pt>
                <c:pt idx="39">
                  <c:v>0.23902487450531432</c:v>
                </c:pt>
                <c:pt idx="40">
                  <c:v>0.23938509154819643</c:v>
                </c:pt>
                <c:pt idx="41">
                  <c:v>0.23973652048165484</c:v>
                </c:pt>
                <c:pt idx="42">
                  <c:v>0.24007951418113394</c:v>
                </c:pt>
                <c:pt idx="43">
                  <c:v>0.24041440316546844</c:v>
                </c:pt>
                <c:pt idx="44">
                  <c:v>0.2407414975087791</c:v>
                </c:pt>
                <c:pt idx="45">
                  <c:v>0.24106108854878183</c:v>
                </c:pt>
                <c:pt idx="46">
                  <c:v>0.24137345041724534</c:v>
                </c:pt>
                <c:pt idx="47">
                  <c:v>0.2416788414146013</c:v>
                </c:pt>
                <c:pt idx="48">
                  <c:v>0.24197750524756514</c:v>
                </c:pt>
                <c:pt idx="49">
                  <c:v>0.24226967214600847</c:v>
                </c:pt>
                <c:pt idx="50">
                  <c:v>0.24255555987309566</c:v>
                </c:pt>
              </c:numCache>
            </c:numRef>
          </c:yVal>
          <c:smooth val="1"/>
          <c:extLst>
            <c:ext xmlns:c16="http://schemas.microsoft.com/office/drawing/2014/chart" uri="{C3380CC4-5D6E-409C-BE32-E72D297353CC}">
              <c16:uniqueId val="{00000000-4A99-4358-8C1F-B692889BC327}"/>
            </c:ext>
          </c:extLst>
        </c:ser>
        <c:ser>
          <c:idx val="8"/>
          <c:order val="6"/>
          <c:tx>
            <c:strRef>
              <c:f>'Matching Diagram'!$I$98</c:f>
              <c:strCache>
                <c:ptCount val="1"/>
                <c:pt idx="0">
                  <c:v>Climb gradient CS25.121b</c:v>
                </c:pt>
              </c:strCache>
            </c:strRef>
          </c:tx>
          <c:spPr>
            <a:ln w="15875" cap="rnd">
              <a:solidFill>
                <a:srgbClr val="FF7401"/>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Diagram'!$I$100:$I$190</c:f>
              <c:numCache>
                <c:formatCode>General</c:formatCode>
                <c:ptCount val="91"/>
                <c:pt idx="1">
                  <c:v>0.22303552398243762</c:v>
                </c:pt>
                <c:pt idx="2">
                  <c:v>0.22915268717369464</c:v>
                </c:pt>
                <c:pt idx="3">
                  <c:v>0.23315562679077526</c:v>
                </c:pt>
                <c:pt idx="4">
                  <c:v>0.23621860332360367</c:v>
                </c:pt>
                <c:pt idx="5">
                  <c:v>0.23873330705483028</c:v>
                </c:pt>
                <c:pt idx="6">
                  <c:v>0.24088290871931944</c:v>
                </c:pt>
                <c:pt idx="7">
                  <c:v>0.2427692003086723</c:v>
                </c:pt>
                <c:pt idx="8">
                  <c:v>0.2444551497912538</c:v>
                </c:pt>
                <c:pt idx="9">
                  <c:v>0.24598268461282807</c:v>
                </c:pt>
                <c:pt idx="10">
                  <c:v>0.24738126762223861</c:v>
                </c:pt>
                <c:pt idx="11">
                  <c:v>0.24867247362580353</c:v>
                </c:pt>
                <c:pt idx="12">
                  <c:v>0.24987262424299972</c:v>
                </c:pt>
                <c:pt idx="13">
                  <c:v>0.25099439734776524</c:v>
                </c:pt>
                <c:pt idx="14">
                  <c:v>0.25204785801158014</c:v>
                </c:pt>
                <c:pt idx="15">
                  <c:v>0.25304114518858867</c:v>
                </c:pt>
                <c:pt idx="16">
                  <c:v>0.25398094430121165</c:v>
                </c:pt>
                <c:pt idx="17">
                  <c:v>0.25487282164385439</c:v>
                </c:pt>
                <c:pt idx="18">
                  <c:v>0.25572146673574708</c:v>
                </c:pt>
                <c:pt idx="19">
                  <c:v>0.25653087165445271</c:v>
                </c:pt>
                <c:pt idx="20">
                  <c:v>0.25730446618392677</c:v>
                </c:pt>
                <c:pt idx="21">
                  <c:v>0.25804522132466085</c:v>
                </c:pt>
                <c:pt idx="22">
                  <c:v>0.25875572972391525</c:v>
                </c:pt>
                <c:pt idx="23">
                  <c:v>0.25943826898620065</c:v>
                </c:pt>
                <c:pt idx="24">
                  <c:v>0.26009485209330457</c:v>
                </c:pt>
                <c:pt idx="25">
                  <c:v>0.26072726798595441</c:v>
                </c:pt>
                <c:pt idx="26">
                  <c:v>0.26133711454355535</c:v>
                </c:pt>
                <c:pt idx="27">
                  <c:v>0.26192582562369904</c:v>
                </c:pt>
                <c:pt idx="28">
                  <c:v>0.26249469341187259</c:v>
                </c:pt>
                <c:pt idx="29">
                  <c:v>0.26304488703335532</c:v>
                </c:pt>
                <c:pt idx="30">
                  <c:v>0.26357746815989896</c:v>
                </c:pt>
                <c:pt idx="31">
                  <c:v>0.26409340418056693</c:v>
                </c:pt>
                <c:pt idx="32">
                  <c:v>0.26459357938335581</c:v>
                </c:pt>
                <c:pt idx="33">
                  <c:v>0.26507880450092103</c:v>
                </c:pt>
                <c:pt idx="34">
                  <c:v>0.26554982490216961</c:v>
                </c:pt>
                <c:pt idx="35">
                  <c:v>0.26600732765608742</c:v>
                </c:pt>
                <c:pt idx="36">
                  <c:v>0.26645194765093105</c:v>
                </c:pt>
                <c:pt idx="37">
                  <c:v>0.266884272917915</c:v>
                </c:pt>
                <c:pt idx="38">
                  <c:v>0.26730484928158499</c:v>
                </c:pt>
                <c:pt idx="39">
                  <c:v>0.26771418443756401</c:v>
                </c:pt>
                <c:pt idx="40">
                  <c:v>0.26811275154111519</c:v>
                </c:pt>
                <c:pt idx="41">
                  <c:v>0.26850099237600733</c:v>
                </c:pt>
                <c:pt idx="42">
                  <c:v>0.26887932016184934</c:v>
                </c:pt>
                <c:pt idx="43">
                  <c:v>0.26924812204880455</c:v>
                </c:pt>
                <c:pt idx="44">
                  <c:v>0.26960776134098152</c:v>
                </c:pt>
                <c:pt idx="45">
                  <c:v>0.26995857948354246</c:v>
                </c:pt>
                <c:pt idx="46">
                  <c:v>0.2703008978433491</c:v>
                </c:pt>
                <c:pt idx="47">
                  <c:v>0.2706350193086442</c:v>
                </c:pt>
                <c:pt idx="48">
                  <c:v>0.27096122972963993</c:v>
                </c:pt>
                <c:pt idx="49">
                  <c:v>0.271279799218832</c:v>
                </c:pt>
                <c:pt idx="50">
                  <c:v>0.27159098332730303</c:v>
                </c:pt>
              </c:numCache>
            </c:numRef>
          </c:yVal>
          <c:smooth val="0"/>
          <c:extLst>
            <c:ext xmlns:c16="http://schemas.microsoft.com/office/drawing/2014/chart" uri="{C3380CC4-5D6E-409C-BE32-E72D297353CC}">
              <c16:uniqueId val="{00000001-4A99-4358-8C1F-B692889BC327}"/>
            </c:ext>
          </c:extLst>
        </c:ser>
        <c:ser>
          <c:idx val="9"/>
          <c:order val="7"/>
          <c:tx>
            <c:strRef>
              <c:f>'Matching Diagram'!$J$98</c:f>
              <c:strCache>
                <c:ptCount val="1"/>
                <c:pt idx="0">
                  <c:v>Climb gradient CS25.121c</c:v>
                </c:pt>
              </c:strCache>
            </c:strRef>
          </c:tx>
          <c:spPr>
            <a:ln w="15875" cap="rnd">
              <a:solidFill>
                <a:schemeClr val="accent4">
                  <a:lumMod val="75000"/>
                </a:schemeClr>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Diagram'!$J$100:$J$190</c:f>
              <c:numCache>
                <c:formatCode>General</c:formatCode>
                <c:ptCount val="91"/>
                <c:pt idx="1">
                  <c:v>0.1515214134033826</c:v>
                </c:pt>
                <c:pt idx="2">
                  <c:v>0.1559696896769206</c:v>
                </c:pt>
                <c:pt idx="3">
                  <c:v>0.15889912838290474</c:v>
                </c:pt>
                <c:pt idx="4">
                  <c:v>0.16114412843047271</c:v>
                </c:pt>
                <c:pt idx="5">
                  <c:v>0.16298646375820797</c:v>
                </c:pt>
                <c:pt idx="6">
                  <c:v>0.1645589721559696</c:v>
                </c:pt>
                <c:pt idx="7">
                  <c:v>0.16593592033179053</c:v>
                </c:pt>
                <c:pt idx="8">
                  <c:v>0.16716346999186482</c:v>
                </c:pt>
                <c:pt idx="9">
                  <c:v>0.16827248056623262</c:v>
                </c:pt>
                <c:pt idx="10">
                  <c:v>0.16928471111614099</c:v>
                </c:pt>
                <c:pt idx="11">
                  <c:v>0.17021614254826009</c:v>
                </c:pt>
                <c:pt idx="12">
                  <c:v>0.17107889655140637</c:v>
                </c:pt>
                <c:pt idx="13">
                  <c:v>0.17188241108493174</c:v>
                </c:pt>
                <c:pt idx="14">
                  <c:v>0.17263419526090817</c:v>
                </c:pt>
                <c:pt idx="15">
                  <c:v>0.17334033329950566</c:v>
                </c:pt>
                <c:pt idx="16">
                  <c:v>0.17400583207586995</c:v>
                </c:pt>
                <c:pt idx="17">
                  <c:v>0.17463486751180135</c:v>
                </c:pt>
                <c:pt idx="18">
                  <c:v>0.1752309634552171</c:v>
                </c:pt>
                <c:pt idx="19">
                  <c:v>0.17579712425950622</c:v>
                </c:pt>
                <c:pt idx="20">
                  <c:v>0.17633593484769591</c:v>
                </c:pt>
                <c:pt idx="21">
                  <c:v>0.17684963745996465</c:v>
                </c:pt>
                <c:pt idx="22">
                  <c:v>0.17734019136772461</c:v>
                </c:pt>
                <c:pt idx="23">
                  <c:v>0.17780931993631555</c:v>
                </c:pt>
                <c:pt idx="24">
                  <c:v>0.17825854814986991</c:v>
                </c:pt>
                <c:pt idx="25">
                  <c:v>0.17868923284806357</c:v>
                </c:pt>
                <c:pt idx="26">
                  <c:v>0.17910258732517861</c:v>
                </c:pt>
                <c:pt idx="27">
                  <c:v>0.17949970151912611</c:v>
                </c:pt>
                <c:pt idx="28">
                  <c:v>0.17988155871522352</c:v>
                </c:pt>
                <c:pt idx="29">
                  <c:v>0.1802490494695031</c:v>
                </c:pt>
                <c:pt idx="30">
                  <c:v>0.18060298329443622</c:v>
                </c:pt>
                <c:pt idx="31">
                  <c:v>0.18094409852939639</c:v>
                </c:pt>
                <c:pt idx="32">
                  <c:v>0.18127307072742177</c:v>
                </c:pt>
                <c:pt idx="33">
                  <c:v>0.18159051982080809</c:v>
                </c:pt>
                <c:pt idx="34">
                  <c:v>0.18189701627505375</c:v>
                </c:pt>
                <c:pt idx="35">
                  <c:v>0.18219308639962412</c:v>
                </c:pt>
                <c:pt idx="36">
                  <c:v>0.18247921695192912</c:v>
                </c:pt>
                <c:pt idx="37">
                  <c:v>0.18275585914566347</c:v>
                </c:pt>
                <c:pt idx="38">
                  <c:v>0.18302343215464892</c:v>
                </c:pt>
                <c:pt idx="39">
                  <c:v>0.18328232618732856</c:v>
                </c:pt>
                <c:pt idx="40">
                  <c:v>0.18353290519423529</c:v>
                </c:pt>
                <c:pt idx="41">
                  <c:v>0.18377550926036856</c:v>
                </c:pt>
                <c:pt idx="42">
                  <c:v>0.18401045672597463</c:v>
                </c:pt>
                <c:pt idx="43">
                  <c:v>0.18423804607233277</c:v>
                </c:pt>
                <c:pt idx="44">
                  <c:v>0.18445855760346941</c:v>
                </c:pt>
                <c:pt idx="45">
                  <c:v>0.18467225495004866</c:v>
                </c:pt>
                <c:pt idx="46">
                  <c:v>0.18487938641779736</c:v>
                </c:pt>
                <c:pt idx="47">
                  <c:v>0.18508018619958583</c:v>
                </c:pt>
                <c:pt idx="48">
                  <c:v>0.18527487546757798</c:v>
                </c:pt>
                <c:pt idx="49">
                  <c:v>0.185463663359582</c:v>
                </c:pt>
                <c:pt idx="50">
                  <c:v>0.18564674787181751</c:v>
                </c:pt>
              </c:numCache>
            </c:numRef>
          </c:yVal>
          <c:smooth val="0"/>
          <c:extLst>
            <c:ext xmlns:c16="http://schemas.microsoft.com/office/drawing/2014/chart" uri="{C3380CC4-5D6E-409C-BE32-E72D297353CC}">
              <c16:uniqueId val="{00000002-4A99-4358-8C1F-B692889BC327}"/>
            </c:ext>
          </c:extLst>
        </c:ser>
        <c:ser>
          <c:idx val="10"/>
          <c:order val="8"/>
          <c:tx>
            <c:strRef>
              <c:f>'Matching Diagram'!$K$98</c:f>
              <c:strCache>
                <c:ptCount val="1"/>
                <c:pt idx="0">
                  <c:v>Climb gradient CS25.121d</c:v>
                </c:pt>
              </c:strCache>
            </c:strRef>
          </c:tx>
          <c:spPr>
            <a:ln w="15875" cap="rnd">
              <a:solidFill>
                <a:srgbClr val="00B0F0"/>
              </a:solidFill>
              <a:round/>
            </a:ln>
            <a:effectLst/>
          </c:spPr>
          <c:marker>
            <c:symbol val="circle"/>
            <c:size val="5"/>
            <c:spPr>
              <a:noFill/>
              <a:ln w="9525">
                <a:noFill/>
              </a:ln>
              <a:effectLst/>
            </c:spPr>
          </c:marker>
          <c:xVal>
            <c:numRef>
              <c:f>'Matching Diagram'!$B$100:$B$190</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numCache>
            </c:numRef>
          </c:xVal>
          <c:yVal>
            <c:numRef>
              <c:f>'Matching Diagram'!$K$100:$K$190</c:f>
              <c:numCache>
                <c:formatCode>General</c:formatCode>
                <c:ptCount val="91"/>
                <c:pt idx="1">
                  <c:v>0.26757692978126185</c:v>
                </c:pt>
                <c:pt idx="2">
                  <c:v>0.2744543326339321</c:v>
                </c:pt>
                <c:pt idx="3">
                  <c:v>0.27891182284283689</c:v>
                </c:pt>
                <c:pt idx="4">
                  <c:v>0.28230862741262625</c:v>
                </c:pt>
                <c:pt idx="5">
                  <c:v>0.28509247811519017</c:v>
                </c:pt>
                <c:pt idx="6">
                  <c:v>0.28747095833933961</c:v>
                </c:pt>
                <c:pt idx="7">
                  <c:v>0.28955867400716867</c:v>
                </c:pt>
                <c:pt idx="8">
                  <c:v>0.29142614772442288</c:v>
                </c:pt>
                <c:pt idx="9">
                  <c:v>0.29312013188284053</c:v>
                </c:pt>
                <c:pt idx="10">
                  <c:v>0.29467335703805914</c:v>
                </c:pt>
                <c:pt idx="11">
                  <c:v>0.2961097127160382</c:v>
                </c:pt>
                <c:pt idx="12">
                  <c:v>0.29744721948636588</c:v>
                </c:pt>
                <c:pt idx="13">
                  <c:v>0.29869983866000843</c:v>
                </c:pt>
                <c:pt idx="14">
                  <c:v>0.2998786282453364</c:v>
                </c:pt>
                <c:pt idx="15">
                  <c:v>0.30099251094700014</c:v>
                </c:pt>
                <c:pt idx="16">
                  <c:v>0.30204880149300312</c:v>
                </c:pt>
                <c:pt idx="17">
                  <c:v>0.30305357898516166</c:v>
                </c:pt>
                <c:pt idx="18">
                  <c:v>0.30401195622765564</c:v>
                </c:pt>
                <c:pt idx="19">
                  <c:v>0.30492827866216532</c:v>
                </c:pt>
                <c:pt idx="20">
                  <c:v>0.30580627403618316</c:v>
                </c:pt>
                <c:pt idx="21">
                  <c:v>0.30664916685425198</c:v>
                </c:pt>
                <c:pt idx="22">
                  <c:v>0.30745976717867807</c:v>
                </c:pt>
                <c:pt idx="23">
                  <c:v>0.30824054043181087</c:v>
                </c:pt>
                <c:pt idx="24">
                  <c:v>0.30899366291321012</c:v>
                </c:pt>
                <c:pt idx="25">
                  <c:v>0.30972106642834718</c:v>
                </c:pt>
                <c:pt idx="26">
                  <c:v>0.31042447451447613</c:v>
                </c:pt>
                <c:pt idx="27">
                  <c:v>0.31110543210821656</c:v>
                </c:pt>
                <c:pt idx="28">
                  <c:v>0.31176533004122203</c:v>
                </c:pt>
                <c:pt idx="29">
                  <c:v>0.31240542541822036</c:v>
                </c:pt>
                <c:pt idx="30">
                  <c:v>0.31302685868786967</c:v>
                </c:pt>
                <c:pt idx="31">
                  <c:v>0.31363066803566569</c:v>
                </c:pt>
                <c:pt idx="32">
                  <c:v>0.31421780159197077</c:v>
                </c:pt>
                <c:pt idx="33">
                  <c:v>0.31478912784488466</c:v>
                </c:pt>
                <c:pt idx="34">
                  <c:v>0.31534544456844443</c:v>
                </c:pt>
                <c:pt idx="35">
                  <c:v>0.31588748651537973</c:v>
                </c:pt>
                <c:pt idx="36">
                  <c:v>0.31641593207589175</c:v>
                </c:pt>
                <c:pt idx="37">
                  <c:v>0.31693140906636413</c:v>
                </c:pt>
                <c:pt idx="38">
                  <c:v>0.31743449978221394</c:v>
                </c:pt>
                <c:pt idx="39">
                  <c:v>0.31792574542538515</c:v>
                </c:pt>
                <c:pt idx="40">
                  <c:v>0.31840564999798554</c:v>
                </c:pt>
                <c:pt idx="41">
                  <c:v>0.31887468373822536</c:v>
                </c:pt>
                <c:pt idx="42">
                  <c:v>0.31933328616234991</c:v>
                </c:pt>
                <c:pt idx="43">
                  <c:v>0.31978186876608994</c:v>
                </c:pt>
                <c:pt idx="44">
                  <c:v>0.32022081743080444</c:v>
                </c:pt>
                <c:pt idx="45">
                  <c:v>0.32065049457260464</c:v>
                </c:pt>
                <c:pt idx="46">
                  <c:v>0.32107124106703344</c:v>
                </c:pt>
                <c:pt idx="47">
                  <c:v>0.3214833779771411</c:v>
                </c:pt>
                <c:pt idx="48">
                  <c:v>0.32188720810880744</c:v>
                </c:pt>
                <c:pt idx="49">
                  <c:v>0.32228301741383952</c:v>
                </c:pt>
                <c:pt idx="50">
                  <c:v>0.32267107625856334</c:v>
                </c:pt>
              </c:numCache>
            </c:numRef>
          </c:yVal>
          <c:smooth val="0"/>
          <c:extLst>
            <c:ext xmlns:c16="http://schemas.microsoft.com/office/drawing/2014/chart" uri="{C3380CC4-5D6E-409C-BE32-E72D297353CC}">
              <c16:uniqueId val="{00000003-4A99-4358-8C1F-B692889BC327}"/>
            </c:ext>
          </c:extLst>
        </c:ser>
        <c:ser>
          <c:idx val="6"/>
          <c:order val="10"/>
          <c:tx>
            <c:v>Design Point</c:v>
          </c:tx>
          <c:spPr>
            <a:ln w="25400" cap="rnd">
              <a:noFill/>
              <a:round/>
            </a:ln>
            <a:effectLst/>
          </c:spPr>
          <c:marker>
            <c:symbol val="diamond"/>
            <c:size val="7"/>
            <c:spPr>
              <a:solidFill>
                <a:srgbClr val="00B0F0"/>
              </a:solidFill>
              <a:ln w="12700" cap="sq">
                <a:solidFill>
                  <a:schemeClr val="tx1">
                    <a:lumMod val="95000"/>
                    <a:lumOff val="5000"/>
                  </a:schemeClr>
                </a:solidFill>
                <a:round/>
              </a:ln>
              <a:effectLst/>
            </c:spPr>
          </c:marker>
          <c:xVal>
            <c:numRef>
              <c:f>'Matching Diagram'!$D$88</c:f>
              <c:numCache>
                <c:formatCode>General</c:formatCode>
                <c:ptCount val="1"/>
                <c:pt idx="0">
                  <c:v>4100</c:v>
                </c:pt>
              </c:numCache>
            </c:numRef>
          </c:xVal>
          <c:yVal>
            <c:numRef>
              <c:f>'Matching Diagram'!$D$89</c:f>
              <c:numCache>
                <c:formatCode>General</c:formatCode>
                <c:ptCount val="1"/>
                <c:pt idx="0">
                  <c:v>0.31879999999999997</c:v>
                </c:pt>
              </c:numCache>
            </c:numRef>
          </c:yVal>
          <c:smooth val="0"/>
          <c:extLst>
            <c:ext xmlns:c16="http://schemas.microsoft.com/office/drawing/2014/chart" uri="{C3380CC4-5D6E-409C-BE32-E72D297353CC}">
              <c16:uniqueId val="{00000007-8835-4C2B-AE7D-523C147B5079}"/>
            </c:ext>
          </c:extLst>
        </c:ser>
        <c:dLbls>
          <c:showLegendKey val="0"/>
          <c:showVal val="0"/>
          <c:showCatName val="0"/>
          <c:showSerName val="0"/>
          <c:showPercent val="0"/>
          <c:showBubbleSize val="0"/>
        </c:dLbls>
        <c:axId val="1101437999"/>
        <c:axId val="171455071"/>
      </c:scatterChart>
      <c:valAx>
        <c:axId val="1101437999"/>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'Matching Diagram'!$B$99</c:f>
              <c:strCache>
                <c:ptCount val="1"/>
                <c:pt idx="0">
                  <c:v>W/S - [N/m2]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cross"/>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71455071"/>
        <c:crosses val="autoZero"/>
        <c:crossBetween val="midCat"/>
        <c:majorUnit val="500"/>
        <c:minorUnit val="250"/>
      </c:valAx>
      <c:valAx>
        <c:axId val="171455071"/>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'Matching Diagram'!$E$99</c:f>
              <c:strCache>
                <c:ptCount val="1"/>
                <c:pt idx="0">
                  <c:v>T/W - [N/N]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101437999"/>
        <c:crosses val="autoZero"/>
        <c:crossBetween val="midCat"/>
      </c:valAx>
      <c:spPr>
        <a:noFill/>
        <a:ln>
          <a:solidFill>
            <a:schemeClr val="accent1">
              <a:alpha val="96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nl-NL"/>
              <a:t>Class I Loading Diagram</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lineMarker"/>
        <c:varyColors val="0"/>
        <c:ser>
          <c:idx val="0"/>
          <c:order val="0"/>
          <c:tx>
            <c:v>Class I Loading Diagram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('CG and Loading Diagram'!$C$25,'CG and Loading Diagram'!$C$28,'CG and Loading Diagram'!$C$29,'CG and Loading Diagram'!$C$30,'CG and Loading Diagram'!$C$25)</c:f>
              <c:numCache>
                <c:formatCode>General</c:formatCode>
                <c:ptCount val="5"/>
                <c:pt idx="0">
                  <c:v>13.6</c:v>
                </c:pt>
                <c:pt idx="1">
                  <c:v>13.44</c:v>
                </c:pt>
                <c:pt idx="2">
                  <c:v>13.5</c:v>
                </c:pt>
                <c:pt idx="3">
                  <c:v>13.690523415977962</c:v>
                </c:pt>
                <c:pt idx="4">
                  <c:v>13.6</c:v>
                </c:pt>
              </c:numCache>
            </c:numRef>
          </c:xVal>
          <c:yVal>
            <c:numRef>
              <c:f>('CG and Loading Diagram'!$B$25,'CG and Loading Diagram'!$B$28,'CG and Loading Diagram'!$B$29,'CG and Loading Diagram'!$B$30,'CG and Loading Diagram'!$B$25)</c:f>
              <c:numCache>
                <c:formatCode>General</c:formatCode>
                <c:ptCount val="5"/>
                <c:pt idx="0">
                  <c:v>0.62</c:v>
                </c:pt>
                <c:pt idx="1">
                  <c:v>0.89400000000000002</c:v>
                </c:pt>
                <c:pt idx="2">
                  <c:v>1</c:v>
                </c:pt>
                <c:pt idx="3">
                  <c:v>0.72599999999999998</c:v>
                </c:pt>
                <c:pt idx="4">
                  <c:v>0.62</c:v>
                </c:pt>
              </c:numCache>
            </c:numRef>
          </c:yVal>
          <c:smooth val="0"/>
          <c:extLst>
            <c:ext xmlns:c16="http://schemas.microsoft.com/office/drawing/2014/chart" uri="{C3380CC4-5D6E-409C-BE32-E72D297353CC}">
              <c16:uniqueId val="{00000006-91CF-47C1-AAC0-22BFF4869801}"/>
            </c:ext>
          </c:extLst>
        </c:ser>
        <c:ser>
          <c:idx val="1"/>
          <c:order val="1"/>
          <c:tx>
            <c:v>MAC</c:v>
          </c:tx>
          <c:spPr>
            <a:ln w="19050" cap="rnd">
              <a:solidFill>
                <a:srgbClr val="FF0000"/>
              </a:solidFill>
              <a:round/>
            </a:ln>
            <a:effectLst/>
          </c:spPr>
          <c:marker>
            <c:symbol val="none"/>
          </c:marker>
          <c:xVal>
            <c:numRef>
              <c:f>('CG and Loading Diagram'!$C$19,'CG and Loading Diagram'!$C$20)</c:f>
              <c:numCache>
                <c:formatCode>General</c:formatCode>
                <c:ptCount val="2"/>
                <c:pt idx="0">
                  <c:v>12.81</c:v>
                </c:pt>
                <c:pt idx="1">
                  <c:v>15.61</c:v>
                </c:pt>
              </c:numCache>
            </c:numRef>
          </c:xVal>
          <c:yVal>
            <c:numLit>
              <c:formatCode>General</c:formatCode>
              <c:ptCount val="2"/>
              <c:pt idx="0">
                <c:v>1</c:v>
              </c:pt>
              <c:pt idx="1">
                <c:v>1</c:v>
              </c:pt>
            </c:numLit>
          </c:yVal>
          <c:smooth val="0"/>
          <c:extLst>
            <c:ext xmlns:c16="http://schemas.microsoft.com/office/drawing/2014/chart" uri="{C3380CC4-5D6E-409C-BE32-E72D297353CC}">
              <c16:uniqueId val="{00000007-91CF-47C1-AAC0-22BFF4869801}"/>
            </c:ext>
          </c:extLst>
        </c:ser>
        <c:dLbls>
          <c:showLegendKey val="0"/>
          <c:showVal val="0"/>
          <c:showCatName val="0"/>
          <c:showSerName val="0"/>
          <c:showPercent val="0"/>
          <c:showBubbleSize val="0"/>
        </c:dLbls>
        <c:axId val="1675774688"/>
        <c:axId val="1866350208"/>
      </c:scatterChart>
      <c:valAx>
        <c:axId val="1675774688"/>
        <c:scaling>
          <c:orientation val="minMax"/>
          <c:min val="12"/>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nl-NL"/>
                  <a:t>Fuselage station, X (m)</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1866350208"/>
        <c:crosses val="autoZero"/>
        <c:crossBetween val="midCat"/>
      </c:valAx>
      <c:valAx>
        <c:axId val="1866350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nl-NL"/>
                  <a:t>Mass Fraction,M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1675774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704850</xdr:colOff>
      <xdr:row>29</xdr:row>
      <xdr:rowOff>76200</xdr:rowOff>
    </xdr:from>
    <xdr:to>
      <xdr:col>12</xdr:col>
      <xdr:colOff>371119</xdr:colOff>
      <xdr:row>33</xdr:row>
      <xdr:rowOff>295275</xdr:rowOff>
    </xdr:to>
    <xdr:pic>
      <xdr:nvPicPr>
        <xdr:cNvPr id="2" name="Picture 1">
          <a:extLst>
            <a:ext uri="{FF2B5EF4-FFF2-40B4-BE49-F238E27FC236}">
              <a16:creationId xmlns:a16="http://schemas.microsoft.com/office/drawing/2014/main" id="{0C2242CB-856E-5B63-BEF3-A73665C998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6562725"/>
          <a:ext cx="4504969"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157162</xdr:colOff>
      <xdr:row>7</xdr:row>
      <xdr:rowOff>185737</xdr:rowOff>
    </xdr:from>
    <xdr:to>
      <xdr:col>16</xdr:col>
      <xdr:colOff>76200</xdr:colOff>
      <xdr:row>25</xdr:row>
      <xdr:rowOff>9525</xdr:rowOff>
    </xdr:to>
    <xdr:graphicFrame macro="">
      <xdr:nvGraphicFramePr>
        <xdr:cNvPr id="2" name="Chart 1">
          <a:extLst>
            <a:ext uri="{FF2B5EF4-FFF2-40B4-BE49-F238E27FC236}">
              <a16:creationId xmlns:a16="http://schemas.microsoft.com/office/drawing/2014/main" id="{FE0E3E83-1145-1AC3-7FC3-D070769D5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123826</xdr:colOff>
      <xdr:row>99</xdr:row>
      <xdr:rowOff>4761</xdr:rowOff>
    </xdr:from>
    <xdr:to>
      <xdr:col>28</xdr:col>
      <xdr:colOff>9526</xdr:colOff>
      <xdr:row>135</xdr:row>
      <xdr:rowOff>38100</xdr:rowOff>
    </xdr:to>
    <xdr:graphicFrame macro="">
      <xdr:nvGraphicFramePr>
        <xdr:cNvPr id="8" name="Chart 7">
          <a:extLst>
            <a:ext uri="{FF2B5EF4-FFF2-40B4-BE49-F238E27FC236}">
              <a16:creationId xmlns:a16="http://schemas.microsoft.com/office/drawing/2014/main" id="{FD5E8040-B6A9-580C-794D-492100588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333374</xdr:colOff>
      <xdr:row>18</xdr:row>
      <xdr:rowOff>52386</xdr:rowOff>
    </xdr:from>
    <xdr:to>
      <xdr:col>13</xdr:col>
      <xdr:colOff>19049</xdr:colOff>
      <xdr:row>33</xdr:row>
      <xdr:rowOff>133349</xdr:rowOff>
    </xdr:to>
    <xdr:graphicFrame macro="">
      <xdr:nvGraphicFramePr>
        <xdr:cNvPr id="2" name="Chart 1">
          <a:extLst>
            <a:ext uri="{FF2B5EF4-FFF2-40B4-BE49-F238E27FC236}">
              <a16:creationId xmlns:a16="http://schemas.microsoft.com/office/drawing/2014/main" id="{FFDFFA96-899F-05AB-49AC-C601C64CD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lexandru Prohnitchi" id="{846998E1-5CB6-4747-BB62-E08E14160245}" userId="b78f17d2f97596f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4-03-25T21:18:29.54" personId="{846998E1-5CB6-4747-BB62-E08E14160245}" id="{FB2885BD-E7E2-425E-BEBA-F889588011D3}">
    <text xml:space="preserve">Fix the data for this plane
</text>
  </threadedComment>
</ThreadedComments>
</file>

<file path=xl/threadedComments/threadedComment2.xml><?xml version="1.0" encoding="utf-8"?>
<ThreadedComments xmlns="http://schemas.microsoft.com/office/spreadsheetml/2018/threadedcomments" xmlns:x="http://schemas.openxmlformats.org/spreadsheetml/2006/main">
  <threadedComment ref="D18" dT="2024-03-25T21:23:59.34" personId="{846998E1-5CB6-4747-BB62-E08E14160245}" id="{8DA7865C-AFD5-423E-9A2A-7709B3362DC8}">
    <text xml:space="preserve">Change this shit later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64C7C-F791-4C4D-88BF-F5D31A4833FB}">
  <sheetPr codeName="Sheet1"/>
  <dimension ref="A1:F51"/>
  <sheetViews>
    <sheetView topLeftCell="F1" workbookViewId="0">
      <selection activeCell="B35" sqref="B35"/>
    </sheetView>
  </sheetViews>
  <sheetFormatPr defaultRowHeight="14.4" x14ac:dyDescent="0.3"/>
  <cols>
    <col min="1" max="1" width="31.6640625" bestFit="1" customWidth="1"/>
    <col min="2" max="2" width="15.6640625" customWidth="1"/>
    <col min="3" max="3" width="13.44140625" bestFit="1" customWidth="1"/>
    <col min="4" max="4" width="13.6640625" bestFit="1" customWidth="1"/>
    <col min="5" max="5" width="19.6640625" customWidth="1"/>
  </cols>
  <sheetData>
    <row r="1" spans="1:6" ht="18" x14ac:dyDescent="0.35">
      <c r="A1" s="8" t="s">
        <v>0</v>
      </c>
      <c r="B1" s="8" t="s">
        <v>1</v>
      </c>
      <c r="C1" s="2"/>
      <c r="D1" s="2"/>
      <c r="E1" s="2"/>
      <c r="F1" s="2"/>
    </row>
    <row r="2" spans="1:6" ht="18" x14ac:dyDescent="0.35">
      <c r="A2" s="8"/>
      <c r="B2" s="8" t="s">
        <v>602</v>
      </c>
      <c r="C2" s="2"/>
      <c r="D2" s="2"/>
      <c r="E2" s="2"/>
      <c r="F2" s="2"/>
    </row>
    <row r="3" spans="1:6" x14ac:dyDescent="0.3">
      <c r="A3" s="2"/>
      <c r="B3" s="2"/>
      <c r="C3" s="2"/>
      <c r="D3" s="2"/>
      <c r="E3" s="2"/>
      <c r="F3" s="2"/>
    </row>
    <row r="4" spans="1:6" ht="30" customHeight="1" x14ac:dyDescent="0.3">
      <c r="A4" s="7" t="s">
        <v>2</v>
      </c>
      <c r="B4" s="100" t="s">
        <v>425</v>
      </c>
      <c r="C4" s="100"/>
      <c r="D4" s="100"/>
      <c r="E4" s="100"/>
      <c r="F4" s="2"/>
    </row>
    <row r="5" spans="1:6" x14ac:dyDescent="0.3">
      <c r="A5" s="2"/>
      <c r="B5" s="2" t="s">
        <v>380</v>
      </c>
      <c r="C5" s="2" t="s">
        <v>389</v>
      </c>
      <c r="D5" s="2"/>
      <c r="E5" s="2"/>
      <c r="F5" s="2"/>
    </row>
    <row r="6" spans="1:6" x14ac:dyDescent="0.3">
      <c r="A6" s="2"/>
      <c r="B6" s="2" t="s">
        <v>381</v>
      </c>
      <c r="C6" s="2" t="s">
        <v>415</v>
      </c>
      <c r="D6" s="2"/>
      <c r="E6" s="2"/>
      <c r="F6" s="2"/>
    </row>
    <row r="7" spans="1:6" x14ac:dyDescent="0.3">
      <c r="A7" s="2"/>
      <c r="B7" s="2"/>
      <c r="C7" s="2"/>
      <c r="D7" s="2"/>
      <c r="E7" s="2"/>
      <c r="F7" s="2"/>
    </row>
    <row r="8" spans="1:6" x14ac:dyDescent="0.3">
      <c r="A8" s="7" t="s">
        <v>3</v>
      </c>
      <c r="B8" s="103" t="s">
        <v>374</v>
      </c>
      <c r="C8" s="103"/>
      <c r="D8" s="103"/>
      <c r="E8" s="103"/>
      <c r="F8" s="2"/>
    </row>
    <row r="9" spans="1:6" ht="45" customHeight="1" x14ac:dyDescent="0.3">
      <c r="A9" s="2"/>
      <c r="B9" s="104" t="s">
        <v>372</v>
      </c>
      <c r="C9" s="104"/>
      <c r="D9" s="104"/>
      <c r="E9" s="104"/>
      <c r="F9" s="2"/>
    </row>
    <row r="10" spans="1:6" ht="28.5" customHeight="1" x14ac:dyDescent="0.3">
      <c r="A10" s="2"/>
      <c r="B10" s="104" t="s">
        <v>373</v>
      </c>
      <c r="C10" s="104"/>
      <c r="D10" s="104"/>
      <c r="E10" s="104"/>
      <c r="F10" s="2"/>
    </row>
    <row r="11" spans="1:6" x14ac:dyDescent="0.3">
      <c r="A11" s="2"/>
      <c r="B11" s="2"/>
      <c r="C11" s="2"/>
      <c r="D11" s="2"/>
      <c r="E11" s="2"/>
      <c r="F11" s="2"/>
    </row>
    <row r="12" spans="1:6" x14ac:dyDescent="0.3">
      <c r="A12" s="7" t="s">
        <v>4</v>
      </c>
      <c r="B12" s="9" t="s">
        <v>609</v>
      </c>
      <c r="C12" s="2"/>
      <c r="D12" s="2"/>
      <c r="E12" s="2"/>
      <c r="F12" s="2"/>
    </row>
    <row r="13" spans="1:6" x14ac:dyDescent="0.3">
      <c r="A13" s="7" t="s">
        <v>5</v>
      </c>
      <c r="B13" s="9" t="s">
        <v>608</v>
      </c>
      <c r="C13" s="2"/>
      <c r="D13" s="2"/>
      <c r="E13" s="2"/>
      <c r="F13" s="2"/>
    </row>
    <row r="14" spans="1:6" x14ac:dyDescent="0.3">
      <c r="A14" s="7" t="s">
        <v>6</v>
      </c>
      <c r="B14" s="1">
        <v>5708745</v>
      </c>
      <c r="C14" s="2"/>
      <c r="D14" s="2"/>
      <c r="E14" s="2"/>
      <c r="F14" s="2"/>
    </row>
    <row r="15" spans="1:6" x14ac:dyDescent="0.3">
      <c r="A15" s="7" t="s">
        <v>603</v>
      </c>
      <c r="B15" s="1">
        <v>2023</v>
      </c>
      <c r="C15" s="2"/>
      <c r="D15" s="2"/>
      <c r="E15" s="2"/>
      <c r="F15" s="2"/>
    </row>
    <row r="16" spans="1:6" x14ac:dyDescent="0.3">
      <c r="A16" s="7" t="s">
        <v>7</v>
      </c>
      <c r="B16" s="10"/>
      <c r="C16" s="2"/>
      <c r="D16" s="2"/>
      <c r="E16" s="2"/>
      <c r="F16" s="2"/>
    </row>
    <row r="17" spans="1:6" x14ac:dyDescent="0.3">
      <c r="A17" s="7" t="s">
        <v>8</v>
      </c>
      <c r="B17" s="11">
        <v>36</v>
      </c>
      <c r="C17" s="2"/>
      <c r="D17" s="2"/>
      <c r="E17" s="2"/>
      <c r="F17" s="2"/>
    </row>
    <row r="18" spans="1:6" x14ac:dyDescent="0.3">
      <c r="A18" s="2"/>
      <c r="B18" s="2"/>
      <c r="C18" s="2"/>
      <c r="D18" s="2"/>
      <c r="E18" s="2"/>
      <c r="F18" s="2"/>
    </row>
    <row r="19" spans="1:6" x14ac:dyDescent="0.3">
      <c r="A19" s="7" t="s">
        <v>9</v>
      </c>
      <c r="B19" s="2" t="s">
        <v>10</v>
      </c>
      <c r="C19" s="2"/>
      <c r="D19" s="2"/>
      <c r="E19" s="2"/>
      <c r="F19" s="2" t="s">
        <v>19</v>
      </c>
    </row>
    <row r="20" spans="1:6" x14ac:dyDescent="0.3">
      <c r="A20" s="2" t="s">
        <v>11</v>
      </c>
      <c r="B20" s="1">
        <v>74</v>
      </c>
      <c r="C20" s="2"/>
      <c r="D20" s="2"/>
      <c r="E20" s="2"/>
      <c r="F20" s="2" t="s">
        <v>20</v>
      </c>
    </row>
    <row r="21" spans="1:6" x14ac:dyDescent="0.3">
      <c r="A21" s="2" t="s">
        <v>80</v>
      </c>
      <c r="B21" s="1">
        <v>2100</v>
      </c>
      <c r="C21" s="2"/>
      <c r="D21" s="2"/>
      <c r="E21" s="2"/>
      <c r="F21" s="2" t="s">
        <v>44</v>
      </c>
    </row>
    <row r="22" spans="1:6" x14ac:dyDescent="0.3">
      <c r="A22" s="2" t="s">
        <v>12</v>
      </c>
      <c r="B22" s="1">
        <v>90</v>
      </c>
      <c r="C22" s="2"/>
      <c r="D22" s="2"/>
      <c r="E22" s="2"/>
      <c r="F22" s="2" t="s">
        <v>21</v>
      </c>
    </row>
    <row r="23" spans="1:6" x14ac:dyDescent="0.3">
      <c r="A23" s="2" t="s">
        <v>438</v>
      </c>
      <c r="B23" s="1">
        <v>42</v>
      </c>
      <c r="C23" s="2"/>
      <c r="D23" s="2"/>
      <c r="E23" s="2"/>
      <c r="F23" s="2" t="s">
        <v>426</v>
      </c>
    </row>
    <row r="24" spans="1:6" x14ac:dyDescent="0.3">
      <c r="A24" s="6" t="s">
        <v>437</v>
      </c>
      <c r="B24" s="2">
        <f>B20*B22</f>
        <v>6660</v>
      </c>
      <c r="C24" s="2"/>
      <c r="D24" s="2"/>
      <c r="E24" s="2"/>
      <c r="F24" s="2" t="s">
        <v>21</v>
      </c>
    </row>
    <row r="25" spans="1:6" x14ac:dyDescent="0.3">
      <c r="A25" s="2" t="s">
        <v>18</v>
      </c>
      <c r="B25" s="1">
        <v>8116</v>
      </c>
      <c r="C25" s="2"/>
      <c r="D25" s="2"/>
      <c r="E25" s="2"/>
      <c r="F25" s="2" t="s">
        <v>21</v>
      </c>
    </row>
    <row r="26" spans="1:6" x14ac:dyDescent="0.3">
      <c r="A26" s="2" t="s">
        <v>92</v>
      </c>
      <c r="B26" s="2" t="s">
        <v>137</v>
      </c>
      <c r="C26" s="2"/>
      <c r="D26" s="2"/>
      <c r="E26" s="2"/>
      <c r="F26" s="2"/>
    </row>
    <row r="27" spans="1:6" x14ac:dyDescent="0.3">
      <c r="A27" s="2"/>
      <c r="B27" s="2"/>
      <c r="C27" s="2"/>
      <c r="D27" s="2"/>
      <c r="E27" s="2"/>
      <c r="F27" s="2"/>
    </row>
    <row r="28" spans="1:6" ht="27.75" customHeight="1" x14ac:dyDescent="0.3">
      <c r="A28" s="3" t="s">
        <v>406</v>
      </c>
      <c r="B28" s="101" t="s">
        <v>427</v>
      </c>
      <c r="C28" s="101"/>
      <c r="D28" s="101"/>
      <c r="E28" s="101"/>
      <c r="F28" s="2"/>
    </row>
    <row r="29" spans="1:6" x14ac:dyDescent="0.3">
      <c r="A29" s="5">
        <v>1</v>
      </c>
      <c r="B29" s="2" t="s">
        <v>416</v>
      </c>
      <c r="C29" s="2"/>
      <c r="D29" s="2"/>
      <c r="E29" s="2"/>
      <c r="F29" s="2"/>
    </row>
    <row r="30" spans="1:6" x14ac:dyDescent="0.3">
      <c r="A30" s="5">
        <v>2</v>
      </c>
      <c r="B30" s="2" t="s">
        <v>383</v>
      </c>
      <c r="C30" s="2"/>
      <c r="D30" s="2"/>
      <c r="E30" s="2"/>
      <c r="F30" s="2"/>
    </row>
    <row r="31" spans="1:6" x14ac:dyDescent="0.3">
      <c r="A31" s="5">
        <v>3</v>
      </c>
      <c r="B31" s="2" t="s">
        <v>419</v>
      </c>
      <c r="C31" s="2"/>
      <c r="D31" s="2"/>
      <c r="E31" s="2"/>
      <c r="F31" s="2"/>
    </row>
    <row r="32" spans="1:6" x14ac:dyDescent="0.3">
      <c r="A32" s="5">
        <v>4</v>
      </c>
      <c r="B32" s="2" t="s">
        <v>384</v>
      </c>
      <c r="C32" s="2"/>
      <c r="D32" s="2"/>
      <c r="E32" s="2"/>
      <c r="F32" s="2"/>
    </row>
    <row r="33" spans="1:6" x14ac:dyDescent="0.3">
      <c r="A33" s="5">
        <v>5</v>
      </c>
      <c r="B33" s="2" t="s">
        <v>385</v>
      </c>
      <c r="C33" s="2"/>
      <c r="D33" s="2"/>
      <c r="E33" s="2"/>
      <c r="F33" s="2"/>
    </row>
    <row r="34" spans="1:6" x14ac:dyDescent="0.3">
      <c r="A34" s="5">
        <v>6</v>
      </c>
      <c r="B34" s="2" t="s">
        <v>387</v>
      </c>
      <c r="C34" s="2"/>
      <c r="D34" s="2"/>
      <c r="E34" s="2"/>
      <c r="F34" s="2"/>
    </row>
    <row r="35" spans="1:6" x14ac:dyDescent="0.3">
      <c r="A35" s="5">
        <v>7</v>
      </c>
      <c r="B35" s="2" t="s">
        <v>389</v>
      </c>
      <c r="C35" s="2"/>
      <c r="D35" s="2"/>
      <c r="E35" s="2"/>
      <c r="F35" s="2"/>
    </row>
    <row r="36" spans="1:6" x14ac:dyDescent="0.3">
      <c r="A36" s="2"/>
      <c r="B36" s="2"/>
      <c r="C36" s="2"/>
      <c r="D36" s="2"/>
      <c r="E36" s="2"/>
      <c r="F36" s="2"/>
    </row>
    <row r="37" spans="1:6" x14ac:dyDescent="0.3">
      <c r="A37" s="3" t="s">
        <v>390</v>
      </c>
      <c r="B37" s="102" t="s">
        <v>391</v>
      </c>
      <c r="C37" s="102"/>
      <c r="D37" s="102"/>
      <c r="E37" s="2"/>
      <c r="F37" s="2"/>
    </row>
    <row r="38" spans="1:6" x14ac:dyDescent="0.3">
      <c r="A38" s="5">
        <v>1</v>
      </c>
      <c r="B38" s="2" t="s">
        <v>392</v>
      </c>
      <c r="C38" s="2"/>
      <c r="D38" s="2"/>
      <c r="E38" s="2"/>
      <c r="F38" s="2"/>
    </row>
    <row r="39" spans="1:6" x14ac:dyDescent="0.3">
      <c r="A39" s="5">
        <v>2</v>
      </c>
      <c r="B39" s="2" t="s">
        <v>393</v>
      </c>
      <c r="C39" s="2"/>
      <c r="D39" s="2"/>
      <c r="E39" s="2"/>
      <c r="F39" s="2"/>
    </row>
    <row r="40" spans="1:6" x14ac:dyDescent="0.3">
      <c r="A40" s="5">
        <v>3</v>
      </c>
      <c r="B40" s="2" t="s">
        <v>394</v>
      </c>
      <c r="C40" s="2"/>
      <c r="D40" s="2"/>
      <c r="E40" s="2"/>
      <c r="F40" s="2"/>
    </row>
    <row r="41" spans="1:6" x14ac:dyDescent="0.3">
      <c r="A41" s="5">
        <v>4</v>
      </c>
      <c r="B41" s="2" t="s">
        <v>395</v>
      </c>
      <c r="C41" s="2"/>
      <c r="D41" s="2"/>
      <c r="E41" s="2"/>
      <c r="F41" s="2"/>
    </row>
    <row r="42" spans="1:6" x14ac:dyDescent="0.3">
      <c r="A42" s="5">
        <v>5</v>
      </c>
      <c r="B42" s="2" t="s">
        <v>396</v>
      </c>
      <c r="C42" s="2"/>
      <c r="D42" s="2"/>
      <c r="E42" s="2"/>
      <c r="F42" s="2"/>
    </row>
    <row r="43" spans="1:6" x14ac:dyDescent="0.3">
      <c r="A43" s="5">
        <v>6</v>
      </c>
      <c r="B43" s="2" t="s">
        <v>397</v>
      </c>
      <c r="C43" s="2"/>
      <c r="D43" s="2"/>
      <c r="E43" s="2"/>
      <c r="F43" s="2"/>
    </row>
    <row r="44" spans="1:6" x14ac:dyDescent="0.3">
      <c r="A44" s="5">
        <v>7</v>
      </c>
      <c r="B44" s="2" t="s">
        <v>398</v>
      </c>
      <c r="C44" s="2"/>
      <c r="D44" s="2"/>
      <c r="E44" s="2"/>
      <c r="F44" s="2"/>
    </row>
    <row r="45" spans="1:6" x14ac:dyDescent="0.3">
      <c r="A45" s="5">
        <v>8</v>
      </c>
      <c r="B45" s="2" t="s">
        <v>399</v>
      </c>
      <c r="C45" s="2"/>
      <c r="D45" s="2"/>
      <c r="E45" s="2"/>
      <c r="F45" s="2"/>
    </row>
    <row r="46" spans="1:6" x14ac:dyDescent="0.3">
      <c r="A46" s="5">
        <v>9</v>
      </c>
      <c r="B46" s="2" t="s">
        <v>400</v>
      </c>
      <c r="C46" s="2"/>
      <c r="D46" s="2"/>
      <c r="E46" s="2"/>
      <c r="F46" s="2"/>
    </row>
    <row r="47" spans="1:6" x14ac:dyDescent="0.3">
      <c r="A47" s="5">
        <v>10</v>
      </c>
      <c r="B47" s="2" t="s">
        <v>401</v>
      </c>
      <c r="C47" s="2"/>
      <c r="D47" s="2"/>
      <c r="E47" s="2"/>
      <c r="F47" s="2"/>
    </row>
    <row r="48" spans="1:6" x14ac:dyDescent="0.3">
      <c r="A48" s="5">
        <v>11</v>
      </c>
      <c r="B48" s="2" t="s">
        <v>402</v>
      </c>
      <c r="C48" s="2"/>
      <c r="D48" s="2"/>
      <c r="E48" s="2"/>
      <c r="F48" s="2"/>
    </row>
    <row r="49" spans="1:6" x14ac:dyDescent="0.3">
      <c r="A49" s="5">
        <v>12</v>
      </c>
      <c r="B49" s="2" t="s">
        <v>403</v>
      </c>
      <c r="C49" s="2"/>
      <c r="D49" s="2"/>
      <c r="E49" s="2"/>
      <c r="F49" s="2"/>
    </row>
    <row r="50" spans="1:6" x14ac:dyDescent="0.3">
      <c r="A50" s="5">
        <v>13</v>
      </c>
      <c r="B50" s="2" t="s">
        <v>404</v>
      </c>
      <c r="C50" s="2"/>
      <c r="D50" s="2"/>
      <c r="E50" s="2"/>
      <c r="F50" s="2"/>
    </row>
    <row r="51" spans="1:6" x14ac:dyDescent="0.3">
      <c r="A51" s="5">
        <v>14</v>
      </c>
      <c r="B51" s="2" t="s">
        <v>405</v>
      </c>
      <c r="C51" s="2"/>
      <c r="D51" s="2"/>
      <c r="E51" s="2"/>
      <c r="F51" s="2"/>
    </row>
  </sheetData>
  <sheetProtection algorithmName="SHA-512" hashValue="i32MzcJgXHQGyY9PwC7SmjJmFMN9iiGHBBQv2//zqvevPqtU6HA9cQqfvil/AOp25CpTTQwLyhCqVpDlm4OApw==" saltValue="msCz/YExkuMdXQl/qJcxFg==" spinCount="100000" sheet="1" objects="1" scenarios="1" formatCells="0"/>
  <protectedRanges>
    <protectedRange algorithmName="SHA-512" hashValue="aCd0muCp19XDDLCHve0wXQLiplhc6xyqBA+ntK5vK3FDaA6pSEj50tdpUln70L+8ld3gyBNYbwR3dYBZlGzz+w==" saltValue="ThAl/E7Qx4YCgEI1WQ20FA==" spinCount="100000" sqref="A1:F11" name="Range1"/>
  </protectedRanges>
  <dataConsolidate/>
  <mergeCells count="6">
    <mergeCell ref="B4:E4"/>
    <mergeCell ref="B28:E28"/>
    <mergeCell ref="B37:D37"/>
    <mergeCell ref="B8:E8"/>
    <mergeCell ref="B9:E9"/>
    <mergeCell ref="B10:E10"/>
  </mergeCells>
  <dataValidations count="1">
    <dataValidation type="whole" operator="greaterThan" allowBlank="1" showInputMessage="1" showErrorMessage="1" sqref="B20:B21" xr:uid="{65EFCDA4-F684-459D-9601-B7526E47EF99}">
      <formula1>0</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47346-1B64-4777-8D18-B7A8C5A631AB}">
  <dimension ref="A1:J45"/>
  <sheetViews>
    <sheetView topLeftCell="A34" zoomScale="121" workbookViewId="0">
      <selection activeCell="A32" sqref="A32"/>
    </sheetView>
  </sheetViews>
  <sheetFormatPr defaultRowHeight="14.4" x14ac:dyDescent="0.3"/>
  <cols>
    <col min="1" max="1" width="46.33203125" customWidth="1"/>
  </cols>
  <sheetData>
    <row r="1" spans="1:10" x14ac:dyDescent="0.3">
      <c r="A1" s="7" t="s">
        <v>294</v>
      </c>
      <c r="B1" s="2"/>
      <c r="C1" s="2"/>
      <c r="D1" s="2"/>
      <c r="E1" s="2"/>
      <c r="F1" s="2"/>
      <c r="G1" s="2"/>
      <c r="H1" s="2"/>
      <c r="I1" s="2"/>
      <c r="J1" s="2"/>
    </row>
    <row r="2" spans="1:10" x14ac:dyDescent="0.3">
      <c r="A2" s="2" t="str">
        <f>'Configuration Selection'!A10</f>
        <v>Aircraft engine type:</v>
      </c>
      <c r="B2" s="2"/>
      <c r="C2" s="2"/>
      <c r="D2" s="2" t="str">
        <f>'Configuration Selection'!B10</f>
        <v>jet</v>
      </c>
      <c r="E2" s="2"/>
      <c r="F2" s="2"/>
      <c r="G2" s="2"/>
      <c r="H2" s="2"/>
      <c r="I2" s="2"/>
      <c r="J2" s="2"/>
    </row>
    <row r="3" spans="1:10" x14ac:dyDescent="0.3">
      <c r="A3" s="2" t="str">
        <f>'Configuration Selection'!A11</f>
        <v>No. of engines</v>
      </c>
      <c r="B3" s="2"/>
      <c r="C3" s="2"/>
      <c r="D3" s="2">
        <f>'Configuration Selection'!B11</f>
        <v>2</v>
      </c>
      <c r="E3" s="2"/>
      <c r="F3" s="2"/>
      <c r="G3" s="2"/>
      <c r="H3" s="2"/>
      <c r="I3" s="2"/>
      <c r="J3" s="2"/>
    </row>
    <row r="4" spans="1:10" x14ac:dyDescent="0.3">
      <c r="A4" s="2" t="str">
        <f>'Configuration Selection'!A13</f>
        <v>Integration</v>
      </c>
      <c r="B4" s="2"/>
      <c r="C4" s="2"/>
      <c r="D4" s="2" t="str">
        <f>'Configuration Selection'!B13</f>
        <v>On fuselage side</v>
      </c>
      <c r="E4" s="2"/>
      <c r="F4" s="2"/>
      <c r="G4" s="2"/>
      <c r="H4" s="2"/>
      <c r="I4" s="2"/>
      <c r="J4" s="2"/>
    </row>
    <row r="5" spans="1:10" x14ac:dyDescent="0.3">
      <c r="A5" s="116" t="s">
        <v>295</v>
      </c>
      <c r="B5" s="116"/>
      <c r="C5" s="131"/>
      <c r="D5" s="1" t="s">
        <v>675</v>
      </c>
      <c r="E5" s="2"/>
      <c r="F5" s="2"/>
      <c r="G5" s="2"/>
      <c r="H5" s="2"/>
      <c r="I5" s="2"/>
      <c r="J5" s="2"/>
    </row>
    <row r="6" spans="1:10" ht="30" customHeight="1" x14ac:dyDescent="0.3">
      <c r="A6" s="130" t="s">
        <v>296</v>
      </c>
      <c r="B6" s="130"/>
      <c r="C6" s="130"/>
      <c r="D6" s="130"/>
      <c r="E6" s="2"/>
      <c r="F6" s="2"/>
      <c r="G6" s="2"/>
      <c r="H6" s="2"/>
      <c r="I6" s="2"/>
      <c r="J6" s="2"/>
    </row>
    <row r="7" spans="1:10" x14ac:dyDescent="0.3">
      <c r="A7" s="2"/>
      <c r="B7" s="2"/>
      <c r="C7" s="2"/>
      <c r="D7" s="2"/>
      <c r="E7" s="2"/>
      <c r="F7" s="2"/>
      <c r="G7" s="2"/>
      <c r="H7" s="2"/>
      <c r="I7" s="2"/>
      <c r="J7" s="2"/>
    </row>
    <row r="8" spans="1:10" x14ac:dyDescent="0.3">
      <c r="A8" s="7" t="s">
        <v>297</v>
      </c>
      <c r="B8" s="2"/>
      <c r="C8" s="2"/>
      <c r="D8" s="2"/>
      <c r="E8" s="7" t="s">
        <v>19</v>
      </c>
      <c r="F8" s="2"/>
      <c r="G8" s="2"/>
      <c r="H8" s="2"/>
      <c r="I8" s="2"/>
      <c r="J8" s="2"/>
    </row>
    <row r="9" spans="1:10" x14ac:dyDescent="0.3">
      <c r="A9" s="2" t="s">
        <v>298</v>
      </c>
      <c r="B9" s="2"/>
      <c r="C9" s="2"/>
      <c r="D9" s="1"/>
      <c r="E9" s="2" t="s">
        <v>24</v>
      </c>
      <c r="F9" s="2"/>
      <c r="G9" s="2"/>
      <c r="H9" s="2"/>
      <c r="I9" s="2"/>
      <c r="J9" s="2"/>
    </row>
    <row r="10" spans="1:10" x14ac:dyDescent="0.3">
      <c r="A10" s="2" t="s">
        <v>299</v>
      </c>
      <c r="B10" s="2"/>
      <c r="C10" s="2"/>
      <c r="D10" s="1"/>
      <c r="E10" s="2" t="s">
        <v>24</v>
      </c>
      <c r="F10" s="2"/>
      <c r="G10" s="2"/>
      <c r="H10" s="2"/>
      <c r="I10" s="2"/>
      <c r="J10" s="2"/>
    </row>
    <row r="11" spans="1:10" x14ac:dyDescent="0.3">
      <c r="A11" s="2" t="s">
        <v>300</v>
      </c>
      <c r="B11" s="2"/>
      <c r="C11" s="2"/>
      <c r="D11" s="1"/>
      <c r="E11" s="2" t="s">
        <v>24</v>
      </c>
      <c r="F11" s="2"/>
      <c r="G11" s="2"/>
      <c r="H11" s="2"/>
      <c r="I11" s="2"/>
      <c r="J11" s="2"/>
    </row>
    <row r="12" spans="1:10" x14ac:dyDescent="0.3">
      <c r="A12" s="2" t="s">
        <v>301</v>
      </c>
      <c r="B12" s="2"/>
      <c r="C12" s="2"/>
      <c r="D12" s="1"/>
      <c r="E12" s="2" t="s">
        <v>24</v>
      </c>
      <c r="F12" s="2"/>
      <c r="G12" s="2"/>
      <c r="H12" s="2"/>
      <c r="I12" s="2"/>
      <c r="J12" s="2"/>
    </row>
    <row r="13" spans="1:10" x14ac:dyDescent="0.3">
      <c r="A13" s="2" t="s">
        <v>302</v>
      </c>
      <c r="B13" s="2"/>
      <c r="C13" s="2"/>
      <c r="D13" s="1"/>
      <c r="E13" s="2" t="s">
        <v>24</v>
      </c>
      <c r="F13" s="2"/>
      <c r="G13" s="2"/>
      <c r="H13" s="2"/>
      <c r="I13" s="2"/>
      <c r="J13" s="2"/>
    </row>
    <row r="14" spans="1:10" x14ac:dyDescent="0.3">
      <c r="A14" s="2" t="s">
        <v>303</v>
      </c>
      <c r="B14" s="2"/>
      <c r="C14" s="2"/>
      <c r="D14" s="1"/>
      <c r="E14" s="2" t="s">
        <v>24</v>
      </c>
      <c r="F14" s="2"/>
      <c r="G14" s="2"/>
      <c r="H14" s="2"/>
      <c r="I14" s="2"/>
      <c r="J14" s="2"/>
    </row>
    <row r="15" spans="1:10" x14ac:dyDescent="0.3">
      <c r="A15" s="38" t="s">
        <v>386</v>
      </c>
      <c r="B15" s="2"/>
      <c r="C15" s="2"/>
      <c r="D15" s="2"/>
      <c r="E15" s="2"/>
      <c r="F15" s="2"/>
      <c r="G15" s="2"/>
      <c r="H15" s="2"/>
      <c r="I15" s="2"/>
      <c r="J15" s="2"/>
    </row>
    <row r="16" spans="1:10" x14ac:dyDescent="0.3">
      <c r="A16" s="2"/>
      <c r="B16" s="2"/>
      <c r="C16" s="2"/>
      <c r="D16" s="2"/>
      <c r="E16" s="2"/>
      <c r="F16" s="2"/>
      <c r="G16" s="2"/>
      <c r="H16" s="2"/>
      <c r="I16" s="2"/>
      <c r="J16" s="2"/>
    </row>
    <row r="17" spans="1:10" x14ac:dyDescent="0.3">
      <c r="A17" s="7" t="s">
        <v>304</v>
      </c>
      <c r="B17" s="2"/>
      <c r="C17" s="2"/>
      <c r="D17" s="2"/>
      <c r="E17" s="7" t="s">
        <v>19</v>
      </c>
      <c r="F17" s="2"/>
      <c r="G17" s="2"/>
      <c r="H17" s="2"/>
      <c r="I17" s="2"/>
      <c r="J17" s="2"/>
    </row>
    <row r="18" spans="1:10" x14ac:dyDescent="0.3">
      <c r="A18" s="2" t="s">
        <v>586</v>
      </c>
      <c r="B18" s="2"/>
      <c r="C18" s="2"/>
      <c r="D18" s="2" t="e">
        <f>'Drag Polar'!#REF!</f>
        <v>#REF!</v>
      </c>
      <c r="E18" s="7"/>
      <c r="F18" s="2"/>
      <c r="G18" s="2"/>
      <c r="H18" s="2"/>
      <c r="I18" s="2"/>
      <c r="J18" s="2"/>
    </row>
    <row r="19" spans="1:10" ht="15.6" x14ac:dyDescent="0.35">
      <c r="A19" s="2" t="s">
        <v>587</v>
      </c>
      <c r="B19" s="2"/>
      <c r="C19" s="2"/>
      <c r="D19" s="14"/>
      <c r="E19" s="2" t="s">
        <v>45</v>
      </c>
      <c r="F19" s="2"/>
      <c r="G19" s="2"/>
      <c r="H19" s="2"/>
      <c r="I19" s="2"/>
      <c r="J19" s="2"/>
    </row>
    <row r="20" spans="1:10" ht="15.6" x14ac:dyDescent="0.35">
      <c r="A20" s="2" t="s">
        <v>588</v>
      </c>
      <c r="B20" s="2"/>
      <c r="C20" s="2"/>
      <c r="D20" s="14"/>
      <c r="E20" s="2" t="s">
        <v>20</v>
      </c>
      <c r="F20" s="2"/>
      <c r="G20" s="2"/>
      <c r="H20" s="2"/>
      <c r="I20" s="2"/>
      <c r="J20" s="2"/>
    </row>
    <row r="21" spans="1:10" ht="15.6" x14ac:dyDescent="0.35">
      <c r="A21" s="2" t="s">
        <v>589</v>
      </c>
      <c r="B21" s="2"/>
      <c r="C21" s="2"/>
      <c r="D21" s="14"/>
      <c r="E21" s="2" t="s">
        <v>20</v>
      </c>
      <c r="F21" s="2"/>
      <c r="G21" s="2"/>
      <c r="H21" s="2"/>
      <c r="I21" s="2"/>
      <c r="J21" s="2"/>
    </row>
    <row r="22" spans="1:10" x14ac:dyDescent="0.3">
      <c r="A22" s="2" t="s">
        <v>590</v>
      </c>
      <c r="B22" s="2"/>
      <c r="C22" s="2"/>
      <c r="D22" s="14"/>
      <c r="E22" s="2" t="s">
        <v>20</v>
      </c>
      <c r="F22" s="2"/>
      <c r="G22" s="2"/>
      <c r="H22" s="2"/>
      <c r="I22" s="2"/>
      <c r="J22" s="2"/>
    </row>
    <row r="23" spans="1:10" x14ac:dyDescent="0.3">
      <c r="A23" s="2" t="s">
        <v>591</v>
      </c>
      <c r="B23" s="2"/>
      <c r="C23" s="2"/>
      <c r="D23" s="1">
        <v>167.56</v>
      </c>
      <c r="E23" s="2" t="s">
        <v>482</v>
      </c>
      <c r="F23" s="2"/>
      <c r="G23" s="2"/>
      <c r="H23" s="2"/>
      <c r="I23" s="2"/>
      <c r="J23" s="2"/>
    </row>
    <row r="24" spans="1:10" x14ac:dyDescent="0.3">
      <c r="A24" s="2" t="s">
        <v>592</v>
      </c>
      <c r="B24" s="2"/>
      <c r="C24" s="2"/>
      <c r="D24" s="1" t="s">
        <v>86</v>
      </c>
      <c r="E24" s="2"/>
      <c r="F24" s="2"/>
      <c r="G24" s="2"/>
      <c r="H24" s="2"/>
      <c r="I24" s="2"/>
      <c r="J24" s="2"/>
    </row>
    <row r="25" spans="1:10" x14ac:dyDescent="0.3">
      <c r="A25" s="2" t="s">
        <v>593</v>
      </c>
      <c r="B25" s="2"/>
      <c r="C25" s="2"/>
      <c r="D25" s="112" t="s">
        <v>688</v>
      </c>
      <c r="E25" s="112"/>
      <c r="F25" s="112"/>
      <c r="G25" s="112"/>
      <c r="H25" s="112"/>
      <c r="I25" s="112"/>
      <c r="J25" s="2"/>
    </row>
    <row r="26" spans="1:10" x14ac:dyDescent="0.3">
      <c r="A26" s="2" t="s">
        <v>305</v>
      </c>
      <c r="B26" s="2"/>
      <c r="C26" s="2"/>
      <c r="D26" s="1">
        <v>1.07</v>
      </c>
      <c r="E26" s="2" t="s">
        <v>24</v>
      </c>
      <c r="F26" s="2"/>
      <c r="G26" s="2"/>
      <c r="H26" s="2"/>
      <c r="I26" s="2"/>
      <c r="J26" s="2"/>
    </row>
    <row r="27" spans="1:10" x14ac:dyDescent="0.3">
      <c r="A27" s="2" t="s">
        <v>595</v>
      </c>
      <c r="B27" s="2"/>
      <c r="C27" s="2"/>
      <c r="D27" s="1">
        <v>3.36</v>
      </c>
      <c r="E27" s="2" t="s">
        <v>24</v>
      </c>
      <c r="F27" s="2"/>
      <c r="G27" s="2"/>
      <c r="H27" s="2"/>
      <c r="I27" s="2"/>
      <c r="J27" s="2"/>
    </row>
    <row r="28" spans="1:10" x14ac:dyDescent="0.3">
      <c r="A28" s="2" t="s">
        <v>598</v>
      </c>
      <c r="B28" s="2"/>
      <c r="C28" s="2"/>
      <c r="D28" s="1">
        <v>0.6</v>
      </c>
      <c r="E28" s="2" t="s">
        <v>20</v>
      </c>
      <c r="F28" s="2"/>
      <c r="G28" s="2"/>
      <c r="H28" s="2"/>
      <c r="I28" s="2"/>
      <c r="J28" s="2"/>
    </row>
    <row r="29" spans="1:10" x14ac:dyDescent="0.3">
      <c r="A29" s="2" t="s">
        <v>306</v>
      </c>
      <c r="B29" s="2"/>
      <c r="C29" s="2"/>
      <c r="D29" s="1">
        <v>2.02</v>
      </c>
      <c r="E29" s="2" t="s">
        <v>24</v>
      </c>
      <c r="F29" s="2"/>
      <c r="G29" s="2"/>
      <c r="H29" s="2"/>
      <c r="I29" s="2"/>
      <c r="J29" s="2"/>
    </row>
    <row r="30" spans="1:10" x14ac:dyDescent="0.3">
      <c r="A30" s="2" t="s">
        <v>596</v>
      </c>
      <c r="B30" s="2"/>
      <c r="C30" s="2"/>
      <c r="D30" s="1">
        <v>1.22</v>
      </c>
      <c r="E30" s="2" t="s">
        <v>24</v>
      </c>
      <c r="F30" s="2"/>
      <c r="G30" s="2"/>
      <c r="H30" s="2"/>
      <c r="I30" s="2"/>
      <c r="J30" s="2"/>
    </row>
    <row r="31" spans="1:10" x14ac:dyDescent="0.3">
      <c r="A31" s="2" t="s">
        <v>597</v>
      </c>
      <c r="B31" s="2"/>
      <c r="C31" s="2"/>
      <c r="D31" s="1">
        <v>1.07</v>
      </c>
      <c r="E31" s="2" t="s">
        <v>24</v>
      </c>
      <c r="F31" s="2"/>
      <c r="G31" s="2"/>
      <c r="H31" s="2"/>
      <c r="I31" s="2"/>
      <c r="J31" s="2"/>
    </row>
    <row r="32" spans="1:10" x14ac:dyDescent="0.3">
      <c r="A32" s="2" t="s">
        <v>599</v>
      </c>
      <c r="B32" s="2"/>
      <c r="C32" s="2"/>
      <c r="D32" s="1">
        <v>1.34</v>
      </c>
      <c r="E32" s="2" t="s">
        <v>24</v>
      </c>
      <c r="F32" s="2"/>
      <c r="G32" s="2"/>
      <c r="H32" s="2"/>
      <c r="I32" s="2"/>
      <c r="J32" s="2"/>
    </row>
    <row r="33" spans="1:10" ht="30" customHeight="1" x14ac:dyDescent="0.3">
      <c r="A33" s="111" t="s">
        <v>600</v>
      </c>
      <c r="B33" s="111"/>
      <c r="C33" s="132"/>
      <c r="D33" s="1">
        <v>0.68</v>
      </c>
      <c r="E33" s="2" t="s">
        <v>24</v>
      </c>
      <c r="F33" s="2"/>
      <c r="G33" s="2"/>
      <c r="H33" s="2"/>
      <c r="I33" s="2"/>
      <c r="J33" s="2"/>
    </row>
    <row r="34" spans="1:10" x14ac:dyDescent="0.3">
      <c r="A34" s="2" t="s">
        <v>601</v>
      </c>
      <c r="B34" s="2"/>
      <c r="C34" s="2"/>
      <c r="D34" s="1">
        <v>0.38</v>
      </c>
      <c r="E34" s="2" t="s">
        <v>24</v>
      </c>
      <c r="F34" s="2"/>
      <c r="G34" s="2"/>
      <c r="H34" s="2"/>
      <c r="I34" s="2"/>
      <c r="J34" s="2"/>
    </row>
    <row r="35" spans="1:10" x14ac:dyDescent="0.3">
      <c r="A35" s="38" t="s">
        <v>386</v>
      </c>
      <c r="B35" s="2"/>
      <c r="C35" s="2"/>
      <c r="D35" s="2"/>
      <c r="E35" s="2"/>
      <c r="F35" s="2"/>
      <c r="G35" s="2"/>
      <c r="H35" s="2"/>
      <c r="I35" s="2"/>
      <c r="J35" s="2"/>
    </row>
    <row r="36" spans="1:10" x14ac:dyDescent="0.3">
      <c r="A36" s="2"/>
      <c r="B36" s="2"/>
      <c r="C36" s="2"/>
      <c r="D36" s="2"/>
      <c r="E36" s="2"/>
      <c r="F36" s="2"/>
      <c r="G36" s="2"/>
      <c r="H36" s="2"/>
      <c r="I36" s="2"/>
      <c r="J36" s="2"/>
    </row>
    <row r="37" spans="1:10" x14ac:dyDescent="0.3">
      <c r="A37" s="7" t="s">
        <v>410</v>
      </c>
      <c r="B37" s="2"/>
      <c r="C37" s="2"/>
      <c r="D37" s="2"/>
      <c r="E37" s="2"/>
      <c r="F37" s="2"/>
      <c r="G37" s="2"/>
      <c r="H37" s="2"/>
      <c r="I37" s="2"/>
      <c r="J37" s="2"/>
    </row>
    <row r="38" spans="1:10" ht="30" customHeight="1" x14ac:dyDescent="0.3">
      <c r="A38" s="130" t="s">
        <v>411</v>
      </c>
      <c r="B38" s="130"/>
      <c r="C38" s="130"/>
      <c r="D38" s="130"/>
      <c r="E38" s="130"/>
      <c r="F38" s="130"/>
      <c r="G38" s="130"/>
      <c r="H38" s="2"/>
      <c r="I38" s="2"/>
      <c r="J38" s="2"/>
    </row>
    <row r="39" spans="1:10" x14ac:dyDescent="0.3">
      <c r="A39" s="38" t="s">
        <v>353</v>
      </c>
      <c r="B39" s="2"/>
      <c r="C39" s="2"/>
      <c r="D39" s="2"/>
      <c r="E39" s="2"/>
      <c r="F39" s="2"/>
      <c r="G39" s="2"/>
      <c r="H39" s="2"/>
      <c r="I39" s="2"/>
      <c r="J39" s="2"/>
    </row>
    <row r="40" spans="1:10" x14ac:dyDescent="0.3">
      <c r="A40" s="57" t="s">
        <v>473</v>
      </c>
      <c r="B40" s="2"/>
      <c r="C40" s="2"/>
      <c r="D40" s="2"/>
      <c r="E40" s="2"/>
      <c r="F40" s="2"/>
      <c r="G40" s="2"/>
      <c r="H40" s="2"/>
      <c r="I40" s="2"/>
      <c r="J40" s="2"/>
    </row>
    <row r="41" spans="1:10" ht="90" customHeight="1" x14ac:dyDescent="0.3">
      <c r="A41" s="111" t="s">
        <v>474</v>
      </c>
      <c r="B41" s="111"/>
      <c r="C41" s="132"/>
      <c r="D41" s="112"/>
      <c r="E41" s="112"/>
      <c r="F41" s="112"/>
      <c r="G41" s="112"/>
      <c r="H41" s="112"/>
      <c r="I41" s="112"/>
      <c r="J41" s="2"/>
    </row>
    <row r="42" spans="1:10" x14ac:dyDescent="0.3">
      <c r="A42" s="2"/>
      <c r="B42" s="2"/>
      <c r="C42" s="2"/>
      <c r="D42" s="2"/>
      <c r="E42" s="2"/>
      <c r="F42" s="2"/>
      <c r="G42" s="2"/>
      <c r="H42" s="2"/>
      <c r="I42" s="2"/>
      <c r="J42" s="2"/>
    </row>
    <row r="43" spans="1:10" x14ac:dyDescent="0.3">
      <c r="A43" s="7" t="s">
        <v>407</v>
      </c>
      <c r="B43" s="2"/>
      <c r="C43" s="2"/>
      <c r="D43" s="2"/>
      <c r="E43" s="2"/>
      <c r="F43" s="2"/>
      <c r="G43" s="2"/>
      <c r="H43" s="2"/>
      <c r="I43" s="2"/>
      <c r="J43" s="2"/>
    </row>
    <row r="44" spans="1:10" x14ac:dyDescent="0.3">
      <c r="A44" s="2"/>
      <c r="B44" s="2"/>
      <c r="C44" s="2"/>
      <c r="D44" s="2"/>
      <c r="E44" s="2"/>
      <c r="F44" s="2"/>
      <c r="G44" s="2"/>
      <c r="H44" s="2"/>
      <c r="I44" s="2"/>
      <c r="J44" s="2"/>
    </row>
    <row r="45" spans="1:10" x14ac:dyDescent="0.3">
      <c r="A45" s="2"/>
      <c r="B45" s="2"/>
      <c r="C45" s="2"/>
      <c r="D45" s="2"/>
      <c r="E45" s="2"/>
      <c r="F45" s="2"/>
      <c r="G45" s="2"/>
      <c r="H45" s="2"/>
      <c r="I45" s="2"/>
      <c r="J45" s="2"/>
    </row>
  </sheetData>
  <sheetProtection algorithmName="SHA-512" hashValue="ZM8gI8WE5k4dF8xlJWMVoP+Xdu69yi7JQf8bkak3v3hlf+GAMspAaBz4lgo2TqmG3iDyeyRJ+ciZmQyXpAPWdA==" saltValue="WK0NQ4qqW1BXRTYhb7lqVA==" spinCount="100000" sheet="1" objects="1" scenarios="1" formatCells="0"/>
  <mergeCells count="7">
    <mergeCell ref="A6:D6"/>
    <mergeCell ref="A5:C5"/>
    <mergeCell ref="A38:G38"/>
    <mergeCell ref="A41:C41"/>
    <mergeCell ref="D41:I41"/>
    <mergeCell ref="D25:I25"/>
    <mergeCell ref="A33:C3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23FF44B-FAA8-4791-962C-5B4125C790F0}">
          <x14:formula1>
            <xm:f>Sheet2!$H$13:$H$14</xm:f>
          </x14:formula1>
          <xm:sqref>D24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DF6B-BF9C-4A59-9A52-C6833E89D04B}">
  <dimension ref="A1:G4"/>
  <sheetViews>
    <sheetView workbookViewId="0">
      <selection activeCell="H4" sqref="H4"/>
    </sheetView>
  </sheetViews>
  <sheetFormatPr defaultRowHeight="14.4" x14ac:dyDescent="0.3"/>
  <sheetData>
    <row r="1" spans="1:7" ht="15.6" x14ac:dyDescent="0.35">
      <c r="A1" s="2" t="s">
        <v>587</v>
      </c>
      <c r="B1" s="2"/>
      <c r="C1" s="2"/>
      <c r="D1" s="14"/>
      <c r="G1">
        <v>1900</v>
      </c>
    </row>
    <row r="2" spans="1:7" ht="15.6" x14ac:dyDescent="0.35">
      <c r="A2" s="2" t="s">
        <v>588</v>
      </c>
      <c r="B2" s="2"/>
      <c r="C2" s="2"/>
      <c r="D2" s="14"/>
      <c r="G2">
        <v>0.75</v>
      </c>
    </row>
    <row r="3" spans="1:7" ht="15.6" x14ac:dyDescent="0.35">
      <c r="A3" s="2" t="s">
        <v>589</v>
      </c>
      <c r="B3" s="2"/>
      <c r="C3" s="2"/>
      <c r="D3" s="14"/>
      <c r="G3">
        <v>0.98</v>
      </c>
    </row>
    <row r="4" spans="1:7" x14ac:dyDescent="0.3">
      <c r="A4" s="2" t="s">
        <v>590</v>
      </c>
      <c r="B4" s="2"/>
      <c r="C4" s="2"/>
      <c r="D4" s="14"/>
      <c r="G4">
        <v>1.92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73564-745F-4A75-9D39-D4C6FC2C711E}">
  <dimension ref="A1:N43"/>
  <sheetViews>
    <sheetView topLeftCell="A14" workbookViewId="0">
      <selection activeCell="B33" sqref="B33"/>
    </sheetView>
  </sheetViews>
  <sheetFormatPr defaultRowHeight="14.4" x14ac:dyDescent="0.3"/>
  <cols>
    <col min="1" max="1" width="36.88671875" customWidth="1"/>
    <col min="2" max="2" width="15.109375" customWidth="1"/>
    <col min="3" max="3" width="14" customWidth="1"/>
    <col min="4" max="4" width="14.88671875" customWidth="1"/>
    <col min="5" max="5" width="15.5546875" customWidth="1"/>
    <col min="6" max="6" width="14.33203125" customWidth="1"/>
  </cols>
  <sheetData>
    <row r="1" spans="1:14" x14ac:dyDescent="0.3">
      <c r="A1" s="7" t="s">
        <v>320</v>
      </c>
      <c r="B1" s="2"/>
      <c r="C1" s="2"/>
      <c r="D1" s="2"/>
      <c r="E1" s="2"/>
      <c r="F1" s="2"/>
      <c r="G1" s="2"/>
      <c r="H1" s="2"/>
      <c r="I1" s="2"/>
      <c r="J1" s="2"/>
      <c r="K1" s="2"/>
      <c r="L1" s="2"/>
      <c r="M1" s="2"/>
      <c r="N1" s="2"/>
    </row>
    <row r="2" spans="1:14" x14ac:dyDescent="0.3">
      <c r="A2" s="2"/>
      <c r="B2" s="2"/>
      <c r="C2" s="7" t="s">
        <v>19</v>
      </c>
      <c r="D2" s="2"/>
      <c r="E2" s="2"/>
      <c r="F2" s="2"/>
      <c r="G2" s="7" t="s">
        <v>19</v>
      </c>
      <c r="H2" s="2"/>
      <c r="I2" s="2"/>
      <c r="J2" s="2"/>
      <c r="K2" s="2"/>
      <c r="L2" s="2"/>
      <c r="M2" s="2"/>
      <c r="N2" s="2"/>
    </row>
    <row r="3" spans="1:14" ht="29.4" x14ac:dyDescent="0.35">
      <c r="A3" s="58" t="s">
        <v>322</v>
      </c>
      <c r="B3" s="70">
        <v>0.5</v>
      </c>
      <c r="C3" s="59" t="s">
        <v>483</v>
      </c>
      <c r="D3" s="60"/>
      <c r="E3" s="59" t="s">
        <v>318</v>
      </c>
      <c r="F3" s="61">
        <f>Fuselage!B61</f>
        <v>0</v>
      </c>
      <c r="G3" s="59" t="s">
        <v>24</v>
      </c>
      <c r="H3" s="2"/>
      <c r="I3" s="2"/>
      <c r="J3" s="2"/>
      <c r="K3" s="2"/>
      <c r="L3" s="2"/>
      <c r="M3" s="2"/>
      <c r="N3" s="2"/>
    </row>
    <row r="4" spans="1:14" x14ac:dyDescent="0.3">
      <c r="A4" s="60"/>
      <c r="B4" s="62"/>
      <c r="C4" s="60"/>
      <c r="D4" s="60"/>
      <c r="E4" s="59" t="s">
        <v>319</v>
      </c>
      <c r="F4" s="61">
        <f>IF('Propulsion System'!D2="propeller",'Propulsion System'!B10,'Propulsion System'!B27)</f>
        <v>0</v>
      </c>
      <c r="G4" s="59" t="s">
        <v>24</v>
      </c>
      <c r="H4" s="2"/>
      <c r="I4" s="2"/>
      <c r="J4" s="2"/>
      <c r="K4" s="2"/>
      <c r="L4" s="2"/>
      <c r="M4" s="2"/>
      <c r="N4" s="2"/>
    </row>
    <row r="5" spans="1:14" x14ac:dyDescent="0.3">
      <c r="A5" s="60"/>
      <c r="B5" s="60"/>
      <c r="C5" s="60"/>
      <c r="D5" s="60"/>
      <c r="E5" s="59" t="s">
        <v>307</v>
      </c>
      <c r="F5" s="61">
        <f>Wing!B19</f>
        <v>2.8</v>
      </c>
      <c r="G5" s="59" t="s">
        <v>24</v>
      </c>
      <c r="H5" s="2"/>
      <c r="I5" s="2"/>
      <c r="J5" s="2"/>
      <c r="K5" s="2"/>
      <c r="L5" s="2"/>
      <c r="M5" s="2"/>
      <c r="N5" s="2"/>
    </row>
    <row r="6" spans="1:14" x14ac:dyDescent="0.3">
      <c r="A6" s="60"/>
      <c r="B6" s="60"/>
      <c r="C6" s="60"/>
      <c r="D6" s="60"/>
      <c r="E6" s="63" t="str">
        <f>IF(OR('Configuration Selection'!$B$13="Under wing",'Configuration Selection'!$B$13="Over wing",'Configuration Selection'!$B$13="Burried in the wing"),"x_hl","X_hl")</f>
        <v>X_hl</v>
      </c>
      <c r="F6" s="71">
        <v>21.9</v>
      </c>
      <c r="G6" s="63" t="s">
        <v>24</v>
      </c>
      <c r="H6" s="2"/>
      <c r="I6" s="2"/>
      <c r="J6" s="2"/>
      <c r="K6" s="2"/>
      <c r="L6" s="2"/>
      <c r="M6" s="2"/>
      <c r="N6" s="2"/>
    </row>
    <row r="7" spans="1:14" x14ac:dyDescent="0.3">
      <c r="A7" s="59"/>
      <c r="B7" s="59"/>
      <c r="C7" s="59"/>
      <c r="D7" s="59"/>
      <c r="E7" s="59"/>
      <c r="F7" s="59"/>
      <c r="G7" s="59"/>
      <c r="H7" s="2"/>
      <c r="I7" s="2"/>
      <c r="J7" s="2"/>
      <c r="K7" s="2"/>
      <c r="L7" s="2"/>
      <c r="M7" s="2"/>
      <c r="N7" s="2"/>
    </row>
    <row r="8" spans="1:14" ht="21" customHeight="1" thickBot="1" x14ac:dyDescent="0.35">
      <c r="A8" s="64"/>
      <c r="B8" s="133" t="s">
        <v>308</v>
      </c>
      <c r="C8" s="133"/>
      <c r="D8" s="133"/>
      <c r="E8" s="133" t="s">
        <v>309</v>
      </c>
      <c r="F8" s="133"/>
      <c r="G8" s="133"/>
      <c r="H8" s="2"/>
      <c r="I8" s="2"/>
      <c r="J8" s="2"/>
      <c r="K8" s="2"/>
      <c r="L8" s="2"/>
      <c r="M8" s="2"/>
      <c r="N8" s="2"/>
    </row>
    <row r="9" spans="1:14" ht="15.6" x14ac:dyDescent="0.35">
      <c r="A9" s="86" t="s">
        <v>310</v>
      </c>
      <c r="B9" s="88" t="s">
        <v>549</v>
      </c>
      <c r="C9" s="88" t="s">
        <v>550</v>
      </c>
      <c r="D9" s="88" t="s">
        <v>551</v>
      </c>
      <c r="E9" s="88" t="s">
        <v>552</v>
      </c>
      <c r="F9" s="88" t="s">
        <v>553</v>
      </c>
      <c r="G9" s="88" t="s">
        <v>554</v>
      </c>
      <c r="H9" s="2"/>
      <c r="I9" s="2"/>
      <c r="J9" s="2"/>
      <c r="K9" s="2"/>
      <c r="L9" s="2"/>
      <c r="M9" s="2"/>
      <c r="N9" s="2"/>
    </row>
    <row r="10" spans="1:14" x14ac:dyDescent="0.3">
      <c r="A10" s="59" t="s">
        <v>311</v>
      </c>
      <c r="B10" s="73"/>
      <c r="C10" s="73"/>
      <c r="D10" s="73"/>
      <c r="E10" s="70">
        <v>0.106</v>
      </c>
      <c r="F10" s="70">
        <v>1.1200000000000001</v>
      </c>
      <c r="G10" s="70">
        <v>0.11799999999999999</v>
      </c>
      <c r="H10" s="2"/>
      <c r="I10" s="2"/>
      <c r="J10" s="2"/>
      <c r="K10" s="2"/>
      <c r="L10" s="2"/>
      <c r="M10" s="2"/>
      <c r="N10" s="2"/>
    </row>
    <row r="11" spans="1:14" x14ac:dyDescent="0.3">
      <c r="A11" s="59" t="s">
        <v>312</v>
      </c>
      <c r="B11" s="70">
        <v>0.02</v>
      </c>
      <c r="C11" s="70">
        <v>23.85</v>
      </c>
      <c r="D11" s="70">
        <f>C11*B11</f>
        <v>0.47700000000000004</v>
      </c>
      <c r="E11" s="73"/>
      <c r="F11" s="73"/>
      <c r="G11" s="73"/>
      <c r="H11" s="2"/>
      <c r="I11" s="2"/>
      <c r="J11" s="2"/>
      <c r="K11" s="2"/>
      <c r="L11" s="2"/>
      <c r="M11" s="2"/>
      <c r="N11" s="2"/>
    </row>
    <row r="12" spans="1:14" x14ac:dyDescent="0.3">
      <c r="A12" s="59" t="s">
        <v>313</v>
      </c>
      <c r="B12" s="70">
        <v>0.11</v>
      </c>
      <c r="C12" s="70">
        <v>10.6</v>
      </c>
      <c r="D12" s="70">
        <f>C12*B12</f>
        <v>1.1659999999999999</v>
      </c>
      <c r="E12" s="73"/>
      <c r="F12" s="73"/>
      <c r="G12" s="73"/>
      <c r="H12" s="2"/>
      <c r="I12" s="2"/>
      <c r="J12" s="2"/>
      <c r="K12" s="2"/>
      <c r="L12" s="2"/>
      <c r="M12" s="2"/>
      <c r="N12" s="2"/>
    </row>
    <row r="13" spans="1:14" x14ac:dyDescent="0.3">
      <c r="A13" s="59" t="s">
        <v>314</v>
      </c>
      <c r="B13" s="70">
        <v>1.0999999999999999E-2</v>
      </c>
      <c r="C13" s="70">
        <v>23.25</v>
      </c>
      <c r="D13" s="70">
        <f t="shared" ref="D12:D15" si="0">C13*B13</f>
        <v>0.25574999999999998</v>
      </c>
      <c r="E13" s="73"/>
      <c r="F13" s="73"/>
      <c r="G13" s="73"/>
      <c r="H13" s="2"/>
      <c r="I13" s="2"/>
      <c r="J13" s="2"/>
      <c r="K13" s="2"/>
      <c r="L13" s="2"/>
      <c r="M13" s="2"/>
      <c r="N13" s="2"/>
    </row>
    <row r="14" spans="1:14" x14ac:dyDescent="0.3">
      <c r="A14" s="59" t="s">
        <v>315</v>
      </c>
      <c r="B14" s="70">
        <v>7.1999999999999995E-2</v>
      </c>
      <c r="C14" s="70">
        <v>23.25</v>
      </c>
      <c r="D14" s="70">
        <f t="shared" si="0"/>
        <v>1.6739999999999999</v>
      </c>
      <c r="E14" s="73"/>
      <c r="F14" s="73"/>
      <c r="G14" s="73"/>
      <c r="H14" s="2"/>
      <c r="I14" s="2"/>
      <c r="J14" s="2"/>
      <c r="K14" s="2"/>
      <c r="L14" s="2"/>
      <c r="M14" s="2"/>
      <c r="N14" s="2"/>
    </row>
    <row r="15" spans="1:14" ht="15" thickBot="1" x14ac:dyDescent="0.35">
      <c r="A15" s="81" t="s">
        <v>316</v>
      </c>
      <c r="B15" s="82">
        <v>0.20499999999999999</v>
      </c>
      <c r="C15" s="82">
        <v>10.6</v>
      </c>
      <c r="D15" s="70">
        <f t="shared" si="0"/>
        <v>2.1729999999999996</v>
      </c>
      <c r="E15" s="83"/>
      <c r="F15" s="83"/>
      <c r="G15" s="83"/>
      <c r="H15" s="2"/>
      <c r="I15" s="2"/>
      <c r="J15" s="2"/>
      <c r="K15" s="2"/>
      <c r="L15" s="2"/>
      <c r="M15" s="2"/>
      <c r="N15" s="2"/>
    </row>
    <row r="16" spans="1:14" x14ac:dyDescent="0.3">
      <c r="A16" s="87" t="s">
        <v>317</v>
      </c>
      <c r="B16" s="80">
        <f>SUM(B11:B15)</f>
        <v>0.41800000000000004</v>
      </c>
      <c r="C16" s="80">
        <f>SUM(D11:D15)/B16</f>
        <v>13.745813397129183</v>
      </c>
      <c r="D16" s="78"/>
      <c r="E16" s="80">
        <v>0.106</v>
      </c>
      <c r="F16" s="80">
        <v>1.1200000000000001</v>
      </c>
      <c r="G16" s="78"/>
      <c r="H16" s="2"/>
      <c r="I16" s="2"/>
      <c r="J16" s="2"/>
      <c r="K16" s="2"/>
      <c r="L16" s="2"/>
      <c r="M16" s="2"/>
      <c r="N16" s="2"/>
    </row>
    <row r="17" spans="1:14" x14ac:dyDescent="0.3">
      <c r="A17" s="59"/>
      <c r="B17" s="61"/>
      <c r="C17" s="61"/>
      <c r="D17" s="60"/>
      <c r="E17" s="61"/>
      <c r="F17" s="61"/>
      <c r="G17" s="60"/>
      <c r="H17" s="2"/>
      <c r="I17" s="2"/>
      <c r="J17" s="2"/>
      <c r="K17" s="2"/>
      <c r="L17" s="2"/>
      <c r="M17" s="2"/>
      <c r="N17" s="2"/>
    </row>
    <row r="18" spans="1:14" x14ac:dyDescent="0.3">
      <c r="A18" s="59"/>
      <c r="B18" s="61"/>
      <c r="C18" s="61"/>
      <c r="D18" s="75" t="s">
        <v>19</v>
      </c>
      <c r="E18" s="61"/>
      <c r="F18" s="61"/>
      <c r="G18" s="60"/>
      <c r="H18" s="2"/>
      <c r="I18" s="2"/>
      <c r="J18" s="2"/>
      <c r="K18" s="2"/>
      <c r="L18" s="2"/>
      <c r="M18" s="2"/>
      <c r="N18" s="2"/>
    </row>
    <row r="19" spans="1:14" ht="29.4" x14ac:dyDescent="0.35">
      <c r="A19" s="60" t="s">
        <v>321</v>
      </c>
      <c r="B19" s="58" t="s">
        <v>547</v>
      </c>
      <c r="C19" s="72">
        <v>12.81</v>
      </c>
      <c r="D19" s="2" t="s">
        <v>24</v>
      </c>
      <c r="E19" s="2"/>
      <c r="F19" s="60"/>
      <c r="G19" s="60"/>
      <c r="H19" s="2"/>
      <c r="I19" s="2"/>
      <c r="J19" s="2"/>
      <c r="K19" s="2"/>
      <c r="L19" s="2"/>
      <c r="M19" s="2"/>
      <c r="N19" s="2"/>
    </row>
    <row r="20" spans="1:14" ht="15.6" x14ac:dyDescent="0.35">
      <c r="A20" s="2"/>
      <c r="B20" s="60" t="s">
        <v>548</v>
      </c>
      <c r="C20" s="6">
        <f>C19+F5</f>
        <v>15.61</v>
      </c>
      <c r="D20" s="60" t="s">
        <v>24</v>
      </c>
      <c r="E20" s="60"/>
      <c r="F20" s="60"/>
      <c r="G20" s="60"/>
      <c r="H20" s="2"/>
      <c r="I20" s="2"/>
      <c r="J20" s="2"/>
      <c r="K20" s="2"/>
      <c r="L20" s="2"/>
      <c r="M20" s="2"/>
      <c r="N20" s="2"/>
    </row>
    <row r="21" spans="1:14" x14ac:dyDescent="0.3">
      <c r="A21" s="65" t="s">
        <v>323</v>
      </c>
      <c r="B21" s="2"/>
      <c r="C21" s="2"/>
      <c r="D21" s="2"/>
      <c r="E21" s="2"/>
      <c r="F21" s="2"/>
      <c r="G21" s="2"/>
      <c r="H21" s="2"/>
      <c r="I21" s="2"/>
      <c r="J21" s="2"/>
      <c r="K21" s="2"/>
      <c r="L21" s="2"/>
      <c r="M21" s="2"/>
      <c r="N21" s="2"/>
    </row>
    <row r="22" spans="1:14" x14ac:dyDescent="0.3">
      <c r="A22" s="66" t="s">
        <v>355</v>
      </c>
      <c r="B22" s="60"/>
      <c r="C22" s="67"/>
      <c r="D22" s="2"/>
      <c r="E22" s="2"/>
      <c r="F22" s="2"/>
      <c r="G22" s="2"/>
      <c r="H22" s="2"/>
      <c r="I22" s="2"/>
      <c r="J22" s="2"/>
      <c r="K22" s="2"/>
      <c r="L22" s="2"/>
      <c r="M22" s="2"/>
      <c r="N22" s="2"/>
    </row>
    <row r="23" spans="1:14" x14ac:dyDescent="0.3">
      <c r="A23" s="2"/>
      <c r="B23" s="2"/>
      <c r="C23" s="2"/>
      <c r="D23" s="2"/>
      <c r="E23" s="2"/>
      <c r="F23" s="2"/>
      <c r="G23" s="2"/>
      <c r="H23" s="2"/>
      <c r="I23" s="2"/>
      <c r="J23" s="2"/>
      <c r="K23" s="2"/>
      <c r="L23" s="2"/>
      <c r="M23" s="2"/>
      <c r="N23" s="2"/>
    </row>
    <row r="24" spans="1:14" ht="15.6" x14ac:dyDescent="0.35">
      <c r="A24" s="85" t="s">
        <v>310</v>
      </c>
      <c r="B24" s="84" t="s">
        <v>549</v>
      </c>
      <c r="C24" s="84" t="s">
        <v>550</v>
      </c>
      <c r="D24" s="84" t="s">
        <v>551</v>
      </c>
      <c r="E24" s="6"/>
      <c r="F24" s="2"/>
      <c r="G24" s="2"/>
      <c r="H24" s="2"/>
      <c r="I24" s="2"/>
      <c r="J24" s="2"/>
      <c r="K24" s="2"/>
      <c r="L24" s="2"/>
      <c r="M24" s="2"/>
      <c r="N24" s="2"/>
    </row>
    <row r="25" spans="1:14" x14ac:dyDescent="0.3">
      <c r="A25" s="63" t="s">
        <v>324</v>
      </c>
      <c r="B25" s="71">
        <v>0.62</v>
      </c>
      <c r="C25" s="16">
        <v>13.6</v>
      </c>
      <c r="D25" s="71">
        <f>C25*B25</f>
        <v>8.4320000000000004</v>
      </c>
      <c r="E25" s="6"/>
      <c r="F25" s="2"/>
      <c r="G25" s="2"/>
      <c r="H25" s="2"/>
      <c r="I25" s="2"/>
      <c r="J25" s="2"/>
      <c r="K25" s="2"/>
      <c r="L25" s="2"/>
      <c r="M25" s="2"/>
      <c r="N25" s="2"/>
    </row>
    <row r="26" spans="1:14" x14ac:dyDescent="0.3">
      <c r="A26" s="63" t="s">
        <v>325</v>
      </c>
      <c r="B26" s="71">
        <v>0.27400000000000002</v>
      </c>
      <c r="C26" s="71">
        <v>13.1</v>
      </c>
      <c r="D26" s="71">
        <f t="shared" ref="D26:D27" si="1">C26*B26</f>
        <v>3.5894000000000004</v>
      </c>
      <c r="E26" s="6"/>
      <c r="F26" s="2"/>
      <c r="G26" s="2"/>
      <c r="H26" s="2"/>
      <c r="I26" s="2"/>
      <c r="J26" s="2"/>
      <c r="K26" s="2"/>
      <c r="L26" s="2"/>
      <c r="M26" s="2"/>
      <c r="N26" s="2"/>
    </row>
    <row r="27" spans="1:14" ht="15" thickBot="1" x14ac:dyDescent="0.35">
      <c r="A27" s="76" t="s">
        <v>326</v>
      </c>
      <c r="B27" s="79">
        <v>0.106</v>
      </c>
      <c r="C27" s="79">
        <v>14.22</v>
      </c>
      <c r="D27" s="71">
        <f t="shared" si="1"/>
        <v>1.50732</v>
      </c>
      <c r="E27" s="6"/>
      <c r="F27" s="2"/>
      <c r="G27" s="2"/>
      <c r="H27" s="2"/>
      <c r="I27" s="2"/>
      <c r="J27" s="2"/>
      <c r="K27" s="2"/>
      <c r="L27" s="2"/>
      <c r="M27" s="2"/>
      <c r="N27" s="2"/>
    </row>
    <row r="28" spans="1:14" x14ac:dyDescent="0.3">
      <c r="A28" s="63" t="s">
        <v>327</v>
      </c>
      <c r="B28" s="67">
        <f>B25+B26</f>
        <v>0.89400000000000002</v>
      </c>
      <c r="C28" s="77">
        <v>13.44</v>
      </c>
      <c r="D28" s="78"/>
      <c r="E28" s="6"/>
      <c r="F28" s="2"/>
      <c r="G28" s="2"/>
      <c r="H28" s="2"/>
      <c r="I28" s="2"/>
      <c r="J28" s="2"/>
      <c r="K28" s="2"/>
      <c r="L28" s="2"/>
      <c r="M28" s="2"/>
      <c r="N28" s="2"/>
    </row>
    <row r="29" spans="1:14" x14ac:dyDescent="0.3">
      <c r="A29" s="63" t="s">
        <v>328</v>
      </c>
      <c r="B29" s="67">
        <f>B25+B26+B27</f>
        <v>1</v>
      </c>
      <c r="C29" s="71">
        <v>13.5</v>
      </c>
      <c r="D29" s="73"/>
      <c r="E29" s="6"/>
      <c r="F29" s="2"/>
      <c r="G29" s="2"/>
      <c r="H29" s="2"/>
      <c r="I29" s="2"/>
      <c r="J29" s="2"/>
      <c r="K29" s="2"/>
      <c r="L29" s="2"/>
      <c r="M29" s="2"/>
      <c r="N29" s="2"/>
    </row>
    <row r="30" spans="1:14" x14ac:dyDescent="0.3">
      <c r="A30" s="68" t="s">
        <v>329</v>
      </c>
      <c r="B30" s="69">
        <f>B25+B27</f>
        <v>0.72599999999999998</v>
      </c>
      <c r="C30" s="71">
        <f>(D25+D27)/(B25+B27)</f>
        <v>13.690523415977962</v>
      </c>
      <c r="D30" s="74"/>
      <c r="E30" s="6"/>
      <c r="F30" s="2"/>
      <c r="G30" s="2"/>
      <c r="H30" s="2"/>
      <c r="I30" s="2"/>
      <c r="J30" s="2"/>
      <c r="K30" s="2"/>
      <c r="L30" s="2"/>
      <c r="M30" s="2"/>
      <c r="N30" s="2"/>
    </row>
    <row r="31" spans="1:14" x14ac:dyDescent="0.3">
      <c r="A31" s="6"/>
      <c r="B31" s="6"/>
      <c r="C31" s="6"/>
      <c r="D31" s="6"/>
      <c r="E31" s="6"/>
      <c r="F31" s="2"/>
      <c r="G31" s="2"/>
      <c r="H31" s="2"/>
      <c r="I31" s="2"/>
      <c r="J31" s="2"/>
      <c r="K31" s="2"/>
      <c r="L31" s="2"/>
      <c r="M31" s="2"/>
      <c r="N31" s="2"/>
    </row>
    <row r="32" spans="1:14" x14ac:dyDescent="0.3">
      <c r="A32" s="6"/>
      <c r="B32" s="6"/>
      <c r="C32" s="13" t="s">
        <v>19</v>
      </c>
      <c r="D32" s="6"/>
      <c r="E32" s="6"/>
      <c r="F32" s="2"/>
      <c r="G32" s="2"/>
      <c r="H32" s="2"/>
      <c r="I32" s="2"/>
      <c r="J32" s="2"/>
      <c r="K32" s="2"/>
      <c r="L32" s="2"/>
      <c r="M32" s="2"/>
      <c r="N32" s="2"/>
    </row>
    <row r="33" spans="1:14" x14ac:dyDescent="0.3">
      <c r="A33" s="63" t="s">
        <v>332</v>
      </c>
      <c r="B33" s="6">
        <f>MIN(C28:C30)</f>
        <v>13.44</v>
      </c>
      <c r="C33" s="6" t="s">
        <v>24</v>
      </c>
      <c r="D33" s="6"/>
      <c r="E33" s="6"/>
      <c r="F33" s="2"/>
      <c r="G33" s="2"/>
      <c r="H33" s="2"/>
      <c r="I33" s="2"/>
      <c r="J33" s="2"/>
      <c r="K33" s="2"/>
      <c r="L33" s="2"/>
      <c r="M33" s="2"/>
      <c r="N33" s="2"/>
    </row>
    <row r="34" spans="1:14" x14ac:dyDescent="0.3">
      <c r="A34" s="63" t="s">
        <v>333</v>
      </c>
      <c r="B34" s="6">
        <f>MAX(C28:C30)</f>
        <v>13.690523415977962</v>
      </c>
      <c r="C34" s="6" t="s">
        <v>24</v>
      </c>
      <c r="D34" s="6"/>
      <c r="E34" s="6"/>
      <c r="F34" s="2"/>
      <c r="G34" s="2"/>
      <c r="H34" s="2"/>
      <c r="I34" s="2"/>
      <c r="J34" s="2"/>
      <c r="K34" s="2"/>
      <c r="L34" s="2"/>
      <c r="M34" s="2"/>
      <c r="N34" s="2"/>
    </row>
    <row r="35" spans="1:14" x14ac:dyDescent="0.3">
      <c r="A35" s="6"/>
      <c r="B35" s="6"/>
      <c r="C35" s="6"/>
      <c r="D35" s="6"/>
      <c r="E35" s="6"/>
      <c r="F35" s="2"/>
      <c r="G35" s="2"/>
      <c r="H35" s="2"/>
      <c r="I35" s="2"/>
      <c r="J35" s="2"/>
      <c r="K35" s="2"/>
      <c r="L35" s="2"/>
      <c r="M35" s="2"/>
      <c r="N35" s="2"/>
    </row>
    <row r="36" spans="1:14" x14ac:dyDescent="0.3">
      <c r="A36" s="65" t="s">
        <v>334</v>
      </c>
      <c r="B36" s="2"/>
      <c r="C36" s="2"/>
      <c r="D36" s="2"/>
      <c r="E36" s="2"/>
      <c r="F36" s="2"/>
      <c r="G36" s="2"/>
      <c r="H36" s="2"/>
      <c r="I36" s="2"/>
      <c r="J36" s="2"/>
      <c r="K36" s="2"/>
      <c r="L36" s="2"/>
      <c r="M36" s="2"/>
      <c r="N36" s="2"/>
    </row>
    <row r="37" spans="1:14" x14ac:dyDescent="0.3">
      <c r="A37" s="2"/>
      <c r="B37" s="2"/>
      <c r="C37" s="2"/>
      <c r="D37" s="2"/>
      <c r="E37" s="2"/>
      <c r="F37" s="2"/>
      <c r="G37" s="2"/>
      <c r="H37" s="2"/>
      <c r="I37" s="2"/>
      <c r="J37" s="2"/>
      <c r="K37" s="2"/>
      <c r="L37" s="2"/>
      <c r="M37" s="2"/>
      <c r="N37" s="2"/>
    </row>
    <row r="38" spans="1:14" x14ac:dyDescent="0.3">
      <c r="A38" s="7" t="s">
        <v>412</v>
      </c>
      <c r="B38" s="2"/>
      <c r="C38" s="2"/>
      <c r="D38" s="2"/>
      <c r="E38" s="2"/>
      <c r="F38" s="2"/>
      <c r="G38" s="2"/>
      <c r="H38" s="2"/>
      <c r="I38" s="2"/>
      <c r="J38" s="2"/>
      <c r="K38" s="2"/>
      <c r="L38" s="2"/>
      <c r="M38" s="2"/>
      <c r="N38" s="2"/>
    </row>
    <row r="39" spans="1:14" x14ac:dyDescent="0.3">
      <c r="A39" s="38" t="s">
        <v>413</v>
      </c>
      <c r="B39" s="2"/>
      <c r="C39" s="2"/>
      <c r="D39" s="2"/>
      <c r="E39" s="2"/>
      <c r="F39" s="2"/>
      <c r="G39" s="2"/>
      <c r="H39" s="2"/>
      <c r="I39" s="2"/>
      <c r="J39" s="2"/>
      <c r="K39" s="2"/>
      <c r="L39" s="2"/>
      <c r="M39" s="2"/>
      <c r="N39" s="2"/>
    </row>
    <row r="40" spans="1:14" x14ac:dyDescent="0.3">
      <c r="A40" s="38" t="s">
        <v>414</v>
      </c>
      <c r="B40" s="2"/>
      <c r="C40" s="2"/>
      <c r="D40" s="2"/>
      <c r="E40" s="2"/>
      <c r="F40" s="2"/>
      <c r="G40" s="2"/>
      <c r="H40" s="2"/>
      <c r="I40" s="2"/>
      <c r="J40" s="2"/>
      <c r="K40" s="2"/>
      <c r="L40" s="2"/>
      <c r="M40" s="2"/>
      <c r="N40" s="2"/>
    </row>
    <row r="41" spans="1:14" x14ac:dyDescent="0.3">
      <c r="A41" s="2"/>
      <c r="B41" s="2"/>
      <c r="C41" s="2"/>
      <c r="D41" s="2"/>
      <c r="E41" s="2"/>
      <c r="F41" s="2"/>
      <c r="G41" s="2"/>
      <c r="H41" s="2"/>
      <c r="I41" s="2"/>
      <c r="J41" s="2"/>
      <c r="K41" s="2"/>
      <c r="L41" s="2"/>
      <c r="M41" s="2"/>
      <c r="N41" s="2"/>
    </row>
    <row r="42" spans="1:14" x14ac:dyDescent="0.3">
      <c r="A42" s="7" t="s">
        <v>407</v>
      </c>
      <c r="B42" s="2"/>
      <c r="C42" s="2"/>
      <c r="D42" s="2"/>
      <c r="E42" s="2"/>
      <c r="F42" s="2"/>
      <c r="G42" s="2"/>
      <c r="H42" s="2"/>
      <c r="I42" s="2"/>
      <c r="J42" s="2"/>
      <c r="K42" s="2"/>
      <c r="L42" s="2"/>
      <c r="M42" s="2"/>
      <c r="N42" s="2"/>
    </row>
    <row r="43" spans="1:14" x14ac:dyDescent="0.3">
      <c r="A43" s="2"/>
      <c r="B43" s="2"/>
      <c r="C43" s="2"/>
      <c r="D43" s="2"/>
      <c r="E43" s="2"/>
      <c r="F43" s="2"/>
      <c r="G43" s="2"/>
      <c r="H43" s="2"/>
      <c r="I43" s="2"/>
      <c r="J43" s="2"/>
      <c r="K43" s="2"/>
      <c r="L43" s="2"/>
      <c r="M43" s="2"/>
      <c r="N43" s="2"/>
    </row>
  </sheetData>
  <sheetProtection algorithmName="SHA-512" hashValue="Vp2u+Lh6jqGDQUGtBEEqLjLbvQpr3Jzod0GvvUDy3M8sEmqS5GF30f92wfG8cbtNm5LaGnEERBeKHS//7HFX9A==" saltValue="ZQr9sb5RTxmJMwJa9n0Pbw==" spinCount="100000" sheet="1" scenarios="1" formatCells="0"/>
  <mergeCells count="2">
    <mergeCell ref="B8:D8"/>
    <mergeCell ref="E8:G8"/>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9951C-AAFB-40D4-87BC-671CF3964740}">
  <dimension ref="A1:F47"/>
  <sheetViews>
    <sheetView tabSelected="1" workbookViewId="0">
      <selection activeCell="D34" sqref="D34"/>
    </sheetView>
  </sheetViews>
  <sheetFormatPr defaultRowHeight="14.4" x14ac:dyDescent="0.3"/>
  <cols>
    <col min="1" max="1" width="48.5546875" customWidth="1"/>
  </cols>
  <sheetData>
    <row r="1" spans="1:6" x14ac:dyDescent="0.3">
      <c r="A1" s="7" t="s">
        <v>558</v>
      </c>
      <c r="B1" s="2"/>
      <c r="C1" s="2"/>
      <c r="D1" s="2"/>
      <c r="E1" s="2"/>
      <c r="F1" s="2"/>
    </row>
    <row r="2" spans="1:6" x14ac:dyDescent="0.3">
      <c r="A2" s="2" t="s">
        <v>556</v>
      </c>
      <c r="B2" s="2"/>
      <c r="C2" s="2"/>
      <c r="D2" s="1">
        <v>4</v>
      </c>
      <c r="E2" s="2" t="s">
        <v>20</v>
      </c>
      <c r="F2" s="2"/>
    </row>
    <row r="3" spans="1:6" x14ac:dyDescent="0.3">
      <c r="A3" s="2" t="s">
        <v>557</v>
      </c>
      <c r="B3" s="2"/>
      <c r="C3" s="2"/>
      <c r="D3" s="1">
        <v>2</v>
      </c>
      <c r="E3" s="2" t="s">
        <v>20</v>
      </c>
      <c r="F3" s="2"/>
    </row>
    <row r="4" spans="1:6" x14ac:dyDescent="0.3">
      <c r="A4" s="2" t="s">
        <v>568</v>
      </c>
      <c r="B4" s="2"/>
      <c r="C4" s="2"/>
      <c r="D4" s="15">
        <v>27</v>
      </c>
      <c r="E4" s="2"/>
      <c r="F4" s="2"/>
    </row>
    <row r="5" spans="1:6" x14ac:dyDescent="0.3">
      <c r="A5" s="6" t="s">
        <v>569</v>
      </c>
      <c r="B5" s="2"/>
      <c r="C5" s="2"/>
      <c r="D5" s="14"/>
      <c r="E5" s="2" t="s">
        <v>570</v>
      </c>
      <c r="F5" s="2"/>
    </row>
    <row r="6" spans="1:6" x14ac:dyDescent="0.3">
      <c r="A6" s="6" t="s">
        <v>571</v>
      </c>
      <c r="B6" s="2"/>
      <c r="C6" s="2"/>
      <c r="D6" s="14"/>
      <c r="E6" s="2" t="s">
        <v>21</v>
      </c>
      <c r="F6" s="2"/>
    </row>
    <row r="7" spans="1:6" x14ac:dyDescent="0.3">
      <c r="A7" s="6" t="s">
        <v>571</v>
      </c>
      <c r="B7" s="2"/>
      <c r="C7" s="2"/>
      <c r="D7" s="14"/>
      <c r="E7" s="2" t="s">
        <v>21</v>
      </c>
      <c r="F7" s="2"/>
    </row>
    <row r="8" spans="1:6" x14ac:dyDescent="0.3">
      <c r="A8" s="6" t="s">
        <v>575</v>
      </c>
      <c r="B8" s="2"/>
      <c r="C8" s="2"/>
      <c r="D8" s="91"/>
      <c r="E8" s="2"/>
      <c r="F8" s="2"/>
    </row>
    <row r="9" spans="1:6" x14ac:dyDescent="0.3">
      <c r="A9" s="6" t="s">
        <v>574</v>
      </c>
      <c r="B9" s="2"/>
      <c r="C9" s="2"/>
      <c r="D9" s="40"/>
      <c r="E9" s="2" t="s">
        <v>20</v>
      </c>
      <c r="F9" s="2"/>
    </row>
    <row r="10" spans="1:6" x14ac:dyDescent="0.3">
      <c r="A10" s="6" t="s">
        <v>572</v>
      </c>
      <c r="B10" s="2"/>
      <c r="C10" s="2"/>
      <c r="D10" s="14"/>
      <c r="E10" s="2" t="s">
        <v>24</v>
      </c>
      <c r="F10" s="2"/>
    </row>
    <row r="11" spans="1:6" x14ac:dyDescent="0.3">
      <c r="A11" s="6" t="s">
        <v>573</v>
      </c>
      <c r="B11" s="2"/>
      <c r="C11" s="2"/>
      <c r="D11" s="14"/>
      <c r="E11" s="2" t="s">
        <v>24</v>
      </c>
      <c r="F11" s="2"/>
    </row>
    <row r="12" spans="1:6" x14ac:dyDescent="0.3">
      <c r="A12" s="2"/>
      <c r="B12" s="2"/>
      <c r="C12" s="2"/>
      <c r="D12" s="2"/>
      <c r="E12" s="2"/>
      <c r="F12" s="2"/>
    </row>
    <row r="13" spans="1:6" ht="30" customHeight="1" x14ac:dyDescent="0.3">
      <c r="A13" s="101" t="s">
        <v>371</v>
      </c>
      <c r="B13" s="101"/>
      <c r="C13" s="101"/>
      <c r="D13" s="101"/>
      <c r="E13" s="101"/>
      <c r="F13" s="2"/>
    </row>
    <row r="14" spans="1:6" x14ac:dyDescent="0.3">
      <c r="A14" s="7"/>
      <c r="B14" s="2"/>
      <c r="C14" s="2"/>
      <c r="D14" s="2"/>
      <c r="E14" s="2"/>
      <c r="F14" s="2"/>
    </row>
    <row r="15" spans="1:6" x14ac:dyDescent="0.3">
      <c r="A15" s="7" t="s">
        <v>356</v>
      </c>
      <c r="B15" s="2"/>
      <c r="C15" s="2"/>
      <c r="D15" s="2"/>
      <c r="E15" s="7" t="s">
        <v>19</v>
      </c>
      <c r="F15" s="2"/>
    </row>
    <row r="16" spans="1:6" x14ac:dyDescent="0.3">
      <c r="A16" s="2" t="s">
        <v>357</v>
      </c>
      <c r="B16" s="2"/>
      <c r="C16" s="2"/>
      <c r="D16" s="1">
        <v>0.3</v>
      </c>
      <c r="E16" s="2" t="s">
        <v>24</v>
      </c>
      <c r="F16" s="2"/>
    </row>
    <row r="17" spans="1:6" x14ac:dyDescent="0.3">
      <c r="A17" s="43" t="s">
        <v>358</v>
      </c>
      <c r="B17" s="2"/>
      <c r="C17" s="2"/>
      <c r="D17" s="2"/>
      <c r="E17" s="2"/>
      <c r="F17" s="2"/>
    </row>
    <row r="18" spans="1:6" x14ac:dyDescent="0.3">
      <c r="A18" s="135" t="s">
        <v>359</v>
      </c>
      <c r="B18" s="135"/>
      <c r="C18" s="2"/>
      <c r="D18" s="2"/>
      <c r="E18" s="2"/>
      <c r="F18" s="2"/>
    </row>
    <row r="19" spans="1:6" x14ac:dyDescent="0.3">
      <c r="A19" s="135" t="s">
        <v>360</v>
      </c>
      <c r="B19" s="135"/>
      <c r="C19" s="2"/>
      <c r="D19" s="2"/>
      <c r="E19" s="2"/>
      <c r="F19" s="2"/>
    </row>
    <row r="20" spans="1:6" x14ac:dyDescent="0.3">
      <c r="A20" s="135" t="s">
        <v>361</v>
      </c>
      <c r="B20" s="135"/>
      <c r="C20" s="2"/>
      <c r="D20" s="2"/>
      <c r="E20" s="2"/>
      <c r="F20" s="2"/>
    </row>
    <row r="21" spans="1:6" x14ac:dyDescent="0.3">
      <c r="A21" s="135" t="s">
        <v>362</v>
      </c>
      <c r="B21" s="135"/>
      <c r="C21" s="2"/>
      <c r="D21" s="2"/>
      <c r="E21" s="2"/>
      <c r="F21" s="2"/>
    </row>
    <row r="22" spans="1:6" x14ac:dyDescent="0.3">
      <c r="A22" s="135" t="s">
        <v>363</v>
      </c>
      <c r="B22" s="135"/>
      <c r="C22" s="2"/>
      <c r="D22" s="2"/>
      <c r="E22" s="2"/>
      <c r="F22" s="2"/>
    </row>
    <row r="23" spans="1:6" x14ac:dyDescent="0.3">
      <c r="A23" s="135" t="s">
        <v>364</v>
      </c>
      <c r="B23" s="135"/>
      <c r="C23" s="2"/>
      <c r="D23" s="2"/>
      <c r="E23" s="2"/>
      <c r="F23" s="2"/>
    </row>
    <row r="24" spans="1:6" x14ac:dyDescent="0.3">
      <c r="A24" s="25"/>
      <c r="B24" s="25"/>
      <c r="C24" s="2"/>
      <c r="D24" s="2"/>
      <c r="E24" s="2"/>
      <c r="F24" s="2"/>
    </row>
    <row r="25" spans="1:6" x14ac:dyDescent="0.3">
      <c r="A25" s="2" t="s">
        <v>376</v>
      </c>
      <c r="B25" s="2"/>
      <c r="C25" s="2"/>
      <c r="D25" s="1" t="s">
        <v>675</v>
      </c>
      <c r="E25" s="2" t="s">
        <v>20</v>
      </c>
      <c r="F25" s="2"/>
    </row>
    <row r="26" spans="1:6" ht="30" customHeight="1" x14ac:dyDescent="0.3">
      <c r="A26" s="104" t="s">
        <v>379</v>
      </c>
      <c r="B26" s="104"/>
      <c r="C26" s="104"/>
      <c r="D26" s="2"/>
      <c r="E26" s="2"/>
      <c r="F26" s="2"/>
    </row>
    <row r="27" spans="1:6" x14ac:dyDescent="0.3">
      <c r="A27" s="2"/>
      <c r="B27" s="2"/>
      <c r="C27" s="2"/>
      <c r="D27" s="2"/>
      <c r="E27" s="2"/>
      <c r="F27" s="2"/>
    </row>
    <row r="28" spans="1:6" ht="30" customHeight="1" x14ac:dyDescent="0.3">
      <c r="A28" s="101" t="s">
        <v>371</v>
      </c>
      <c r="B28" s="101"/>
      <c r="C28" s="101"/>
      <c r="D28" s="101"/>
      <c r="E28" s="101"/>
      <c r="F28" s="2"/>
    </row>
    <row r="29" spans="1:6" x14ac:dyDescent="0.3">
      <c r="A29" s="4"/>
      <c r="B29" s="4"/>
      <c r="C29" s="4"/>
      <c r="D29" s="4"/>
      <c r="E29" s="4"/>
      <c r="F29" s="2"/>
    </row>
    <row r="30" spans="1:6" x14ac:dyDescent="0.3">
      <c r="A30" s="7" t="s">
        <v>365</v>
      </c>
      <c r="B30" s="2"/>
      <c r="C30" s="2"/>
      <c r="D30" s="2"/>
      <c r="E30" s="2"/>
      <c r="F30" s="2"/>
    </row>
    <row r="31" spans="1:6" x14ac:dyDescent="0.3">
      <c r="A31" s="135" t="s">
        <v>366</v>
      </c>
      <c r="B31" s="135"/>
      <c r="C31" s="135"/>
      <c r="D31" s="2"/>
      <c r="E31" s="2"/>
      <c r="F31" s="2"/>
    </row>
    <row r="32" spans="1:6" x14ac:dyDescent="0.3">
      <c r="A32" s="136" t="s">
        <v>367</v>
      </c>
      <c r="B32" s="136"/>
      <c r="C32" s="136"/>
      <c r="D32" s="2"/>
      <c r="E32" s="2"/>
      <c r="F32" s="2"/>
    </row>
    <row r="33" spans="1:6" x14ac:dyDescent="0.3">
      <c r="A33" s="2" t="s">
        <v>368</v>
      </c>
      <c r="B33" s="2"/>
      <c r="C33" s="2"/>
      <c r="D33" s="1">
        <v>0</v>
      </c>
      <c r="E33" s="2" t="s">
        <v>24</v>
      </c>
      <c r="F33" s="2"/>
    </row>
    <row r="34" spans="1:6" x14ac:dyDescent="0.3">
      <c r="A34" s="135" t="s">
        <v>369</v>
      </c>
      <c r="B34" s="135"/>
      <c r="C34" s="135"/>
      <c r="D34" s="2"/>
      <c r="E34" s="2"/>
      <c r="F34" s="2"/>
    </row>
    <row r="35" spans="1:6" x14ac:dyDescent="0.3">
      <c r="A35" s="135" t="s">
        <v>370</v>
      </c>
      <c r="B35" s="135"/>
      <c r="C35" s="135"/>
      <c r="D35" s="2"/>
      <c r="E35" s="2"/>
      <c r="F35" s="2"/>
    </row>
    <row r="36" spans="1:6" x14ac:dyDescent="0.3">
      <c r="A36" s="25"/>
      <c r="B36" s="25"/>
      <c r="C36" s="25"/>
      <c r="D36" s="2"/>
      <c r="E36" s="2"/>
      <c r="F36" s="2"/>
    </row>
    <row r="37" spans="1:6" x14ac:dyDescent="0.3">
      <c r="A37" s="103" t="s">
        <v>376</v>
      </c>
      <c r="B37" s="103"/>
      <c r="C37" s="2"/>
      <c r="D37" s="1" t="s">
        <v>675</v>
      </c>
      <c r="E37" s="2" t="s">
        <v>20</v>
      </c>
      <c r="F37" s="2"/>
    </row>
    <row r="38" spans="1:6" ht="30" customHeight="1" x14ac:dyDescent="0.3">
      <c r="A38" s="134" t="s">
        <v>379</v>
      </c>
      <c r="B38" s="134"/>
      <c r="C38" s="134"/>
      <c r="D38" s="2"/>
      <c r="E38" s="2"/>
      <c r="F38" s="2"/>
    </row>
    <row r="39" spans="1:6" ht="30" customHeight="1" x14ac:dyDescent="0.3">
      <c r="A39" s="90"/>
      <c r="B39" s="90"/>
      <c r="C39" s="90"/>
      <c r="D39" s="2"/>
      <c r="E39" s="2"/>
      <c r="F39" s="2"/>
    </row>
    <row r="40" spans="1:6" ht="30" customHeight="1" x14ac:dyDescent="0.3">
      <c r="A40" s="134" t="s">
        <v>375</v>
      </c>
      <c r="B40" s="134"/>
      <c r="C40" s="134"/>
      <c r="D40" s="2"/>
      <c r="E40" s="2"/>
      <c r="F40" s="2"/>
    </row>
    <row r="41" spans="1:6" x14ac:dyDescent="0.3">
      <c r="A41" s="134" t="s">
        <v>377</v>
      </c>
      <c r="B41" s="134"/>
      <c r="C41" s="134"/>
      <c r="D41" s="2"/>
      <c r="E41" s="2"/>
      <c r="F41" s="2"/>
    </row>
    <row r="42" spans="1:6" x14ac:dyDescent="0.3">
      <c r="A42" s="2"/>
      <c r="B42" s="2"/>
      <c r="C42" s="2"/>
      <c r="D42" s="2"/>
      <c r="E42" s="2"/>
      <c r="F42" s="2"/>
    </row>
    <row r="43" spans="1:6" x14ac:dyDescent="0.3">
      <c r="A43" s="7" t="s">
        <v>378</v>
      </c>
      <c r="B43" s="2"/>
      <c r="C43" s="2"/>
      <c r="D43" s="2"/>
      <c r="E43" s="2"/>
      <c r="F43" s="2"/>
    </row>
    <row r="44" spans="1:6" x14ac:dyDescent="0.3">
      <c r="A44" s="2"/>
      <c r="B44" s="2"/>
      <c r="C44" s="2"/>
      <c r="D44" s="2"/>
      <c r="E44" s="2"/>
      <c r="F44" s="2"/>
    </row>
    <row r="45" spans="1:6" x14ac:dyDescent="0.3">
      <c r="A45" s="7" t="s">
        <v>407</v>
      </c>
      <c r="B45" s="2"/>
      <c r="C45" s="2"/>
      <c r="D45" s="2"/>
      <c r="E45" s="2"/>
      <c r="F45" s="2"/>
    </row>
    <row r="46" spans="1:6" x14ac:dyDescent="0.3">
      <c r="A46" s="2"/>
      <c r="B46" s="2"/>
      <c r="C46" s="2"/>
      <c r="D46" s="2"/>
      <c r="E46" s="2"/>
      <c r="F46" s="2"/>
    </row>
    <row r="47" spans="1:6" x14ac:dyDescent="0.3">
      <c r="A47" s="2"/>
      <c r="B47" s="2"/>
      <c r="C47" s="2"/>
      <c r="D47" s="2"/>
      <c r="E47" s="2"/>
      <c r="F47" s="2"/>
    </row>
  </sheetData>
  <sheetProtection algorithmName="SHA-512" hashValue="DTEFbU7u0Ho++EM/YNUXu9ZQOI7PW5JkWzAhk8J8CoLhfFCcrpuDZmwmPfd1G9kx4JNdO0VfFEYrkO1CgZ7kBQ==" saltValue="KDY4vzktrA+2TnT6bpvCvA==" spinCount="100000" sheet="1" objects="1" scenarios="1" formatCells="0"/>
  <mergeCells count="17">
    <mergeCell ref="A13:E13"/>
    <mergeCell ref="A28:E28"/>
    <mergeCell ref="A26:C26"/>
    <mergeCell ref="A31:C31"/>
    <mergeCell ref="A32:C32"/>
    <mergeCell ref="A18:B18"/>
    <mergeCell ref="A19:B19"/>
    <mergeCell ref="A20:B20"/>
    <mergeCell ref="A21:B21"/>
    <mergeCell ref="A22:B22"/>
    <mergeCell ref="A23:B23"/>
    <mergeCell ref="A37:B37"/>
    <mergeCell ref="A38:C38"/>
    <mergeCell ref="A40:C40"/>
    <mergeCell ref="A41:C41"/>
    <mergeCell ref="A34:C34"/>
    <mergeCell ref="A35:C35"/>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BE94C-C6DB-411A-B5F0-F7C1318605C5}">
  <dimension ref="A1:G7"/>
  <sheetViews>
    <sheetView workbookViewId="0">
      <selection activeCell="F5" sqref="F5"/>
    </sheetView>
  </sheetViews>
  <sheetFormatPr defaultRowHeight="14.4" x14ac:dyDescent="0.3"/>
  <sheetData>
    <row r="1" spans="1:7" x14ac:dyDescent="0.3">
      <c r="A1" s="6" t="s">
        <v>569</v>
      </c>
      <c r="B1" s="2"/>
      <c r="C1" s="2"/>
      <c r="D1" s="14"/>
      <c r="F1">
        <v>737.2</v>
      </c>
      <c r="G1" t="s">
        <v>570</v>
      </c>
    </row>
    <row r="2" spans="1:7" x14ac:dyDescent="0.3">
      <c r="A2" s="6" t="s">
        <v>571</v>
      </c>
      <c r="B2" s="2"/>
      <c r="C2" s="2"/>
      <c r="D2" s="14"/>
      <c r="F2">
        <v>6815</v>
      </c>
      <c r="G2" t="s">
        <v>21</v>
      </c>
    </row>
    <row r="3" spans="1:7" x14ac:dyDescent="0.3">
      <c r="A3" s="6" t="s">
        <v>691</v>
      </c>
      <c r="B3" s="2"/>
      <c r="C3" s="2"/>
      <c r="D3" s="14"/>
      <c r="F3">
        <v>593</v>
      </c>
      <c r="G3" t="s">
        <v>21</v>
      </c>
    </row>
    <row r="4" spans="1:7" x14ac:dyDescent="0.3">
      <c r="A4" s="6" t="s">
        <v>575</v>
      </c>
      <c r="B4" s="2"/>
      <c r="C4" s="2"/>
      <c r="D4" s="91"/>
      <c r="F4" t="s">
        <v>693</v>
      </c>
    </row>
    <row r="5" spans="1:7" x14ac:dyDescent="0.3">
      <c r="A5" s="6" t="s">
        <v>574</v>
      </c>
      <c r="B5" s="2"/>
      <c r="C5" s="2"/>
      <c r="D5" s="40"/>
      <c r="F5" t="s">
        <v>692</v>
      </c>
    </row>
    <row r="6" spans="1:7" x14ac:dyDescent="0.3">
      <c r="A6" s="6" t="s">
        <v>572</v>
      </c>
      <c r="B6" s="2"/>
      <c r="C6" s="2"/>
      <c r="D6" s="14"/>
      <c r="F6">
        <v>0.91439999999999999</v>
      </c>
      <c r="G6" t="s">
        <v>24</v>
      </c>
    </row>
    <row r="7" spans="1:7" x14ac:dyDescent="0.3">
      <c r="A7" s="6" t="s">
        <v>573</v>
      </c>
      <c r="B7" s="2"/>
      <c r="C7" s="2"/>
      <c r="D7" s="14"/>
      <c r="F7">
        <v>0.27310000000000001</v>
      </c>
      <c r="G7" t="s">
        <v>24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14F55-5905-45DE-B739-360C648C3C37}">
  <dimension ref="A1:H35"/>
  <sheetViews>
    <sheetView workbookViewId="0">
      <selection activeCell="M16" sqref="M16"/>
    </sheetView>
  </sheetViews>
  <sheetFormatPr defaultRowHeight="14.4" x14ac:dyDescent="0.3"/>
  <cols>
    <col min="1" max="1" width="50.44140625" customWidth="1"/>
  </cols>
  <sheetData>
    <row r="1" spans="1:8" x14ac:dyDescent="0.3">
      <c r="A1" s="7" t="s">
        <v>335</v>
      </c>
      <c r="B1" s="2"/>
      <c r="C1" s="2"/>
      <c r="D1" s="2"/>
      <c r="E1" s="7" t="s">
        <v>19</v>
      </c>
      <c r="F1" s="2"/>
      <c r="G1" s="2"/>
    </row>
    <row r="2" spans="1:8" ht="30" customHeight="1" x14ac:dyDescent="0.3">
      <c r="A2" s="137" t="s">
        <v>388</v>
      </c>
      <c r="B2" s="137"/>
      <c r="C2" s="137"/>
      <c r="D2" s="137"/>
      <c r="E2" s="20"/>
      <c r="F2" s="20"/>
      <c r="G2" s="20"/>
      <c r="H2" s="19"/>
    </row>
    <row r="3" spans="1:8" x14ac:dyDescent="0.3">
      <c r="A3" s="2" t="s">
        <v>336</v>
      </c>
      <c r="B3" s="2"/>
      <c r="C3" s="2"/>
      <c r="D3" s="1"/>
      <c r="E3" s="2" t="s">
        <v>20</v>
      </c>
      <c r="F3" s="2"/>
      <c r="G3" s="2"/>
    </row>
    <row r="4" spans="1:8" x14ac:dyDescent="0.3">
      <c r="A4" s="2" t="s">
        <v>337</v>
      </c>
      <c r="B4" s="2"/>
      <c r="C4" s="2"/>
      <c r="D4" s="1"/>
      <c r="E4" s="2" t="s">
        <v>24</v>
      </c>
      <c r="F4" s="2"/>
      <c r="G4" s="2"/>
    </row>
    <row r="5" spans="1:8" x14ac:dyDescent="0.3">
      <c r="A5" s="2" t="s">
        <v>338</v>
      </c>
      <c r="B5" s="2"/>
      <c r="C5" s="2"/>
      <c r="D5" s="1"/>
      <c r="E5" s="2" t="s">
        <v>20</v>
      </c>
      <c r="F5" s="2"/>
      <c r="G5" s="2"/>
    </row>
    <row r="6" spans="1:8" ht="16.2" x14ac:dyDescent="0.3">
      <c r="A6" s="2" t="s">
        <v>339</v>
      </c>
      <c r="B6" s="2"/>
      <c r="C6" s="2"/>
      <c r="D6" s="1"/>
      <c r="E6" s="2" t="s">
        <v>478</v>
      </c>
      <c r="F6" s="2"/>
      <c r="G6" s="2"/>
    </row>
    <row r="7" spans="1:8" x14ac:dyDescent="0.3">
      <c r="A7" s="2" t="s">
        <v>340</v>
      </c>
      <c r="B7" s="2"/>
      <c r="C7" s="2"/>
      <c r="D7" s="1"/>
      <c r="E7" s="2" t="s">
        <v>479</v>
      </c>
      <c r="F7" s="2"/>
      <c r="G7" s="2"/>
    </row>
    <row r="8" spans="1:8" x14ac:dyDescent="0.3">
      <c r="A8" s="2" t="s">
        <v>341</v>
      </c>
      <c r="B8" s="2"/>
      <c r="C8" s="2"/>
      <c r="D8" s="1"/>
      <c r="E8" s="2" t="s">
        <v>20</v>
      </c>
      <c r="F8" s="2"/>
      <c r="G8" s="2"/>
    </row>
    <row r="9" spans="1:8" x14ac:dyDescent="0.3">
      <c r="A9" s="2" t="s">
        <v>342</v>
      </c>
      <c r="B9" s="2"/>
      <c r="C9" s="2"/>
      <c r="D9" s="1"/>
      <c r="E9" s="2" t="s">
        <v>20</v>
      </c>
      <c r="F9" s="2"/>
      <c r="G9" s="2"/>
    </row>
    <row r="10" spans="1:8" x14ac:dyDescent="0.3">
      <c r="A10" s="2" t="s">
        <v>343</v>
      </c>
      <c r="B10" s="2"/>
      <c r="C10" s="2"/>
      <c r="D10" s="1"/>
      <c r="E10" s="2" t="s">
        <v>24</v>
      </c>
      <c r="F10" s="2"/>
      <c r="G10" s="2"/>
    </row>
    <row r="11" spans="1:8" x14ac:dyDescent="0.3">
      <c r="A11" s="2" t="s">
        <v>344</v>
      </c>
      <c r="B11" s="2"/>
      <c r="C11" s="2"/>
      <c r="D11" s="1"/>
      <c r="E11" s="2" t="s">
        <v>24</v>
      </c>
      <c r="F11" s="2"/>
      <c r="G11" s="2"/>
    </row>
    <row r="12" spans="1:8" x14ac:dyDescent="0.3">
      <c r="A12" s="2" t="s">
        <v>345</v>
      </c>
      <c r="B12" s="2"/>
      <c r="C12" s="2"/>
      <c r="D12" s="1"/>
      <c r="E12" s="2" t="s">
        <v>24</v>
      </c>
      <c r="F12" s="2"/>
      <c r="G12" s="2"/>
    </row>
    <row r="13" spans="1:8" x14ac:dyDescent="0.3">
      <c r="A13" s="2" t="s">
        <v>346</v>
      </c>
      <c r="B13" s="2"/>
      <c r="C13" s="2"/>
      <c r="D13" s="1"/>
      <c r="E13" s="2" t="s">
        <v>24</v>
      </c>
      <c r="F13" s="2"/>
      <c r="G13" s="2"/>
    </row>
    <row r="14" spans="1:8" x14ac:dyDescent="0.3">
      <c r="A14" s="38" t="s">
        <v>350</v>
      </c>
      <c r="B14" s="2"/>
      <c r="C14" s="2"/>
      <c r="D14" s="2"/>
      <c r="E14" s="2"/>
      <c r="F14" s="2"/>
      <c r="G14" s="2"/>
    </row>
    <row r="15" spans="1:8" x14ac:dyDescent="0.3">
      <c r="A15" s="2"/>
      <c r="B15" s="2"/>
      <c r="C15" s="2"/>
      <c r="D15" s="2"/>
      <c r="E15" s="2"/>
      <c r="F15" s="2"/>
      <c r="G15" s="2"/>
    </row>
    <row r="16" spans="1:8" x14ac:dyDescent="0.3">
      <c r="A16" s="7" t="s">
        <v>347</v>
      </c>
      <c r="B16" s="2"/>
      <c r="C16" s="2"/>
      <c r="D16" s="2"/>
      <c r="E16" s="2"/>
      <c r="F16" s="2"/>
      <c r="G16" s="2"/>
    </row>
    <row r="17" spans="1:8" ht="30" customHeight="1" x14ac:dyDescent="0.3">
      <c r="A17" s="137" t="s">
        <v>388</v>
      </c>
      <c r="B17" s="137"/>
      <c r="C17" s="137"/>
      <c r="D17" s="137"/>
      <c r="E17" s="20"/>
      <c r="F17" s="20"/>
      <c r="G17" s="20"/>
      <c r="H17" s="19"/>
    </row>
    <row r="18" spans="1:8" x14ac:dyDescent="0.3">
      <c r="A18" s="2" t="s">
        <v>555</v>
      </c>
      <c r="B18" s="2"/>
      <c r="C18" s="2"/>
      <c r="D18" s="1"/>
      <c r="E18" s="7" t="s">
        <v>20</v>
      </c>
      <c r="F18" s="2"/>
      <c r="G18" s="2"/>
    </row>
    <row r="19" spans="1:8" x14ac:dyDescent="0.3">
      <c r="A19" s="2" t="s">
        <v>348</v>
      </c>
      <c r="B19" s="2"/>
      <c r="C19" s="2"/>
      <c r="D19" s="1"/>
      <c r="E19" s="2" t="s">
        <v>24</v>
      </c>
      <c r="F19" s="2"/>
      <c r="G19" s="2"/>
    </row>
    <row r="20" spans="1:8" x14ac:dyDescent="0.3">
      <c r="A20" s="2" t="s">
        <v>338</v>
      </c>
      <c r="B20" s="2"/>
      <c r="C20" s="2"/>
      <c r="D20" s="1"/>
      <c r="E20" s="2" t="s">
        <v>20</v>
      </c>
      <c r="F20" s="2"/>
      <c r="G20" s="2"/>
    </row>
    <row r="21" spans="1:8" ht="16.2" x14ac:dyDescent="0.3">
      <c r="A21" s="2" t="s">
        <v>339</v>
      </c>
      <c r="B21" s="2"/>
      <c r="C21" s="2"/>
      <c r="D21" s="1"/>
      <c r="E21" s="2" t="s">
        <v>478</v>
      </c>
      <c r="F21" s="2"/>
      <c r="G21" s="2"/>
    </row>
    <row r="22" spans="1:8" x14ac:dyDescent="0.3">
      <c r="A22" s="2" t="s">
        <v>340</v>
      </c>
      <c r="B22" s="2"/>
      <c r="C22" s="2"/>
      <c r="D22" s="1"/>
      <c r="E22" s="2" t="s">
        <v>479</v>
      </c>
      <c r="F22" s="2"/>
      <c r="G22" s="2"/>
    </row>
    <row r="23" spans="1:8" x14ac:dyDescent="0.3">
      <c r="A23" s="2" t="s">
        <v>341</v>
      </c>
      <c r="B23" s="2"/>
      <c r="C23" s="2"/>
      <c r="D23" s="1"/>
      <c r="E23" s="2" t="s">
        <v>20</v>
      </c>
      <c r="F23" s="2"/>
      <c r="G23" s="2"/>
    </row>
    <row r="24" spans="1:8" x14ac:dyDescent="0.3">
      <c r="A24" s="2" t="s">
        <v>342</v>
      </c>
      <c r="B24" s="2"/>
      <c r="C24" s="2"/>
      <c r="D24" s="1"/>
      <c r="E24" s="2" t="s">
        <v>20</v>
      </c>
      <c r="F24" s="2"/>
      <c r="G24" s="2"/>
    </row>
    <row r="25" spans="1:8" x14ac:dyDescent="0.3">
      <c r="A25" s="2" t="s">
        <v>343</v>
      </c>
      <c r="B25" s="2"/>
      <c r="C25" s="2"/>
      <c r="D25" s="1"/>
      <c r="E25" s="2" t="s">
        <v>24</v>
      </c>
      <c r="F25" s="2"/>
      <c r="G25" s="2"/>
    </row>
    <row r="26" spans="1:8" x14ac:dyDescent="0.3">
      <c r="A26" s="2" t="s">
        <v>344</v>
      </c>
      <c r="B26" s="2"/>
      <c r="C26" s="2"/>
      <c r="D26" s="1"/>
      <c r="E26" s="2" t="s">
        <v>24</v>
      </c>
      <c r="F26" s="2"/>
      <c r="G26" s="2"/>
    </row>
    <row r="27" spans="1:8" x14ac:dyDescent="0.3">
      <c r="A27" s="2" t="s">
        <v>345</v>
      </c>
      <c r="B27" s="2"/>
      <c r="C27" s="2"/>
      <c r="D27" s="1"/>
      <c r="E27" s="2" t="s">
        <v>24</v>
      </c>
      <c r="F27" s="2"/>
      <c r="G27" s="2"/>
    </row>
    <row r="28" spans="1:8" x14ac:dyDescent="0.3">
      <c r="A28" s="2" t="s">
        <v>346</v>
      </c>
      <c r="B28" s="2"/>
      <c r="C28" s="2"/>
      <c r="D28" s="1"/>
      <c r="E28" s="2" t="s">
        <v>24</v>
      </c>
      <c r="F28" s="2"/>
      <c r="G28" s="2"/>
    </row>
    <row r="29" spans="1:8" x14ac:dyDescent="0.3">
      <c r="A29" s="38" t="s">
        <v>349</v>
      </c>
      <c r="B29" s="2"/>
      <c r="C29" s="2"/>
      <c r="D29" s="2"/>
      <c r="E29" s="2"/>
      <c r="F29" s="2"/>
      <c r="G29" s="2"/>
    </row>
    <row r="30" spans="1:8" x14ac:dyDescent="0.3">
      <c r="A30" s="2"/>
      <c r="B30" s="2"/>
      <c r="C30" s="2"/>
      <c r="D30" s="2"/>
      <c r="E30" s="2"/>
      <c r="F30" s="2"/>
      <c r="G30" s="2"/>
    </row>
    <row r="31" spans="1:8" x14ac:dyDescent="0.3">
      <c r="A31" s="7" t="s">
        <v>351</v>
      </c>
      <c r="B31" s="2"/>
      <c r="C31" s="2"/>
      <c r="D31" s="2"/>
      <c r="E31" s="2"/>
      <c r="F31" s="2"/>
      <c r="G31" s="2"/>
    </row>
    <row r="32" spans="1:8" x14ac:dyDescent="0.3">
      <c r="A32" s="38" t="s">
        <v>352</v>
      </c>
      <c r="B32" s="2"/>
      <c r="C32" s="2"/>
      <c r="D32" s="2"/>
      <c r="E32" s="2"/>
      <c r="F32" s="2"/>
      <c r="G32" s="2"/>
    </row>
    <row r="33" spans="1:7" x14ac:dyDescent="0.3">
      <c r="A33" s="38" t="s">
        <v>354</v>
      </c>
      <c r="B33" s="2"/>
      <c r="C33" s="2"/>
      <c r="D33" s="2"/>
      <c r="E33" s="2"/>
      <c r="F33" s="2"/>
      <c r="G33" s="2"/>
    </row>
    <row r="34" spans="1:7" x14ac:dyDescent="0.3">
      <c r="A34" s="2"/>
      <c r="B34" s="2"/>
      <c r="C34" s="2"/>
      <c r="D34" s="2"/>
      <c r="E34" s="2"/>
      <c r="F34" s="2"/>
      <c r="G34" s="2"/>
    </row>
    <row r="35" spans="1:7" x14ac:dyDescent="0.3">
      <c r="A35" s="2"/>
      <c r="B35" s="2"/>
      <c r="C35" s="2"/>
      <c r="D35" s="2"/>
      <c r="E35" s="2"/>
      <c r="F35" s="2"/>
      <c r="G35" s="2"/>
    </row>
  </sheetData>
  <sheetProtection algorithmName="SHA-512" hashValue="YmE9hBRlYIuNp3V2Fp24rVMCGlgSUc/V77WZd3quDavI42SZSef1nRgPjBoaE3/Z8DNJ9Delyj77gmP3DegzZw==" saltValue="1i/hk2ocgmbH8W0UeE27NA==" spinCount="100000" sheet="1" objects="1" scenarios="1" formatCells="0"/>
  <mergeCells count="2">
    <mergeCell ref="A2:D2"/>
    <mergeCell ref="A17:D17"/>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F2CA-544D-4E1E-81C5-407ABA6ABB5E}">
  <dimension ref="A1:H10"/>
  <sheetViews>
    <sheetView workbookViewId="0">
      <selection activeCell="B10" sqref="B10"/>
    </sheetView>
  </sheetViews>
  <sheetFormatPr defaultColWidth="9.109375" defaultRowHeight="14.4" x14ac:dyDescent="0.3"/>
  <cols>
    <col min="1" max="1" width="14" style="16" customWidth="1"/>
    <col min="2" max="2" width="56.33203125" style="21" customWidth="1"/>
    <col min="3" max="3" width="48.33203125" style="21" customWidth="1"/>
    <col min="4" max="16384" width="9.109375" style="16"/>
  </cols>
  <sheetData>
    <row r="1" spans="1:8" ht="15" customHeight="1" x14ac:dyDescent="0.3">
      <c r="A1" s="138" t="s">
        <v>249</v>
      </c>
      <c r="B1" s="138"/>
      <c r="C1" s="138"/>
      <c r="D1" s="21"/>
      <c r="E1" s="21"/>
      <c r="F1" s="21"/>
      <c r="G1" s="21"/>
      <c r="H1" s="21"/>
    </row>
    <row r="2" spans="1:8" x14ac:dyDescent="0.3">
      <c r="A2" s="138"/>
      <c r="B2" s="138"/>
      <c r="C2" s="138"/>
      <c r="D2" s="21"/>
      <c r="E2" s="21"/>
      <c r="F2" s="21"/>
      <c r="G2" s="21"/>
      <c r="H2" s="21"/>
    </row>
    <row r="3" spans="1:8" x14ac:dyDescent="0.3">
      <c r="A3" s="138"/>
      <c r="B3" s="138"/>
      <c r="C3" s="138"/>
      <c r="D3" s="21"/>
      <c r="E3" s="21"/>
      <c r="F3" s="21"/>
      <c r="G3" s="21"/>
      <c r="H3" s="21"/>
    </row>
    <row r="4" spans="1:8" x14ac:dyDescent="0.3">
      <c r="A4" s="138"/>
      <c r="B4" s="138"/>
      <c r="C4" s="138"/>
      <c r="D4" s="21"/>
      <c r="E4" s="21"/>
      <c r="F4" s="21"/>
      <c r="G4" s="21"/>
      <c r="H4" s="21"/>
    </row>
    <row r="5" spans="1:8" x14ac:dyDescent="0.3">
      <c r="A5" s="23"/>
      <c r="B5" s="23"/>
      <c r="C5" s="23"/>
      <c r="D5" s="21"/>
      <c r="E5" s="21"/>
      <c r="F5" s="21"/>
      <c r="G5" s="21"/>
      <c r="H5" s="21"/>
    </row>
    <row r="6" spans="1:8" x14ac:dyDescent="0.3">
      <c r="A6"/>
      <c r="B6"/>
      <c r="C6"/>
    </row>
    <row r="7" spans="1:8" x14ac:dyDescent="0.3">
      <c r="A7" s="89" t="s">
        <v>250</v>
      </c>
      <c r="B7" s="89" t="s">
        <v>251</v>
      </c>
      <c r="C7" s="89" t="s">
        <v>252</v>
      </c>
    </row>
    <row r="10" spans="1:8" x14ac:dyDescent="0.3">
      <c r="A10" s="16" t="s">
        <v>689</v>
      </c>
      <c r="B10" s="21" t="s">
        <v>690</v>
      </c>
    </row>
  </sheetData>
  <sheetProtection algorithmName="SHA-512" hashValue="Jm9om01MdKbM9VcNi+oOIl4Uu/mlNVmvlhDO4T/+bTUoODhm3ThW+4bHstYGE5FkZam41TPb8sDsuls8B/WpgQ==" saltValue="BUnaJl9txsUKstur52H2nQ==" spinCount="100000" sheet="1" objects="1" scenarios="1" formatCells="0" formatColumns="0" formatRows="0" insertRows="0" sort="0"/>
  <mergeCells count="1">
    <mergeCell ref="A1:C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433A1-A272-440A-9F3E-E3D2C023A1A7}">
  <sheetPr codeName="Sheet9"/>
  <dimension ref="A6:K36"/>
  <sheetViews>
    <sheetView workbookViewId="0">
      <selection activeCell="K14" sqref="K14"/>
    </sheetView>
  </sheetViews>
  <sheetFormatPr defaultRowHeight="14.4" x14ac:dyDescent="0.3"/>
  <cols>
    <col min="3" max="3" width="11.44140625" bestFit="1" customWidth="1"/>
  </cols>
  <sheetData>
    <row r="6" spans="1:11" x14ac:dyDescent="0.3">
      <c r="C6" t="s">
        <v>67</v>
      </c>
      <c r="F6" t="s">
        <v>103</v>
      </c>
    </row>
    <row r="7" spans="1:11" x14ac:dyDescent="0.3">
      <c r="F7" t="s">
        <v>424</v>
      </c>
    </row>
    <row r="10" spans="1:11" x14ac:dyDescent="0.3">
      <c r="A10" t="s">
        <v>47</v>
      </c>
    </row>
    <row r="11" spans="1:11" x14ac:dyDescent="0.3">
      <c r="K11" t="s">
        <v>604</v>
      </c>
    </row>
    <row r="12" spans="1:11" x14ac:dyDescent="0.3">
      <c r="A12" t="s">
        <v>48</v>
      </c>
      <c r="C12" t="s">
        <v>59</v>
      </c>
      <c r="D12" t="s">
        <v>56</v>
      </c>
      <c r="F12" t="s">
        <v>101</v>
      </c>
      <c r="H12" t="s">
        <v>594</v>
      </c>
      <c r="K12" t="s">
        <v>605</v>
      </c>
    </row>
    <row r="13" spans="1:11" x14ac:dyDescent="0.3">
      <c r="A13" t="s">
        <v>439</v>
      </c>
      <c r="C13" t="s">
        <v>57</v>
      </c>
      <c r="D13" t="s">
        <v>60</v>
      </c>
      <c r="F13" t="s">
        <v>102</v>
      </c>
      <c r="H13" t="s">
        <v>85</v>
      </c>
      <c r="K13" t="s">
        <v>606</v>
      </c>
    </row>
    <row r="14" spans="1:11" x14ac:dyDescent="0.3">
      <c r="A14" t="s">
        <v>49</v>
      </c>
      <c r="C14" t="s">
        <v>58</v>
      </c>
      <c r="D14" t="s">
        <v>64</v>
      </c>
      <c r="H14" t="s">
        <v>86</v>
      </c>
    </row>
    <row r="15" spans="1:11" x14ac:dyDescent="0.3">
      <c r="A15" t="s">
        <v>50</v>
      </c>
      <c r="D15" t="s">
        <v>61</v>
      </c>
    </row>
    <row r="16" spans="1:11" x14ac:dyDescent="0.3">
      <c r="A16" t="s">
        <v>51</v>
      </c>
      <c r="D16" t="s">
        <v>62</v>
      </c>
    </row>
    <row r="17" spans="1:6" x14ac:dyDescent="0.3">
      <c r="D17" t="s">
        <v>63</v>
      </c>
      <c r="F17" t="s">
        <v>106</v>
      </c>
    </row>
    <row r="18" spans="1:6" x14ac:dyDescent="0.3">
      <c r="A18" t="s">
        <v>36</v>
      </c>
      <c r="C18" t="s">
        <v>66</v>
      </c>
      <c r="F18" t="s">
        <v>107</v>
      </c>
    </row>
    <row r="19" spans="1:6" x14ac:dyDescent="0.3">
      <c r="A19" t="s">
        <v>52</v>
      </c>
      <c r="C19" t="s">
        <v>68</v>
      </c>
      <c r="D19" t="s">
        <v>94</v>
      </c>
      <c r="F19" t="s">
        <v>108</v>
      </c>
    </row>
    <row r="20" spans="1:6" x14ac:dyDescent="0.3">
      <c r="A20" t="s">
        <v>53</v>
      </c>
      <c r="D20" t="s">
        <v>95</v>
      </c>
      <c r="F20" t="s">
        <v>110</v>
      </c>
    </row>
    <row r="21" spans="1:6" x14ac:dyDescent="0.3">
      <c r="A21" t="s">
        <v>54</v>
      </c>
      <c r="D21" t="s">
        <v>96</v>
      </c>
      <c r="F21" t="s">
        <v>109</v>
      </c>
    </row>
    <row r="22" spans="1:6" x14ac:dyDescent="0.3">
      <c r="D22" t="s">
        <v>97</v>
      </c>
      <c r="F22" t="s">
        <v>111</v>
      </c>
    </row>
    <row r="23" spans="1:6" x14ac:dyDescent="0.3">
      <c r="A23" t="s">
        <v>73</v>
      </c>
      <c r="C23" t="s">
        <v>72</v>
      </c>
      <c r="F23" t="s">
        <v>112</v>
      </c>
    </row>
    <row r="24" spans="1:6" x14ac:dyDescent="0.3">
      <c r="A24" t="s">
        <v>34</v>
      </c>
      <c r="C24" t="s">
        <v>77</v>
      </c>
      <c r="F24" t="s">
        <v>114</v>
      </c>
    </row>
    <row r="25" spans="1:6" x14ac:dyDescent="0.3">
      <c r="A25" t="s">
        <v>25</v>
      </c>
      <c r="C25" t="s">
        <v>78</v>
      </c>
      <c r="F25" t="s">
        <v>113</v>
      </c>
    </row>
    <row r="26" spans="1:6" x14ac:dyDescent="0.3">
      <c r="A26" t="s">
        <v>76</v>
      </c>
    </row>
    <row r="27" spans="1:6" x14ac:dyDescent="0.3">
      <c r="C27" t="s">
        <v>116</v>
      </c>
      <c r="F27" t="s">
        <v>127</v>
      </c>
    </row>
    <row r="28" spans="1:6" x14ac:dyDescent="0.3">
      <c r="A28" t="s">
        <v>231</v>
      </c>
      <c r="C28" t="s">
        <v>117</v>
      </c>
      <c r="F28" t="s">
        <v>136</v>
      </c>
    </row>
    <row r="29" spans="1:6" x14ac:dyDescent="0.3">
      <c r="A29" t="s">
        <v>239</v>
      </c>
      <c r="F29" t="s">
        <v>128</v>
      </c>
    </row>
    <row r="30" spans="1:6" x14ac:dyDescent="0.3">
      <c r="A30" t="s">
        <v>240</v>
      </c>
      <c r="C30" t="s">
        <v>120</v>
      </c>
      <c r="F30" t="s">
        <v>135</v>
      </c>
    </row>
    <row r="31" spans="1:6" x14ac:dyDescent="0.3">
      <c r="C31" t="s">
        <v>121</v>
      </c>
      <c r="F31" t="s">
        <v>129</v>
      </c>
    </row>
    <row r="32" spans="1:6" x14ac:dyDescent="0.3">
      <c r="F32" t="s">
        <v>130</v>
      </c>
    </row>
    <row r="33" spans="3:6" x14ac:dyDescent="0.3">
      <c r="C33" t="s">
        <v>122</v>
      </c>
      <c r="F33" t="s">
        <v>131</v>
      </c>
    </row>
    <row r="34" spans="3:6" x14ac:dyDescent="0.3">
      <c r="C34" t="s">
        <v>123</v>
      </c>
      <c r="F34" t="s">
        <v>132</v>
      </c>
    </row>
    <row r="35" spans="3:6" x14ac:dyDescent="0.3">
      <c r="C35" t="s">
        <v>124</v>
      </c>
      <c r="F35" t="s">
        <v>133</v>
      </c>
    </row>
    <row r="36" spans="3:6" x14ac:dyDescent="0.3">
      <c r="F36" t="s">
        <v>134</v>
      </c>
    </row>
  </sheetData>
  <sheetProtection algorithmName="SHA-512" hashValue="Lx2elClJk1v1ZqoebNXIf3KZa/L2MYALL2PIwy0fN/P2xHQSU7spggY137OMTcF2YQ9ePJ4oZ55r3o9I3o6+SQ==" saltValue="tY7kgi19emOG9yF62HjCmw=="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EAA65-4FAA-4353-85A0-603C4FF98B92}">
  <sheetPr codeName="Sheet2"/>
  <dimension ref="A1:G45"/>
  <sheetViews>
    <sheetView topLeftCell="A18" zoomScale="145" workbookViewId="0">
      <selection activeCell="F11" sqref="F11"/>
    </sheetView>
  </sheetViews>
  <sheetFormatPr defaultRowHeight="14.4" x14ac:dyDescent="0.3"/>
  <cols>
    <col min="1" max="1" width="37.109375" customWidth="1"/>
    <col min="2" max="2" width="15.33203125" customWidth="1"/>
    <col min="5" max="5" width="37.109375" customWidth="1"/>
    <col min="6" max="6" width="11.109375" customWidth="1"/>
  </cols>
  <sheetData>
    <row r="1" spans="1:7" ht="15.6" x14ac:dyDescent="0.3">
      <c r="A1" s="18" t="s">
        <v>494</v>
      </c>
      <c r="B1" s="2"/>
      <c r="C1" s="2"/>
      <c r="D1" s="2"/>
      <c r="E1" s="2"/>
      <c r="F1" s="2"/>
      <c r="G1" s="2"/>
    </row>
    <row r="2" spans="1:7" x14ac:dyDescent="0.3">
      <c r="A2" s="2" t="s">
        <v>495</v>
      </c>
      <c r="B2" s="2"/>
      <c r="C2" s="2"/>
      <c r="D2" s="2"/>
      <c r="E2" s="2"/>
      <c r="F2" s="2"/>
      <c r="G2" s="2"/>
    </row>
    <row r="3" spans="1:7" x14ac:dyDescent="0.3">
      <c r="A3" s="2"/>
      <c r="B3" s="2"/>
      <c r="C3" s="2"/>
      <c r="D3" s="2"/>
      <c r="E3" s="2"/>
      <c r="F3" s="2"/>
      <c r="G3" s="2"/>
    </row>
    <row r="4" spans="1:7" ht="15.6" x14ac:dyDescent="0.3">
      <c r="A4" s="7" t="s">
        <v>25</v>
      </c>
      <c r="B4" s="2"/>
      <c r="C4" s="7" t="s">
        <v>19</v>
      </c>
      <c r="D4" s="2"/>
      <c r="E4" s="105" t="s">
        <v>485</v>
      </c>
      <c r="F4" s="105"/>
      <c r="G4" s="7" t="s">
        <v>19</v>
      </c>
    </row>
    <row r="5" spans="1:7" x14ac:dyDescent="0.3">
      <c r="A5" s="2" t="s">
        <v>26</v>
      </c>
      <c r="B5" s="1">
        <v>1720</v>
      </c>
      <c r="C5" s="2" t="s">
        <v>24</v>
      </c>
      <c r="D5" s="2"/>
      <c r="E5" s="7" t="s">
        <v>486</v>
      </c>
      <c r="F5" s="2"/>
      <c r="G5" s="2"/>
    </row>
    <row r="6" spans="1:7" x14ac:dyDescent="0.3">
      <c r="A6" s="2" t="s">
        <v>27</v>
      </c>
      <c r="B6" s="37" t="s">
        <v>439</v>
      </c>
      <c r="C6" s="2" t="s">
        <v>20</v>
      </c>
      <c r="D6" s="2"/>
      <c r="E6" s="2" t="s">
        <v>70</v>
      </c>
      <c r="F6" s="1">
        <v>1</v>
      </c>
      <c r="G6" s="2" t="s">
        <v>20</v>
      </c>
    </row>
    <row r="7" spans="1:7" x14ac:dyDescent="0.3">
      <c r="A7" s="2" t="s">
        <v>28</v>
      </c>
      <c r="B7" s="2">
        <v>500</v>
      </c>
      <c r="C7" s="2" t="s">
        <v>24</v>
      </c>
      <c r="D7" s="2"/>
      <c r="E7" s="2" t="s">
        <v>71</v>
      </c>
      <c r="F7" s="1">
        <v>1</v>
      </c>
      <c r="G7" s="2" t="s">
        <v>20</v>
      </c>
    </row>
    <row r="8" spans="1:7" x14ac:dyDescent="0.3">
      <c r="A8" s="2" t="s">
        <v>253</v>
      </c>
      <c r="B8" s="2">
        <v>298</v>
      </c>
      <c r="C8" s="2" t="s">
        <v>45</v>
      </c>
      <c r="D8" s="2"/>
      <c r="E8" s="2" t="s">
        <v>72</v>
      </c>
      <c r="F8" s="1" t="s">
        <v>78</v>
      </c>
      <c r="G8" s="2" t="s">
        <v>20</v>
      </c>
    </row>
    <row r="9" spans="1:7" x14ac:dyDescent="0.3">
      <c r="A9" s="2" t="s">
        <v>37</v>
      </c>
      <c r="B9" s="2">
        <v>1</v>
      </c>
      <c r="C9" s="2" t="s">
        <v>20</v>
      </c>
      <c r="D9" s="2"/>
      <c r="E9" s="2" t="s">
        <v>73</v>
      </c>
      <c r="F9" s="1" t="s">
        <v>34</v>
      </c>
      <c r="G9" s="2" t="s">
        <v>20</v>
      </c>
    </row>
    <row r="10" spans="1:7" x14ac:dyDescent="0.3">
      <c r="A10" s="2"/>
      <c r="B10" s="2"/>
      <c r="C10" s="2"/>
      <c r="D10" s="2"/>
      <c r="E10" s="6" t="s">
        <v>461</v>
      </c>
      <c r="F10" s="2">
        <f>B40</f>
        <v>2</v>
      </c>
      <c r="G10" s="2" t="s">
        <v>20</v>
      </c>
    </row>
    <row r="11" spans="1:7" x14ac:dyDescent="0.3">
      <c r="A11" s="7" t="s">
        <v>29</v>
      </c>
      <c r="B11" s="2"/>
      <c r="C11" s="2"/>
      <c r="D11" s="2"/>
      <c r="E11" s="2" t="s">
        <v>74</v>
      </c>
      <c r="F11" s="1" t="s">
        <v>613</v>
      </c>
      <c r="G11" s="2" t="s">
        <v>75</v>
      </c>
    </row>
    <row r="12" spans="1:7" x14ac:dyDescent="0.3">
      <c r="A12" s="2" t="s">
        <v>30</v>
      </c>
      <c r="B12" s="1">
        <v>1</v>
      </c>
      <c r="C12" s="2" t="s">
        <v>46</v>
      </c>
      <c r="D12" s="2"/>
      <c r="E12" s="2"/>
      <c r="F12" s="2"/>
      <c r="G12" s="2"/>
    </row>
    <row r="13" spans="1:7" x14ac:dyDescent="0.3">
      <c r="A13" s="2" t="s">
        <v>31</v>
      </c>
      <c r="B13" s="1"/>
      <c r="C13" s="2" t="s">
        <v>24</v>
      </c>
      <c r="D13" s="2"/>
      <c r="E13" s="7" t="s">
        <v>487</v>
      </c>
      <c r="F13" s="2"/>
      <c r="G13" s="2"/>
    </row>
    <row r="14" spans="1:7" x14ac:dyDescent="0.3">
      <c r="A14" s="2" t="s">
        <v>223</v>
      </c>
      <c r="B14" s="1" t="s">
        <v>642</v>
      </c>
      <c r="C14" s="2" t="s">
        <v>45</v>
      </c>
      <c r="D14" s="2"/>
      <c r="E14" s="2" t="s">
        <v>70</v>
      </c>
      <c r="F14" s="1">
        <v>1</v>
      </c>
      <c r="G14" s="2" t="s">
        <v>20</v>
      </c>
    </row>
    <row r="15" spans="1:7" x14ac:dyDescent="0.3">
      <c r="A15" s="2" t="s">
        <v>38</v>
      </c>
      <c r="B15" s="1"/>
      <c r="C15" s="2" t="s">
        <v>20</v>
      </c>
      <c r="D15" s="2"/>
      <c r="E15" s="2" t="s">
        <v>71</v>
      </c>
      <c r="F15" s="95" t="s">
        <v>614</v>
      </c>
      <c r="G15" s="2" t="s">
        <v>20</v>
      </c>
    </row>
    <row r="16" spans="1:7" x14ac:dyDescent="0.3">
      <c r="A16" s="2"/>
      <c r="B16" s="2"/>
      <c r="C16" s="2"/>
      <c r="D16" s="2"/>
      <c r="E16" s="2" t="s">
        <v>72</v>
      </c>
      <c r="F16" s="1" t="s">
        <v>78</v>
      </c>
      <c r="G16" s="2" t="s">
        <v>20</v>
      </c>
    </row>
    <row r="17" spans="1:7" x14ac:dyDescent="0.3">
      <c r="A17" s="7" t="s">
        <v>493</v>
      </c>
      <c r="B17" s="2"/>
      <c r="C17" s="2"/>
      <c r="D17" s="2"/>
      <c r="E17" s="2" t="s">
        <v>73</v>
      </c>
      <c r="F17" s="1" t="s">
        <v>25</v>
      </c>
      <c r="G17" s="2" t="s">
        <v>20</v>
      </c>
    </row>
    <row r="18" spans="1:7" x14ac:dyDescent="0.3">
      <c r="A18" s="15" t="s">
        <v>33</v>
      </c>
      <c r="B18" s="1" t="s">
        <v>610</v>
      </c>
      <c r="C18" s="1" t="s">
        <v>492</v>
      </c>
      <c r="D18" s="2"/>
      <c r="E18" s="6" t="s">
        <v>461</v>
      </c>
      <c r="F18" s="2">
        <f>B40-1</f>
        <v>1</v>
      </c>
      <c r="G18" s="2" t="s">
        <v>20</v>
      </c>
    </row>
    <row r="19" spans="1:7" x14ac:dyDescent="0.3">
      <c r="A19" s="2" t="s">
        <v>23</v>
      </c>
      <c r="B19" s="1">
        <v>9300</v>
      </c>
      <c r="C19" s="2" t="s">
        <v>24</v>
      </c>
      <c r="D19" s="2"/>
      <c r="E19" s="2" t="s">
        <v>74</v>
      </c>
      <c r="F19" s="1">
        <v>0</v>
      </c>
      <c r="G19" s="2" t="s">
        <v>75</v>
      </c>
    </row>
    <row r="20" spans="1:7" x14ac:dyDescent="0.3">
      <c r="A20" s="2" t="s">
        <v>223</v>
      </c>
      <c r="B20" s="1" t="s">
        <v>611</v>
      </c>
      <c r="C20" s="2" t="s">
        <v>45</v>
      </c>
      <c r="D20" s="2"/>
      <c r="E20" s="7" t="s">
        <v>488</v>
      </c>
      <c r="F20" s="2"/>
      <c r="G20" s="2"/>
    </row>
    <row r="21" spans="1:7" x14ac:dyDescent="0.3">
      <c r="A21" s="2" t="s">
        <v>39</v>
      </c>
      <c r="B21" s="2">
        <v>0.95</v>
      </c>
      <c r="C21" s="2" t="s">
        <v>20</v>
      </c>
      <c r="D21" s="2"/>
      <c r="E21" s="2" t="s">
        <v>70</v>
      </c>
      <c r="F21" s="1">
        <v>1</v>
      </c>
      <c r="G21" s="2" t="s">
        <v>20</v>
      </c>
    </row>
    <row r="22" spans="1:7" x14ac:dyDescent="0.3">
      <c r="A22" s="2"/>
      <c r="B22" s="2"/>
      <c r="C22" s="2"/>
      <c r="D22" s="2"/>
      <c r="E22" s="2" t="s">
        <v>71</v>
      </c>
      <c r="F22" s="1" t="s">
        <v>614</v>
      </c>
      <c r="G22" s="2" t="s">
        <v>20</v>
      </c>
    </row>
    <row r="23" spans="1:7" x14ac:dyDescent="0.3">
      <c r="A23" s="7" t="s">
        <v>34</v>
      </c>
      <c r="B23" s="2"/>
      <c r="C23" s="2"/>
      <c r="D23" s="2"/>
      <c r="E23" s="2" t="s">
        <v>72</v>
      </c>
      <c r="F23" s="1" t="s">
        <v>77</v>
      </c>
      <c r="G23" s="2" t="s">
        <v>20</v>
      </c>
    </row>
    <row r="24" spans="1:7" x14ac:dyDescent="0.3">
      <c r="A24" s="2" t="s">
        <v>35</v>
      </c>
      <c r="B24" s="1">
        <v>1215</v>
      </c>
      <c r="C24" s="2" t="s">
        <v>24</v>
      </c>
      <c r="D24" s="2"/>
      <c r="E24" s="2" t="s">
        <v>73</v>
      </c>
      <c r="F24" s="1" t="s">
        <v>25</v>
      </c>
      <c r="G24" s="2" t="s">
        <v>20</v>
      </c>
    </row>
    <row r="25" spans="1:7" x14ac:dyDescent="0.3">
      <c r="A25" s="2" t="s">
        <v>36</v>
      </c>
      <c r="B25" s="37" t="s">
        <v>52</v>
      </c>
      <c r="C25" s="2" t="s">
        <v>20</v>
      </c>
      <c r="D25" s="2"/>
      <c r="E25" s="6" t="s">
        <v>461</v>
      </c>
      <c r="F25" s="2">
        <f>B40-1</f>
        <v>1</v>
      </c>
      <c r="G25" s="2" t="s">
        <v>20</v>
      </c>
    </row>
    <row r="26" spans="1:7" x14ac:dyDescent="0.3">
      <c r="A26" s="2" t="s">
        <v>27</v>
      </c>
      <c r="B26" s="37" t="s">
        <v>439</v>
      </c>
      <c r="C26" s="2" t="s">
        <v>20</v>
      </c>
      <c r="D26" s="2"/>
      <c r="E26" s="2" t="s">
        <v>74</v>
      </c>
      <c r="F26" s="1" t="s">
        <v>615</v>
      </c>
      <c r="G26" s="2" t="s">
        <v>75</v>
      </c>
    </row>
    <row r="27" spans="1:7" x14ac:dyDescent="0.3">
      <c r="A27" s="2" t="s">
        <v>28</v>
      </c>
      <c r="B27" s="2">
        <v>0</v>
      </c>
      <c r="C27" s="2" t="s">
        <v>24</v>
      </c>
      <c r="D27" s="2"/>
      <c r="E27" s="7" t="s">
        <v>489</v>
      </c>
      <c r="F27" s="2"/>
      <c r="G27" s="2"/>
    </row>
    <row r="28" spans="1:7" x14ac:dyDescent="0.3">
      <c r="A28" s="2" t="s">
        <v>253</v>
      </c>
      <c r="B28" s="2">
        <v>288.14999999999998</v>
      </c>
      <c r="C28" s="2" t="s">
        <v>45</v>
      </c>
      <c r="D28" s="2"/>
      <c r="E28" s="2" t="s">
        <v>70</v>
      </c>
      <c r="F28" s="1">
        <v>1</v>
      </c>
      <c r="G28" s="2" t="s">
        <v>20</v>
      </c>
    </row>
    <row r="29" spans="1:7" x14ac:dyDescent="0.3">
      <c r="A29" s="2" t="s">
        <v>40</v>
      </c>
      <c r="B29" s="1" t="s">
        <v>612</v>
      </c>
      <c r="C29" s="2" t="s">
        <v>20</v>
      </c>
      <c r="D29" s="2"/>
      <c r="E29" s="2" t="s">
        <v>71</v>
      </c>
      <c r="F29" s="1" t="s">
        <v>614</v>
      </c>
      <c r="G29" s="2" t="s">
        <v>20</v>
      </c>
    </row>
    <row r="30" spans="1:7" x14ac:dyDescent="0.3">
      <c r="A30" s="2" t="s">
        <v>42</v>
      </c>
      <c r="B30" s="2">
        <v>45</v>
      </c>
      <c r="C30" s="2" t="s">
        <v>43</v>
      </c>
      <c r="D30" s="2"/>
      <c r="E30" s="2" t="s">
        <v>72</v>
      </c>
      <c r="F30" s="1" t="s">
        <v>77</v>
      </c>
      <c r="G30" s="2" t="s">
        <v>20</v>
      </c>
    </row>
    <row r="31" spans="1:7" x14ac:dyDescent="0.3">
      <c r="A31" s="2" t="s">
        <v>41</v>
      </c>
      <c r="B31" s="2">
        <v>250</v>
      </c>
      <c r="C31" s="2" t="s">
        <v>44</v>
      </c>
      <c r="D31" s="2"/>
      <c r="E31" s="2" t="s">
        <v>73</v>
      </c>
      <c r="F31" s="1" t="s">
        <v>76</v>
      </c>
      <c r="G31" s="2" t="s">
        <v>20</v>
      </c>
    </row>
    <row r="32" spans="1:7" x14ac:dyDescent="0.3">
      <c r="A32" s="2" t="s">
        <v>65</v>
      </c>
      <c r="B32" s="37" t="s">
        <v>68</v>
      </c>
      <c r="C32" s="2" t="s">
        <v>20</v>
      </c>
      <c r="D32" s="2"/>
      <c r="E32" s="6" t="s">
        <v>461</v>
      </c>
      <c r="F32" s="2">
        <f>B40-1</f>
        <v>1</v>
      </c>
      <c r="G32" s="2" t="s">
        <v>20</v>
      </c>
    </row>
    <row r="33" spans="1:7" x14ac:dyDescent="0.3">
      <c r="A33" s="2"/>
      <c r="B33" s="2"/>
      <c r="C33" s="2"/>
      <c r="D33" s="2"/>
      <c r="E33" s="2" t="s">
        <v>74</v>
      </c>
      <c r="F33" s="1" t="s">
        <v>616</v>
      </c>
      <c r="G33" s="2" t="s">
        <v>75</v>
      </c>
    </row>
    <row r="34" spans="1:7" x14ac:dyDescent="0.3">
      <c r="A34" s="7" t="s">
        <v>444</v>
      </c>
      <c r="B34" s="2"/>
      <c r="C34" s="2"/>
      <c r="D34" s="2"/>
      <c r="E34" s="7" t="s">
        <v>490</v>
      </c>
      <c r="F34" s="2"/>
      <c r="G34" s="2"/>
    </row>
    <row r="35" spans="1:7" x14ac:dyDescent="0.3">
      <c r="A35" s="2" t="s">
        <v>445</v>
      </c>
      <c r="B35" s="2">
        <v>0</v>
      </c>
      <c r="C35" s="2" t="s">
        <v>24</v>
      </c>
      <c r="D35" s="2"/>
      <c r="E35" s="2" t="s">
        <v>70</v>
      </c>
      <c r="F35" s="1" t="s">
        <v>612</v>
      </c>
      <c r="G35" s="2" t="s">
        <v>20</v>
      </c>
    </row>
    <row r="36" spans="1:7" x14ac:dyDescent="0.3">
      <c r="A36" s="2" t="s">
        <v>446</v>
      </c>
      <c r="B36" s="1" t="s">
        <v>612</v>
      </c>
      <c r="C36" s="2" t="s">
        <v>20</v>
      </c>
      <c r="D36" s="2"/>
      <c r="E36" s="2" t="s">
        <v>71</v>
      </c>
      <c r="F36" s="1" t="s">
        <v>614</v>
      </c>
      <c r="G36" s="2" t="s">
        <v>20</v>
      </c>
    </row>
    <row r="37" spans="1:7" x14ac:dyDescent="0.3">
      <c r="A37" s="2" t="s">
        <v>223</v>
      </c>
      <c r="B37" s="2">
        <v>288.14999999999998</v>
      </c>
      <c r="C37" s="2" t="s">
        <v>45</v>
      </c>
      <c r="D37" s="2"/>
      <c r="E37" s="2" t="s">
        <v>72</v>
      </c>
      <c r="F37" s="1" t="s">
        <v>77</v>
      </c>
      <c r="G37" s="2" t="s">
        <v>20</v>
      </c>
    </row>
    <row r="38" spans="1:7" x14ac:dyDescent="0.3">
      <c r="A38" s="2" t="s">
        <v>69</v>
      </c>
      <c r="B38" s="1">
        <v>65</v>
      </c>
      <c r="C38" s="2" t="s">
        <v>46</v>
      </c>
      <c r="D38" s="2"/>
      <c r="E38" s="2" t="s">
        <v>73</v>
      </c>
      <c r="F38" s="1" t="s">
        <v>34</v>
      </c>
      <c r="G38" s="2" t="s">
        <v>20</v>
      </c>
    </row>
    <row r="39" spans="1:7" x14ac:dyDescent="0.3">
      <c r="A39" s="2"/>
      <c r="B39" s="2"/>
      <c r="C39" s="2"/>
      <c r="D39" s="2"/>
      <c r="E39" s="6" t="s">
        <v>461</v>
      </c>
      <c r="F39" s="2">
        <f>B40-1</f>
        <v>1</v>
      </c>
      <c r="G39" s="2" t="s">
        <v>20</v>
      </c>
    </row>
    <row r="40" spans="1:7" x14ac:dyDescent="0.3">
      <c r="A40" s="13" t="s">
        <v>491</v>
      </c>
      <c r="B40" s="1">
        <v>2</v>
      </c>
      <c r="C40" s="2" t="s">
        <v>20</v>
      </c>
      <c r="D40" s="2"/>
      <c r="E40" s="2" t="s">
        <v>74</v>
      </c>
      <c r="F40" s="1" t="s">
        <v>617</v>
      </c>
      <c r="G40" s="2" t="s">
        <v>75</v>
      </c>
    </row>
    <row r="41" spans="1:7" x14ac:dyDescent="0.3">
      <c r="A41" s="2"/>
      <c r="B41" s="2"/>
      <c r="C41" s="2"/>
      <c r="D41" s="2"/>
      <c r="E41" s="2"/>
      <c r="F41" s="2"/>
      <c r="G41" s="2"/>
    </row>
    <row r="42" spans="1:7" x14ac:dyDescent="0.3">
      <c r="A42" s="7" t="s">
        <v>186</v>
      </c>
      <c r="B42" s="2"/>
      <c r="C42" s="2"/>
      <c r="D42" s="2"/>
      <c r="E42" s="2"/>
      <c r="F42" s="2"/>
      <c r="G42" s="2"/>
    </row>
    <row r="43" spans="1:7" x14ac:dyDescent="0.3">
      <c r="A43" s="38" t="s">
        <v>187</v>
      </c>
      <c r="B43" s="2"/>
      <c r="C43" s="2"/>
      <c r="D43" s="2"/>
      <c r="E43" s="2"/>
      <c r="F43" s="2"/>
      <c r="G43" s="2"/>
    </row>
    <row r="44" spans="1:7" x14ac:dyDescent="0.3">
      <c r="A44" s="38" t="s">
        <v>268</v>
      </c>
      <c r="B44" s="2"/>
      <c r="C44" s="2"/>
      <c r="D44" s="2"/>
      <c r="E44" s="2"/>
      <c r="F44" s="2"/>
      <c r="G44" s="2"/>
    </row>
    <row r="45" spans="1:7" x14ac:dyDescent="0.3">
      <c r="A45" s="2" t="s">
        <v>382</v>
      </c>
      <c r="B45" s="2"/>
      <c r="C45" s="2"/>
      <c r="D45" s="2"/>
      <c r="E45" s="2"/>
      <c r="F45" s="2"/>
      <c r="G45" s="2"/>
    </row>
  </sheetData>
  <sheetProtection algorithmName="SHA-512" hashValue="iis8SYKSlbL9RUltiD6ELE0nKxbh6i0Tg4d5iyNwWMVSpykmb+xx//mlyTajqATK5xXZAKZpMYQWnQbTKAidLQ==" saltValue="2HnaCMDHvT8oqnkUUOLFdg==" spinCount="100000" sheet="1" objects="1" scenarios="1" formatCells="0"/>
  <mergeCells count="1">
    <mergeCell ref="E4:F4"/>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619789C9-7D02-4E85-872F-3B5B41F2A51B}">
          <x14:formula1>
            <xm:f>Sheet2!$A$24:$A$26</xm:f>
          </x14:formula1>
          <xm:sqref>F9 F17 F24 F31 F38</xm:sqref>
        </x14:dataValidation>
        <x14:dataValidation type="list" allowBlank="1" showInputMessage="1" showErrorMessage="1" xr:uid="{5CDC9546-B3AF-4484-A5B3-E62BA1A9CBB3}">
          <x14:formula1>
            <xm:f>Sheet2!$C$24:$C$25</xm:f>
          </x14:formula1>
          <xm:sqref>F8 F16 F23 F30 F37</xm:sqref>
        </x14:dataValidation>
        <x14:dataValidation type="list" allowBlank="1" showInputMessage="1" showErrorMessage="1" xr:uid="{3DCD10C1-76D7-4641-8C07-007A8DF37BA3}">
          <x14:formula1>
            <xm:f>Sheet2!$A$19:$A$21</xm:f>
          </x14:formula1>
          <xm:sqref>B25</xm:sqref>
        </x14:dataValidation>
        <x14:dataValidation type="list" allowBlank="1" showInputMessage="1" showErrorMessage="1" xr:uid="{1E8CFEC7-D029-480F-B423-2C35F98C8798}">
          <x14:formula1>
            <xm:f>Sheet2!$C$19:$C$19</xm:f>
          </x14:formula1>
          <xm:sqref>B32</xm:sqref>
        </x14:dataValidation>
        <x14:dataValidation type="list" allowBlank="1" showInputMessage="1" showErrorMessage="1" xr:uid="{1BF1B2E7-5AB6-4E13-A1A2-6A40FC58ED53}">
          <x14:formula1>
            <xm:f>Sheet2!$A$13:$A$16</xm:f>
          </x14:formula1>
          <xm:sqref>B6 B26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DB85-79DA-4576-9DAF-777C193F1787}">
  <sheetPr codeName="Sheet3"/>
  <dimension ref="A1:R24"/>
  <sheetViews>
    <sheetView workbookViewId="0">
      <selection activeCell="B11" sqref="B11"/>
    </sheetView>
  </sheetViews>
  <sheetFormatPr defaultRowHeight="14.4" x14ac:dyDescent="0.3"/>
  <cols>
    <col min="1" max="1" width="22.6640625" bestFit="1" customWidth="1"/>
    <col min="2" max="7" width="15.6640625" customWidth="1"/>
    <col min="8" max="8" width="17.109375" customWidth="1"/>
    <col min="9" max="16" width="15.6640625" customWidth="1"/>
    <col min="18" max="18" width="11.88671875" bestFit="1" customWidth="1"/>
  </cols>
  <sheetData>
    <row r="1" spans="1:18" x14ac:dyDescent="0.3">
      <c r="A1" s="2" t="s">
        <v>566</v>
      </c>
      <c r="B1" s="2"/>
      <c r="C1" s="2"/>
      <c r="D1" s="2"/>
      <c r="E1" s="2"/>
      <c r="F1" s="2"/>
      <c r="G1" s="2"/>
      <c r="H1" s="2"/>
      <c r="I1" s="2"/>
      <c r="J1" s="2"/>
      <c r="K1" s="2"/>
      <c r="L1" s="2"/>
      <c r="M1" s="2"/>
      <c r="N1" s="2"/>
      <c r="O1" s="2"/>
      <c r="P1" s="2"/>
      <c r="Q1" s="2"/>
      <c r="R1" s="2"/>
    </row>
    <row r="2" spans="1:18" x14ac:dyDescent="0.3">
      <c r="A2" s="7" t="s">
        <v>496</v>
      </c>
      <c r="B2" s="22">
        <f>'Cover sheet'!B17</f>
        <v>36</v>
      </c>
      <c r="C2" s="2"/>
      <c r="D2" s="2"/>
      <c r="E2" s="2"/>
      <c r="F2" s="2"/>
      <c r="G2" s="2"/>
      <c r="H2" s="2"/>
      <c r="I2" s="2"/>
      <c r="J2" s="2"/>
      <c r="K2" s="2"/>
      <c r="L2" s="2"/>
      <c r="M2" s="2"/>
      <c r="N2" s="2"/>
      <c r="O2" s="2"/>
      <c r="P2" s="2"/>
      <c r="Q2" s="2"/>
      <c r="R2" s="2"/>
    </row>
    <row r="3" spans="1:18" x14ac:dyDescent="0.3">
      <c r="A3" s="7" t="s">
        <v>11</v>
      </c>
      <c r="B3" s="22">
        <f>'Cover sheet'!B20</f>
        <v>74</v>
      </c>
      <c r="C3" s="2" t="s">
        <v>20</v>
      </c>
      <c r="D3" s="2"/>
      <c r="E3" s="2"/>
      <c r="F3" s="2"/>
      <c r="G3" s="2"/>
      <c r="H3" s="2"/>
      <c r="I3" s="2"/>
      <c r="J3" s="2"/>
      <c r="K3" s="2"/>
      <c r="L3" s="2"/>
      <c r="M3" s="2"/>
      <c r="N3" s="2"/>
      <c r="O3" s="2"/>
      <c r="P3" s="2"/>
      <c r="Q3" s="2"/>
      <c r="R3" s="2"/>
    </row>
    <row r="4" spans="1:18" x14ac:dyDescent="0.3">
      <c r="A4" s="7" t="s">
        <v>434</v>
      </c>
      <c r="B4" s="2">
        <f>'Cover sheet'!B25</f>
        <v>8116</v>
      </c>
      <c r="C4" s="2" t="s">
        <v>21</v>
      </c>
      <c r="D4" s="2"/>
      <c r="E4" s="2"/>
      <c r="F4" s="2"/>
      <c r="G4" s="2"/>
      <c r="H4" s="2"/>
      <c r="I4" s="2"/>
      <c r="J4" s="2"/>
      <c r="K4" s="2"/>
      <c r="L4" s="2"/>
      <c r="M4" s="2"/>
      <c r="N4" s="2"/>
      <c r="O4" s="2"/>
      <c r="P4" s="2"/>
      <c r="Q4" s="2"/>
      <c r="R4" s="2"/>
    </row>
    <row r="5" spans="1:18" x14ac:dyDescent="0.3">
      <c r="A5" s="7" t="s">
        <v>79</v>
      </c>
      <c r="B5" s="2">
        <f>'Cover sheet'!B21</f>
        <v>2100</v>
      </c>
      <c r="C5" s="2" t="s">
        <v>44</v>
      </c>
      <c r="D5" s="2"/>
      <c r="E5" s="2"/>
      <c r="F5" s="2"/>
      <c r="G5" s="2"/>
      <c r="H5" s="2"/>
      <c r="I5" s="2"/>
      <c r="J5" s="2"/>
      <c r="K5" s="2"/>
      <c r="L5" s="2"/>
      <c r="M5" s="2"/>
      <c r="N5" s="2"/>
      <c r="O5" s="2"/>
      <c r="P5" s="2"/>
      <c r="Q5" s="2"/>
      <c r="R5" s="2"/>
    </row>
    <row r="6" spans="1:18" x14ac:dyDescent="0.3">
      <c r="A6" s="2"/>
      <c r="B6" s="2"/>
      <c r="C6" s="2"/>
      <c r="D6" s="2"/>
      <c r="E6" s="2"/>
      <c r="F6" s="2"/>
      <c r="G6" s="2"/>
      <c r="H6" s="2"/>
      <c r="I6" s="2"/>
      <c r="J6" s="2"/>
      <c r="K6" s="7" t="s">
        <v>156</v>
      </c>
      <c r="L6" s="7" t="s">
        <v>163</v>
      </c>
      <c r="M6" s="2"/>
      <c r="N6" s="7" t="s">
        <v>180</v>
      </c>
      <c r="O6" s="7" t="s">
        <v>245</v>
      </c>
      <c r="P6" s="7" t="s">
        <v>245</v>
      </c>
      <c r="Q6" s="2"/>
      <c r="R6" s="2"/>
    </row>
    <row r="7" spans="1:18" s="23" customFormat="1" ht="45" customHeight="1" x14ac:dyDescent="0.35">
      <c r="A7" s="20" t="s">
        <v>81</v>
      </c>
      <c r="B7" s="20" t="s">
        <v>82</v>
      </c>
      <c r="C7" s="20" t="s">
        <v>83</v>
      </c>
      <c r="D7" s="20" t="s">
        <v>11</v>
      </c>
      <c r="E7" s="20" t="s">
        <v>561</v>
      </c>
      <c r="F7" s="20" t="s">
        <v>562</v>
      </c>
      <c r="G7" s="20" t="s">
        <v>560</v>
      </c>
      <c r="H7" s="20" t="s">
        <v>563</v>
      </c>
      <c r="I7" s="20" t="s">
        <v>564</v>
      </c>
      <c r="J7" s="20" t="s">
        <v>565</v>
      </c>
      <c r="K7" s="20" t="s">
        <v>155</v>
      </c>
      <c r="L7" s="20" t="s">
        <v>497</v>
      </c>
      <c r="M7" s="20" t="s">
        <v>498</v>
      </c>
      <c r="N7" s="20" t="s">
        <v>182</v>
      </c>
      <c r="O7" s="20" t="str">
        <f>IF('Configuration Selection'!$B$10="propeller","Total Take-off power [kW]","Total Take-off thrust [kN]")</f>
        <v>Total Take-off thrust [kN]</v>
      </c>
      <c r="P7" s="20" t="str">
        <f>IF('Configuration Selection'!$B$10="propeller","W_TO/P_TO [N/W]","T_TO/W_TO [N/N]")</f>
        <v>T_TO/W_TO [N/N]</v>
      </c>
      <c r="Q7" s="24"/>
      <c r="R7" s="24"/>
    </row>
    <row r="8" spans="1:18" x14ac:dyDescent="0.3">
      <c r="A8" s="7">
        <v>1</v>
      </c>
      <c r="B8" s="1" t="s">
        <v>618</v>
      </c>
      <c r="C8" s="1" t="s">
        <v>619</v>
      </c>
      <c r="D8" s="1">
        <v>88</v>
      </c>
      <c r="E8" s="96">
        <v>10600</v>
      </c>
      <c r="F8" s="1">
        <v>3300</v>
      </c>
      <c r="G8" s="1">
        <v>36500</v>
      </c>
      <c r="H8" s="1">
        <v>25900</v>
      </c>
      <c r="I8" s="1">
        <v>103</v>
      </c>
      <c r="J8" s="1">
        <v>26</v>
      </c>
      <c r="K8" s="1" t="s">
        <v>620</v>
      </c>
      <c r="L8" s="1" t="s">
        <v>656</v>
      </c>
      <c r="M8" s="1">
        <v>400</v>
      </c>
      <c r="N8" s="1" t="s">
        <v>664</v>
      </c>
      <c r="O8" s="1"/>
      <c r="P8" s="1"/>
      <c r="Q8" s="2"/>
      <c r="R8" s="2"/>
    </row>
    <row r="9" spans="1:18" x14ac:dyDescent="0.3">
      <c r="A9" s="7">
        <v>2</v>
      </c>
      <c r="B9" s="97" t="s">
        <v>621</v>
      </c>
      <c r="C9" s="97" t="s">
        <v>657</v>
      </c>
      <c r="D9" s="1">
        <v>74</v>
      </c>
      <c r="E9" s="1">
        <v>10247</v>
      </c>
      <c r="F9" s="1">
        <v>2876</v>
      </c>
      <c r="G9" s="1">
        <v>33000</v>
      </c>
      <c r="H9" s="1">
        <v>19730</v>
      </c>
      <c r="I9" s="1" t="s">
        <v>665</v>
      </c>
      <c r="J9" s="1" t="s">
        <v>666</v>
      </c>
      <c r="K9" s="1" t="s">
        <v>667</v>
      </c>
      <c r="L9" s="1" t="s">
        <v>656</v>
      </c>
      <c r="M9" s="1">
        <v>389</v>
      </c>
      <c r="N9" s="1" t="s">
        <v>668</v>
      </c>
      <c r="O9" s="1"/>
      <c r="P9" s="1"/>
      <c r="Q9" s="2"/>
      <c r="R9" s="2"/>
    </row>
    <row r="10" spans="1:18" x14ac:dyDescent="0.3">
      <c r="A10" s="7">
        <v>3</v>
      </c>
      <c r="B10" s="1" t="s">
        <v>622</v>
      </c>
      <c r="C10" s="1" t="s">
        <v>623</v>
      </c>
      <c r="D10" s="1">
        <v>70</v>
      </c>
      <c r="E10" s="1">
        <v>6650</v>
      </c>
      <c r="F10" s="1">
        <v>2174</v>
      </c>
      <c r="G10" s="1">
        <v>38102</v>
      </c>
      <c r="H10" s="1">
        <v>23300</v>
      </c>
      <c r="I10" s="1" t="s">
        <v>624</v>
      </c>
      <c r="J10" s="1" t="s">
        <v>625</v>
      </c>
      <c r="K10" s="1">
        <v>8.98</v>
      </c>
      <c r="L10" s="1">
        <v>6</v>
      </c>
      <c r="M10" s="1">
        <v>425</v>
      </c>
      <c r="N10" s="1" t="s">
        <v>669</v>
      </c>
      <c r="O10" s="1"/>
      <c r="P10" s="1"/>
      <c r="Q10" s="2"/>
      <c r="R10" s="2"/>
    </row>
    <row r="11" spans="1:18" x14ac:dyDescent="0.3">
      <c r="A11" s="7">
        <v>4</v>
      </c>
      <c r="B11" s="1" t="s">
        <v>626</v>
      </c>
      <c r="C11" s="1" t="s">
        <v>627</v>
      </c>
      <c r="D11" s="1">
        <v>72</v>
      </c>
      <c r="E11" s="1">
        <v>7400</v>
      </c>
      <c r="F11" s="1">
        <v>1370</v>
      </c>
      <c r="G11" s="1">
        <v>23000</v>
      </c>
      <c r="H11" s="1">
        <v>13010</v>
      </c>
      <c r="I11" s="1">
        <v>61</v>
      </c>
      <c r="J11" s="1" t="s">
        <v>628</v>
      </c>
      <c r="K11" s="1">
        <v>12</v>
      </c>
      <c r="L11" s="1" t="s">
        <v>658</v>
      </c>
      <c r="M11" s="1">
        <v>397</v>
      </c>
      <c r="N11" s="1" t="s">
        <v>670</v>
      </c>
      <c r="O11" s="1"/>
      <c r="P11" s="1"/>
      <c r="Q11" s="2"/>
      <c r="R11" s="2"/>
    </row>
    <row r="12" spans="1:18" x14ac:dyDescent="0.3">
      <c r="A12" s="7">
        <v>5</v>
      </c>
      <c r="B12" s="1" t="s">
        <v>629</v>
      </c>
      <c r="C12" s="1">
        <v>2000</v>
      </c>
      <c r="D12" s="1">
        <v>58</v>
      </c>
      <c r="E12" s="1">
        <v>5500</v>
      </c>
      <c r="F12" s="1">
        <v>2100</v>
      </c>
      <c r="G12" s="1">
        <v>23000</v>
      </c>
      <c r="H12" s="1">
        <v>14500</v>
      </c>
      <c r="I12" s="1" t="s">
        <v>630</v>
      </c>
      <c r="J12" s="1" t="s">
        <v>631</v>
      </c>
      <c r="K12" s="1" t="s">
        <v>632</v>
      </c>
      <c r="L12" s="1" t="s">
        <v>658</v>
      </c>
      <c r="M12" s="1">
        <v>362</v>
      </c>
      <c r="N12" s="1" t="s">
        <v>671</v>
      </c>
      <c r="O12" s="1"/>
      <c r="P12" s="1"/>
      <c r="Q12" s="2"/>
      <c r="R12" s="2"/>
    </row>
    <row r="13" spans="1:18" x14ac:dyDescent="0.3">
      <c r="A13" s="2"/>
      <c r="B13" s="2"/>
      <c r="C13" s="2"/>
      <c r="D13" s="2"/>
      <c r="E13" s="2"/>
      <c r="F13" s="2"/>
      <c r="G13" s="2"/>
      <c r="H13" s="2"/>
      <c r="I13" s="2"/>
      <c r="J13" s="2"/>
      <c r="K13" s="2"/>
      <c r="L13" s="2"/>
      <c r="M13" s="2"/>
      <c r="N13" s="2"/>
      <c r="O13" s="2"/>
      <c r="P13" s="2"/>
      <c r="Q13" s="2"/>
      <c r="R13" s="2"/>
    </row>
    <row r="14" spans="1:18" x14ac:dyDescent="0.3">
      <c r="A14" s="2"/>
      <c r="B14" s="2"/>
      <c r="C14" s="2"/>
      <c r="D14" s="2"/>
      <c r="E14" s="2"/>
      <c r="F14" s="2"/>
      <c r="G14" s="2"/>
      <c r="H14" s="2"/>
      <c r="I14" s="2"/>
      <c r="J14" s="2"/>
      <c r="K14" s="2"/>
      <c r="L14" s="2"/>
      <c r="M14" s="2"/>
      <c r="N14" s="2"/>
      <c r="O14" s="2"/>
      <c r="P14" s="2"/>
      <c r="Q14" s="2"/>
      <c r="R14" s="2"/>
    </row>
    <row r="15" spans="1:18" x14ac:dyDescent="0.3">
      <c r="A15" s="2"/>
      <c r="B15" s="2"/>
      <c r="C15" s="2"/>
      <c r="D15" s="2"/>
      <c r="E15" s="2"/>
      <c r="F15" s="2"/>
      <c r="G15" s="2"/>
      <c r="H15" s="2"/>
      <c r="I15" s="2"/>
      <c r="J15" s="2"/>
      <c r="K15" s="2"/>
      <c r="L15" s="2"/>
      <c r="M15" s="2"/>
      <c r="N15" s="2"/>
      <c r="O15" s="2"/>
      <c r="P15" s="2"/>
      <c r="Q15" s="2"/>
      <c r="R15" s="2"/>
    </row>
    <row r="16" spans="1:18" x14ac:dyDescent="0.3">
      <c r="A16" s="2"/>
      <c r="B16" s="2"/>
      <c r="C16" s="2"/>
      <c r="D16" s="2"/>
      <c r="E16" s="2"/>
      <c r="F16" s="2"/>
      <c r="G16" s="2"/>
      <c r="H16" s="2"/>
      <c r="I16" s="2"/>
      <c r="J16" s="2"/>
      <c r="K16" s="2"/>
      <c r="L16" s="2"/>
      <c r="M16" s="2"/>
      <c r="N16" s="2"/>
      <c r="O16" s="2"/>
      <c r="P16" s="2"/>
      <c r="Q16" s="2"/>
      <c r="R16" s="2"/>
    </row>
    <row r="17" spans="1:18" x14ac:dyDescent="0.3">
      <c r="A17" s="2"/>
      <c r="B17" s="2"/>
      <c r="C17" s="2"/>
      <c r="D17" s="2"/>
      <c r="E17" s="2"/>
      <c r="F17" s="2"/>
      <c r="G17" s="2"/>
      <c r="H17" s="2"/>
      <c r="I17" s="2"/>
      <c r="J17" s="2"/>
      <c r="K17" s="2"/>
      <c r="L17" s="2"/>
      <c r="M17" s="2"/>
      <c r="N17" s="2"/>
      <c r="O17" s="2"/>
      <c r="P17" s="2"/>
      <c r="Q17" s="2"/>
      <c r="R17" s="2"/>
    </row>
    <row r="18" spans="1:18" x14ac:dyDescent="0.3">
      <c r="A18" s="2"/>
      <c r="B18" s="2"/>
      <c r="C18" s="2"/>
      <c r="D18" s="2"/>
      <c r="E18" s="2"/>
      <c r="F18" s="2"/>
      <c r="G18" s="2"/>
      <c r="H18" s="2"/>
      <c r="I18" s="2"/>
      <c r="J18" s="2"/>
      <c r="K18" s="2"/>
      <c r="L18" s="2"/>
      <c r="M18" s="2"/>
      <c r="N18" s="2"/>
      <c r="O18" s="2"/>
      <c r="P18" s="2"/>
      <c r="Q18" s="2"/>
      <c r="R18" s="2"/>
    </row>
    <row r="19" spans="1:18" x14ac:dyDescent="0.3">
      <c r="A19" s="2"/>
      <c r="B19" s="2"/>
      <c r="C19" s="2"/>
      <c r="D19" s="2"/>
      <c r="E19" s="2"/>
      <c r="F19" s="2"/>
      <c r="G19" s="2"/>
      <c r="H19" s="2"/>
      <c r="I19" s="2"/>
      <c r="J19" s="2"/>
      <c r="K19" s="2"/>
      <c r="L19" s="2"/>
      <c r="M19" s="2"/>
      <c r="N19" s="2"/>
      <c r="O19" s="2"/>
      <c r="P19" s="2"/>
      <c r="Q19" s="2"/>
      <c r="R19" s="2"/>
    </row>
    <row r="20" spans="1:18" x14ac:dyDescent="0.3">
      <c r="A20" s="2"/>
      <c r="B20" s="2"/>
      <c r="C20" s="2"/>
      <c r="D20" s="2"/>
      <c r="E20" s="2"/>
      <c r="F20" s="2"/>
      <c r="G20" s="2"/>
      <c r="H20" s="2"/>
      <c r="I20" s="2"/>
      <c r="J20" s="2"/>
      <c r="K20" s="2"/>
      <c r="L20" s="2"/>
      <c r="M20" s="2"/>
      <c r="N20" s="2"/>
      <c r="O20" s="2"/>
      <c r="P20" s="2"/>
      <c r="Q20" s="2"/>
      <c r="R20" s="2"/>
    </row>
    <row r="21" spans="1:18" x14ac:dyDescent="0.3">
      <c r="A21" s="2"/>
      <c r="B21" s="2"/>
      <c r="C21" s="2"/>
      <c r="D21" s="2"/>
      <c r="E21" s="2"/>
      <c r="F21" s="2"/>
      <c r="G21" s="2"/>
      <c r="H21" s="2"/>
      <c r="I21" s="2"/>
      <c r="J21" s="2"/>
      <c r="K21" s="2"/>
      <c r="L21" s="2"/>
      <c r="M21" s="2"/>
      <c r="N21" s="2"/>
      <c r="O21" s="2"/>
      <c r="P21" s="2"/>
      <c r="Q21" s="2"/>
      <c r="R21" s="2"/>
    </row>
    <row r="22" spans="1:18" x14ac:dyDescent="0.3">
      <c r="A22" s="2"/>
      <c r="B22" s="2"/>
      <c r="C22" s="2"/>
      <c r="D22" s="2"/>
      <c r="E22" s="2"/>
      <c r="F22" s="2"/>
      <c r="G22" s="2"/>
      <c r="H22" s="2"/>
      <c r="I22" s="2"/>
      <c r="J22" s="2"/>
      <c r="K22" s="2"/>
      <c r="L22" s="2"/>
      <c r="M22" s="2"/>
      <c r="N22" s="2"/>
      <c r="O22" s="2"/>
      <c r="P22" s="2"/>
      <c r="Q22" s="2"/>
      <c r="R22" s="2"/>
    </row>
    <row r="23" spans="1:18" x14ac:dyDescent="0.3">
      <c r="A23" s="2"/>
      <c r="B23" s="2"/>
      <c r="C23" s="2"/>
      <c r="D23" s="2"/>
      <c r="E23" s="2"/>
      <c r="F23" s="2"/>
      <c r="G23" s="2"/>
      <c r="H23" s="2"/>
      <c r="I23" s="2"/>
      <c r="J23" s="2"/>
      <c r="K23" s="2"/>
      <c r="L23" s="2"/>
      <c r="M23" s="2"/>
      <c r="N23" s="2"/>
      <c r="O23" s="2"/>
      <c r="P23" s="2"/>
      <c r="Q23" s="2"/>
      <c r="R23" s="2"/>
    </row>
    <row r="24" spans="1:18" x14ac:dyDescent="0.3">
      <c r="Q24" s="2"/>
      <c r="R24" s="2"/>
    </row>
  </sheetData>
  <sheetProtection algorithmName="SHA-512" hashValue="8AAL0H3Qip0A3+1xlIu5+Mtbx9vXdbqwMPKaHZhVsOTQhcjTRavXFIGfnKv0B4nyGosQisteRB7uyF4sWeNEOA==" saltValue="H91p4bvO6rm/jJnMDsyB3A==" spinCount="100000" sheet="1" objects="1" scenarios="1" formatCells="0"/>
  <dataValidations count="2">
    <dataValidation type="whole" operator="greaterThan" allowBlank="1" showInputMessage="1" showErrorMessage="1" sqref="B3" xr:uid="{B0751DA7-8C52-46D4-A9A6-9AAD1F39F91F}">
      <formula1>0</formula1>
    </dataValidation>
    <dataValidation type="whole" allowBlank="1" showInputMessage="1" showErrorMessage="1" sqref="B2" xr:uid="{C1E024E7-D370-4C04-ACC5-E59D76D628DC}">
      <formula1>1</formula1>
      <formula2>440</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E40EC-229F-4C19-83CA-5073584DFF50}">
  <sheetPr codeName="Sheet4"/>
  <dimension ref="A1:J29"/>
  <sheetViews>
    <sheetView topLeftCell="A16" workbookViewId="0">
      <selection activeCell="B26" sqref="B26:G26"/>
    </sheetView>
  </sheetViews>
  <sheetFormatPr defaultRowHeight="14.4" x14ac:dyDescent="0.3"/>
  <cols>
    <col min="1" max="1" width="50" customWidth="1"/>
  </cols>
  <sheetData>
    <row r="1" spans="1:10" ht="30" customHeight="1" x14ac:dyDescent="0.3">
      <c r="A1" s="101" t="s">
        <v>499</v>
      </c>
      <c r="B1" s="101"/>
      <c r="C1" s="101"/>
      <c r="D1" s="101"/>
      <c r="E1" s="101"/>
      <c r="F1" s="101"/>
      <c r="G1" s="101"/>
      <c r="H1" s="2"/>
      <c r="I1" s="2"/>
      <c r="J1" s="2"/>
    </row>
    <row r="2" spans="1:10" x14ac:dyDescent="0.3">
      <c r="A2" s="103" t="s">
        <v>500</v>
      </c>
      <c r="B2" s="103"/>
      <c r="C2" s="103"/>
      <c r="D2" s="103"/>
      <c r="E2" s="103"/>
      <c r="F2" s="103"/>
      <c r="G2" s="103"/>
      <c r="H2" s="2"/>
      <c r="I2" s="2"/>
      <c r="J2" s="2"/>
    </row>
    <row r="3" spans="1:10" x14ac:dyDescent="0.3">
      <c r="A3" s="12"/>
      <c r="B3" s="12"/>
      <c r="C3" s="12"/>
      <c r="D3" s="12"/>
      <c r="E3" s="12"/>
      <c r="F3" s="12"/>
      <c r="G3" s="12"/>
      <c r="H3" s="2"/>
      <c r="I3" s="2"/>
      <c r="J3" s="2"/>
    </row>
    <row r="4" spans="1:10" x14ac:dyDescent="0.3">
      <c r="A4" s="7" t="s">
        <v>93</v>
      </c>
      <c r="B4" s="26" t="s">
        <v>97</v>
      </c>
      <c r="C4" s="2"/>
      <c r="D4" s="2"/>
      <c r="E4" s="2"/>
      <c r="F4" s="2"/>
      <c r="G4" s="2"/>
      <c r="H4" s="2"/>
      <c r="I4" s="2"/>
      <c r="J4" s="2"/>
    </row>
    <row r="5" spans="1:10" ht="120" customHeight="1" x14ac:dyDescent="0.3">
      <c r="A5" s="27" t="s">
        <v>98</v>
      </c>
      <c r="B5" s="106" t="s">
        <v>633</v>
      </c>
      <c r="C5" s="106"/>
      <c r="D5" s="106"/>
      <c r="E5" s="106"/>
      <c r="F5" s="106"/>
      <c r="G5" s="106"/>
      <c r="H5" s="2"/>
      <c r="I5" s="2"/>
      <c r="J5" s="2"/>
    </row>
    <row r="6" spans="1:10" x14ac:dyDescent="0.3">
      <c r="A6" s="7"/>
      <c r="B6" s="2"/>
      <c r="C6" s="2"/>
      <c r="D6" s="2"/>
      <c r="E6" s="2"/>
      <c r="F6" s="2"/>
      <c r="G6" s="2"/>
      <c r="H6" s="2"/>
      <c r="I6" s="2"/>
      <c r="J6" s="2"/>
    </row>
    <row r="7" spans="1:10" x14ac:dyDescent="0.3">
      <c r="A7" s="7" t="s">
        <v>99</v>
      </c>
      <c r="B7" s="2" t="s">
        <v>102</v>
      </c>
      <c r="C7" s="2"/>
      <c r="D7" s="2"/>
      <c r="E7" s="2"/>
      <c r="F7" s="2"/>
      <c r="G7" s="2"/>
      <c r="H7" s="2"/>
      <c r="I7" s="2"/>
      <c r="J7" s="2"/>
    </row>
    <row r="8" spans="1:10" x14ac:dyDescent="0.3">
      <c r="A8" s="7" t="s">
        <v>100</v>
      </c>
      <c r="B8" s="2">
        <v>44</v>
      </c>
      <c r="C8" s="2"/>
      <c r="D8" s="2" t="s">
        <v>449</v>
      </c>
      <c r="E8" s="2"/>
      <c r="F8" s="2"/>
      <c r="G8" s="2"/>
      <c r="H8" s="2"/>
      <c r="I8" s="2"/>
      <c r="J8" s="2"/>
    </row>
    <row r="9" spans="1:10" x14ac:dyDescent="0.3">
      <c r="A9" s="7"/>
      <c r="B9" s="2"/>
      <c r="C9" s="2"/>
      <c r="D9" s="2"/>
      <c r="E9" s="2"/>
      <c r="F9" s="2"/>
      <c r="G9" s="2"/>
      <c r="H9" s="2"/>
      <c r="I9" s="2"/>
      <c r="J9" s="2"/>
    </row>
    <row r="10" spans="1:10" x14ac:dyDescent="0.3">
      <c r="A10" s="7" t="s">
        <v>55</v>
      </c>
      <c r="B10" s="1" t="s">
        <v>57</v>
      </c>
      <c r="C10" s="2"/>
      <c r="D10" s="2"/>
      <c r="E10" s="2"/>
      <c r="F10" s="2"/>
      <c r="G10" s="2"/>
      <c r="H10" s="2"/>
      <c r="I10" s="2"/>
      <c r="J10" s="2"/>
    </row>
    <row r="11" spans="1:10" x14ac:dyDescent="0.3">
      <c r="A11" s="7" t="s">
        <v>104</v>
      </c>
      <c r="B11" s="2">
        <f>TLAR!B40</f>
        <v>2</v>
      </c>
      <c r="C11" s="2"/>
      <c r="D11" s="2"/>
      <c r="E11" s="2"/>
      <c r="F11" s="2"/>
      <c r="G11" s="2"/>
      <c r="H11" s="2"/>
      <c r="I11" s="2"/>
      <c r="J11" s="2"/>
    </row>
    <row r="12" spans="1:10" ht="120" customHeight="1" x14ac:dyDescent="0.3">
      <c r="A12" s="27" t="s">
        <v>98</v>
      </c>
      <c r="B12" s="106" t="s">
        <v>634</v>
      </c>
      <c r="C12" s="106"/>
      <c r="D12" s="106"/>
      <c r="E12" s="106"/>
      <c r="F12" s="106"/>
      <c r="G12" s="106"/>
      <c r="H12" s="2"/>
      <c r="I12" s="2"/>
      <c r="J12" s="2"/>
    </row>
    <row r="13" spans="1:10" x14ac:dyDescent="0.3">
      <c r="A13" s="7" t="s">
        <v>105</v>
      </c>
      <c r="B13" s="26" t="s">
        <v>110</v>
      </c>
      <c r="C13" s="2"/>
      <c r="D13" s="2"/>
      <c r="E13" s="2"/>
      <c r="F13" s="2"/>
      <c r="G13" s="2"/>
      <c r="H13" s="2"/>
      <c r="I13" s="2"/>
      <c r="J13" s="2"/>
    </row>
    <row r="14" spans="1:10" ht="120" customHeight="1" x14ac:dyDescent="0.3">
      <c r="A14" s="27" t="s">
        <v>98</v>
      </c>
      <c r="B14" s="106" t="s">
        <v>635</v>
      </c>
      <c r="C14" s="106"/>
      <c r="D14" s="106"/>
      <c r="E14" s="106"/>
      <c r="F14" s="106"/>
      <c r="G14" s="106"/>
      <c r="H14" s="2"/>
      <c r="I14" s="2"/>
      <c r="J14" s="2"/>
    </row>
    <row r="15" spans="1:10" ht="120" customHeight="1" x14ac:dyDescent="0.3">
      <c r="A15" s="28" t="s">
        <v>138</v>
      </c>
      <c r="B15" s="106" t="s">
        <v>636</v>
      </c>
      <c r="C15" s="106"/>
      <c r="D15" s="106"/>
      <c r="E15" s="106"/>
      <c r="F15" s="106"/>
      <c r="G15" s="106"/>
      <c r="H15" s="2"/>
      <c r="I15" s="2"/>
      <c r="J15" s="2"/>
    </row>
    <row r="16" spans="1:10" ht="120" customHeight="1" x14ac:dyDescent="0.3">
      <c r="A16" s="28" t="s">
        <v>503</v>
      </c>
      <c r="B16" s="106" t="s">
        <v>637</v>
      </c>
      <c r="C16" s="106"/>
      <c r="D16" s="106"/>
      <c r="E16" s="106"/>
      <c r="F16" s="106"/>
      <c r="G16" s="106"/>
      <c r="H16" s="2"/>
      <c r="I16" s="2"/>
      <c r="J16" s="2"/>
    </row>
    <row r="17" spans="1:10" x14ac:dyDescent="0.3">
      <c r="A17" s="7"/>
      <c r="B17" s="2"/>
      <c r="C17" s="2"/>
      <c r="D17" s="2"/>
      <c r="E17" s="2"/>
      <c r="F17" s="2"/>
      <c r="G17" s="2"/>
      <c r="H17" s="2"/>
      <c r="I17" s="2"/>
      <c r="J17" s="2"/>
    </row>
    <row r="18" spans="1:10" x14ac:dyDescent="0.3">
      <c r="A18" s="7" t="s">
        <v>115</v>
      </c>
      <c r="B18" s="1" t="s">
        <v>123</v>
      </c>
      <c r="C18" s="2"/>
      <c r="D18" s="2"/>
      <c r="E18" s="2"/>
      <c r="F18" s="2"/>
      <c r="G18" s="2"/>
      <c r="H18" s="2"/>
      <c r="I18" s="2"/>
      <c r="J18" s="2"/>
    </row>
    <row r="19" spans="1:10" x14ac:dyDescent="0.3">
      <c r="A19" s="7" t="s">
        <v>125</v>
      </c>
      <c r="B19" s="1" t="s">
        <v>121</v>
      </c>
      <c r="C19" s="2"/>
      <c r="D19" s="2"/>
      <c r="E19" s="2"/>
      <c r="F19" s="2"/>
      <c r="G19" s="2"/>
      <c r="H19" s="2"/>
      <c r="I19" s="2"/>
      <c r="J19" s="2"/>
    </row>
    <row r="20" spans="1:10" x14ac:dyDescent="0.3">
      <c r="A20" s="7" t="s">
        <v>119</v>
      </c>
      <c r="B20" s="26" t="s">
        <v>116</v>
      </c>
      <c r="C20" s="2"/>
      <c r="D20" s="2"/>
      <c r="E20" s="2"/>
      <c r="F20" s="2"/>
      <c r="G20" s="2"/>
      <c r="H20" s="2"/>
      <c r="I20" s="2"/>
      <c r="J20" s="2"/>
    </row>
    <row r="21" spans="1:10" ht="120" customHeight="1" x14ac:dyDescent="0.3">
      <c r="A21" s="27" t="s">
        <v>118</v>
      </c>
      <c r="B21" s="106" t="s">
        <v>639</v>
      </c>
      <c r="C21" s="106"/>
      <c r="D21" s="106"/>
      <c r="E21" s="106"/>
      <c r="F21" s="106"/>
      <c r="G21" s="106"/>
      <c r="H21" s="2"/>
      <c r="I21" s="2"/>
      <c r="J21" s="2"/>
    </row>
    <row r="22" spans="1:10" ht="120" customHeight="1" x14ac:dyDescent="0.3">
      <c r="A22" s="28" t="s">
        <v>502</v>
      </c>
      <c r="B22" s="106" t="s">
        <v>638</v>
      </c>
      <c r="C22" s="106"/>
      <c r="D22" s="106"/>
      <c r="E22" s="106"/>
      <c r="F22" s="106"/>
      <c r="G22" s="106"/>
      <c r="H22" s="2"/>
      <c r="I22" s="2"/>
      <c r="J22" s="2"/>
    </row>
    <row r="23" spans="1:10" x14ac:dyDescent="0.3">
      <c r="A23" s="20"/>
      <c r="B23" s="2"/>
      <c r="C23" s="2"/>
      <c r="D23" s="2"/>
      <c r="E23" s="2"/>
      <c r="F23" s="2"/>
      <c r="G23" s="2"/>
      <c r="H23" s="2"/>
      <c r="I23" s="2"/>
      <c r="J23" s="2"/>
    </row>
    <row r="24" spans="1:10" x14ac:dyDescent="0.3">
      <c r="A24" s="7" t="s">
        <v>126</v>
      </c>
      <c r="B24" s="26" t="s">
        <v>128</v>
      </c>
      <c r="C24" s="2"/>
      <c r="D24" s="2"/>
      <c r="E24" s="2"/>
      <c r="F24" s="2"/>
      <c r="G24" s="2"/>
      <c r="H24" s="2"/>
      <c r="I24" s="2"/>
      <c r="J24" s="2"/>
    </row>
    <row r="25" spans="1:10" ht="120" customHeight="1" x14ac:dyDescent="0.3">
      <c r="A25" s="28" t="s">
        <v>98</v>
      </c>
      <c r="B25" s="106" t="s">
        <v>640</v>
      </c>
      <c r="C25" s="106"/>
      <c r="D25" s="106"/>
      <c r="E25" s="106"/>
      <c r="F25" s="106"/>
      <c r="G25" s="106"/>
      <c r="H25" s="2"/>
      <c r="I25" s="2"/>
      <c r="J25" s="2"/>
    </row>
    <row r="26" spans="1:10" ht="120" customHeight="1" x14ac:dyDescent="0.3">
      <c r="A26" s="28" t="s">
        <v>501</v>
      </c>
      <c r="B26" s="106" t="s">
        <v>641</v>
      </c>
      <c r="C26" s="106"/>
      <c r="D26" s="106"/>
      <c r="E26" s="106"/>
      <c r="F26" s="106"/>
      <c r="G26" s="106"/>
      <c r="H26" s="2"/>
      <c r="I26" s="2"/>
      <c r="J26" s="2"/>
    </row>
    <row r="27" spans="1:10" x14ac:dyDescent="0.3">
      <c r="A27" s="2"/>
      <c r="B27" s="2"/>
      <c r="C27" s="2"/>
      <c r="D27" s="2"/>
      <c r="E27" s="2"/>
      <c r="F27" s="2"/>
      <c r="G27" s="2"/>
      <c r="H27" s="2"/>
      <c r="I27" s="2"/>
      <c r="J27" s="2"/>
    </row>
    <row r="28" spans="1:10" x14ac:dyDescent="0.3">
      <c r="A28" s="2"/>
      <c r="B28" s="2"/>
      <c r="C28" s="2"/>
      <c r="D28" s="2"/>
      <c r="E28" s="2"/>
      <c r="F28" s="2"/>
      <c r="G28" s="2"/>
      <c r="H28" s="2"/>
      <c r="I28" s="2"/>
      <c r="J28" s="2"/>
    </row>
    <row r="29" spans="1:10" x14ac:dyDescent="0.3">
      <c r="A29" s="2"/>
      <c r="B29" s="2"/>
      <c r="C29" s="2"/>
      <c r="D29" s="2"/>
      <c r="E29" s="2"/>
      <c r="F29" s="2"/>
      <c r="G29" s="2"/>
      <c r="H29" s="2"/>
      <c r="I29" s="2"/>
      <c r="J29" s="2"/>
    </row>
  </sheetData>
  <sheetProtection algorithmName="SHA-512" hashValue="CqlXtYj3cC4mjgw79I0vhy8ap8pqtHnJgv+J3L98TaIAT9IitOrh1GiklkyY+zZLvFIY43V+suIsNtfMy04RcA==" saltValue="e7C+SzTRC78xq0FmMozdcw==" spinCount="100000" sheet="1" objects="1" scenarios="1" formatCells="0"/>
  <mergeCells count="11">
    <mergeCell ref="B25:G25"/>
    <mergeCell ref="B26:G26"/>
    <mergeCell ref="B22:G22"/>
    <mergeCell ref="B16:G16"/>
    <mergeCell ref="B15:G15"/>
    <mergeCell ref="B21:G21"/>
    <mergeCell ref="A1:G1"/>
    <mergeCell ref="A2:G2"/>
    <mergeCell ref="B14:G14"/>
    <mergeCell ref="B5:G5"/>
    <mergeCell ref="B12:G12"/>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D9D69E33-AC1D-4FC3-ACFB-3DFBE844B99E}">
          <x14:formula1>
            <xm:f>Sheet2!$D$20:$D$22</xm:f>
          </x14:formula1>
          <xm:sqref>B4</xm:sqref>
        </x14:dataValidation>
        <x14:dataValidation type="list" allowBlank="1" showInputMessage="1" showErrorMessage="1" xr:uid="{0150E0FC-FCD1-449A-B46D-30B517D6C241}">
          <x14:formula1>
            <xm:f>Sheet2!$F$13:$F$15</xm:f>
          </x14:formula1>
          <xm:sqref>B7</xm:sqref>
        </x14:dataValidation>
        <x14:dataValidation type="list" allowBlank="1" showInputMessage="1" showErrorMessage="1" xr:uid="{89C761D2-4F8F-4F4D-9D62-CB92BD641887}">
          <x14:formula1>
            <xm:f>Sheet2!$C$13:$C$14</xm:f>
          </x14:formula1>
          <xm:sqref>B10</xm:sqref>
        </x14:dataValidation>
        <x14:dataValidation type="list" allowBlank="1" showInputMessage="1" showErrorMessage="1" xr:uid="{3185F60C-18E2-4601-847E-41F1B9C4F0AF}">
          <x14:formula1>
            <xm:f>Sheet2!$F$18:$F$25</xm:f>
          </x14:formula1>
          <xm:sqref>B13</xm:sqref>
        </x14:dataValidation>
        <x14:dataValidation type="list" allowBlank="1" showInputMessage="1" showErrorMessage="1" xr:uid="{CA784600-0296-4209-B398-3F77E05CD94B}">
          <x14:formula1>
            <xm:f>Sheet2!$C$27:$C$28</xm:f>
          </x14:formula1>
          <xm:sqref>B20</xm:sqref>
        </x14:dataValidation>
        <x14:dataValidation type="list" allowBlank="1" showInputMessage="1" showErrorMessage="1" xr:uid="{49E418FD-9B44-4865-8F83-8A42B4306209}">
          <x14:formula1>
            <xm:f>Sheet2!$C$30:$C$31</xm:f>
          </x14:formula1>
          <xm:sqref>B19</xm:sqref>
        </x14:dataValidation>
        <x14:dataValidation type="list" allowBlank="1" showInputMessage="1" showErrorMessage="1" xr:uid="{0A58D574-B757-4497-858B-72A8F3260A02}">
          <x14:formula1>
            <xm:f>Sheet2!$C$33:$C$35</xm:f>
          </x14:formula1>
          <xm:sqref>B18</xm:sqref>
        </x14:dataValidation>
        <x14:dataValidation type="list" allowBlank="1" showInputMessage="1" showErrorMessage="1" xr:uid="{16148711-5809-430E-B402-B9B730D685CC}">
          <x14:formula1>
            <xm:f>Sheet2!$F$28:$F$36</xm:f>
          </x14:formula1>
          <xm:sqref>B24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8F838-7455-46A9-8E35-F8B5217CD8F6}">
  <sheetPr codeName="Sheet5"/>
  <dimension ref="A1:M80"/>
  <sheetViews>
    <sheetView topLeftCell="A53" zoomScaleNormal="100" workbookViewId="0">
      <selection activeCell="E61" sqref="E61"/>
    </sheetView>
  </sheetViews>
  <sheetFormatPr defaultRowHeight="14.4" x14ac:dyDescent="0.3"/>
  <cols>
    <col min="1" max="1" width="40.33203125" customWidth="1"/>
    <col min="2" max="8" width="12" customWidth="1"/>
    <col min="11" max="13" width="9.109375" style="2"/>
  </cols>
  <sheetData>
    <row r="1" spans="1:10" ht="30" customHeight="1" x14ac:dyDescent="0.3">
      <c r="A1" s="107" t="s">
        <v>505</v>
      </c>
      <c r="B1" s="107"/>
      <c r="C1" s="107"/>
      <c r="D1" s="107"/>
      <c r="E1" s="107"/>
      <c r="F1" s="107"/>
      <c r="G1" s="2"/>
      <c r="H1" s="2"/>
      <c r="I1" s="2"/>
      <c r="J1" s="2"/>
    </row>
    <row r="2" spans="1:10" x14ac:dyDescent="0.3">
      <c r="A2" s="2"/>
      <c r="B2" s="2"/>
      <c r="C2" s="2"/>
      <c r="D2" s="2"/>
      <c r="E2" s="2"/>
      <c r="F2" s="2"/>
      <c r="G2" s="2"/>
      <c r="H2" s="2"/>
      <c r="I2" s="2"/>
      <c r="J2" s="2"/>
    </row>
    <row r="3" spans="1:10" x14ac:dyDescent="0.3">
      <c r="A3" s="7" t="s">
        <v>139</v>
      </c>
      <c r="B3" s="2"/>
      <c r="C3" s="2"/>
      <c r="D3" s="2"/>
      <c r="E3" s="2"/>
      <c r="F3" s="7" t="s">
        <v>19</v>
      </c>
      <c r="G3" s="2"/>
      <c r="H3" s="2"/>
      <c r="I3" s="2"/>
      <c r="J3" s="2"/>
    </row>
    <row r="4" spans="1:10" ht="45" customHeight="1" x14ac:dyDescent="0.3">
      <c r="A4" s="111" t="s">
        <v>140</v>
      </c>
      <c r="B4" s="111"/>
      <c r="C4" s="111"/>
      <c r="D4" s="2"/>
      <c r="E4" s="110"/>
      <c r="F4" s="108"/>
      <c r="G4" s="108"/>
      <c r="H4" s="108"/>
      <c r="I4" s="108"/>
      <c r="J4" s="2"/>
    </row>
    <row r="5" spans="1:10" x14ac:dyDescent="0.3">
      <c r="A5" s="6" t="s">
        <v>576</v>
      </c>
      <c r="B5" s="39"/>
      <c r="C5" s="2"/>
      <c r="D5" s="2"/>
      <c r="E5" s="93">
        <f>'Cover sheet'!B24</f>
        <v>6660</v>
      </c>
      <c r="F5" s="2" t="s">
        <v>21</v>
      </c>
      <c r="G5" s="2"/>
      <c r="H5" s="2"/>
      <c r="I5" s="2"/>
      <c r="J5" s="2"/>
    </row>
    <row r="6" spans="1:10" x14ac:dyDescent="0.3">
      <c r="A6" s="6" t="s">
        <v>577</v>
      </c>
      <c r="B6" s="39"/>
      <c r="C6" s="2"/>
      <c r="D6" s="2"/>
      <c r="E6" s="94">
        <f>'Cover sheet'!B25</f>
        <v>8116</v>
      </c>
      <c r="F6" s="2" t="s">
        <v>21</v>
      </c>
      <c r="G6" s="2"/>
      <c r="H6" s="2"/>
      <c r="I6" s="2"/>
      <c r="J6" s="2"/>
    </row>
    <row r="7" spans="1:10" x14ac:dyDescent="0.3">
      <c r="A7" s="6" t="s">
        <v>579</v>
      </c>
      <c r="B7" s="39"/>
      <c r="C7" s="2"/>
      <c r="D7" s="2"/>
      <c r="E7" s="44">
        <v>75</v>
      </c>
      <c r="F7" s="2" t="s">
        <v>21</v>
      </c>
      <c r="G7" s="2"/>
      <c r="H7" s="2"/>
      <c r="I7" s="2"/>
      <c r="J7" s="2"/>
    </row>
    <row r="8" spans="1:10" x14ac:dyDescent="0.3">
      <c r="A8" s="6" t="s">
        <v>580</v>
      </c>
      <c r="B8" s="2"/>
      <c r="C8" s="2"/>
      <c r="D8" s="2"/>
      <c r="E8" s="1">
        <v>5550</v>
      </c>
      <c r="F8" s="2" t="s">
        <v>21</v>
      </c>
      <c r="G8" s="2"/>
      <c r="H8" s="2"/>
      <c r="I8" s="2"/>
      <c r="J8" s="2"/>
    </row>
    <row r="9" spans="1:10" x14ac:dyDescent="0.3">
      <c r="A9" s="6" t="s">
        <v>581</v>
      </c>
      <c r="B9" s="2"/>
      <c r="C9" s="2"/>
      <c r="D9" s="2"/>
      <c r="E9" s="1">
        <v>5</v>
      </c>
      <c r="F9" s="2" t="s">
        <v>21</v>
      </c>
      <c r="G9" s="2"/>
      <c r="H9" s="2"/>
      <c r="I9" s="2"/>
      <c r="J9" s="2"/>
    </row>
    <row r="10" spans="1:10" x14ac:dyDescent="0.3">
      <c r="A10" s="6" t="s">
        <v>582</v>
      </c>
      <c r="B10" s="2"/>
      <c r="C10" s="2"/>
      <c r="D10" s="2"/>
      <c r="E10" s="1">
        <v>370</v>
      </c>
      <c r="F10" s="2" t="s">
        <v>21</v>
      </c>
      <c r="G10" s="2"/>
      <c r="H10" s="2"/>
      <c r="I10" s="2"/>
      <c r="J10" s="2"/>
    </row>
    <row r="11" spans="1:10" x14ac:dyDescent="0.3">
      <c r="A11" s="6" t="s">
        <v>578</v>
      </c>
      <c r="B11" s="2"/>
      <c r="C11" s="2"/>
      <c r="D11" s="2"/>
      <c r="E11" s="1">
        <v>10</v>
      </c>
      <c r="F11" s="2" t="s">
        <v>21</v>
      </c>
      <c r="G11" s="2"/>
      <c r="H11" s="2"/>
      <c r="I11" s="2"/>
      <c r="J11" s="2"/>
    </row>
    <row r="12" spans="1:10" x14ac:dyDescent="0.3">
      <c r="A12" s="6" t="s">
        <v>583</v>
      </c>
      <c r="B12" s="2"/>
      <c r="C12" s="2"/>
      <c r="D12" s="2"/>
      <c r="E12" s="1">
        <v>740</v>
      </c>
      <c r="F12" s="2" t="s">
        <v>21</v>
      </c>
      <c r="G12" s="2"/>
      <c r="H12" s="2"/>
      <c r="I12" s="2"/>
      <c r="J12" s="2"/>
    </row>
    <row r="13" spans="1:10" x14ac:dyDescent="0.3">
      <c r="A13" s="6" t="s">
        <v>584</v>
      </c>
      <c r="B13" s="2"/>
      <c r="C13" s="2"/>
      <c r="D13" s="2"/>
      <c r="E13" s="1">
        <v>0</v>
      </c>
      <c r="F13" s="2" t="s">
        <v>21</v>
      </c>
      <c r="G13" s="2"/>
      <c r="H13" s="2"/>
      <c r="I13" s="2"/>
      <c r="J13" s="2"/>
    </row>
    <row r="14" spans="1:10" x14ac:dyDescent="0.3">
      <c r="A14" s="6" t="s">
        <v>585</v>
      </c>
      <c r="B14" s="2"/>
      <c r="C14" s="2"/>
      <c r="D14" s="2"/>
      <c r="E14" s="1">
        <v>1456</v>
      </c>
      <c r="F14" s="2" t="s">
        <v>21</v>
      </c>
      <c r="G14" s="2"/>
      <c r="H14" s="2"/>
      <c r="I14" s="2"/>
      <c r="J14" s="2"/>
    </row>
    <row r="15" spans="1:10" x14ac:dyDescent="0.3">
      <c r="A15" s="2" t="s">
        <v>141</v>
      </c>
      <c r="B15" s="2"/>
      <c r="C15" s="2"/>
      <c r="D15" s="2"/>
      <c r="E15" s="2"/>
      <c r="F15" s="2"/>
      <c r="G15" s="2"/>
      <c r="H15" s="2"/>
      <c r="I15" s="2"/>
      <c r="J15" s="2"/>
    </row>
    <row r="16" spans="1:10" ht="16.2" x14ac:dyDescent="0.3">
      <c r="A16" s="2" t="s">
        <v>420</v>
      </c>
      <c r="B16" s="2"/>
      <c r="C16" s="2"/>
      <c r="D16" s="2"/>
      <c r="E16" s="1" t="s">
        <v>643</v>
      </c>
      <c r="F16" s="2" t="s">
        <v>423</v>
      </c>
      <c r="G16" s="2"/>
      <c r="H16" s="2"/>
      <c r="I16" s="2"/>
      <c r="J16" s="2"/>
    </row>
    <row r="17" spans="1:10" ht="16.2" x14ac:dyDescent="0.3">
      <c r="A17" s="2" t="s">
        <v>421</v>
      </c>
      <c r="B17" s="2"/>
      <c r="C17" s="2"/>
      <c r="D17" s="2"/>
      <c r="E17" s="1">
        <v>150</v>
      </c>
      <c r="F17" s="2" t="s">
        <v>423</v>
      </c>
      <c r="G17" s="2"/>
      <c r="H17" s="2"/>
      <c r="I17" s="29"/>
      <c r="J17" s="2"/>
    </row>
    <row r="18" spans="1:10" ht="16.2" x14ac:dyDescent="0.3">
      <c r="A18" s="2" t="s">
        <v>422</v>
      </c>
      <c r="B18" s="2"/>
      <c r="C18" s="2"/>
      <c r="D18" s="2"/>
      <c r="E18" s="1">
        <v>170</v>
      </c>
      <c r="F18" s="2" t="s">
        <v>423</v>
      </c>
      <c r="G18" s="2"/>
      <c r="H18" s="2"/>
      <c r="I18" s="2"/>
      <c r="J18" s="2"/>
    </row>
    <row r="19" spans="1:10" x14ac:dyDescent="0.3">
      <c r="A19" s="2" t="s">
        <v>142</v>
      </c>
      <c r="B19" s="2"/>
      <c r="C19" s="2"/>
      <c r="D19" s="2"/>
      <c r="E19" s="2"/>
      <c r="F19" s="2"/>
      <c r="G19" s="2"/>
      <c r="H19" s="2"/>
      <c r="I19" s="2"/>
      <c r="J19" s="2"/>
    </row>
    <row r="20" spans="1:10" ht="16.2" x14ac:dyDescent="0.3">
      <c r="A20" s="2" t="s">
        <v>13</v>
      </c>
      <c r="B20" s="2"/>
      <c r="C20" s="2"/>
      <c r="D20" s="2"/>
      <c r="E20" s="1" t="s">
        <v>646</v>
      </c>
      <c r="F20" s="2" t="s">
        <v>22</v>
      </c>
      <c r="G20" s="2"/>
      <c r="H20" s="2"/>
      <c r="I20" s="2"/>
      <c r="J20" s="2"/>
    </row>
    <row r="21" spans="1:10" ht="16.2" x14ac:dyDescent="0.3">
      <c r="A21" s="2" t="s">
        <v>15</v>
      </c>
      <c r="B21" s="2"/>
      <c r="C21" s="2"/>
      <c r="D21" s="2"/>
      <c r="E21" s="1" t="s">
        <v>644</v>
      </c>
      <c r="F21" s="2" t="s">
        <v>22</v>
      </c>
      <c r="G21" s="2"/>
      <c r="H21" s="2"/>
      <c r="I21" s="2"/>
      <c r="J21" s="2"/>
    </row>
    <row r="22" spans="1:10" ht="16.2" x14ac:dyDescent="0.3">
      <c r="A22" s="2" t="s">
        <v>14</v>
      </c>
      <c r="B22" s="2"/>
      <c r="C22" s="2"/>
      <c r="D22" s="2"/>
      <c r="E22" s="26" t="s">
        <v>645</v>
      </c>
      <c r="F22" s="2" t="s">
        <v>22</v>
      </c>
      <c r="G22" s="2"/>
      <c r="H22" s="2"/>
      <c r="I22" s="2"/>
      <c r="J22" s="2"/>
    </row>
    <row r="23" spans="1:10" x14ac:dyDescent="0.3">
      <c r="A23" s="2" t="s">
        <v>16</v>
      </c>
      <c r="B23" s="2"/>
      <c r="C23" s="2"/>
      <c r="D23" s="2"/>
      <c r="E23" s="91">
        <f>E14</f>
        <v>1456</v>
      </c>
      <c r="F23" s="2" t="s">
        <v>21</v>
      </c>
      <c r="G23" s="2"/>
      <c r="H23" s="2"/>
      <c r="I23" s="2"/>
      <c r="J23" s="2"/>
    </row>
    <row r="24" spans="1:10" ht="16.2" x14ac:dyDescent="0.3">
      <c r="A24" s="2" t="s">
        <v>17</v>
      </c>
      <c r="B24" s="2"/>
      <c r="C24" s="2"/>
      <c r="D24" s="2"/>
      <c r="E24" s="92" t="s">
        <v>647</v>
      </c>
      <c r="F24" s="2" t="s">
        <v>22</v>
      </c>
      <c r="G24" s="2"/>
      <c r="H24" s="2"/>
      <c r="I24" s="2"/>
      <c r="J24" s="2"/>
    </row>
    <row r="25" spans="1:10" ht="90" customHeight="1" x14ac:dyDescent="0.3">
      <c r="A25" s="107" t="s">
        <v>143</v>
      </c>
      <c r="B25" s="107"/>
      <c r="C25" s="107"/>
      <c r="D25" s="109"/>
      <c r="E25" s="108" t="s">
        <v>648</v>
      </c>
      <c r="F25" s="108"/>
      <c r="G25" s="108"/>
      <c r="H25" s="108"/>
      <c r="I25" s="108"/>
      <c r="J25" s="2"/>
    </row>
    <row r="26" spans="1:10" ht="45" customHeight="1" x14ac:dyDescent="0.3">
      <c r="A26" s="107" t="s">
        <v>144</v>
      </c>
      <c r="B26" s="107"/>
      <c r="C26" s="107"/>
      <c r="D26" s="109"/>
      <c r="E26" s="108" t="s">
        <v>649</v>
      </c>
      <c r="F26" s="108"/>
      <c r="G26" s="108"/>
      <c r="H26" s="108"/>
      <c r="I26" s="108"/>
      <c r="J26" s="2"/>
    </row>
    <row r="27" spans="1:10" x14ac:dyDescent="0.3">
      <c r="A27" s="107" t="s">
        <v>536</v>
      </c>
      <c r="B27" s="107"/>
      <c r="C27" s="31"/>
      <c r="D27" s="31"/>
      <c r="E27" s="33"/>
      <c r="F27" s="31" t="s">
        <v>20</v>
      </c>
      <c r="G27" s="31"/>
      <c r="H27" s="31"/>
      <c r="I27" s="31"/>
      <c r="J27" s="2"/>
    </row>
    <row r="28" spans="1:10" x14ac:dyDescent="0.3">
      <c r="A28" s="107" t="s">
        <v>537</v>
      </c>
      <c r="B28" s="107"/>
      <c r="C28" s="31"/>
      <c r="D28" s="31"/>
      <c r="E28" s="31"/>
      <c r="F28" s="31"/>
      <c r="G28" s="31"/>
      <c r="H28" s="31"/>
      <c r="I28" s="31"/>
      <c r="J28" s="2"/>
    </row>
    <row r="29" spans="1:10" ht="45" customHeight="1" x14ac:dyDescent="0.3">
      <c r="A29" s="31" t="s">
        <v>538</v>
      </c>
      <c r="B29" s="31"/>
      <c r="C29" s="31"/>
      <c r="D29" s="31"/>
      <c r="E29" s="33"/>
      <c r="F29" s="31" t="s">
        <v>22</v>
      </c>
      <c r="G29" s="31"/>
      <c r="H29" s="31"/>
      <c r="I29" s="31"/>
      <c r="J29" s="2"/>
    </row>
    <row r="30" spans="1:10" ht="45" customHeight="1" x14ac:dyDescent="0.3">
      <c r="A30" s="31" t="s">
        <v>543</v>
      </c>
      <c r="B30" s="31"/>
      <c r="C30" s="31"/>
      <c r="D30" s="31"/>
      <c r="E30" s="33"/>
      <c r="F30" s="31" t="s">
        <v>24</v>
      </c>
      <c r="G30" s="31"/>
      <c r="H30" s="31"/>
      <c r="I30" s="31"/>
      <c r="J30" s="2"/>
    </row>
    <row r="31" spans="1:10" ht="45" customHeight="1" x14ac:dyDescent="0.3">
      <c r="A31" s="31" t="s">
        <v>544</v>
      </c>
      <c r="B31" s="31"/>
      <c r="C31" s="31"/>
      <c r="D31" s="31"/>
      <c r="E31" s="33"/>
      <c r="F31" s="31" t="s">
        <v>24</v>
      </c>
      <c r="G31" s="31"/>
      <c r="H31" s="31"/>
      <c r="I31" s="31"/>
      <c r="J31" s="2"/>
    </row>
    <row r="32" spans="1:10" ht="45" customHeight="1" x14ac:dyDescent="0.3">
      <c r="A32" s="31" t="s">
        <v>607</v>
      </c>
      <c r="B32" s="31"/>
      <c r="C32" s="31"/>
      <c r="D32" s="31"/>
      <c r="E32" s="33"/>
      <c r="F32" s="31" t="s">
        <v>24</v>
      </c>
      <c r="G32" s="31"/>
      <c r="H32" s="31"/>
      <c r="I32" s="31"/>
      <c r="J32" s="2"/>
    </row>
    <row r="33" spans="1:10" ht="45" customHeight="1" x14ac:dyDescent="0.3">
      <c r="A33" s="31" t="s">
        <v>539</v>
      </c>
      <c r="B33" s="31"/>
      <c r="C33" s="31"/>
      <c r="D33" s="31"/>
      <c r="E33" s="33"/>
      <c r="F33" s="31" t="s">
        <v>24</v>
      </c>
      <c r="G33" s="31"/>
      <c r="H33" s="31"/>
      <c r="I33" s="31"/>
      <c r="J33" s="2"/>
    </row>
    <row r="34" spans="1:10" ht="45" customHeight="1" x14ac:dyDescent="0.3">
      <c r="A34" s="31" t="s">
        <v>540</v>
      </c>
      <c r="B34" s="31"/>
      <c r="C34" s="31"/>
      <c r="D34" s="31"/>
      <c r="E34" s="33"/>
      <c r="F34" s="31" t="s">
        <v>24</v>
      </c>
      <c r="G34" s="31"/>
      <c r="H34" s="31"/>
      <c r="I34" s="31"/>
      <c r="J34" s="2"/>
    </row>
    <row r="35" spans="1:10" ht="45" customHeight="1" x14ac:dyDescent="0.3">
      <c r="A35" s="31" t="s">
        <v>541</v>
      </c>
      <c r="B35" s="31"/>
      <c r="C35" s="31"/>
      <c r="D35" s="31"/>
      <c r="E35" s="33"/>
      <c r="F35" s="31" t="s">
        <v>20</v>
      </c>
      <c r="G35" s="31"/>
      <c r="H35" s="31"/>
      <c r="I35" s="31"/>
      <c r="J35" s="2"/>
    </row>
    <row r="36" spans="1:10" ht="45" customHeight="1" x14ac:dyDescent="0.3">
      <c r="A36" s="31" t="s">
        <v>542</v>
      </c>
      <c r="B36" s="31"/>
      <c r="C36" s="31"/>
      <c r="D36" s="31"/>
      <c r="E36" s="33"/>
      <c r="F36" s="31" t="s">
        <v>20</v>
      </c>
      <c r="G36" s="31"/>
      <c r="H36" s="31"/>
      <c r="I36" s="31"/>
      <c r="J36" s="2"/>
    </row>
    <row r="37" spans="1:10" x14ac:dyDescent="0.3">
      <c r="A37" s="2"/>
      <c r="B37" s="2"/>
      <c r="C37" s="2"/>
      <c r="D37" s="2"/>
      <c r="E37" s="2"/>
      <c r="F37" s="2"/>
      <c r="G37" s="2"/>
      <c r="H37" s="2"/>
      <c r="I37" s="2"/>
      <c r="J37" s="2"/>
    </row>
    <row r="38" spans="1:10" x14ac:dyDescent="0.3">
      <c r="A38" s="7" t="s">
        <v>145</v>
      </c>
      <c r="B38" s="2"/>
      <c r="C38" s="2"/>
      <c r="D38" s="2"/>
      <c r="E38" s="2"/>
      <c r="F38" s="2"/>
      <c r="G38" s="2"/>
      <c r="H38" s="2"/>
      <c r="I38" s="2"/>
      <c r="J38" s="2"/>
    </row>
    <row r="39" spans="1:10" x14ac:dyDescent="0.3">
      <c r="A39" s="38" t="s">
        <v>146</v>
      </c>
      <c r="B39" s="2"/>
      <c r="C39" s="2"/>
      <c r="D39" s="2"/>
      <c r="E39" s="2"/>
      <c r="F39" s="7" t="s">
        <v>19</v>
      </c>
      <c r="G39" s="2"/>
      <c r="H39" s="2"/>
      <c r="I39" s="2"/>
      <c r="J39" s="2"/>
    </row>
    <row r="40" spans="1:10" x14ac:dyDescent="0.3">
      <c r="A40" s="2" t="s">
        <v>448</v>
      </c>
      <c r="B40" s="2"/>
      <c r="C40" s="2"/>
      <c r="D40" s="2"/>
      <c r="E40" s="1" t="s">
        <v>650</v>
      </c>
      <c r="F40" s="2" t="s">
        <v>24</v>
      </c>
      <c r="G40" s="2"/>
      <c r="H40" s="2"/>
      <c r="I40" s="2"/>
      <c r="J40" s="2"/>
    </row>
    <row r="41" spans="1:10" x14ac:dyDescent="0.3">
      <c r="A41" s="2" t="s">
        <v>447</v>
      </c>
      <c r="B41" s="2"/>
      <c r="C41" s="2"/>
      <c r="D41" s="2"/>
      <c r="E41" s="16" t="s">
        <v>650</v>
      </c>
      <c r="F41" s="2" t="s">
        <v>24</v>
      </c>
      <c r="G41" s="2"/>
      <c r="H41" s="2"/>
      <c r="I41" s="2"/>
      <c r="J41" s="2"/>
    </row>
    <row r="42" spans="1:10" ht="15.6" x14ac:dyDescent="0.35">
      <c r="A42" s="2" t="s">
        <v>519</v>
      </c>
      <c r="B42" s="2"/>
      <c r="C42" s="2"/>
      <c r="D42" s="2"/>
      <c r="E42" s="1" t="s">
        <v>651</v>
      </c>
      <c r="F42" s="2" t="s">
        <v>24</v>
      </c>
      <c r="G42" s="2"/>
      <c r="H42" s="2"/>
      <c r="I42" s="2"/>
      <c r="J42" s="2"/>
    </row>
    <row r="43" spans="1:10" ht="15.6" x14ac:dyDescent="0.35">
      <c r="A43" s="37" t="s">
        <v>520</v>
      </c>
      <c r="B43" s="37"/>
      <c r="C43" s="2"/>
      <c r="D43" s="2"/>
      <c r="E43" s="16">
        <v>2.75</v>
      </c>
      <c r="F43" s="2" t="s">
        <v>24</v>
      </c>
      <c r="G43" s="2"/>
      <c r="H43" s="2"/>
      <c r="I43" s="2"/>
      <c r="J43" s="2"/>
    </row>
    <row r="44" spans="1:10" ht="15.6" x14ac:dyDescent="0.35">
      <c r="A44" s="37" t="s">
        <v>521</v>
      </c>
      <c r="B44" s="37"/>
      <c r="C44" s="2"/>
      <c r="D44" s="2"/>
      <c r="E44" s="1">
        <v>2.96</v>
      </c>
      <c r="F44" s="2" t="s">
        <v>24</v>
      </c>
      <c r="G44" s="2"/>
      <c r="H44" s="2"/>
      <c r="I44" s="2"/>
      <c r="J44" s="2"/>
    </row>
    <row r="45" spans="1:10" ht="33" customHeight="1" x14ac:dyDescent="0.3">
      <c r="A45" s="107" t="s">
        <v>522</v>
      </c>
      <c r="B45" s="107"/>
      <c r="C45" s="107"/>
      <c r="D45" s="109"/>
      <c r="E45" s="1">
        <v>2.96</v>
      </c>
      <c r="F45" s="2" t="s">
        <v>24</v>
      </c>
      <c r="G45" s="2"/>
      <c r="H45" s="2"/>
      <c r="I45" s="2"/>
      <c r="J45" s="2"/>
    </row>
    <row r="46" spans="1:10" ht="33" customHeight="1" x14ac:dyDescent="0.3">
      <c r="A46" s="107" t="s">
        <v>523</v>
      </c>
      <c r="B46" s="107"/>
      <c r="C46" s="107"/>
      <c r="D46" s="109"/>
      <c r="E46" s="1">
        <v>2.96</v>
      </c>
      <c r="F46" s="2" t="s">
        <v>24</v>
      </c>
      <c r="G46" s="2"/>
      <c r="H46" s="2"/>
      <c r="I46" s="2"/>
      <c r="J46" s="2"/>
    </row>
    <row r="47" spans="1:10" x14ac:dyDescent="0.3">
      <c r="A47" s="107" t="s">
        <v>147</v>
      </c>
      <c r="B47" s="107"/>
      <c r="C47" s="107"/>
      <c r="D47" s="109"/>
      <c r="E47" s="1">
        <v>9.3000000000000007</v>
      </c>
      <c r="F47" s="2" t="s">
        <v>24</v>
      </c>
      <c r="G47" s="2"/>
      <c r="H47" s="2"/>
      <c r="I47" s="2"/>
      <c r="J47" s="2"/>
    </row>
    <row r="48" spans="1:10" x14ac:dyDescent="0.3">
      <c r="A48" s="38" t="s">
        <v>417</v>
      </c>
      <c r="B48" s="2"/>
      <c r="C48" s="2"/>
      <c r="D48" s="2"/>
      <c r="E48" s="2"/>
      <c r="F48" s="2"/>
      <c r="G48" s="2"/>
      <c r="H48" s="2"/>
      <c r="I48" s="2"/>
      <c r="J48" s="2"/>
    </row>
    <row r="49" spans="1:10" x14ac:dyDescent="0.3">
      <c r="A49" s="38" t="s">
        <v>418</v>
      </c>
      <c r="B49" s="2"/>
      <c r="C49" s="2"/>
      <c r="D49" s="2"/>
      <c r="E49" s="2"/>
      <c r="F49" s="2"/>
      <c r="G49" s="2"/>
      <c r="H49" s="2"/>
      <c r="I49" s="2"/>
      <c r="J49" s="2"/>
    </row>
    <row r="50" spans="1:10" x14ac:dyDescent="0.3">
      <c r="A50" s="2"/>
      <c r="B50" s="2"/>
      <c r="C50" s="2"/>
      <c r="D50" s="2"/>
      <c r="E50" s="2"/>
      <c r="F50" s="2"/>
      <c r="G50" s="2"/>
      <c r="H50" s="2"/>
      <c r="I50" s="2"/>
      <c r="J50" s="2"/>
    </row>
    <row r="51" spans="1:10" x14ac:dyDescent="0.3">
      <c r="A51" s="30" t="s">
        <v>460</v>
      </c>
      <c r="B51" s="2"/>
      <c r="C51" s="2"/>
      <c r="D51" s="2"/>
      <c r="E51" s="2"/>
      <c r="F51" s="2"/>
      <c r="G51" s="2"/>
      <c r="H51" s="2"/>
      <c r="I51" s="2"/>
      <c r="J51" s="2"/>
    </row>
    <row r="52" spans="1:10" x14ac:dyDescent="0.3">
      <c r="A52" s="7" t="s">
        <v>148</v>
      </c>
      <c r="B52" s="2"/>
      <c r="C52" s="2"/>
      <c r="D52" s="2"/>
      <c r="E52" s="2"/>
      <c r="F52" s="2"/>
      <c r="G52" s="2"/>
      <c r="H52" s="2"/>
      <c r="I52" s="2"/>
      <c r="J52" s="2"/>
    </row>
    <row r="53" spans="1:10" x14ac:dyDescent="0.3">
      <c r="A53" s="2" t="s">
        <v>149</v>
      </c>
      <c r="B53" s="2"/>
      <c r="C53" s="2"/>
      <c r="D53" s="2"/>
      <c r="E53" s="2"/>
      <c r="F53" s="2"/>
      <c r="G53" s="2"/>
      <c r="H53" s="2"/>
      <c r="I53" s="2"/>
      <c r="J53" s="2"/>
    </row>
    <row r="54" spans="1:10" ht="15.6" x14ac:dyDescent="0.35">
      <c r="A54" s="2" t="s">
        <v>527</v>
      </c>
      <c r="B54" s="2"/>
      <c r="C54" s="2"/>
      <c r="D54" s="2"/>
      <c r="E54" s="1">
        <v>3.5</v>
      </c>
      <c r="F54" s="2" t="s">
        <v>24</v>
      </c>
      <c r="G54" s="2"/>
      <c r="H54" s="2"/>
      <c r="I54" s="2"/>
      <c r="J54" s="2"/>
    </row>
    <row r="55" spans="1:10" ht="15.6" x14ac:dyDescent="0.35">
      <c r="A55" s="2" t="s">
        <v>524</v>
      </c>
      <c r="B55" s="2"/>
      <c r="C55" s="2"/>
      <c r="D55" s="2"/>
      <c r="E55" s="1">
        <v>1.8</v>
      </c>
      <c r="F55" s="2" t="s">
        <v>20</v>
      </c>
      <c r="G55" s="2"/>
      <c r="H55" s="2"/>
      <c r="I55" s="2"/>
      <c r="J55" s="2"/>
    </row>
    <row r="56" spans="1:10" ht="15.6" x14ac:dyDescent="0.35">
      <c r="A56" s="2" t="s">
        <v>525</v>
      </c>
      <c r="B56" s="2"/>
      <c r="C56" s="2"/>
      <c r="D56" s="2"/>
      <c r="E56" s="1">
        <v>3</v>
      </c>
      <c r="F56" s="2" t="s">
        <v>20</v>
      </c>
      <c r="G56" s="2"/>
      <c r="H56" s="2"/>
      <c r="I56" s="2"/>
      <c r="J56" s="2"/>
    </row>
    <row r="57" spans="1:10" ht="15.6" x14ac:dyDescent="0.35">
      <c r="A57" s="2" t="s">
        <v>526</v>
      </c>
      <c r="B57" s="2"/>
      <c r="C57" s="2"/>
      <c r="D57" s="2"/>
      <c r="E57" s="26">
        <v>0.33300000000000002</v>
      </c>
      <c r="F57" s="2" t="s">
        <v>20</v>
      </c>
      <c r="G57" s="2"/>
      <c r="H57" s="2"/>
      <c r="I57" s="2"/>
      <c r="J57" s="2"/>
    </row>
    <row r="58" spans="1:10" ht="60" customHeight="1" x14ac:dyDescent="0.3">
      <c r="A58" s="32" t="s">
        <v>518</v>
      </c>
      <c r="B58" s="2"/>
      <c r="C58" s="2"/>
      <c r="D58" s="2"/>
      <c r="E58" s="108" t="s">
        <v>682</v>
      </c>
      <c r="F58" s="108"/>
      <c r="G58" s="108"/>
      <c r="H58" s="108"/>
      <c r="I58" s="108"/>
      <c r="J58" s="2"/>
    </row>
    <row r="59" spans="1:10" x14ac:dyDescent="0.3">
      <c r="A59" s="38" t="s">
        <v>272</v>
      </c>
      <c r="B59" s="2"/>
      <c r="C59" s="2"/>
      <c r="D59" s="2"/>
      <c r="E59" s="2"/>
      <c r="F59" s="2"/>
      <c r="G59" s="2"/>
      <c r="H59" s="2"/>
      <c r="I59" s="2"/>
      <c r="J59" s="2"/>
    </row>
    <row r="60" spans="1:10" ht="15.6" x14ac:dyDescent="0.35">
      <c r="A60" s="2" t="s">
        <v>528</v>
      </c>
      <c r="B60" s="2"/>
      <c r="C60" s="2"/>
      <c r="D60" s="2"/>
      <c r="E60" s="1">
        <v>20</v>
      </c>
      <c r="F60" s="2" t="s">
        <v>24</v>
      </c>
      <c r="G60" s="2"/>
      <c r="H60" s="2"/>
      <c r="I60" s="2"/>
      <c r="J60" s="2"/>
    </row>
    <row r="61" spans="1:10" ht="15.6" x14ac:dyDescent="0.35">
      <c r="A61" s="2" t="s">
        <v>529</v>
      </c>
      <c r="B61" s="2"/>
      <c r="C61" s="2"/>
      <c r="D61" s="2"/>
      <c r="E61" s="1">
        <v>26.5</v>
      </c>
      <c r="F61" s="2" t="s">
        <v>24</v>
      </c>
      <c r="G61" s="2"/>
      <c r="H61" s="2"/>
      <c r="I61" s="2"/>
      <c r="J61" s="2"/>
    </row>
    <row r="62" spans="1:10" x14ac:dyDescent="0.3">
      <c r="A62" s="2"/>
      <c r="B62" s="2"/>
      <c r="C62" s="2"/>
      <c r="D62" s="2"/>
      <c r="E62" s="2"/>
      <c r="F62" s="2"/>
      <c r="G62" s="2"/>
      <c r="H62" s="2"/>
      <c r="I62" s="2"/>
      <c r="J62" s="2"/>
    </row>
    <row r="63" spans="1:10" x14ac:dyDescent="0.3">
      <c r="A63" s="7" t="s">
        <v>150</v>
      </c>
      <c r="B63" s="2"/>
      <c r="C63" s="2"/>
      <c r="D63" s="2"/>
      <c r="E63" s="2"/>
      <c r="F63" s="2"/>
      <c r="G63" s="2"/>
      <c r="H63" s="2"/>
      <c r="I63" s="2"/>
      <c r="J63" s="2"/>
    </row>
    <row r="64" spans="1:10" x14ac:dyDescent="0.3">
      <c r="A64" s="2" t="s">
        <v>151</v>
      </c>
      <c r="B64" s="2"/>
      <c r="C64" s="2"/>
      <c r="D64" s="2"/>
      <c r="E64" s="16">
        <v>30</v>
      </c>
      <c r="F64" s="2" t="s">
        <v>479</v>
      </c>
      <c r="G64" s="2"/>
      <c r="H64" s="2"/>
      <c r="I64" s="2"/>
      <c r="J64" s="2"/>
    </row>
    <row r="65" spans="1:10" x14ac:dyDescent="0.3">
      <c r="A65" s="2" t="s">
        <v>152</v>
      </c>
      <c r="B65" s="2"/>
      <c r="C65" s="2"/>
      <c r="D65" s="2"/>
      <c r="E65" s="1">
        <v>25</v>
      </c>
      <c r="F65" s="2" t="s">
        <v>479</v>
      </c>
      <c r="G65" s="2"/>
      <c r="H65" s="2"/>
      <c r="I65" s="2"/>
      <c r="J65" s="2"/>
    </row>
    <row r="66" spans="1:10" ht="60" customHeight="1" x14ac:dyDescent="0.3">
      <c r="A66" s="36" t="s">
        <v>118</v>
      </c>
      <c r="B66" s="2"/>
      <c r="C66" s="2"/>
      <c r="D66" s="2"/>
      <c r="E66" s="112" t="s">
        <v>684</v>
      </c>
      <c r="F66" s="112"/>
      <c r="G66" s="112"/>
      <c r="H66" s="112"/>
      <c r="I66" s="112"/>
      <c r="J66" s="2"/>
    </row>
    <row r="67" spans="1:10" x14ac:dyDescent="0.3">
      <c r="A67" s="2" t="s">
        <v>153</v>
      </c>
      <c r="B67" s="2"/>
      <c r="C67" s="2"/>
      <c r="D67" s="2"/>
      <c r="E67" s="92">
        <v>6</v>
      </c>
      <c r="F67" s="2" t="s">
        <v>479</v>
      </c>
      <c r="G67" s="2"/>
      <c r="H67" s="2"/>
      <c r="I67" s="2"/>
      <c r="J67" s="2"/>
    </row>
    <row r="68" spans="1:10" ht="60" customHeight="1" x14ac:dyDescent="0.3">
      <c r="A68" s="36" t="s">
        <v>118</v>
      </c>
      <c r="B68" s="2"/>
      <c r="C68" s="2"/>
      <c r="D68" s="2"/>
      <c r="E68" s="113" t="s">
        <v>683</v>
      </c>
      <c r="F68" s="114"/>
      <c r="G68" s="114"/>
      <c r="H68" s="114"/>
      <c r="I68" s="115"/>
      <c r="J68" s="2"/>
    </row>
    <row r="69" spans="1:10" x14ac:dyDescent="0.3">
      <c r="A69" s="38" t="s">
        <v>271</v>
      </c>
      <c r="B69" s="2"/>
      <c r="C69" s="2"/>
      <c r="D69" s="2"/>
      <c r="E69" s="2"/>
      <c r="F69" s="2"/>
      <c r="G69" s="2"/>
      <c r="H69" s="2"/>
      <c r="I69" s="2"/>
      <c r="J69" s="2"/>
    </row>
    <row r="70" spans="1:10" x14ac:dyDescent="0.3">
      <c r="A70" s="38"/>
      <c r="B70" s="2"/>
      <c r="C70" s="2"/>
      <c r="D70" s="2"/>
      <c r="E70" s="2"/>
      <c r="F70" s="2"/>
      <c r="G70" s="2"/>
      <c r="H70" s="2"/>
      <c r="I70" s="2"/>
      <c r="J70" s="2"/>
    </row>
    <row r="71" spans="1:10" x14ac:dyDescent="0.3">
      <c r="A71" s="2" t="s">
        <v>154</v>
      </c>
      <c r="B71" s="2"/>
      <c r="C71" s="2"/>
      <c r="D71" s="2"/>
      <c r="E71" s="2"/>
      <c r="F71" s="2"/>
      <c r="G71" s="2"/>
      <c r="H71" s="2"/>
      <c r="I71" s="2"/>
      <c r="J71" s="2"/>
    </row>
    <row r="72" spans="1:10" x14ac:dyDescent="0.3">
      <c r="A72" s="2"/>
      <c r="B72" s="7" t="s">
        <v>84</v>
      </c>
      <c r="C72" s="7" t="s">
        <v>85</v>
      </c>
      <c r="D72" s="7" t="s">
        <v>86</v>
      </c>
      <c r="E72" s="7" t="s">
        <v>90</v>
      </c>
      <c r="F72" s="7" t="s">
        <v>87</v>
      </c>
      <c r="G72" s="7" t="s">
        <v>88</v>
      </c>
      <c r="H72" s="7" t="s">
        <v>89</v>
      </c>
      <c r="I72" s="7" t="s">
        <v>91</v>
      </c>
      <c r="J72" s="2"/>
    </row>
    <row r="73" spans="1:10" x14ac:dyDescent="0.3">
      <c r="A73" s="2" t="s">
        <v>530</v>
      </c>
      <c r="B73" s="1">
        <v>1</v>
      </c>
      <c r="C73" s="1"/>
      <c r="D73" s="1"/>
      <c r="E73" s="26">
        <v>1</v>
      </c>
      <c r="F73" s="26"/>
      <c r="G73" s="26">
        <v>1</v>
      </c>
      <c r="H73" s="26"/>
      <c r="I73" s="2">
        <f>SUM(B73:H73)</f>
        <v>3</v>
      </c>
      <c r="J73" s="2"/>
    </row>
    <row r="74" spans="1:10" ht="60" customHeight="1" x14ac:dyDescent="0.3">
      <c r="A74" s="36" t="s">
        <v>118</v>
      </c>
      <c r="B74" s="2"/>
      <c r="C74" s="2"/>
      <c r="D74" s="2"/>
      <c r="E74" s="108" t="s">
        <v>685</v>
      </c>
      <c r="F74" s="108"/>
      <c r="G74" s="108"/>
      <c r="H74" s="108"/>
      <c r="I74" s="108"/>
      <c r="J74" s="2"/>
    </row>
    <row r="75" spans="1:10" x14ac:dyDescent="0.3">
      <c r="A75" s="2"/>
      <c r="B75" s="2"/>
      <c r="C75" s="2"/>
      <c r="D75" s="2"/>
      <c r="E75" s="2"/>
      <c r="F75" s="2"/>
      <c r="G75" s="2"/>
      <c r="H75" s="2"/>
      <c r="I75" s="2"/>
      <c r="J75" s="2"/>
    </row>
    <row r="76" spans="1:10" x14ac:dyDescent="0.3">
      <c r="A76" s="30" t="s">
        <v>504</v>
      </c>
      <c r="B76" s="2"/>
      <c r="C76" s="2"/>
      <c r="D76" s="2"/>
      <c r="E76" s="2"/>
      <c r="F76" s="2"/>
      <c r="G76" s="2"/>
      <c r="H76" s="2"/>
      <c r="I76" s="2"/>
      <c r="J76" s="2"/>
    </row>
    <row r="77" spans="1:10" x14ac:dyDescent="0.3">
      <c r="A77" s="2"/>
      <c r="B77" s="2"/>
      <c r="C77" s="2"/>
      <c r="D77" s="2"/>
      <c r="E77" s="2"/>
      <c r="F77" s="2"/>
      <c r="G77" s="2"/>
      <c r="H77" s="2"/>
      <c r="I77" s="2"/>
      <c r="J77" s="2"/>
    </row>
    <row r="78" spans="1:10" x14ac:dyDescent="0.3">
      <c r="A78" s="7" t="s">
        <v>407</v>
      </c>
      <c r="B78" s="2"/>
      <c r="C78" s="2"/>
      <c r="D78" s="2"/>
      <c r="E78" s="2"/>
      <c r="F78" s="2"/>
      <c r="G78" s="2"/>
      <c r="H78" s="2"/>
      <c r="I78" s="2"/>
      <c r="J78" s="2"/>
    </row>
    <row r="79" spans="1:10" x14ac:dyDescent="0.3">
      <c r="A79" s="2"/>
      <c r="B79" s="2"/>
      <c r="C79" s="2"/>
      <c r="D79" s="2"/>
      <c r="E79" s="2"/>
      <c r="F79" s="2"/>
      <c r="G79" s="2"/>
      <c r="H79" s="2"/>
      <c r="I79" s="2"/>
      <c r="J79" s="2"/>
    </row>
    <row r="80" spans="1:10" x14ac:dyDescent="0.3">
      <c r="A80" s="2"/>
      <c r="B80" s="2"/>
      <c r="C80" s="2"/>
      <c r="D80" s="2"/>
      <c r="E80" s="2"/>
      <c r="F80" s="2"/>
      <c r="G80" s="2"/>
      <c r="H80" s="2"/>
      <c r="I80" s="2"/>
      <c r="J80" s="2"/>
    </row>
  </sheetData>
  <sheetProtection algorithmName="SHA-512" hashValue="vz9K8Y7VSXxpvbbm+Mqf5vAnJs8MZ2iIB9gC33elWJNP+/ia6c4k+LmVzH9nfTQK22fcuJJ+hloCVH/t+137kg==" saltValue="If1oKsGAr9pIGpOoimVdLA==" spinCount="100000" sheet="1" objects="1" scenarios="1" formatCells="0"/>
  <mergeCells count="16">
    <mergeCell ref="E74:I74"/>
    <mergeCell ref="A27:B27"/>
    <mergeCell ref="A28:B28"/>
    <mergeCell ref="E4:I4"/>
    <mergeCell ref="A4:C4"/>
    <mergeCell ref="A45:D45"/>
    <mergeCell ref="A46:D46"/>
    <mergeCell ref="A47:D47"/>
    <mergeCell ref="E58:I58"/>
    <mergeCell ref="E66:I66"/>
    <mergeCell ref="E68:I68"/>
    <mergeCell ref="A1:F1"/>
    <mergeCell ref="E25:I25"/>
    <mergeCell ref="E26:I26"/>
    <mergeCell ref="A25:D25"/>
    <mergeCell ref="A26:D2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D77A6-37C4-4BC9-83A6-EEE85170BB56}">
  <sheetPr codeName="Sheet6"/>
  <dimension ref="A1:G44"/>
  <sheetViews>
    <sheetView zoomScale="119" workbookViewId="0">
      <selection activeCell="C40" sqref="C40"/>
    </sheetView>
  </sheetViews>
  <sheetFormatPr defaultRowHeight="14.4" x14ac:dyDescent="0.3"/>
  <cols>
    <col min="1" max="1" width="16.109375" customWidth="1"/>
    <col min="2" max="2" width="44.88671875" customWidth="1"/>
    <col min="3" max="3" width="19.6640625" bestFit="1" customWidth="1"/>
    <col min="4" max="4" width="18.33203125" customWidth="1"/>
  </cols>
  <sheetData>
    <row r="1" spans="1:7" ht="30" customHeight="1" x14ac:dyDescent="0.3">
      <c r="A1" s="107" t="s">
        <v>506</v>
      </c>
      <c r="B1" s="107"/>
      <c r="C1" s="107"/>
      <c r="D1" s="107"/>
      <c r="E1" s="107"/>
      <c r="F1" s="107"/>
      <c r="G1" s="107"/>
    </row>
    <row r="2" spans="1:7" x14ac:dyDescent="0.3">
      <c r="A2" s="116" t="s">
        <v>510</v>
      </c>
      <c r="B2" s="116"/>
      <c r="C2" s="116"/>
      <c r="D2" s="116"/>
      <c r="E2" s="116"/>
      <c r="F2" s="116"/>
      <c r="G2" s="116"/>
    </row>
    <row r="3" spans="1:7" x14ac:dyDescent="0.3">
      <c r="A3" s="2"/>
      <c r="B3" s="2"/>
      <c r="C3" s="2"/>
      <c r="D3" s="2"/>
      <c r="E3" s="2"/>
      <c r="F3" s="2"/>
      <c r="G3" s="2"/>
    </row>
    <row r="4" spans="1:7" x14ac:dyDescent="0.3">
      <c r="A4" s="7" t="s">
        <v>156</v>
      </c>
      <c r="B4" s="7"/>
      <c r="C4" s="2"/>
      <c r="D4" s="2"/>
      <c r="E4" s="2"/>
      <c r="F4" s="2"/>
      <c r="G4" s="2"/>
    </row>
    <row r="5" spans="1:7" x14ac:dyDescent="0.3">
      <c r="A5" s="38" t="s">
        <v>475</v>
      </c>
      <c r="B5" s="2"/>
      <c r="C5" s="2"/>
      <c r="D5" s="2"/>
      <c r="E5" s="2"/>
      <c r="F5" s="2"/>
      <c r="G5" s="2"/>
    </row>
    <row r="6" spans="1:7" x14ac:dyDescent="0.3">
      <c r="A6" s="2" t="s">
        <v>157</v>
      </c>
      <c r="B6" s="2"/>
      <c r="C6" s="2"/>
      <c r="D6" s="1">
        <v>9.5</v>
      </c>
      <c r="E6" s="2" t="s">
        <v>20</v>
      </c>
      <c r="F6" s="2"/>
      <c r="G6" s="2"/>
    </row>
    <row r="7" spans="1:7" x14ac:dyDescent="0.3">
      <c r="A7" s="2" t="s">
        <v>158</v>
      </c>
      <c r="B7" s="2"/>
      <c r="C7" s="2"/>
      <c r="D7" s="2"/>
      <c r="E7" s="2"/>
      <c r="F7" s="2"/>
      <c r="G7" s="2"/>
    </row>
    <row r="8" spans="1:7" ht="60" customHeight="1" x14ac:dyDescent="0.3">
      <c r="A8" s="107" t="s">
        <v>159</v>
      </c>
      <c r="B8" s="109"/>
      <c r="C8" s="108" t="s">
        <v>652</v>
      </c>
      <c r="D8" s="108"/>
      <c r="E8" s="108"/>
      <c r="F8" s="108"/>
      <c r="G8" s="34"/>
    </row>
    <row r="9" spans="1:7" ht="60" customHeight="1" x14ac:dyDescent="0.3">
      <c r="A9" s="107" t="s">
        <v>160</v>
      </c>
      <c r="B9" s="109"/>
      <c r="C9" s="108" t="s">
        <v>653</v>
      </c>
      <c r="D9" s="108"/>
      <c r="E9" s="108"/>
      <c r="F9" s="108"/>
      <c r="G9" s="2"/>
    </row>
    <row r="10" spans="1:7" ht="60" customHeight="1" x14ac:dyDescent="0.3">
      <c r="A10" s="107" t="s">
        <v>161</v>
      </c>
      <c r="B10" s="109"/>
      <c r="C10" s="108" t="s">
        <v>654</v>
      </c>
      <c r="D10" s="108"/>
      <c r="E10" s="108"/>
      <c r="F10" s="108"/>
      <c r="G10" s="2"/>
    </row>
    <row r="11" spans="1:7" ht="60" customHeight="1" x14ac:dyDescent="0.3">
      <c r="A11" s="107" t="s">
        <v>162</v>
      </c>
      <c r="B11" s="109"/>
      <c r="C11" s="108" t="s">
        <v>655</v>
      </c>
      <c r="D11" s="108"/>
      <c r="E11" s="108"/>
      <c r="F11" s="108"/>
      <c r="G11" s="2"/>
    </row>
    <row r="12" spans="1:7" x14ac:dyDescent="0.3">
      <c r="A12" s="2"/>
      <c r="B12" s="2"/>
      <c r="C12" s="2"/>
      <c r="D12" s="2"/>
      <c r="E12" s="2"/>
      <c r="F12" s="2"/>
      <c r="G12" s="2"/>
    </row>
    <row r="13" spans="1:7" x14ac:dyDescent="0.3">
      <c r="A13" s="7" t="s">
        <v>163</v>
      </c>
      <c r="B13" s="2"/>
      <c r="C13" s="2"/>
      <c r="D13" s="2"/>
      <c r="E13" s="2"/>
      <c r="F13" s="2"/>
      <c r="G13" s="2"/>
    </row>
    <row r="14" spans="1:7" x14ac:dyDescent="0.3">
      <c r="A14" s="2" t="s">
        <v>164</v>
      </c>
      <c r="B14" s="2"/>
      <c r="C14" s="2"/>
      <c r="D14" s="2"/>
      <c r="E14" s="7" t="s">
        <v>19</v>
      </c>
      <c r="F14" s="2"/>
      <c r="G14" s="2"/>
    </row>
    <row r="15" spans="1:7" x14ac:dyDescent="0.3">
      <c r="A15" s="117" t="s">
        <v>476</v>
      </c>
      <c r="B15" s="117"/>
      <c r="C15" s="117"/>
      <c r="D15" s="117"/>
      <c r="E15" s="117"/>
      <c r="F15" s="117"/>
      <c r="G15" s="117"/>
    </row>
    <row r="16" spans="1:7" ht="30" customHeight="1" x14ac:dyDescent="0.3">
      <c r="A16" s="107" t="s">
        <v>165</v>
      </c>
      <c r="B16" s="107"/>
      <c r="C16" s="2"/>
      <c r="D16" s="1">
        <v>5.5</v>
      </c>
      <c r="E16" s="2" t="s">
        <v>20</v>
      </c>
      <c r="F16" s="2"/>
      <c r="G16" s="2"/>
    </row>
    <row r="17" spans="1:7" x14ac:dyDescent="0.3">
      <c r="A17" s="2" t="s">
        <v>477</v>
      </c>
      <c r="B17" s="2"/>
      <c r="C17" s="2"/>
      <c r="D17" s="2"/>
      <c r="E17" s="2"/>
      <c r="F17" s="2"/>
      <c r="G17" s="2"/>
    </row>
    <row r="18" spans="1:7" ht="16.2" x14ac:dyDescent="0.3">
      <c r="A18" s="2" t="s">
        <v>166</v>
      </c>
      <c r="B18" s="2"/>
      <c r="C18" s="2"/>
      <c r="D18" s="98">
        <v>395</v>
      </c>
      <c r="E18" s="2" t="s">
        <v>478</v>
      </c>
      <c r="F18" s="2"/>
      <c r="G18" s="2"/>
    </row>
    <row r="19" spans="1:7" x14ac:dyDescent="0.3">
      <c r="A19" s="2" t="s">
        <v>167</v>
      </c>
      <c r="B19" s="2"/>
      <c r="C19" s="2"/>
      <c r="D19" s="1" t="s">
        <v>659</v>
      </c>
      <c r="E19" s="2" t="s">
        <v>20</v>
      </c>
      <c r="F19" s="2"/>
      <c r="G19" s="2"/>
    </row>
    <row r="20" spans="1:7" x14ac:dyDescent="0.3">
      <c r="A20" s="2" t="s">
        <v>168</v>
      </c>
      <c r="B20" s="2"/>
      <c r="C20" s="2"/>
      <c r="D20" s="1" t="s">
        <v>660</v>
      </c>
      <c r="E20" s="2" t="s">
        <v>20</v>
      </c>
      <c r="F20" s="2"/>
      <c r="G20" s="2"/>
    </row>
    <row r="21" spans="1:7" x14ac:dyDescent="0.3">
      <c r="A21" s="2"/>
      <c r="B21" s="2"/>
      <c r="C21" s="2"/>
      <c r="D21" s="2"/>
      <c r="E21" s="2"/>
      <c r="F21" s="2"/>
      <c r="G21" s="2"/>
    </row>
    <row r="22" spans="1:7" x14ac:dyDescent="0.3">
      <c r="A22" s="7" t="s">
        <v>169</v>
      </c>
      <c r="B22" s="2"/>
      <c r="C22" s="2"/>
      <c r="D22" s="2"/>
      <c r="E22" s="2"/>
      <c r="F22" s="2"/>
      <c r="G22" s="2"/>
    </row>
    <row r="23" spans="1:7" x14ac:dyDescent="0.3">
      <c r="A23" s="2" t="s">
        <v>545</v>
      </c>
      <c r="B23" s="2"/>
      <c r="C23" s="2"/>
      <c r="D23" s="1" t="s">
        <v>661</v>
      </c>
      <c r="E23" s="2" t="s">
        <v>20</v>
      </c>
      <c r="F23" s="2"/>
      <c r="G23" s="2"/>
    </row>
    <row r="24" spans="1:7" x14ac:dyDescent="0.3">
      <c r="A24" s="2" t="s">
        <v>170</v>
      </c>
      <c r="B24" s="2"/>
      <c r="C24" s="2"/>
      <c r="D24" s="1">
        <v>0.94499999999999995</v>
      </c>
      <c r="E24" s="2" t="s">
        <v>20</v>
      </c>
      <c r="F24" s="2"/>
      <c r="G24" s="2"/>
    </row>
    <row r="25" spans="1:7" ht="30" customHeight="1" x14ac:dyDescent="0.3">
      <c r="A25" s="107" t="s">
        <v>177</v>
      </c>
      <c r="B25" s="107"/>
      <c r="C25" s="2"/>
      <c r="D25" s="1">
        <v>18.05</v>
      </c>
      <c r="E25" s="2" t="s">
        <v>20</v>
      </c>
      <c r="F25" s="2"/>
      <c r="G25" s="2"/>
    </row>
    <row r="26" spans="1:7" ht="30" customHeight="1" x14ac:dyDescent="0.3">
      <c r="A26" s="107" t="s">
        <v>171</v>
      </c>
      <c r="B26" s="107"/>
      <c r="C26" s="2"/>
      <c r="D26" s="1">
        <v>0.78</v>
      </c>
      <c r="E26" s="2" t="s">
        <v>20</v>
      </c>
      <c r="F26" s="2"/>
      <c r="G26" s="2"/>
    </row>
    <row r="27" spans="1:7" x14ac:dyDescent="0.3">
      <c r="A27" s="2"/>
      <c r="B27" s="2"/>
      <c r="C27" s="2"/>
      <c r="D27" s="2"/>
      <c r="E27" s="2"/>
      <c r="F27" s="2"/>
      <c r="G27" s="2"/>
    </row>
    <row r="28" spans="1:7" x14ac:dyDescent="0.3">
      <c r="A28" s="7" t="s">
        <v>172</v>
      </c>
      <c r="B28" s="2"/>
      <c r="C28" s="2"/>
      <c r="D28" s="2"/>
      <c r="E28" s="2"/>
      <c r="F28" s="2"/>
      <c r="G28" s="2"/>
    </row>
    <row r="29" spans="1:7" x14ac:dyDescent="0.3">
      <c r="A29" s="2" t="s">
        <v>173</v>
      </c>
      <c r="B29" s="2"/>
      <c r="C29" s="2"/>
      <c r="D29" s="16"/>
      <c r="E29" s="2" t="s">
        <v>20</v>
      </c>
      <c r="F29" s="2"/>
      <c r="G29" s="2"/>
    </row>
    <row r="30" spans="1:7" x14ac:dyDescent="0.3">
      <c r="A30" s="2" t="s">
        <v>174</v>
      </c>
      <c r="B30" s="2"/>
      <c r="C30" s="2"/>
      <c r="D30" s="1" t="s">
        <v>614</v>
      </c>
      <c r="E30" s="2" t="s">
        <v>20</v>
      </c>
      <c r="F30" s="2"/>
      <c r="G30" s="2"/>
    </row>
    <row r="31" spans="1:7" x14ac:dyDescent="0.3">
      <c r="A31" s="2" t="s">
        <v>175</v>
      </c>
      <c r="B31" s="2"/>
      <c r="C31" s="2"/>
      <c r="D31" s="16">
        <v>10</v>
      </c>
      <c r="E31" s="2" t="s">
        <v>20</v>
      </c>
      <c r="F31" s="2"/>
      <c r="G31" s="2"/>
    </row>
    <row r="32" spans="1:7" x14ac:dyDescent="0.3">
      <c r="A32" s="2" t="s">
        <v>176</v>
      </c>
      <c r="B32" s="2"/>
      <c r="C32" s="2"/>
      <c r="D32" s="99" t="s">
        <v>662</v>
      </c>
      <c r="E32" s="2" t="s">
        <v>20</v>
      </c>
      <c r="F32" s="2"/>
      <c r="G32" s="2"/>
    </row>
    <row r="33" spans="1:7" x14ac:dyDescent="0.3">
      <c r="A33" s="2"/>
      <c r="B33" s="2"/>
      <c r="C33" s="2"/>
      <c r="D33" s="2"/>
      <c r="E33" s="2"/>
      <c r="F33" s="2"/>
      <c r="G33" s="2"/>
    </row>
    <row r="34" spans="1:7" x14ac:dyDescent="0.3">
      <c r="A34" s="7" t="s">
        <v>227</v>
      </c>
      <c r="B34" s="2"/>
      <c r="C34" s="2"/>
      <c r="D34" s="2"/>
      <c r="E34" s="2"/>
      <c r="F34" s="2"/>
      <c r="G34" s="2"/>
    </row>
    <row r="35" spans="1:7" x14ac:dyDescent="0.3">
      <c r="A35" s="2" t="s">
        <v>228</v>
      </c>
      <c r="B35" s="2"/>
      <c r="C35" s="2"/>
      <c r="D35" s="1">
        <v>0</v>
      </c>
      <c r="E35" s="2" t="s">
        <v>479</v>
      </c>
      <c r="F35" s="2"/>
      <c r="G35" s="2"/>
    </row>
    <row r="36" spans="1:7" x14ac:dyDescent="0.3">
      <c r="A36" s="2" t="s">
        <v>229</v>
      </c>
      <c r="B36" s="2"/>
      <c r="D36" s="1">
        <v>15</v>
      </c>
      <c r="E36" s="2" t="s">
        <v>479</v>
      </c>
      <c r="F36" s="2"/>
      <c r="G36" s="2"/>
    </row>
    <row r="37" spans="1:7" x14ac:dyDescent="0.3">
      <c r="A37" s="2" t="s">
        <v>230</v>
      </c>
      <c r="B37" s="2"/>
      <c r="C37" s="2"/>
      <c r="D37" s="2"/>
      <c r="E37" s="2"/>
      <c r="F37" s="2"/>
      <c r="G37" s="2"/>
    </row>
    <row r="38" spans="1:7" x14ac:dyDescent="0.3">
      <c r="A38" s="30" t="s">
        <v>507</v>
      </c>
      <c r="B38" s="30" t="s">
        <v>508</v>
      </c>
      <c r="C38" s="30" t="s">
        <v>236</v>
      </c>
      <c r="D38" s="30" t="s">
        <v>232</v>
      </c>
      <c r="E38" s="30" t="s">
        <v>233</v>
      </c>
      <c r="F38" s="2"/>
      <c r="G38" s="2"/>
    </row>
    <row r="39" spans="1:7" x14ac:dyDescent="0.3">
      <c r="A39" s="2" t="s">
        <v>32</v>
      </c>
      <c r="B39" s="2" t="s">
        <v>234</v>
      </c>
      <c r="C39" s="1">
        <v>0</v>
      </c>
      <c r="D39" s="1">
        <v>1.7874999999999999E-2</v>
      </c>
      <c r="E39" s="1">
        <v>0.78</v>
      </c>
      <c r="F39" s="2"/>
      <c r="G39" s="2"/>
    </row>
    <row r="40" spans="1:7" x14ac:dyDescent="0.3">
      <c r="A40" s="2" t="s">
        <v>32</v>
      </c>
      <c r="B40" s="2" t="s">
        <v>235</v>
      </c>
      <c r="C40" s="1">
        <v>0</v>
      </c>
      <c r="D40" s="16">
        <v>3.2875000000000001E-2</v>
      </c>
      <c r="E40" s="1">
        <v>0.78</v>
      </c>
      <c r="F40" s="2"/>
      <c r="G40" s="2"/>
    </row>
    <row r="41" spans="1:7" x14ac:dyDescent="0.3">
      <c r="A41" s="2" t="s">
        <v>25</v>
      </c>
      <c r="B41" s="2" t="s">
        <v>234</v>
      </c>
      <c r="C41" s="1">
        <v>15</v>
      </c>
      <c r="D41" s="1">
        <v>3.7374999999999999E-2</v>
      </c>
      <c r="E41" s="1">
        <v>0.84899999999999998</v>
      </c>
      <c r="F41" s="2"/>
      <c r="G41" s="2"/>
    </row>
    <row r="42" spans="1:7" x14ac:dyDescent="0.3">
      <c r="A42" s="2" t="s">
        <v>25</v>
      </c>
      <c r="B42" s="2" t="s">
        <v>235</v>
      </c>
      <c r="C42" s="1">
        <v>15</v>
      </c>
      <c r="D42" s="1">
        <v>5.2374999999999998E-2</v>
      </c>
      <c r="E42" s="1">
        <v>0.84899999999999998</v>
      </c>
      <c r="F42" s="2"/>
      <c r="G42" s="2"/>
    </row>
    <row r="43" spans="1:7" x14ac:dyDescent="0.3">
      <c r="A43" s="2" t="s">
        <v>34</v>
      </c>
      <c r="B43" s="2" t="s">
        <v>234</v>
      </c>
      <c r="C43" s="1">
        <v>45</v>
      </c>
      <c r="D43" s="1">
        <v>7.6374999999999998E-2</v>
      </c>
      <c r="E43" s="1">
        <v>0.98699999999999999</v>
      </c>
      <c r="F43" s="2"/>
      <c r="G43" s="2"/>
    </row>
    <row r="44" spans="1:7" x14ac:dyDescent="0.3">
      <c r="A44" s="2" t="s">
        <v>34</v>
      </c>
      <c r="B44" s="2" t="s">
        <v>235</v>
      </c>
      <c r="C44" s="1">
        <v>45</v>
      </c>
      <c r="D44" s="1">
        <v>9.1374999999999998E-2</v>
      </c>
      <c r="E44" s="1">
        <v>0.98699999999999999</v>
      </c>
      <c r="F44" s="2"/>
      <c r="G44" s="2"/>
    </row>
  </sheetData>
  <sheetProtection algorithmName="SHA-512" hashValue="0VL3Vkm2dIJXSrgm39vuhF2Tvxksg+Dtw293ASpKtYsR6irr6kiwwLr/ccbrVSOGU2/KyOJPXHz9BOYwnMIQWg==" saltValue="Zt961gDI/nfNEe2LU3Uh3g==" spinCount="100000" sheet="1" objects="1" scenarios="1" formatCells="0"/>
  <mergeCells count="14">
    <mergeCell ref="A16:B16"/>
    <mergeCell ref="A25:B25"/>
    <mergeCell ref="A26:B26"/>
    <mergeCell ref="A8:B8"/>
    <mergeCell ref="C9:F9"/>
    <mergeCell ref="C8:F8"/>
    <mergeCell ref="C10:F10"/>
    <mergeCell ref="C11:F11"/>
    <mergeCell ref="A1:G1"/>
    <mergeCell ref="A2:G2"/>
    <mergeCell ref="A15:G15"/>
    <mergeCell ref="A9:B9"/>
    <mergeCell ref="A10:B10"/>
    <mergeCell ref="A11:B1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43669-6482-4F5F-89C3-F627C0CAA917}">
  <sheetPr codeName="Sheet7"/>
  <dimension ref="A1:R30"/>
  <sheetViews>
    <sheetView topLeftCell="A10" zoomScale="117" workbookViewId="0">
      <selection activeCell="B15" sqref="B15"/>
    </sheetView>
  </sheetViews>
  <sheetFormatPr defaultRowHeight="14.4" x14ac:dyDescent="0.3"/>
  <cols>
    <col min="1" max="1" width="49.44140625" customWidth="1"/>
    <col min="2" max="2" width="10.5546875" customWidth="1"/>
  </cols>
  <sheetData>
    <row r="1" spans="1:18" x14ac:dyDescent="0.3">
      <c r="A1" s="2" t="s">
        <v>509</v>
      </c>
      <c r="B1" s="2"/>
      <c r="C1" s="2"/>
      <c r="D1" s="2"/>
      <c r="E1" s="2"/>
      <c r="F1" s="2"/>
      <c r="G1" s="2"/>
      <c r="H1" s="2"/>
      <c r="I1" s="2"/>
      <c r="J1" s="2"/>
      <c r="K1" s="2"/>
      <c r="L1" s="2"/>
      <c r="M1" s="2"/>
      <c r="N1" s="2"/>
      <c r="O1" s="2"/>
      <c r="P1" s="2"/>
      <c r="Q1" s="2"/>
      <c r="R1" s="2"/>
    </row>
    <row r="2" spans="1:18" x14ac:dyDescent="0.3">
      <c r="A2" s="2" t="s">
        <v>511</v>
      </c>
      <c r="B2" s="2"/>
      <c r="C2" s="2"/>
      <c r="D2" s="2"/>
      <c r="E2" s="2"/>
      <c r="F2" s="2"/>
      <c r="G2" s="2"/>
      <c r="H2" s="2"/>
      <c r="I2" s="2"/>
      <c r="J2" s="2"/>
      <c r="K2" s="2"/>
      <c r="L2" s="2"/>
      <c r="M2" s="2"/>
      <c r="N2" s="2"/>
      <c r="O2" s="2"/>
      <c r="P2" s="2"/>
      <c r="Q2" s="2"/>
      <c r="R2" s="2"/>
    </row>
    <row r="3" spans="1:18" x14ac:dyDescent="0.3">
      <c r="A3" s="2"/>
      <c r="B3" s="2"/>
      <c r="C3" s="2"/>
      <c r="D3" s="2"/>
      <c r="E3" s="2"/>
      <c r="F3" s="2"/>
      <c r="G3" s="2"/>
      <c r="H3" s="2"/>
      <c r="I3" s="2"/>
      <c r="J3" s="2"/>
      <c r="K3" s="2"/>
      <c r="L3" s="2"/>
      <c r="M3" s="2"/>
      <c r="N3" s="2"/>
      <c r="O3" s="2"/>
      <c r="P3" s="2"/>
      <c r="Q3" s="2"/>
      <c r="R3" s="2"/>
    </row>
    <row r="4" spans="1:18" x14ac:dyDescent="0.3">
      <c r="A4" s="7" t="s">
        <v>178</v>
      </c>
      <c r="B4" s="2"/>
      <c r="C4" s="7" t="s">
        <v>19</v>
      </c>
      <c r="D4" s="2"/>
      <c r="E4" s="2"/>
      <c r="F4" s="2"/>
      <c r="G4" s="2"/>
      <c r="H4" s="2"/>
      <c r="I4" s="2"/>
      <c r="J4" s="2"/>
      <c r="K4" s="2"/>
      <c r="L4" s="2"/>
      <c r="M4" s="2"/>
      <c r="N4" s="2"/>
      <c r="O4" s="2"/>
      <c r="P4" s="2"/>
      <c r="Q4" s="2"/>
      <c r="R4" s="2"/>
    </row>
    <row r="5" spans="1:18" x14ac:dyDescent="0.3">
      <c r="A5" s="2" t="s">
        <v>179</v>
      </c>
      <c r="B5" s="1" t="s">
        <v>663</v>
      </c>
      <c r="C5" s="2" t="s">
        <v>21</v>
      </c>
      <c r="D5" s="2"/>
      <c r="E5" s="2"/>
      <c r="F5" s="2"/>
      <c r="G5" s="2"/>
      <c r="H5" s="2"/>
      <c r="I5" s="2"/>
      <c r="J5" s="2"/>
      <c r="K5" s="2"/>
      <c r="L5" s="2"/>
      <c r="M5" s="2"/>
      <c r="N5" s="2"/>
      <c r="O5" s="2"/>
      <c r="P5" s="2"/>
      <c r="Q5" s="2"/>
      <c r="R5" s="2"/>
    </row>
    <row r="6" spans="1:18" x14ac:dyDescent="0.3">
      <c r="A6" s="2"/>
      <c r="B6" s="2"/>
      <c r="C6" s="2"/>
      <c r="D6" s="2"/>
      <c r="E6" s="2"/>
      <c r="F6" s="2"/>
      <c r="G6" s="2"/>
      <c r="H6" s="2"/>
      <c r="I6" s="2"/>
      <c r="J6" s="2"/>
      <c r="K6" s="2"/>
      <c r="L6" s="2"/>
      <c r="M6" s="2"/>
      <c r="N6" s="2"/>
      <c r="O6" s="2"/>
      <c r="P6" s="2"/>
      <c r="Q6" s="2"/>
      <c r="R6" s="2"/>
    </row>
    <row r="7" spans="1:18" x14ac:dyDescent="0.3">
      <c r="A7" s="7" t="s">
        <v>180</v>
      </c>
      <c r="B7" s="2"/>
      <c r="C7" s="2"/>
      <c r="D7" s="2"/>
      <c r="E7" s="2"/>
      <c r="F7" s="2"/>
      <c r="G7" s="2"/>
      <c r="H7" s="2"/>
      <c r="I7" s="2"/>
      <c r="J7" s="2"/>
      <c r="K7" s="2"/>
      <c r="L7" s="2"/>
      <c r="M7" s="2"/>
      <c r="N7" s="2"/>
      <c r="O7" s="2"/>
      <c r="P7" s="2"/>
      <c r="Q7" s="2"/>
      <c r="R7" s="2"/>
    </row>
    <row r="8" spans="1:18" x14ac:dyDescent="0.3">
      <c r="A8" s="2" t="s">
        <v>480</v>
      </c>
      <c r="B8" s="2"/>
      <c r="C8" s="2"/>
      <c r="D8" s="2"/>
      <c r="E8" s="2"/>
      <c r="F8" s="2"/>
      <c r="G8" s="2"/>
      <c r="H8" s="2"/>
      <c r="I8" s="2"/>
      <c r="J8" s="2"/>
      <c r="K8" s="2"/>
      <c r="L8" s="2"/>
      <c r="M8" s="2"/>
      <c r="N8" s="2"/>
      <c r="O8" s="2"/>
      <c r="P8" s="2"/>
      <c r="Q8" s="2"/>
      <c r="R8" s="2"/>
    </row>
    <row r="9" spans="1:18" x14ac:dyDescent="0.3">
      <c r="A9" s="38" t="s">
        <v>181</v>
      </c>
      <c r="B9" s="2"/>
      <c r="C9" s="2"/>
      <c r="D9" s="2"/>
      <c r="E9" s="2"/>
      <c r="F9" s="2"/>
      <c r="G9" s="2"/>
      <c r="H9" s="2"/>
      <c r="I9" s="2"/>
      <c r="J9" s="2"/>
      <c r="K9" s="2"/>
      <c r="L9" s="2"/>
      <c r="M9" s="2"/>
      <c r="N9" s="2"/>
      <c r="O9" s="2"/>
      <c r="P9" s="2"/>
      <c r="Q9" s="2"/>
      <c r="R9" s="2"/>
    </row>
    <row r="10" spans="1:18" x14ac:dyDescent="0.3">
      <c r="A10" s="38" t="s">
        <v>440</v>
      </c>
      <c r="B10" s="2"/>
      <c r="C10" s="2"/>
      <c r="D10" s="2"/>
      <c r="E10" s="2"/>
      <c r="F10" s="2"/>
      <c r="G10" s="2"/>
      <c r="H10" s="2"/>
      <c r="I10" s="2"/>
      <c r="J10" s="2"/>
      <c r="K10" s="2"/>
      <c r="L10" s="2"/>
      <c r="M10" s="2"/>
      <c r="N10" s="2"/>
      <c r="O10" s="2"/>
      <c r="P10" s="2"/>
      <c r="Q10" s="2"/>
      <c r="R10" s="2"/>
    </row>
    <row r="11" spans="1:18" x14ac:dyDescent="0.3">
      <c r="A11" s="38" t="s">
        <v>441</v>
      </c>
      <c r="B11" s="2"/>
      <c r="C11" s="2"/>
      <c r="D11" s="2"/>
      <c r="E11" s="2"/>
      <c r="F11" s="2"/>
      <c r="G11" s="2"/>
      <c r="H11" s="2"/>
      <c r="I11" s="2"/>
      <c r="J11" s="2"/>
      <c r="K11" s="2"/>
      <c r="L11" s="2"/>
      <c r="M11" s="2"/>
      <c r="N11" s="2"/>
      <c r="O11" s="2"/>
      <c r="P11" s="2"/>
      <c r="Q11" s="2"/>
      <c r="R11" s="2"/>
    </row>
    <row r="12" spans="1:18" ht="28.8" x14ac:dyDescent="0.3">
      <c r="A12" s="31" t="s">
        <v>442</v>
      </c>
      <c r="B12" s="1" t="s">
        <v>672</v>
      </c>
      <c r="C12" s="2" t="s">
        <v>21</v>
      </c>
      <c r="D12" s="2"/>
      <c r="E12" s="2"/>
      <c r="F12" s="2"/>
      <c r="G12" s="2"/>
      <c r="H12" s="2"/>
      <c r="I12" s="2"/>
      <c r="J12" s="2"/>
      <c r="K12" s="2"/>
      <c r="L12" s="2"/>
      <c r="M12" s="2"/>
      <c r="N12" s="2"/>
      <c r="O12" s="2"/>
      <c r="P12" s="2"/>
      <c r="Q12" s="2"/>
      <c r="R12" s="2"/>
    </row>
    <row r="13" spans="1:18" x14ac:dyDescent="0.3">
      <c r="A13" s="2"/>
      <c r="B13" s="2"/>
      <c r="C13" s="2"/>
      <c r="D13" s="2"/>
      <c r="E13" s="2"/>
      <c r="F13" s="2"/>
      <c r="G13" s="2"/>
      <c r="H13" s="2"/>
      <c r="I13" s="2"/>
      <c r="J13" s="2"/>
      <c r="K13" s="2"/>
      <c r="L13" s="2"/>
      <c r="M13" s="2"/>
      <c r="N13" s="2"/>
      <c r="O13" s="2"/>
      <c r="P13" s="2"/>
      <c r="Q13" s="2"/>
      <c r="R13" s="2"/>
    </row>
    <row r="14" spans="1:18" x14ac:dyDescent="0.3">
      <c r="A14" s="7" t="s">
        <v>183</v>
      </c>
      <c r="B14" s="2"/>
      <c r="C14" s="2"/>
      <c r="D14" s="2"/>
      <c r="E14" s="2"/>
      <c r="F14" s="2"/>
      <c r="G14" s="2"/>
      <c r="H14" s="2"/>
      <c r="I14" s="2"/>
      <c r="J14" s="2"/>
      <c r="K14" s="2"/>
      <c r="L14" s="2"/>
      <c r="M14" s="2"/>
      <c r="N14" s="2"/>
      <c r="O14" s="2"/>
      <c r="P14" s="2"/>
      <c r="Q14" s="2"/>
      <c r="R14" s="2"/>
    </row>
    <row r="15" spans="1:18" x14ac:dyDescent="0.3">
      <c r="A15" s="2" t="s">
        <v>184</v>
      </c>
      <c r="B15" s="1">
        <v>29630</v>
      </c>
      <c r="C15" s="2" t="s">
        <v>21</v>
      </c>
      <c r="D15" s="2"/>
      <c r="E15" s="2"/>
      <c r="F15" s="2"/>
      <c r="G15" s="2"/>
      <c r="H15" s="2"/>
      <c r="I15" s="2"/>
      <c r="J15" s="2"/>
      <c r="K15" s="2"/>
      <c r="L15" s="2"/>
      <c r="M15" s="2"/>
      <c r="N15" s="2"/>
      <c r="O15" s="2"/>
      <c r="P15" s="2"/>
      <c r="Q15" s="2"/>
      <c r="R15" s="2"/>
    </row>
    <row r="16" spans="1:18" x14ac:dyDescent="0.3">
      <c r="A16" s="2" t="s">
        <v>443</v>
      </c>
      <c r="B16" s="1">
        <v>18370</v>
      </c>
      <c r="C16" s="2" t="s">
        <v>21</v>
      </c>
      <c r="D16" s="2"/>
      <c r="E16" s="2"/>
      <c r="F16" s="2"/>
      <c r="G16" s="2"/>
      <c r="H16" s="2"/>
      <c r="I16" s="2"/>
      <c r="J16" s="2"/>
      <c r="K16" s="2"/>
      <c r="L16" s="2"/>
      <c r="M16" s="2"/>
      <c r="N16" s="2"/>
      <c r="O16" s="2"/>
      <c r="P16" s="2"/>
      <c r="Q16" s="2"/>
      <c r="R16" s="2"/>
    </row>
    <row r="17" spans="1:18" x14ac:dyDescent="0.3">
      <c r="A17" s="2" t="s">
        <v>185</v>
      </c>
      <c r="B17" s="1">
        <v>3140</v>
      </c>
      <c r="C17" s="2" t="s">
        <v>21</v>
      </c>
      <c r="D17" s="2"/>
      <c r="E17" s="2"/>
      <c r="F17" s="2"/>
      <c r="G17" s="2"/>
      <c r="H17" s="2"/>
      <c r="I17" s="2"/>
      <c r="J17" s="2"/>
      <c r="K17" s="2"/>
      <c r="L17" s="2"/>
      <c r="M17" s="2"/>
      <c r="N17" s="2"/>
      <c r="O17" s="2"/>
      <c r="P17" s="2"/>
      <c r="Q17" s="2"/>
      <c r="R17" s="2"/>
    </row>
    <row r="18" spans="1:18" x14ac:dyDescent="0.3">
      <c r="A18" s="2" t="s">
        <v>330</v>
      </c>
      <c r="B18" s="1" t="s">
        <v>663</v>
      </c>
      <c r="C18" s="2" t="s">
        <v>20</v>
      </c>
      <c r="D18" s="2"/>
      <c r="E18" s="2"/>
      <c r="F18" s="2"/>
      <c r="G18" s="2"/>
      <c r="H18" s="2"/>
      <c r="I18" s="2"/>
      <c r="J18" s="2"/>
      <c r="K18" s="2"/>
      <c r="L18" s="2"/>
      <c r="M18" s="2"/>
      <c r="N18" s="2"/>
      <c r="O18" s="2"/>
      <c r="P18" s="2"/>
      <c r="Q18" s="2"/>
      <c r="R18" s="2"/>
    </row>
    <row r="19" spans="1:18" x14ac:dyDescent="0.3">
      <c r="A19" s="2"/>
      <c r="B19" s="2"/>
      <c r="C19" s="2"/>
      <c r="D19" s="2"/>
      <c r="E19" s="2"/>
      <c r="F19" s="2"/>
      <c r="G19" s="2"/>
      <c r="H19" s="2"/>
      <c r="I19" s="2"/>
      <c r="J19" s="2"/>
      <c r="K19" s="2"/>
      <c r="L19" s="2"/>
      <c r="M19" s="2"/>
      <c r="N19" s="2"/>
      <c r="O19" s="2"/>
      <c r="P19" s="2"/>
      <c r="Q19" s="2"/>
      <c r="R19" s="2"/>
    </row>
    <row r="20" spans="1:18" x14ac:dyDescent="0.3">
      <c r="A20" s="7" t="s">
        <v>188</v>
      </c>
      <c r="B20" s="35">
        <v>0</v>
      </c>
      <c r="C20" s="2"/>
      <c r="D20" s="2"/>
      <c r="E20" s="2"/>
      <c r="F20" s="2"/>
      <c r="G20" s="2"/>
      <c r="H20" s="2"/>
      <c r="I20" s="2"/>
      <c r="J20" s="2"/>
      <c r="K20" s="2"/>
      <c r="L20" s="2"/>
      <c r="M20" s="2"/>
      <c r="N20" s="2"/>
      <c r="O20" s="2"/>
      <c r="P20" s="2"/>
      <c r="Q20" s="2"/>
      <c r="R20" s="2"/>
    </row>
    <row r="21" spans="1:18" x14ac:dyDescent="0.3">
      <c r="A21" s="2" t="s">
        <v>512</v>
      </c>
      <c r="B21" s="2">
        <f>'Cover sheet'!B21</f>
        <v>2100</v>
      </c>
      <c r="C21" s="2" t="s">
        <v>44</v>
      </c>
      <c r="D21" s="2"/>
      <c r="E21" s="2"/>
      <c r="F21" s="2"/>
      <c r="G21" s="2"/>
      <c r="H21" s="2"/>
      <c r="I21" s="2"/>
      <c r="J21" s="2"/>
      <c r="K21" s="2"/>
      <c r="L21" s="2"/>
      <c r="M21" s="2"/>
      <c r="N21" s="2"/>
      <c r="O21" s="2"/>
      <c r="P21" s="2"/>
      <c r="Q21" s="2"/>
      <c r="R21" s="2"/>
    </row>
    <row r="22" spans="1:18" x14ac:dyDescent="0.3">
      <c r="A22" s="2" t="s">
        <v>513</v>
      </c>
      <c r="B22" s="2">
        <f>'Cover sheet'!B24</f>
        <v>6660</v>
      </c>
      <c r="C22" s="2" t="s">
        <v>21</v>
      </c>
      <c r="D22" s="2"/>
      <c r="E22" s="2"/>
      <c r="F22" s="2"/>
      <c r="G22" s="2"/>
      <c r="H22" s="2"/>
      <c r="I22" s="2"/>
      <c r="J22" s="2"/>
      <c r="K22" s="2"/>
      <c r="L22" s="2"/>
      <c r="M22" s="2"/>
      <c r="N22" s="2"/>
      <c r="O22" s="2"/>
      <c r="P22" s="2"/>
      <c r="Q22" s="2"/>
      <c r="R22" s="2"/>
    </row>
    <row r="23" spans="1:18" x14ac:dyDescent="0.3">
      <c r="A23" s="2" t="s">
        <v>514</v>
      </c>
      <c r="B23" s="2">
        <f>'Cover sheet'!B25</f>
        <v>8116</v>
      </c>
      <c r="C23" s="2" t="s">
        <v>21</v>
      </c>
      <c r="D23" s="2"/>
      <c r="E23" s="2"/>
      <c r="F23" s="2"/>
      <c r="G23" s="2"/>
      <c r="H23" s="2"/>
      <c r="I23" s="2"/>
      <c r="J23" s="2"/>
      <c r="K23" s="2"/>
      <c r="L23" s="2"/>
      <c r="M23" s="2"/>
      <c r="N23" s="2"/>
      <c r="O23" s="2"/>
      <c r="P23" s="2"/>
      <c r="Q23" s="2"/>
      <c r="R23" s="2"/>
    </row>
    <row r="24" spans="1:18" x14ac:dyDescent="0.3">
      <c r="A24" s="2" t="s">
        <v>331</v>
      </c>
      <c r="B24" s="1">
        <v>0.27400000000000002</v>
      </c>
      <c r="C24" s="2" t="s">
        <v>20</v>
      </c>
      <c r="D24" s="2"/>
      <c r="E24" s="2"/>
      <c r="F24" s="2"/>
      <c r="G24" s="2"/>
      <c r="H24" s="2"/>
      <c r="I24" s="2"/>
      <c r="J24" s="2"/>
      <c r="K24" s="2"/>
      <c r="L24" s="2"/>
      <c r="M24" s="2"/>
      <c r="N24" s="2"/>
      <c r="O24" s="2"/>
      <c r="P24" s="2"/>
      <c r="Q24" s="2"/>
      <c r="R24" s="2"/>
    </row>
    <row r="25" spans="1:18" x14ac:dyDescent="0.3">
      <c r="A25" s="2" t="s">
        <v>189</v>
      </c>
      <c r="B25" s="1">
        <v>1675</v>
      </c>
      <c r="C25" s="2" t="s">
        <v>44</v>
      </c>
      <c r="D25" s="2"/>
      <c r="E25" s="2"/>
      <c r="F25" s="2"/>
      <c r="G25" s="2"/>
      <c r="H25" s="2"/>
      <c r="I25" s="2"/>
      <c r="J25" s="2"/>
      <c r="K25" s="2"/>
      <c r="L25" s="2"/>
      <c r="M25" s="2"/>
      <c r="N25" s="2"/>
      <c r="O25" s="2"/>
      <c r="P25" s="2"/>
      <c r="Q25" s="2"/>
      <c r="R25" s="2"/>
    </row>
    <row r="26" spans="1:18" x14ac:dyDescent="0.3">
      <c r="A26" s="2" t="s">
        <v>190</v>
      </c>
      <c r="B26" s="1">
        <v>3520</v>
      </c>
      <c r="C26" s="2" t="s">
        <v>44</v>
      </c>
      <c r="D26" s="2"/>
      <c r="E26" s="2"/>
      <c r="F26" s="2"/>
      <c r="G26" s="2"/>
      <c r="H26" s="2"/>
      <c r="I26" s="2"/>
      <c r="J26" s="2"/>
      <c r="K26" s="2"/>
      <c r="L26" s="2"/>
      <c r="M26" s="2"/>
      <c r="N26" s="2"/>
      <c r="O26" s="2"/>
      <c r="P26" s="2"/>
      <c r="Q26" s="2"/>
      <c r="R26" s="2"/>
    </row>
    <row r="27" spans="1:18" x14ac:dyDescent="0.3">
      <c r="A27" s="2" t="s">
        <v>459</v>
      </c>
      <c r="B27" s="2"/>
      <c r="C27" s="2"/>
      <c r="D27" s="2"/>
      <c r="E27" s="2"/>
      <c r="F27" s="2"/>
      <c r="G27" s="2"/>
      <c r="H27" s="2"/>
      <c r="I27" s="2"/>
      <c r="J27" s="2"/>
      <c r="K27" s="2"/>
      <c r="L27" s="2"/>
      <c r="M27" s="2"/>
      <c r="N27" s="2"/>
      <c r="O27" s="2"/>
      <c r="P27" s="2"/>
      <c r="Q27" s="2"/>
      <c r="R27" s="2"/>
    </row>
    <row r="28" spans="1:18" x14ac:dyDescent="0.3">
      <c r="A28" s="38" t="s">
        <v>458</v>
      </c>
      <c r="B28" s="2"/>
      <c r="C28" s="2"/>
      <c r="D28" s="2"/>
      <c r="E28" s="2"/>
      <c r="F28" s="2"/>
      <c r="G28" s="2"/>
      <c r="H28" s="2"/>
      <c r="I28" s="2"/>
      <c r="J28" s="2"/>
      <c r="K28" s="2"/>
      <c r="L28" s="2"/>
      <c r="M28" s="2"/>
      <c r="N28" s="2"/>
      <c r="O28" s="2"/>
      <c r="P28" s="2"/>
      <c r="Q28" s="2"/>
      <c r="R28" s="2"/>
    </row>
    <row r="29" spans="1:18" x14ac:dyDescent="0.3">
      <c r="A29" s="2"/>
      <c r="B29" s="2"/>
      <c r="C29" s="2"/>
      <c r="D29" s="2"/>
      <c r="E29" s="2"/>
      <c r="F29" s="2"/>
      <c r="G29" s="2"/>
      <c r="H29" s="2"/>
      <c r="I29" s="2"/>
      <c r="J29" s="2"/>
      <c r="K29" s="2"/>
      <c r="L29" s="2"/>
      <c r="M29" s="2"/>
      <c r="N29" s="2"/>
      <c r="O29" s="2"/>
      <c r="P29" s="2"/>
      <c r="Q29" s="2"/>
      <c r="R29" s="2"/>
    </row>
    <row r="30" spans="1:18" x14ac:dyDescent="0.3">
      <c r="A30" s="2"/>
      <c r="B30" s="2"/>
      <c r="C30" s="2"/>
      <c r="D30" s="2"/>
      <c r="E30" s="2"/>
      <c r="F30" s="2"/>
      <c r="G30" s="2"/>
      <c r="H30" s="2"/>
      <c r="I30" s="2"/>
      <c r="J30" s="2"/>
      <c r="K30" s="2"/>
      <c r="L30" s="2"/>
      <c r="M30" s="2"/>
      <c r="N30" s="2"/>
      <c r="O30" s="2"/>
      <c r="P30" s="2"/>
      <c r="Q30" s="2"/>
      <c r="R30" s="2"/>
    </row>
  </sheetData>
  <sheetProtection algorithmName="SHA-512" hashValue="26S8rWjE6fb82GqWc4Wri0oiU5f3qlVQE5Bj47kN1AJNbPcHpQmqmckzarvdIyzdXYQJhVsYslcsXfDhGRIELQ==" saltValue="c9PiSU0ncNTnGyzyCW0uiQ==" spinCount="100000" sheet="1" scenarios="1" formatCells="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76C92-F159-4176-85D0-DFD45635C9D1}">
  <sheetPr codeName="Sheet8"/>
  <dimension ref="A1:CA191"/>
  <sheetViews>
    <sheetView topLeftCell="A88" zoomScale="118" zoomScaleNormal="130" workbookViewId="0">
      <selection activeCell="A113" sqref="A113"/>
    </sheetView>
  </sheetViews>
  <sheetFormatPr defaultRowHeight="14.4" x14ac:dyDescent="0.3"/>
  <cols>
    <col min="1" max="1" width="48.33203125" customWidth="1"/>
    <col min="2" max="2" width="13.44140625" bestFit="1" customWidth="1"/>
    <col min="3" max="3" width="15.5546875" bestFit="1" customWidth="1"/>
    <col min="4" max="4" width="12.44140625" bestFit="1" customWidth="1"/>
    <col min="5" max="5" width="12.33203125" customWidth="1"/>
    <col min="6" max="6" width="12.5546875" customWidth="1"/>
    <col min="7" max="7" width="12.6640625" bestFit="1" customWidth="1"/>
    <col min="8" max="8" width="16" bestFit="1" customWidth="1"/>
    <col min="14" max="79" width="9.109375" style="16"/>
  </cols>
  <sheetData>
    <row r="1" spans="1:30" x14ac:dyDescent="0.3">
      <c r="A1" s="124" t="s">
        <v>196</v>
      </c>
      <c r="B1" s="125"/>
      <c r="C1" s="125"/>
      <c r="D1" s="125"/>
      <c r="E1" s="125"/>
      <c r="F1" s="125"/>
      <c r="G1" s="126"/>
      <c r="H1" s="2"/>
      <c r="I1" s="2"/>
      <c r="J1" s="2"/>
      <c r="K1" s="2"/>
      <c r="L1" s="2"/>
      <c r="M1" s="2"/>
      <c r="N1" s="15"/>
      <c r="O1" s="15"/>
      <c r="P1" s="15"/>
      <c r="Q1" s="15"/>
      <c r="R1" s="15"/>
      <c r="S1" s="15"/>
      <c r="T1" s="15"/>
      <c r="U1" s="15"/>
      <c r="V1" s="15"/>
      <c r="W1" s="15"/>
      <c r="X1" s="15"/>
      <c r="Y1" s="15"/>
      <c r="Z1" s="15"/>
      <c r="AA1" s="15"/>
      <c r="AB1" s="15"/>
      <c r="AC1" s="15"/>
      <c r="AD1" s="15"/>
    </row>
    <row r="2" spans="1:30" x14ac:dyDescent="0.3">
      <c r="A2" s="118" t="s">
        <v>429</v>
      </c>
      <c r="B2" s="116"/>
      <c r="C2" s="116"/>
      <c r="D2" s="116"/>
      <c r="E2" s="116"/>
      <c r="F2" s="116"/>
      <c r="G2" s="119"/>
      <c r="H2" s="2"/>
      <c r="I2" s="2"/>
      <c r="J2" s="2"/>
      <c r="K2" s="2"/>
      <c r="L2" s="2"/>
      <c r="M2" s="2"/>
      <c r="N2" s="15"/>
      <c r="O2" s="15"/>
      <c r="P2" s="15"/>
      <c r="Q2" s="15"/>
      <c r="R2" s="15"/>
      <c r="S2" s="15"/>
      <c r="T2" s="15"/>
      <c r="U2" s="15"/>
      <c r="V2" s="15"/>
      <c r="W2" s="15"/>
      <c r="X2" s="15"/>
      <c r="Y2" s="15"/>
      <c r="Z2" s="15"/>
      <c r="AA2" s="15"/>
      <c r="AB2" s="15"/>
      <c r="AC2" s="15"/>
      <c r="AD2" s="15"/>
    </row>
    <row r="3" spans="1:30" x14ac:dyDescent="0.3">
      <c r="A3" s="41" t="s">
        <v>546</v>
      </c>
      <c r="B3" s="32"/>
      <c r="C3" s="32"/>
      <c r="D3" s="32"/>
      <c r="E3" s="32"/>
      <c r="F3" s="32"/>
      <c r="G3" s="42"/>
      <c r="H3" s="2"/>
      <c r="I3" s="2"/>
      <c r="J3" s="2"/>
      <c r="K3" s="2"/>
      <c r="L3" s="2"/>
      <c r="M3" s="2"/>
      <c r="N3" s="15"/>
      <c r="O3" s="15"/>
      <c r="P3" s="15"/>
      <c r="Q3" s="15"/>
      <c r="R3" s="15"/>
      <c r="S3" s="15"/>
      <c r="T3" s="15"/>
      <c r="U3" s="15"/>
      <c r="V3" s="15"/>
      <c r="W3" s="15"/>
      <c r="X3" s="15"/>
      <c r="Y3" s="15"/>
      <c r="Z3" s="15"/>
      <c r="AA3" s="15"/>
      <c r="AB3" s="15"/>
      <c r="AC3" s="15"/>
      <c r="AD3" s="15"/>
    </row>
    <row r="4" spans="1:30" ht="15" thickBot="1" x14ac:dyDescent="0.35">
      <c r="A4" s="118" t="s">
        <v>270</v>
      </c>
      <c r="B4" s="116"/>
      <c r="C4" s="116"/>
      <c r="D4" s="116"/>
      <c r="E4" s="116"/>
      <c r="F4" s="116"/>
      <c r="G4" s="119"/>
      <c r="H4" s="2"/>
      <c r="I4" s="2"/>
      <c r="J4" s="2"/>
      <c r="K4" s="2"/>
      <c r="L4" s="2"/>
      <c r="M4" s="2"/>
      <c r="N4" s="15"/>
      <c r="O4" s="15"/>
      <c r="P4" s="15"/>
      <c r="Q4" s="15"/>
      <c r="R4" s="15"/>
      <c r="S4" s="15"/>
      <c r="T4" s="15"/>
      <c r="U4" s="15"/>
      <c r="V4" s="15"/>
      <c r="W4" s="15"/>
      <c r="X4" s="15"/>
      <c r="Y4" s="15"/>
      <c r="Z4" s="15"/>
      <c r="AA4" s="15"/>
      <c r="AB4" s="15"/>
      <c r="AC4" s="15"/>
      <c r="AD4" s="15"/>
    </row>
    <row r="5" spans="1:30" ht="16.2" x14ac:dyDescent="0.3">
      <c r="A5" s="127" t="s">
        <v>198</v>
      </c>
      <c r="B5" s="128"/>
      <c r="C5" s="128"/>
      <c r="D5" s="128"/>
      <c r="E5" s="128"/>
      <c r="F5" s="128"/>
      <c r="G5" s="129"/>
      <c r="H5" s="2"/>
      <c r="I5" s="2"/>
      <c r="J5" s="2"/>
      <c r="K5" s="2"/>
      <c r="L5" s="2"/>
      <c r="M5" s="2"/>
      <c r="N5" s="15"/>
      <c r="O5" s="15"/>
      <c r="P5" s="15"/>
      <c r="Q5" s="15"/>
      <c r="R5" s="15"/>
      <c r="S5" s="15"/>
      <c r="T5" s="15"/>
      <c r="U5" s="15"/>
      <c r="V5" s="15"/>
      <c r="W5" s="15"/>
      <c r="X5" s="15"/>
      <c r="Y5" s="15"/>
      <c r="Z5" s="15"/>
      <c r="AA5" s="15"/>
      <c r="AB5" s="15"/>
      <c r="AC5" s="15"/>
      <c r="AD5" s="15"/>
    </row>
    <row r="6" spans="1:30" ht="16.2" x14ac:dyDescent="0.3">
      <c r="A6" s="118" t="s">
        <v>457</v>
      </c>
      <c r="B6" s="116"/>
      <c r="C6" s="116"/>
      <c r="D6" s="116"/>
      <c r="E6" s="116"/>
      <c r="F6" s="116"/>
      <c r="G6" s="119"/>
      <c r="H6" s="2"/>
      <c r="I6" s="2"/>
      <c r="J6" s="2"/>
      <c r="K6" s="2"/>
      <c r="L6" s="2"/>
      <c r="M6" s="2"/>
      <c r="N6" s="15"/>
      <c r="O6" s="15"/>
      <c r="P6" s="15"/>
      <c r="Q6" s="15"/>
      <c r="R6" s="15"/>
      <c r="S6" s="15"/>
      <c r="T6" s="15"/>
      <c r="U6" s="15"/>
      <c r="V6" s="15"/>
      <c r="W6" s="15"/>
      <c r="X6" s="15"/>
      <c r="Y6" s="15"/>
      <c r="Z6" s="15"/>
      <c r="AA6" s="15"/>
      <c r="AB6" s="15"/>
      <c r="AC6" s="15"/>
      <c r="AD6" s="15"/>
    </row>
    <row r="7" spans="1:30" x14ac:dyDescent="0.3">
      <c r="A7" s="118" t="s">
        <v>428</v>
      </c>
      <c r="B7" s="116"/>
      <c r="C7" s="116"/>
      <c r="D7" s="116"/>
      <c r="E7" s="116"/>
      <c r="F7" s="116"/>
      <c r="G7" s="119"/>
      <c r="H7" s="2"/>
      <c r="I7" s="2"/>
      <c r="J7" s="2"/>
      <c r="K7" s="2"/>
      <c r="L7" s="2"/>
      <c r="M7" s="2"/>
      <c r="N7" s="15"/>
      <c r="O7" s="15"/>
      <c r="P7" s="15"/>
      <c r="Q7" s="15"/>
      <c r="R7" s="15"/>
      <c r="S7" s="15"/>
      <c r="T7" s="15"/>
      <c r="U7" s="15"/>
      <c r="V7" s="15"/>
      <c r="W7" s="15"/>
      <c r="X7" s="15"/>
      <c r="Y7" s="15"/>
      <c r="Z7" s="15"/>
      <c r="AA7" s="15"/>
      <c r="AB7" s="15"/>
      <c r="AC7" s="15"/>
      <c r="AD7" s="15"/>
    </row>
    <row r="8" spans="1:30" x14ac:dyDescent="0.3">
      <c r="A8" s="118" t="s">
        <v>197</v>
      </c>
      <c r="B8" s="116"/>
      <c r="C8" s="116"/>
      <c r="D8" s="116"/>
      <c r="E8" s="116"/>
      <c r="F8" s="116"/>
      <c r="G8" s="119"/>
      <c r="H8" s="2"/>
      <c r="I8" s="2"/>
      <c r="J8" s="2"/>
      <c r="K8" s="2"/>
      <c r="L8" s="2"/>
      <c r="M8" s="2"/>
      <c r="N8" s="15"/>
      <c r="O8" s="15"/>
      <c r="P8" s="15"/>
      <c r="Q8" s="15"/>
      <c r="R8" s="15"/>
      <c r="S8" s="15"/>
      <c r="T8" s="15"/>
      <c r="U8" s="15"/>
      <c r="V8" s="15"/>
      <c r="W8" s="15"/>
      <c r="X8" s="15"/>
      <c r="Y8" s="15"/>
      <c r="Z8" s="15"/>
      <c r="AA8" s="15"/>
      <c r="AB8" s="15"/>
      <c r="AC8" s="15"/>
      <c r="AD8" s="15"/>
    </row>
    <row r="9" spans="1:30" ht="15" thickBot="1" x14ac:dyDescent="0.35">
      <c r="A9" s="120" t="s">
        <v>430</v>
      </c>
      <c r="B9" s="121"/>
      <c r="C9" s="121"/>
      <c r="D9" s="121"/>
      <c r="E9" s="121"/>
      <c r="F9" s="121"/>
      <c r="G9" s="122"/>
      <c r="H9" s="2"/>
      <c r="I9" s="2"/>
      <c r="J9" s="2"/>
      <c r="K9" s="2"/>
      <c r="L9" s="2"/>
      <c r="M9" s="2"/>
      <c r="N9" s="15"/>
      <c r="O9" s="15"/>
      <c r="P9" s="15"/>
      <c r="Q9" s="15"/>
      <c r="R9" s="15"/>
      <c r="S9" s="15"/>
      <c r="T9" s="15"/>
      <c r="U9" s="15"/>
      <c r="V9" s="15"/>
      <c r="W9" s="15"/>
      <c r="X9" s="15"/>
      <c r="Y9" s="15"/>
      <c r="Z9" s="15"/>
      <c r="AA9" s="15"/>
      <c r="AB9" s="15"/>
      <c r="AC9" s="15"/>
      <c r="AD9" s="15"/>
    </row>
    <row r="10" spans="1:30" x14ac:dyDescent="0.3">
      <c r="A10" s="2"/>
      <c r="B10" s="2"/>
      <c r="C10" s="2"/>
      <c r="D10" s="2"/>
      <c r="E10" s="2"/>
      <c r="F10" s="2"/>
      <c r="G10" s="2"/>
      <c r="H10" s="2"/>
      <c r="I10" s="2"/>
      <c r="J10" s="2"/>
      <c r="K10" s="2"/>
      <c r="L10" s="2"/>
      <c r="M10" s="2"/>
      <c r="N10" s="15"/>
      <c r="O10" s="15"/>
      <c r="P10" s="15"/>
      <c r="Q10" s="15"/>
      <c r="R10" s="15"/>
      <c r="S10" s="15"/>
      <c r="T10" s="15"/>
      <c r="U10" s="15"/>
      <c r="V10" s="15"/>
      <c r="W10" s="15"/>
      <c r="X10" s="15"/>
      <c r="Y10" s="15"/>
      <c r="Z10" s="15"/>
      <c r="AA10" s="15"/>
      <c r="AB10" s="15"/>
      <c r="AC10" s="15"/>
      <c r="AD10" s="15"/>
    </row>
    <row r="11" spans="1:30" x14ac:dyDescent="0.3">
      <c r="A11" s="7" t="s">
        <v>200</v>
      </c>
      <c r="B11" s="2"/>
      <c r="C11" s="2"/>
      <c r="D11" s="2"/>
      <c r="E11" s="7" t="s">
        <v>19</v>
      </c>
      <c r="F11" s="2"/>
      <c r="G11" s="2"/>
      <c r="H11" s="2"/>
      <c r="I11" s="2"/>
      <c r="J11" s="2"/>
      <c r="K11" s="2"/>
      <c r="L11" s="2"/>
      <c r="M11" s="2"/>
      <c r="N11" s="15"/>
      <c r="O11" s="15"/>
      <c r="P11" s="15"/>
      <c r="Q11" s="15"/>
      <c r="R11" s="15"/>
      <c r="S11" s="15"/>
      <c r="T11" s="15"/>
      <c r="U11" s="15"/>
      <c r="V11" s="15"/>
      <c r="W11" s="15"/>
      <c r="X11" s="15"/>
      <c r="Y11" s="15"/>
      <c r="Z11" s="15"/>
      <c r="AA11" s="15"/>
      <c r="AB11" s="15"/>
      <c r="AC11" s="15"/>
      <c r="AD11" s="15"/>
    </row>
    <row r="12" spans="1:30" x14ac:dyDescent="0.3">
      <c r="A12" s="2" t="s">
        <v>201</v>
      </c>
      <c r="B12" s="2"/>
      <c r="C12" s="2"/>
      <c r="D12" s="1" t="s">
        <v>673</v>
      </c>
      <c r="E12" s="2" t="s">
        <v>20</v>
      </c>
      <c r="F12" s="2"/>
      <c r="G12" s="2"/>
      <c r="H12" s="2"/>
      <c r="I12" s="2"/>
      <c r="J12" s="2"/>
      <c r="K12" s="2"/>
      <c r="L12" s="2"/>
      <c r="M12" s="2"/>
      <c r="N12" s="15"/>
      <c r="O12" s="15"/>
      <c r="P12" s="15"/>
      <c r="Q12" s="15"/>
      <c r="R12" s="15"/>
      <c r="S12" s="15"/>
      <c r="T12" s="15"/>
      <c r="U12" s="15"/>
      <c r="V12" s="15"/>
      <c r="W12" s="15"/>
      <c r="X12" s="15"/>
      <c r="Y12" s="15"/>
      <c r="Z12" s="15"/>
      <c r="AA12" s="15"/>
      <c r="AB12" s="15"/>
      <c r="AC12" s="15"/>
      <c r="AD12" s="15"/>
    </row>
    <row r="13" spans="1:30" ht="15.6" x14ac:dyDescent="0.35">
      <c r="A13" s="2" t="s">
        <v>531</v>
      </c>
      <c r="B13" s="2"/>
      <c r="C13" s="2"/>
      <c r="D13" s="1" t="s">
        <v>678</v>
      </c>
      <c r="E13" s="2" t="s">
        <v>20</v>
      </c>
      <c r="F13" s="2"/>
      <c r="G13" s="2"/>
      <c r="H13" s="2"/>
      <c r="I13" s="2"/>
      <c r="J13" s="2"/>
      <c r="K13" s="2"/>
      <c r="L13" s="2"/>
      <c r="M13" s="2"/>
      <c r="N13" s="15"/>
      <c r="O13" s="15"/>
      <c r="P13" s="15"/>
      <c r="Q13" s="15"/>
      <c r="R13" s="15"/>
      <c r="S13" s="15"/>
      <c r="T13" s="15"/>
      <c r="U13" s="15"/>
      <c r="V13" s="15"/>
      <c r="W13" s="15"/>
      <c r="X13" s="15"/>
      <c r="Y13" s="15"/>
      <c r="Z13" s="15"/>
      <c r="AA13" s="15"/>
      <c r="AB13" s="15"/>
      <c r="AC13" s="15"/>
      <c r="AD13" s="15"/>
    </row>
    <row r="14" spans="1:30" x14ac:dyDescent="0.3">
      <c r="A14" s="2" t="s">
        <v>202</v>
      </c>
      <c r="B14" s="2"/>
      <c r="C14" s="2"/>
      <c r="D14" s="1" t="s">
        <v>674</v>
      </c>
      <c r="E14" s="2" t="s">
        <v>20</v>
      </c>
      <c r="F14" s="2"/>
      <c r="G14" s="2"/>
      <c r="H14" s="2"/>
      <c r="I14" s="2"/>
      <c r="J14" s="2"/>
      <c r="K14" s="2"/>
      <c r="L14" s="2"/>
      <c r="M14" s="2"/>
      <c r="N14" s="15"/>
      <c r="O14" s="15"/>
      <c r="P14" s="15"/>
      <c r="Q14" s="15"/>
      <c r="R14" s="15"/>
      <c r="S14" s="15"/>
      <c r="T14" s="15"/>
      <c r="U14" s="15"/>
      <c r="V14" s="15"/>
      <c r="W14" s="15"/>
      <c r="X14" s="15"/>
      <c r="Y14" s="15"/>
      <c r="Z14" s="15"/>
      <c r="AA14" s="15"/>
      <c r="AB14" s="15"/>
      <c r="AC14" s="15"/>
      <c r="AD14" s="15"/>
    </row>
    <row r="15" spans="1:30" x14ac:dyDescent="0.3">
      <c r="A15" s="2" t="s">
        <v>203</v>
      </c>
      <c r="B15" s="2"/>
      <c r="C15" s="2"/>
      <c r="D15" s="1" t="s">
        <v>675</v>
      </c>
      <c r="E15" s="2" t="s">
        <v>20</v>
      </c>
      <c r="F15" s="2"/>
      <c r="G15" s="2"/>
      <c r="H15" s="2"/>
      <c r="I15" s="2"/>
      <c r="J15" s="2"/>
      <c r="K15" s="2"/>
      <c r="L15" s="2"/>
      <c r="M15" s="2"/>
      <c r="N15" s="15"/>
      <c r="O15" s="15"/>
      <c r="P15" s="15"/>
      <c r="Q15" s="15"/>
      <c r="R15" s="15"/>
      <c r="S15" s="15"/>
      <c r="T15" s="15"/>
      <c r="U15" s="15"/>
      <c r="V15" s="15"/>
      <c r="W15" s="15"/>
      <c r="X15" s="15"/>
      <c r="Y15" s="15"/>
      <c r="Z15" s="15"/>
      <c r="AA15" s="15"/>
      <c r="AB15" s="15"/>
      <c r="AC15" s="15"/>
      <c r="AD15" s="15"/>
    </row>
    <row r="16" spans="1:30" ht="15.6" x14ac:dyDescent="0.35">
      <c r="A16" s="2" t="s">
        <v>532</v>
      </c>
      <c r="B16" s="2"/>
      <c r="C16" s="2"/>
      <c r="D16" s="1" t="s">
        <v>676</v>
      </c>
      <c r="E16" s="2" t="s">
        <v>20</v>
      </c>
      <c r="F16" s="2"/>
      <c r="G16" s="2"/>
      <c r="H16" s="2"/>
      <c r="I16" s="2"/>
      <c r="J16" s="2"/>
      <c r="K16" s="2"/>
      <c r="L16" s="2"/>
      <c r="M16" s="2"/>
      <c r="N16" s="15"/>
      <c r="O16" s="15"/>
      <c r="P16" s="15"/>
      <c r="Q16" s="15"/>
      <c r="R16" s="15"/>
      <c r="S16" s="15"/>
      <c r="T16" s="15"/>
      <c r="U16" s="15"/>
      <c r="V16" s="15"/>
      <c r="W16" s="15"/>
      <c r="X16" s="15"/>
      <c r="Y16" s="15"/>
      <c r="Z16" s="15"/>
      <c r="AA16" s="15"/>
      <c r="AB16" s="15"/>
      <c r="AC16" s="15"/>
      <c r="AD16" s="15"/>
    </row>
    <row r="17" spans="1:30" ht="15.6" x14ac:dyDescent="0.35">
      <c r="A17" s="2" t="s">
        <v>533</v>
      </c>
      <c r="B17" s="2"/>
      <c r="C17" s="2"/>
      <c r="D17" s="1" t="s">
        <v>677</v>
      </c>
      <c r="E17" s="2" t="s">
        <v>20</v>
      </c>
      <c r="F17" s="2"/>
      <c r="G17" s="2"/>
      <c r="H17" s="2"/>
      <c r="I17" s="2"/>
      <c r="J17" s="2"/>
      <c r="K17" s="2"/>
      <c r="L17" s="2"/>
      <c r="M17" s="2"/>
      <c r="N17" s="15"/>
      <c r="O17" s="15"/>
      <c r="P17" s="15"/>
      <c r="Q17" s="15"/>
      <c r="R17" s="15"/>
      <c r="S17" s="15"/>
      <c r="T17" s="15"/>
      <c r="U17" s="15"/>
      <c r="V17" s="15"/>
      <c r="W17" s="15"/>
      <c r="X17" s="15"/>
      <c r="Y17" s="15"/>
      <c r="Z17" s="15"/>
      <c r="AA17" s="15"/>
      <c r="AB17" s="15"/>
      <c r="AC17" s="15"/>
      <c r="AD17" s="15"/>
    </row>
    <row r="18" spans="1:30" x14ac:dyDescent="0.3">
      <c r="A18" s="2"/>
      <c r="B18" s="2"/>
      <c r="C18" s="2"/>
      <c r="D18" s="2"/>
      <c r="E18" s="2"/>
      <c r="F18" s="2"/>
      <c r="G18" s="2"/>
      <c r="H18" s="2"/>
      <c r="I18" s="2"/>
      <c r="J18" s="2"/>
      <c r="K18" s="2"/>
      <c r="L18" s="2"/>
      <c r="M18" s="2"/>
      <c r="N18" s="15"/>
      <c r="O18" s="15"/>
      <c r="P18" s="15"/>
      <c r="Q18" s="15"/>
      <c r="R18" s="15"/>
      <c r="S18" s="15"/>
      <c r="T18" s="15"/>
      <c r="U18" s="15"/>
      <c r="V18" s="15"/>
      <c r="W18" s="15"/>
      <c r="X18" s="15"/>
      <c r="Y18" s="15"/>
      <c r="Z18" s="15"/>
      <c r="AA18" s="15"/>
      <c r="AB18" s="15"/>
      <c r="AC18" s="15"/>
      <c r="AD18" s="15"/>
    </row>
    <row r="19" spans="1:30" x14ac:dyDescent="0.3">
      <c r="A19" s="7" t="s">
        <v>204</v>
      </c>
      <c r="B19" s="2"/>
      <c r="C19" s="2"/>
      <c r="D19" s="2"/>
      <c r="E19" s="7" t="s">
        <v>19</v>
      </c>
      <c r="F19" s="2"/>
      <c r="G19" s="2"/>
      <c r="H19" s="2"/>
      <c r="I19" s="2"/>
      <c r="J19" s="2"/>
      <c r="K19" s="2"/>
      <c r="L19" s="2"/>
      <c r="M19" s="2"/>
      <c r="N19" s="15"/>
      <c r="O19" s="15"/>
      <c r="P19" s="15"/>
      <c r="Q19" s="15"/>
      <c r="R19" s="15"/>
      <c r="S19" s="15"/>
      <c r="T19" s="15"/>
      <c r="U19" s="15"/>
      <c r="V19" s="15"/>
      <c r="W19" s="15"/>
      <c r="X19" s="15"/>
      <c r="Y19" s="15"/>
      <c r="Z19" s="15"/>
      <c r="AA19" s="15"/>
      <c r="AB19" s="15"/>
      <c r="AC19" s="15"/>
      <c r="AD19" s="15"/>
    </row>
    <row r="20" spans="1:30" x14ac:dyDescent="0.3">
      <c r="A20" s="2" t="s">
        <v>205</v>
      </c>
      <c r="B20" s="2"/>
      <c r="C20" s="2"/>
      <c r="D20" s="2"/>
      <c r="E20" s="2"/>
      <c r="F20" s="2"/>
      <c r="G20" s="2"/>
      <c r="H20" s="2"/>
      <c r="I20" s="2"/>
      <c r="J20" s="2"/>
      <c r="K20" s="2"/>
      <c r="L20" s="2"/>
      <c r="M20" s="2"/>
      <c r="N20" s="15"/>
      <c r="O20" s="15"/>
      <c r="P20" s="15"/>
      <c r="Q20" s="15"/>
      <c r="R20" s="15"/>
      <c r="S20" s="15"/>
      <c r="T20" s="15"/>
      <c r="U20" s="15"/>
      <c r="V20" s="15"/>
      <c r="W20" s="15"/>
      <c r="X20" s="15"/>
      <c r="Y20" s="15"/>
      <c r="Z20" s="15"/>
      <c r="AA20" s="15"/>
      <c r="AB20" s="15"/>
      <c r="AC20" s="15"/>
      <c r="AD20" s="15"/>
    </row>
    <row r="21" spans="1:30" x14ac:dyDescent="0.3">
      <c r="A21" s="2" t="s">
        <v>207</v>
      </c>
      <c r="B21" s="2"/>
      <c r="C21" s="2"/>
      <c r="D21" s="1">
        <v>65</v>
      </c>
      <c r="E21" s="2" t="s">
        <v>46</v>
      </c>
      <c r="F21" s="2"/>
      <c r="G21" s="2"/>
      <c r="H21" s="2"/>
      <c r="I21" s="2"/>
      <c r="J21" s="2"/>
      <c r="K21" s="2"/>
      <c r="L21" s="2"/>
      <c r="M21" s="2"/>
      <c r="N21" s="15"/>
      <c r="O21" s="15"/>
      <c r="P21" s="15"/>
      <c r="Q21" s="15"/>
      <c r="R21" s="15"/>
      <c r="S21" s="15"/>
      <c r="T21" s="15"/>
      <c r="U21" s="15"/>
      <c r="V21" s="15"/>
      <c r="W21" s="15"/>
      <c r="X21" s="15"/>
      <c r="Y21" s="15"/>
      <c r="Z21" s="15"/>
      <c r="AA21" s="15"/>
      <c r="AB21" s="15"/>
      <c r="AC21" s="15"/>
      <c r="AD21" s="15"/>
    </row>
    <row r="22" spans="1:30" x14ac:dyDescent="0.3">
      <c r="A22" s="2" t="s">
        <v>208</v>
      </c>
      <c r="B22" s="2"/>
      <c r="C22" s="2"/>
      <c r="D22" s="1">
        <v>0</v>
      </c>
      <c r="E22" s="2" t="s">
        <v>46</v>
      </c>
      <c r="F22" s="2"/>
      <c r="G22" s="2"/>
      <c r="H22" s="2"/>
      <c r="I22" s="2"/>
      <c r="J22" s="2"/>
      <c r="K22" s="2"/>
      <c r="L22" s="2"/>
      <c r="M22" s="2"/>
      <c r="N22" s="15"/>
      <c r="O22" s="15"/>
      <c r="P22" s="15"/>
      <c r="Q22" s="15"/>
      <c r="R22" s="15"/>
      <c r="S22" s="15"/>
      <c r="T22" s="15"/>
      <c r="U22" s="15"/>
      <c r="V22" s="15"/>
      <c r="W22" s="15"/>
      <c r="X22" s="15"/>
      <c r="Y22" s="15"/>
      <c r="Z22" s="15"/>
      <c r="AA22" s="15"/>
      <c r="AB22" s="15"/>
      <c r="AC22" s="15"/>
      <c r="AD22" s="15"/>
    </row>
    <row r="23" spans="1:30" x14ac:dyDescent="0.3">
      <c r="A23" s="2" t="s">
        <v>209</v>
      </c>
      <c r="B23" s="2"/>
      <c r="C23" s="2"/>
      <c r="D23" s="1" t="s">
        <v>679</v>
      </c>
      <c r="E23" s="2" t="s">
        <v>45</v>
      </c>
      <c r="F23" s="2"/>
      <c r="G23" s="2"/>
      <c r="H23" s="2"/>
      <c r="I23" s="2"/>
      <c r="J23" s="2"/>
      <c r="K23" s="2"/>
      <c r="L23" s="2"/>
      <c r="M23" s="2"/>
      <c r="N23" s="15"/>
      <c r="O23" s="15"/>
      <c r="P23" s="15"/>
      <c r="Q23" s="15"/>
      <c r="R23" s="15"/>
      <c r="S23" s="15"/>
      <c r="T23" s="15"/>
      <c r="U23" s="15"/>
      <c r="V23" s="15"/>
      <c r="W23" s="15"/>
      <c r="X23" s="15"/>
      <c r="Y23" s="15"/>
      <c r="Z23" s="15"/>
      <c r="AA23" s="15"/>
      <c r="AB23" s="15"/>
      <c r="AC23" s="15"/>
      <c r="AD23" s="15"/>
    </row>
    <row r="24" spans="1:30" x14ac:dyDescent="0.3">
      <c r="A24" s="2" t="s">
        <v>70</v>
      </c>
      <c r="B24" s="2"/>
      <c r="C24" s="2"/>
      <c r="D24" s="1" t="s">
        <v>612</v>
      </c>
      <c r="E24" s="2" t="s">
        <v>20</v>
      </c>
      <c r="F24" s="2"/>
      <c r="G24" s="2"/>
      <c r="H24" s="2"/>
      <c r="I24" s="2"/>
      <c r="J24" s="2"/>
      <c r="K24" s="2"/>
      <c r="L24" s="2"/>
      <c r="M24" s="2"/>
      <c r="N24" s="15"/>
      <c r="O24" s="15"/>
      <c r="P24" s="15"/>
      <c r="Q24" s="15"/>
      <c r="R24" s="15"/>
      <c r="S24" s="15"/>
      <c r="T24" s="15"/>
      <c r="U24" s="15"/>
      <c r="V24" s="15"/>
      <c r="W24" s="15"/>
      <c r="X24" s="15"/>
      <c r="Y24" s="15"/>
      <c r="Z24" s="15"/>
      <c r="AA24" s="15"/>
      <c r="AB24" s="15"/>
      <c r="AC24" s="15"/>
      <c r="AD24" s="15"/>
    </row>
    <row r="25" spans="1:30" x14ac:dyDescent="0.3">
      <c r="A25" s="38" t="s">
        <v>210</v>
      </c>
      <c r="B25" s="2"/>
      <c r="C25" s="2"/>
      <c r="D25" s="2"/>
      <c r="E25" s="2"/>
      <c r="F25" s="2"/>
      <c r="G25" s="2"/>
      <c r="H25" s="2"/>
      <c r="I25" s="2"/>
      <c r="J25" s="2"/>
      <c r="K25" s="2"/>
      <c r="L25" s="2"/>
      <c r="M25" s="2"/>
      <c r="N25" s="15"/>
      <c r="O25" s="15"/>
      <c r="P25" s="15"/>
      <c r="Q25" s="15"/>
      <c r="R25" s="15"/>
      <c r="S25" s="15"/>
      <c r="T25" s="15"/>
      <c r="U25" s="15"/>
      <c r="V25" s="15"/>
      <c r="W25" s="15"/>
      <c r="X25" s="15"/>
      <c r="Y25" s="15"/>
      <c r="Z25" s="15"/>
      <c r="AA25" s="15"/>
      <c r="AB25" s="15"/>
      <c r="AC25" s="15"/>
      <c r="AD25" s="15"/>
    </row>
    <row r="26" spans="1:30" x14ac:dyDescent="0.3">
      <c r="A26" s="38" t="s">
        <v>456</v>
      </c>
      <c r="B26" s="2"/>
      <c r="C26" s="2"/>
      <c r="D26" s="2"/>
      <c r="E26" s="2"/>
      <c r="F26" s="2"/>
      <c r="G26" s="2"/>
      <c r="H26" s="2"/>
      <c r="I26" s="2"/>
      <c r="J26" s="2"/>
      <c r="K26" s="2"/>
      <c r="L26" s="2"/>
      <c r="M26" s="2"/>
      <c r="N26" s="15"/>
      <c r="O26" s="15"/>
      <c r="P26" s="15"/>
      <c r="Q26" s="15"/>
      <c r="R26" s="15"/>
      <c r="S26" s="15"/>
      <c r="T26" s="15"/>
      <c r="U26" s="15"/>
      <c r="V26" s="15"/>
      <c r="W26" s="15"/>
      <c r="X26" s="15"/>
      <c r="Y26" s="15"/>
      <c r="Z26" s="15"/>
      <c r="AA26" s="15"/>
      <c r="AB26" s="15"/>
      <c r="AC26" s="15"/>
      <c r="AD26" s="15"/>
    </row>
    <row r="27" spans="1:30" x14ac:dyDescent="0.3">
      <c r="A27" s="2"/>
      <c r="B27" s="2"/>
      <c r="C27" s="2"/>
      <c r="D27" s="2"/>
      <c r="E27" s="2"/>
      <c r="F27" s="2"/>
      <c r="G27" s="2"/>
      <c r="H27" s="2"/>
      <c r="I27" s="2"/>
      <c r="J27" s="2"/>
      <c r="K27" s="2"/>
      <c r="L27" s="2"/>
      <c r="M27" s="2"/>
      <c r="N27" s="15"/>
      <c r="O27" s="15"/>
      <c r="P27" s="15"/>
      <c r="Q27" s="15"/>
      <c r="R27" s="15"/>
      <c r="S27" s="15"/>
      <c r="T27" s="15"/>
      <c r="U27" s="15"/>
      <c r="V27" s="15"/>
      <c r="W27" s="15"/>
      <c r="X27" s="15"/>
      <c r="Y27" s="15"/>
      <c r="Z27" s="15"/>
      <c r="AA27" s="15"/>
      <c r="AB27" s="15"/>
      <c r="AC27" s="15"/>
      <c r="AD27" s="15"/>
    </row>
    <row r="28" spans="1:30" x14ac:dyDescent="0.3">
      <c r="A28" s="7" t="s">
        <v>211</v>
      </c>
      <c r="B28" s="2"/>
      <c r="C28" s="2"/>
      <c r="D28" s="2"/>
      <c r="E28" s="7" t="s">
        <v>19</v>
      </c>
      <c r="F28" s="2"/>
      <c r="G28" s="2"/>
      <c r="H28" s="2"/>
      <c r="I28" s="2"/>
      <c r="J28" s="2"/>
      <c r="K28" s="2"/>
      <c r="L28" s="2"/>
      <c r="M28" s="2"/>
      <c r="N28" s="15"/>
      <c r="O28" s="15"/>
      <c r="P28" s="15"/>
      <c r="Q28" s="15"/>
      <c r="R28" s="15"/>
      <c r="S28" s="15"/>
      <c r="T28" s="15"/>
      <c r="U28" s="15"/>
      <c r="V28" s="15"/>
      <c r="W28" s="15"/>
      <c r="X28" s="15"/>
      <c r="Y28" s="15"/>
      <c r="Z28" s="15"/>
      <c r="AA28" s="15"/>
      <c r="AB28" s="15"/>
      <c r="AC28" s="15"/>
      <c r="AD28" s="15"/>
    </row>
    <row r="29" spans="1:30" x14ac:dyDescent="0.3">
      <c r="A29" s="2" t="s">
        <v>212</v>
      </c>
      <c r="B29" s="2"/>
      <c r="C29" s="2"/>
      <c r="D29" s="2"/>
      <c r="E29" s="2"/>
      <c r="F29" s="2"/>
      <c r="G29" s="2"/>
      <c r="H29" s="2"/>
      <c r="I29" s="2"/>
      <c r="J29" s="2"/>
      <c r="K29" s="2"/>
      <c r="L29" s="2"/>
      <c r="M29" s="2"/>
      <c r="N29" s="15"/>
      <c r="O29" s="15"/>
      <c r="P29" s="15"/>
      <c r="Q29" s="15"/>
      <c r="R29" s="15"/>
      <c r="S29" s="15"/>
      <c r="T29" s="15"/>
      <c r="U29" s="15"/>
      <c r="V29" s="15"/>
      <c r="W29" s="15"/>
      <c r="X29" s="15"/>
      <c r="Y29" s="15"/>
      <c r="Z29" s="15"/>
      <c r="AA29" s="15"/>
      <c r="AB29" s="15"/>
      <c r="AC29" s="15"/>
      <c r="AD29" s="15"/>
    </row>
    <row r="30" spans="1:30" x14ac:dyDescent="0.3">
      <c r="A30" s="2" t="s">
        <v>35</v>
      </c>
      <c r="B30" s="2"/>
      <c r="C30" s="2"/>
      <c r="D30" s="1">
        <v>1676</v>
      </c>
      <c r="E30" s="2" t="s">
        <v>24</v>
      </c>
      <c r="F30" s="2"/>
      <c r="G30" s="2"/>
      <c r="H30" s="2"/>
      <c r="I30" s="2"/>
      <c r="J30" s="2"/>
      <c r="K30" s="2"/>
      <c r="L30" s="2"/>
      <c r="M30" s="2"/>
      <c r="N30" s="15"/>
      <c r="O30" s="15"/>
      <c r="P30" s="15"/>
      <c r="Q30" s="15"/>
      <c r="R30" s="15"/>
      <c r="S30" s="15"/>
      <c r="T30" s="15"/>
      <c r="U30" s="15"/>
      <c r="V30" s="15"/>
      <c r="W30" s="15"/>
      <c r="X30" s="15"/>
      <c r="Y30" s="15"/>
      <c r="Z30" s="15"/>
      <c r="AA30" s="15"/>
      <c r="AB30" s="15"/>
      <c r="AC30" s="15"/>
      <c r="AD30" s="15"/>
    </row>
    <row r="31" spans="1:30" x14ac:dyDescent="0.3">
      <c r="A31" s="2" t="s">
        <v>208</v>
      </c>
      <c r="B31" s="2"/>
      <c r="C31" s="2"/>
      <c r="D31" s="1">
        <v>0</v>
      </c>
      <c r="E31" s="2" t="s">
        <v>24</v>
      </c>
      <c r="F31" s="2"/>
      <c r="G31" s="2"/>
      <c r="H31" s="2"/>
      <c r="I31" s="2"/>
      <c r="J31" s="2"/>
      <c r="K31" s="2"/>
      <c r="L31" s="2"/>
      <c r="M31" s="2"/>
      <c r="N31" s="15"/>
      <c r="O31" s="15"/>
      <c r="P31" s="15"/>
      <c r="Q31" s="15"/>
      <c r="R31" s="15"/>
      <c r="S31" s="15"/>
      <c r="T31" s="15"/>
      <c r="U31" s="15"/>
      <c r="V31" s="15"/>
      <c r="W31" s="15"/>
      <c r="X31" s="15"/>
      <c r="Y31" s="15"/>
      <c r="Z31" s="15"/>
      <c r="AA31" s="15"/>
      <c r="AB31" s="15"/>
      <c r="AC31" s="15"/>
      <c r="AD31" s="15"/>
    </row>
    <row r="32" spans="1:30" x14ac:dyDescent="0.3">
      <c r="A32" s="2" t="s">
        <v>209</v>
      </c>
      <c r="B32" s="2"/>
      <c r="C32" s="2"/>
      <c r="D32" s="1" t="s">
        <v>679</v>
      </c>
      <c r="E32" s="2" t="s">
        <v>45</v>
      </c>
      <c r="F32" s="2"/>
      <c r="G32" s="2"/>
      <c r="H32" s="2"/>
      <c r="I32" s="2"/>
      <c r="J32" s="2"/>
      <c r="K32" s="2"/>
      <c r="L32" s="2"/>
      <c r="M32" s="2"/>
      <c r="N32" s="15"/>
      <c r="O32" s="15"/>
      <c r="P32" s="15"/>
      <c r="Q32" s="15"/>
      <c r="R32" s="15"/>
      <c r="S32" s="15"/>
      <c r="T32" s="15"/>
      <c r="U32" s="15"/>
      <c r="V32" s="15"/>
      <c r="W32" s="15"/>
      <c r="X32" s="15"/>
      <c r="Y32" s="15"/>
      <c r="Z32" s="15"/>
      <c r="AA32" s="15"/>
      <c r="AB32" s="15"/>
      <c r="AC32" s="15"/>
      <c r="AD32" s="15"/>
    </row>
    <row r="33" spans="1:30" x14ac:dyDescent="0.3">
      <c r="A33" s="2" t="s">
        <v>70</v>
      </c>
      <c r="B33" s="2"/>
      <c r="C33" s="2"/>
      <c r="D33" s="1" t="s">
        <v>612</v>
      </c>
      <c r="E33" s="2" t="s">
        <v>20</v>
      </c>
      <c r="F33" s="2"/>
      <c r="G33" s="2"/>
      <c r="H33" s="2"/>
      <c r="I33" s="2"/>
      <c r="J33" s="2"/>
      <c r="K33" s="2"/>
      <c r="L33" s="2"/>
      <c r="M33" s="2"/>
      <c r="N33" s="15"/>
      <c r="O33" s="15"/>
      <c r="P33" s="15"/>
      <c r="Q33" s="15"/>
      <c r="R33" s="15"/>
      <c r="S33" s="15"/>
      <c r="T33" s="15"/>
      <c r="U33" s="15"/>
      <c r="V33" s="15"/>
      <c r="W33" s="15"/>
      <c r="X33" s="15"/>
      <c r="Y33" s="15"/>
      <c r="Z33" s="15"/>
      <c r="AA33" s="15"/>
      <c r="AB33" s="15"/>
      <c r="AC33" s="15"/>
      <c r="AD33" s="15"/>
    </row>
    <row r="34" spans="1:30" ht="16.2" x14ac:dyDescent="0.3">
      <c r="A34" s="2" t="s">
        <v>213</v>
      </c>
      <c r="B34" s="2"/>
      <c r="C34" s="2"/>
      <c r="D34" s="96">
        <v>1225</v>
      </c>
      <c r="E34" s="2" t="s">
        <v>423</v>
      </c>
      <c r="F34" s="2"/>
      <c r="G34" s="2"/>
      <c r="H34" s="2"/>
      <c r="I34" s="2"/>
      <c r="J34" s="2"/>
      <c r="K34" s="2"/>
      <c r="L34" s="2"/>
      <c r="M34" s="2"/>
      <c r="N34" s="15"/>
      <c r="O34" s="15"/>
      <c r="P34" s="15"/>
      <c r="Q34" s="15"/>
      <c r="R34" s="15"/>
      <c r="S34" s="15"/>
      <c r="T34" s="15"/>
      <c r="U34" s="15"/>
      <c r="V34" s="15"/>
      <c r="W34" s="15"/>
      <c r="X34" s="15"/>
      <c r="Y34" s="15"/>
      <c r="Z34" s="15"/>
      <c r="AA34" s="15"/>
      <c r="AB34" s="15"/>
      <c r="AC34" s="15"/>
      <c r="AD34" s="15"/>
    </row>
    <row r="35" spans="1:30" x14ac:dyDescent="0.3">
      <c r="A35" s="38" t="s">
        <v>214</v>
      </c>
      <c r="B35" s="2"/>
      <c r="C35" s="2"/>
      <c r="D35" s="2"/>
      <c r="E35" s="2"/>
      <c r="F35" s="2"/>
      <c r="G35" s="2"/>
      <c r="H35" s="2"/>
      <c r="I35" s="2"/>
      <c r="J35" s="2"/>
      <c r="K35" s="2"/>
      <c r="L35" s="2"/>
      <c r="M35" s="2"/>
      <c r="N35" s="15"/>
      <c r="O35" s="15"/>
      <c r="P35" s="15"/>
      <c r="Q35" s="15"/>
      <c r="R35" s="15"/>
      <c r="S35" s="15"/>
      <c r="T35" s="15"/>
      <c r="U35" s="15"/>
      <c r="V35" s="15"/>
      <c r="W35" s="15"/>
      <c r="X35" s="15"/>
      <c r="Y35" s="15"/>
      <c r="Z35" s="15"/>
      <c r="AA35" s="15"/>
      <c r="AB35" s="15"/>
      <c r="AC35" s="15"/>
      <c r="AD35" s="15"/>
    </row>
    <row r="36" spans="1:30" x14ac:dyDescent="0.3">
      <c r="A36" s="38" t="s">
        <v>455</v>
      </c>
      <c r="B36" s="2"/>
      <c r="C36" s="2"/>
      <c r="D36" s="2"/>
      <c r="E36" s="2"/>
      <c r="F36" s="2"/>
      <c r="G36" s="2"/>
      <c r="H36" s="2"/>
      <c r="I36" s="2"/>
      <c r="J36" s="2"/>
      <c r="K36" s="2"/>
      <c r="L36" s="2"/>
      <c r="M36" s="2"/>
      <c r="N36" s="15"/>
      <c r="O36" s="15"/>
      <c r="P36" s="15"/>
      <c r="Q36" s="15"/>
      <c r="R36" s="15"/>
      <c r="S36" s="15"/>
      <c r="T36" s="15"/>
      <c r="U36" s="15"/>
      <c r="V36" s="15"/>
      <c r="W36" s="15"/>
      <c r="X36" s="15"/>
      <c r="Y36" s="15"/>
      <c r="Z36" s="15"/>
      <c r="AA36" s="15"/>
      <c r="AB36" s="15"/>
      <c r="AC36" s="15"/>
      <c r="AD36" s="15"/>
    </row>
    <row r="37" spans="1:30" x14ac:dyDescent="0.3">
      <c r="A37" s="2"/>
      <c r="B37" s="2"/>
      <c r="C37" s="2"/>
      <c r="D37" s="2"/>
      <c r="E37" s="2"/>
      <c r="F37" s="2"/>
      <c r="G37" s="2"/>
      <c r="H37" s="2"/>
      <c r="I37" s="2"/>
      <c r="J37" s="2"/>
      <c r="K37" s="2"/>
      <c r="L37" s="2"/>
      <c r="M37" s="2"/>
      <c r="N37" s="15"/>
      <c r="O37" s="15"/>
      <c r="P37" s="15"/>
      <c r="Q37" s="15"/>
      <c r="R37" s="15"/>
      <c r="S37" s="15"/>
      <c r="T37" s="15"/>
      <c r="U37" s="15"/>
      <c r="V37" s="15"/>
      <c r="W37" s="15"/>
      <c r="X37" s="15"/>
      <c r="Y37" s="15"/>
      <c r="Z37" s="15"/>
      <c r="AA37" s="15"/>
      <c r="AB37" s="15"/>
      <c r="AC37" s="15"/>
      <c r="AD37" s="15"/>
    </row>
    <row r="38" spans="1:30" x14ac:dyDescent="0.3">
      <c r="A38" s="7" t="s">
        <v>215</v>
      </c>
      <c r="B38" s="2"/>
      <c r="C38" s="2"/>
      <c r="D38" s="2"/>
      <c r="E38" s="7" t="s">
        <v>19</v>
      </c>
      <c r="F38" s="2"/>
      <c r="G38" s="2"/>
      <c r="H38" s="2"/>
      <c r="I38" s="2"/>
      <c r="J38" s="2"/>
      <c r="K38" s="2"/>
      <c r="L38" s="2"/>
      <c r="M38" s="2"/>
      <c r="N38" s="15"/>
      <c r="O38" s="15"/>
      <c r="P38" s="15"/>
      <c r="Q38" s="15"/>
      <c r="R38" s="15"/>
      <c r="S38" s="15"/>
      <c r="T38" s="15"/>
      <c r="U38" s="15"/>
      <c r="V38" s="15"/>
      <c r="W38" s="15"/>
      <c r="X38" s="15"/>
      <c r="Y38" s="15"/>
      <c r="Z38" s="15"/>
      <c r="AA38" s="15"/>
      <c r="AB38" s="15"/>
      <c r="AC38" s="15"/>
      <c r="AD38" s="15"/>
    </row>
    <row r="39" spans="1:30" x14ac:dyDescent="0.3">
      <c r="A39" s="2" t="s">
        <v>216</v>
      </c>
      <c r="B39" s="2"/>
      <c r="C39" s="2"/>
      <c r="D39" s="1">
        <v>9300</v>
      </c>
      <c r="E39" s="2" t="s">
        <v>24</v>
      </c>
      <c r="F39" s="2"/>
      <c r="G39" s="2"/>
      <c r="H39" s="2"/>
      <c r="I39" s="2"/>
      <c r="J39" s="2"/>
      <c r="K39" s="2"/>
      <c r="L39" s="2"/>
      <c r="M39" s="2"/>
      <c r="N39" s="15"/>
      <c r="O39" s="15"/>
      <c r="P39" s="15"/>
      <c r="Q39" s="15"/>
      <c r="R39" s="15"/>
      <c r="S39" s="15"/>
      <c r="T39" s="15"/>
      <c r="U39" s="15"/>
      <c r="V39" s="15"/>
      <c r="W39" s="15"/>
      <c r="X39" s="15"/>
      <c r="Y39" s="15"/>
      <c r="Z39" s="15"/>
      <c r="AA39" s="15"/>
      <c r="AB39" s="15"/>
      <c r="AC39" s="15"/>
      <c r="AD39" s="15"/>
    </row>
    <row r="40" spans="1:30" x14ac:dyDescent="0.3">
      <c r="A40" s="38" t="s">
        <v>217</v>
      </c>
      <c r="B40" s="2"/>
      <c r="C40" s="2"/>
      <c r="D40" s="2"/>
      <c r="E40" s="2"/>
      <c r="F40" s="2"/>
      <c r="G40" s="2"/>
      <c r="H40" s="2"/>
      <c r="I40" s="2"/>
      <c r="J40" s="2"/>
      <c r="K40" s="2"/>
      <c r="L40" s="2"/>
      <c r="M40" s="2"/>
      <c r="N40" s="15"/>
      <c r="O40" s="15"/>
      <c r="P40" s="15"/>
      <c r="Q40" s="15"/>
      <c r="R40" s="15"/>
      <c r="S40" s="15"/>
      <c r="T40" s="15"/>
      <c r="U40" s="15"/>
      <c r="V40" s="15"/>
      <c r="W40" s="15"/>
      <c r="X40" s="15"/>
      <c r="Y40" s="15"/>
      <c r="Z40" s="15"/>
      <c r="AA40" s="15"/>
      <c r="AB40" s="15"/>
      <c r="AC40" s="15"/>
      <c r="AD40" s="15"/>
    </row>
    <row r="41" spans="1:30" x14ac:dyDescent="0.3">
      <c r="A41" s="2" t="s">
        <v>534</v>
      </c>
      <c r="B41" s="2"/>
      <c r="C41" s="2"/>
      <c r="D41" s="1">
        <v>10</v>
      </c>
      <c r="E41" s="2" t="s">
        <v>20</v>
      </c>
      <c r="F41" s="2"/>
      <c r="G41" s="2"/>
      <c r="H41" s="2"/>
      <c r="I41" s="2"/>
      <c r="J41" s="2"/>
      <c r="K41" s="2"/>
      <c r="L41" s="2"/>
      <c r="M41" s="2"/>
      <c r="N41" s="15"/>
      <c r="O41" s="15"/>
      <c r="P41" s="15"/>
      <c r="Q41" s="15"/>
      <c r="R41" s="15"/>
      <c r="S41" s="15"/>
      <c r="T41" s="15"/>
      <c r="U41" s="15"/>
      <c r="V41" s="15"/>
      <c r="W41" s="15"/>
      <c r="X41" s="15"/>
      <c r="Y41" s="15"/>
      <c r="Z41" s="15"/>
      <c r="AA41" s="15"/>
      <c r="AB41" s="15"/>
      <c r="AC41" s="15"/>
      <c r="AD41" s="15"/>
    </row>
    <row r="42" spans="1:30" x14ac:dyDescent="0.3">
      <c r="A42" s="7" t="s">
        <v>218</v>
      </c>
      <c r="B42" s="2"/>
      <c r="C42" s="2"/>
      <c r="D42" s="2"/>
      <c r="E42" s="7" t="s">
        <v>19</v>
      </c>
      <c r="F42" s="2"/>
      <c r="G42" s="2"/>
      <c r="H42" s="2"/>
      <c r="I42" s="2"/>
      <c r="J42" s="2"/>
      <c r="K42" s="2"/>
      <c r="L42" s="2"/>
      <c r="M42" s="2"/>
      <c r="N42" s="15"/>
      <c r="O42" s="15"/>
      <c r="P42" s="15"/>
      <c r="Q42" s="15"/>
      <c r="R42" s="15"/>
      <c r="S42" s="15"/>
      <c r="T42" s="15"/>
      <c r="U42" s="15"/>
      <c r="V42" s="15"/>
      <c r="W42" s="15"/>
      <c r="X42" s="15"/>
      <c r="Y42" s="15"/>
      <c r="Z42" s="15"/>
      <c r="AA42" s="15"/>
      <c r="AB42" s="15"/>
      <c r="AC42" s="15"/>
      <c r="AD42" s="15"/>
    </row>
    <row r="43" spans="1:30" x14ac:dyDescent="0.3">
      <c r="A43" s="2" t="s">
        <v>219</v>
      </c>
      <c r="B43" s="2"/>
      <c r="C43" s="2"/>
      <c r="D43" s="1">
        <v>212</v>
      </c>
      <c r="E43" s="2" t="s">
        <v>46</v>
      </c>
      <c r="F43" s="2"/>
      <c r="G43" s="2"/>
      <c r="H43" s="2"/>
      <c r="I43" s="2"/>
      <c r="J43" s="2"/>
      <c r="K43" s="2"/>
      <c r="L43" s="2"/>
      <c r="M43" s="2"/>
      <c r="N43" s="15"/>
      <c r="O43" s="15"/>
      <c r="P43" s="15"/>
      <c r="Q43" s="15"/>
      <c r="R43" s="15"/>
      <c r="S43" s="15"/>
      <c r="T43" s="15"/>
      <c r="U43" s="15"/>
      <c r="V43" s="15"/>
      <c r="W43" s="15"/>
      <c r="X43" s="15"/>
      <c r="Y43" s="15"/>
      <c r="Z43" s="15"/>
      <c r="AA43" s="15"/>
      <c r="AB43" s="15"/>
      <c r="AC43" s="15"/>
      <c r="AD43" s="15"/>
    </row>
    <row r="44" spans="1:30" x14ac:dyDescent="0.3">
      <c r="A44" s="38" t="s">
        <v>454</v>
      </c>
      <c r="B44" s="2"/>
      <c r="C44" s="2"/>
      <c r="D44" s="2"/>
      <c r="E44" s="2"/>
      <c r="F44" s="2"/>
      <c r="G44" s="2"/>
      <c r="H44" s="2"/>
      <c r="I44" s="2"/>
      <c r="J44" s="2"/>
      <c r="K44" s="2"/>
      <c r="L44" s="2"/>
      <c r="M44" s="2"/>
      <c r="N44" s="15"/>
      <c r="O44" s="15"/>
      <c r="P44" s="15"/>
      <c r="Q44" s="15"/>
      <c r="R44" s="15"/>
      <c r="S44" s="15"/>
      <c r="T44" s="15"/>
      <c r="U44" s="15"/>
      <c r="V44" s="15"/>
      <c r="W44" s="15"/>
      <c r="X44" s="15"/>
      <c r="Y44" s="15"/>
      <c r="Z44" s="15"/>
      <c r="AA44" s="15"/>
      <c r="AB44" s="15"/>
      <c r="AC44" s="15"/>
      <c r="AD44" s="15"/>
    </row>
    <row r="45" spans="1:30" x14ac:dyDescent="0.3">
      <c r="A45" s="2"/>
      <c r="B45" s="2"/>
      <c r="C45" s="2"/>
      <c r="D45" s="2"/>
      <c r="E45" s="2"/>
      <c r="F45" s="2"/>
      <c r="G45" s="2"/>
      <c r="H45" s="2"/>
      <c r="I45" s="2"/>
      <c r="J45" s="2"/>
      <c r="K45" s="2"/>
      <c r="L45" s="2"/>
      <c r="M45" s="2"/>
      <c r="N45" s="15"/>
      <c r="O45" s="15"/>
      <c r="P45" s="15"/>
      <c r="Q45" s="15"/>
      <c r="R45" s="15"/>
      <c r="S45" s="15"/>
      <c r="T45" s="15"/>
      <c r="U45" s="15"/>
      <c r="V45" s="15"/>
      <c r="W45" s="15"/>
      <c r="X45" s="15"/>
      <c r="Y45" s="15"/>
      <c r="Z45" s="15"/>
      <c r="AA45" s="15"/>
      <c r="AB45" s="15"/>
      <c r="AC45" s="15"/>
      <c r="AD45" s="15"/>
    </row>
    <row r="46" spans="1:30" x14ac:dyDescent="0.3">
      <c r="A46" s="7" t="s">
        <v>220</v>
      </c>
      <c r="B46" s="2"/>
      <c r="C46" s="2"/>
      <c r="D46" s="2"/>
      <c r="E46" s="7" t="s">
        <v>19</v>
      </c>
      <c r="F46" s="2"/>
      <c r="G46" s="2"/>
      <c r="H46" s="2"/>
      <c r="I46" s="2"/>
      <c r="J46" s="2"/>
      <c r="K46" s="2"/>
      <c r="L46" s="2"/>
      <c r="M46" s="2"/>
      <c r="N46" s="15"/>
      <c r="O46" s="15"/>
      <c r="P46" s="15"/>
      <c r="Q46" s="15"/>
      <c r="R46" s="15"/>
      <c r="S46" s="15"/>
      <c r="T46" s="15"/>
      <c r="U46" s="15"/>
      <c r="V46" s="15"/>
      <c r="W46" s="15"/>
      <c r="X46" s="15"/>
      <c r="Y46" s="15"/>
      <c r="Z46" s="15"/>
      <c r="AA46" s="15"/>
      <c r="AB46" s="15"/>
      <c r="AC46" s="15"/>
      <c r="AD46" s="15"/>
    </row>
    <row r="47" spans="1:30" x14ac:dyDescent="0.3">
      <c r="A47" s="2" t="s">
        <v>221</v>
      </c>
      <c r="B47" s="2"/>
      <c r="C47" s="2"/>
      <c r="D47" s="1">
        <v>3.8</v>
      </c>
      <c r="E47" s="2" t="s">
        <v>46</v>
      </c>
      <c r="F47" s="2"/>
      <c r="G47" s="2"/>
      <c r="H47" s="2"/>
      <c r="I47" s="2"/>
      <c r="J47" s="2"/>
      <c r="K47" s="2"/>
      <c r="L47" s="2"/>
      <c r="M47" s="2"/>
      <c r="N47" s="15"/>
      <c r="O47" s="15"/>
      <c r="P47" s="15"/>
      <c r="Q47" s="15"/>
      <c r="R47" s="15"/>
      <c r="S47" s="15"/>
      <c r="T47" s="15"/>
      <c r="U47" s="15"/>
      <c r="V47" s="15"/>
      <c r="W47" s="15"/>
      <c r="X47" s="15"/>
      <c r="Y47" s="15"/>
      <c r="Z47" s="15"/>
      <c r="AA47" s="15"/>
      <c r="AB47" s="15"/>
      <c r="AC47" s="15"/>
      <c r="AD47" s="15"/>
    </row>
    <row r="48" spans="1:30" x14ac:dyDescent="0.3">
      <c r="A48" s="2" t="s">
        <v>208</v>
      </c>
      <c r="B48" s="2"/>
      <c r="C48" s="2"/>
      <c r="D48" s="1">
        <v>7400</v>
      </c>
      <c r="E48" s="2" t="s">
        <v>46</v>
      </c>
      <c r="F48" s="2"/>
      <c r="G48" s="2"/>
      <c r="H48" s="2"/>
      <c r="I48" s="2"/>
      <c r="J48" s="2"/>
      <c r="K48" s="2"/>
      <c r="L48" s="2"/>
      <c r="M48" s="2"/>
      <c r="N48" s="15"/>
      <c r="O48" s="15"/>
      <c r="P48" s="15"/>
      <c r="Q48" s="15"/>
      <c r="R48" s="15"/>
      <c r="S48" s="15"/>
      <c r="T48" s="15"/>
      <c r="U48" s="15"/>
      <c r="V48" s="15"/>
      <c r="W48" s="15"/>
      <c r="X48" s="15"/>
      <c r="Y48" s="15"/>
      <c r="Z48" s="15"/>
      <c r="AA48" s="15"/>
      <c r="AB48" s="15"/>
      <c r="AC48" s="15"/>
      <c r="AD48" s="15"/>
    </row>
    <row r="49" spans="1:30" x14ac:dyDescent="0.3">
      <c r="A49" s="2" t="s">
        <v>70</v>
      </c>
      <c r="B49" s="2"/>
      <c r="C49" s="2"/>
      <c r="D49" s="1">
        <v>0.95</v>
      </c>
      <c r="E49" s="2" t="s">
        <v>20</v>
      </c>
      <c r="F49" s="2"/>
      <c r="G49" s="2"/>
      <c r="H49" s="2"/>
      <c r="I49" s="2"/>
      <c r="J49" s="2"/>
      <c r="K49" s="2"/>
      <c r="L49" s="2"/>
      <c r="M49" s="2"/>
      <c r="N49" s="15"/>
      <c r="O49" s="15"/>
      <c r="P49" s="15"/>
      <c r="Q49" s="15"/>
      <c r="R49" s="15"/>
      <c r="S49" s="15"/>
      <c r="T49" s="15"/>
      <c r="U49" s="15"/>
      <c r="V49" s="15"/>
      <c r="W49" s="15"/>
      <c r="X49" s="15"/>
      <c r="Y49" s="15"/>
      <c r="Z49" s="15"/>
      <c r="AA49" s="15"/>
      <c r="AB49" s="15"/>
      <c r="AC49" s="15"/>
      <c r="AD49" s="15"/>
    </row>
    <row r="50" spans="1:30" x14ac:dyDescent="0.3">
      <c r="A50" s="2" t="s">
        <v>209</v>
      </c>
      <c r="B50" s="2"/>
      <c r="C50" s="2"/>
      <c r="D50" s="1">
        <v>48.1</v>
      </c>
      <c r="E50" s="2" t="s">
        <v>45</v>
      </c>
      <c r="F50" s="2"/>
      <c r="G50" s="2"/>
      <c r="H50" s="2"/>
      <c r="I50" s="2"/>
      <c r="J50" s="2"/>
      <c r="K50" s="2"/>
      <c r="L50" s="2"/>
      <c r="M50" s="2"/>
      <c r="N50" s="15"/>
      <c r="O50" s="15"/>
      <c r="P50" s="15"/>
      <c r="Q50" s="15"/>
      <c r="R50" s="15"/>
      <c r="S50" s="15"/>
      <c r="T50" s="15"/>
      <c r="U50" s="15"/>
      <c r="V50" s="15"/>
      <c r="W50" s="15"/>
      <c r="X50" s="15"/>
      <c r="Y50" s="15"/>
      <c r="Z50" s="15"/>
      <c r="AA50" s="15"/>
      <c r="AB50" s="15"/>
      <c r="AC50" s="15"/>
      <c r="AD50" s="15"/>
    </row>
    <row r="51" spans="1:30" x14ac:dyDescent="0.3">
      <c r="A51" s="38" t="s">
        <v>222</v>
      </c>
      <c r="B51" s="2"/>
      <c r="C51" s="2"/>
      <c r="D51" s="2"/>
      <c r="E51" s="2"/>
      <c r="F51" s="2"/>
      <c r="G51" s="2"/>
      <c r="H51" s="2"/>
      <c r="I51" s="2"/>
      <c r="J51" s="2"/>
      <c r="K51" s="2"/>
      <c r="L51" s="2"/>
      <c r="M51" s="2"/>
      <c r="N51" s="15"/>
      <c r="O51" s="15"/>
      <c r="P51" s="15"/>
      <c r="Q51" s="15"/>
      <c r="R51" s="15"/>
      <c r="S51" s="15"/>
      <c r="T51" s="15"/>
      <c r="U51" s="15"/>
      <c r="V51" s="15"/>
      <c r="W51" s="15"/>
      <c r="X51" s="15"/>
      <c r="Y51" s="15"/>
      <c r="Z51" s="15"/>
      <c r="AA51" s="15"/>
      <c r="AB51" s="15"/>
      <c r="AC51" s="15"/>
      <c r="AD51" s="15"/>
    </row>
    <row r="52" spans="1:30" x14ac:dyDescent="0.3">
      <c r="A52" s="2" t="s">
        <v>223</v>
      </c>
      <c r="B52" s="2"/>
      <c r="C52" s="2"/>
      <c r="D52" s="1">
        <v>240.05</v>
      </c>
      <c r="E52" s="2" t="s">
        <v>45</v>
      </c>
      <c r="F52" s="2"/>
      <c r="G52" s="2"/>
      <c r="H52" s="2"/>
      <c r="I52" s="2"/>
      <c r="J52" s="2"/>
      <c r="K52" s="2"/>
      <c r="L52" s="2"/>
      <c r="M52" s="2"/>
      <c r="N52" s="15"/>
      <c r="O52" s="15"/>
      <c r="P52" s="15"/>
      <c r="Q52" s="15"/>
      <c r="R52" s="15"/>
      <c r="S52" s="15"/>
      <c r="T52" s="15"/>
      <c r="U52" s="15"/>
      <c r="V52" s="15"/>
      <c r="W52" s="15"/>
      <c r="X52" s="15"/>
      <c r="Y52" s="15"/>
      <c r="Z52" s="15"/>
      <c r="AA52" s="15"/>
      <c r="AB52" s="15"/>
      <c r="AC52" s="15"/>
      <c r="AD52" s="15"/>
    </row>
    <row r="53" spans="1:30" x14ac:dyDescent="0.3">
      <c r="A53" s="2" t="s">
        <v>224</v>
      </c>
      <c r="B53" s="2"/>
      <c r="C53" s="2"/>
      <c r="D53" s="1">
        <v>38800</v>
      </c>
      <c r="E53" s="2" t="s">
        <v>481</v>
      </c>
      <c r="F53" s="2"/>
      <c r="G53" s="2"/>
      <c r="H53" s="2"/>
      <c r="I53" s="2"/>
      <c r="J53" s="2"/>
      <c r="K53" s="2"/>
      <c r="L53" s="2"/>
      <c r="M53" s="2"/>
      <c r="N53" s="15"/>
      <c r="O53" s="15"/>
      <c r="P53" s="15"/>
      <c r="Q53" s="15"/>
      <c r="R53" s="15"/>
      <c r="S53" s="15"/>
      <c r="T53" s="15"/>
      <c r="U53" s="15"/>
      <c r="V53" s="15"/>
      <c r="W53" s="15"/>
      <c r="X53" s="15"/>
      <c r="Y53" s="15"/>
      <c r="Z53" s="15"/>
      <c r="AA53" s="15"/>
      <c r="AB53" s="15"/>
      <c r="AC53" s="15"/>
      <c r="AD53" s="15"/>
    </row>
    <row r="54" spans="1:30" ht="16.2" x14ac:dyDescent="0.3">
      <c r="A54" s="2" t="s">
        <v>225</v>
      </c>
      <c r="B54" s="2"/>
      <c r="C54" s="2"/>
      <c r="D54" s="1">
        <v>0.56308000000000002</v>
      </c>
      <c r="E54" s="2" t="s">
        <v>423</v>
      </c>
      <c r="F54" s="2"/>
      <c r="G54" s="2"/>
      <c r="H54" s="2"/>
      <c r="I54" s="2"/>
      <c r="J54" s="2"/>
      <c r="K54" s="2"/>
      <c r="L54" s="2"/>
      <c r="M54" s="2"/>
      <c r="N54" s="15"/>
      <c r="O54" s="15"/>
      <c r="P54" s="15"/>
      <c r="Q54" s="15"/>
      <c r="R54" s="15"/>
      <c r="S54" s="15"/>
      <c r="T54" s="15"/>
      <c r="U54" s="15"/>
      <c r="V54" s="15"/>
      <c r="W54" s="15"/>
      <c r="X54" s="15"/>
      <c r="Y54" s="15"/>
      <c r="Z54" s="15"/>
      <c r="AA54" s="15"/>
      <c r="AB54" s="15"/>
      <c r="AC54" s="15"/>
      <c r="AD54" s="15"/>
    </row>
    <row r="55" spans="1:30" x14ac:dyDescent="0.3">
      <c r="A55" s="2" t="s">
        <v>226</v>
      </c>
      <c r="B55" s="2"/>
      <c r="C55" s="2"/>
      <c r="D55" s="1"/>
      <c r="E55" s="2" t="s">
        <v>20</v>
      </c>
      <c r="F55" s="2"/>
      <c r="G55" s="2"/>
      <c r="H55" s="2"/>
      <c r="I55" s="2"/>
      <c r="J55" s="2"/>
      <c r="K55" s="2"/>
      <c r="L55" s="2"/>
      <c r="M55" s="2"/>
      <c r="N55" s="15"/>
      <c r="O55" s="15"/>
      <c r="P55" s="15"/>
      <c r="Q55" s="15"/>
      <c r="R55" s="15"/>
      <c r="S55" s="15"/>
      <c r="T55" s="15"/>
      <c r="U55" s="15"/>
      <c r="V55" s="15"/>
      <c r="W55" s="15"/>
      <c r="X55" s="15"/>
      <c r="Y55" s="15"/>
      <c r="Z55" s="15"/>
      <c r="AA55" s="15"/>
      <c r="AB55" s="15"/>
      <c r="AC55" s="15"/>
      <c r="AD55" s="15"/>
    </row>
    <row r="56" spans="1:30" x14ac:dyDescent="0.3">
      <c r="A56" s="38" t="s">
        <v>453</v>
      </c>
      <c r="B56" s="2"/>
      <c r="C56" s="2"/>
      <c r="D56" s="2"/>
      <c r="E56" s="2"/>
      <c r="F56" s="2"/>
      <c r="G56" s="2"/>
      <c r="H56" s="2"/>
      <c r="I56" s="2"/>
      <c r="J56" s="2"/>
      <c r="K56" s="2"/>
      <c r="L56" s="2"/>
      <c r="M56" s="2"/>
      <c r="N56" s="15"/>
      <c r="O56" s="15"/>
      <c r="P56" s="15"/>
      <c r="Q56" s="15"/>
      <c r="R56" s="15"/>
      <c r="S56" s="15"/>
      <c r="T56" s="15"/>
      <c r="U56" s="15"/>
      <c r="V56" s="15"/>
      <c r="W56" s="15"/>
      <c r="X56" s="15"/>
      <c r="Y56" s="15"/>
      <c r="Z56" s="15"/>
      <c r="AA56" s="15"/>
      <c r="AB56" s="15"/>
      <c r="AC56" s="15"/>
      <c r="AD56" s="15"/>
    </row>
    <row r="57" spans="1:30" x14ac:dyDescent="0.3">
      <c r="A57" s="2"/>
      <c r="B57" s="2"/>
      <c r="C57" s="2"/>
      <c r="D57" s="2"/>
      <c r="E57" s="2"/>
      <c r="F57" s="2"/>
      <c r="G57" s="2"/>
      <c r="H57" s="2"/>
      <c r="I57" s="2"/>
      <c r="J57" s="2"/>
      <c r="K57" s="2"/>
      <c r="L57" s="2"/>
      <c r="M57" s="2"/>
      <c r="N57" s="15"/>
      <c r="O57" s="15"/>
      <c r="P57" s="15"/>
      <c r="Q57" s="15"/>
      <c r="R57" s="15"/>
      <c r="S57" s="15"/>
      <c r="T57" s="15"/>
      <c r="U57" s="15"/>
      <c r="V57" s="15"/>
      <c r="W57" s="15"/>
      <c r="X57" s="15"/>
      <c r="Y57" s="15"/>
      <c r="Z57" s="15"/>
      <c r="AA57" s="15"/>
      <c r="AB57" s="15"/>
      <c r="AC57" s="15"/>
      <c r="AD57" s="15"/>
    </row>
    <row r="58" spans="1:30" x14ac:dyDescent="0.3">
      <c r="A58" s="7" t="s">
        <v>199</v>
      </c>
      <c r="B58" s="2"/>
      <c r="C58" s="2"/>
      <c r="D58" s="43" t="s">
        <v>484</v>
      </c>
      <c r="E58" s="2"/>
      <c r="F58" s="2"/>
      <c r="G58" s="2"/>
      <c r="H58" s="2"/>
      <c r="I58" s="2"/>
      <c r="J58" s="2"/>
      <c r="K58" s="2"/>
      <c r="L58" s="2"/>
      <c r="M58" s="2"/>
      <c r="N58" s="15"/>
      <c r="O58" s="15"/>
      <c r="P58" s="15"/>
      <c r="Q58" s="15"/>
      <c r="R58" s="15"/>
      <c r="S58" s="15"/>
      <c r="T58" s="15"/>
      <c r="U58" s="15"/>
      <c r="V58" s="15"/>
      <c r="W58" s="15"/>
      <c r="X58" s="15"/>
      <c r="Y58" s="15"/>
      <c r="Z58" s="15"/>
      <c r="AA58" s="15"/>
      <c r="AB58" s="15"/>
      <c r="AC58" s="15"/>
      <c r="AD58" s="15"/>
    </row>
    <row r="59" spans="1:30" x14ac:dyDescent="0.3">
      <c r="A59" s="2" t="s">
        <v>237</v>
      </c>
      <c r="B59" s="2"/>
      <c r="C59" s="2"/>
      <c r="D59" s="7">
        <v>25.119</v>
      </c>
      <c r="E59" s="7" t="s">
        <v>462</v>
      </c>
      <c r="F59" s="7" t="s">
        <v>463</v>
      </c>
      <c r="G59" s="7" t="s">
        <v>464</v>
      </c>
      <c r="H59" s="7" t="s">
        <v>465</v>
      </c>
      <c r="I59" s="7" t="s">
        <v>19</v>
      </c>
      <c r="J59" s="2"/>
      <c r="K59" s="2"/>
      <c r="L59" s="2"/>
      <c r="M59" s="2"/>
      <c r="N59" s="15"/>
      <c r="O59" s="15"/>
      <c r="P59" s="15"/>
      <c r="Q59" s="15"/>
      <c r="R59" s="15"/>
      <c r="S59" s="15"/>
      <c r="T59" s="15"/>
      <c r="U59" s="15"/>
      <c r="V59" s="15"/>
      <c r="W59" s="15"/>
      <c r="X59" s="15"/>
      <c r="Y59" s="15"/>
      <c r="Z59" s="15"/>
      <c r="AA59" s="15"/>
      <c r="AB59" s="15"/>
      <c r="AC59" s="15"/>
      <c r="AD59" s="15"/>
    </row>
    <row r="60" spans="1:30" x14ac:dyDescent="0.3">
      <c r="A60" s="2" t="s">
        <v>208</v>
      </c>
      <c r="B60" s="2"/>
      <c r="C60" s="2"/>
      <c r="D60" s="2">
        <v>0</v>
      </c>
      <c r="E60" s="2">
        <v>0</v>
      </c>
      <c r="F60" s="2">
        <v>0</v>
      </c>
      <c r="G60" s="2">
        <v>0</v>
      </c>
      <c r="H60" s="2">
        <v>0</v>
      </c>
      <c r="I60" s="2" t="s">
        <v>24</v>
      </c>
      <c r="J60" s="2"/>
      <c r="K60" s="2"/>
      <c r="L60" s="2"/>
      <c r="M60" s="2"/>
      <c r="N60" s="15"/>
      <c r="O60" s="15"/>
      <c r="P60" s="15"/>
      <c r="Q60" s="15"/>
      <c r="R60" s="15"/>
      <c r="S60" s="15"/>
      <c r="T60" s="15"/>
      <c r="U60" s="15"/>
      <c r="V60" s="15"/>
      <c r="W60" s="15"/>
      <c r="X60" s="15"/>
      <c r="Y60" s="15"/>
      <c r="Z60" s="15"/>
      <c r="AA60" s="15"/>
      <c r="AB60" s="15"/>
      <c r="AC60" s="15"/>
      <c r="AD60" s="15"/>
    </row>
    <row r="61" spans="1:30" x14ac:dyDescent="0.3">
      <c r="A61" s="2" t="s">
        <v>466</v>
      </c>
      <c r="B61" s="2"/>
      <c r="C61" s="2"/>
      <c r="D61" s="2">
        <f>TLAR!F10</f>
        <v>2</v>
      </c>
      <c r="E61" s="2">
        <f>TLAR!F18</f>
        <v>1</v>
      </c>
      <c r="F61" s="2">
        <f>TLAR!F25</f>
        <v>1</v>
      </c>
      <c r="G61" s="2">
        <f>TLAR!F32</f>
        <v>1</v>
      </c>
      <c r="H61" s="2">
        <f>TLAR!F39</f>
        <v>1</v>
      </c>
      <c r="I61" s="2"/>
      <c r="J61" s="2"/>
      <c r="K61" s="2"/>
      <c r="L61" s="2"/>
      <c r="M61" s="2"/>
      <c r="N61" s="15"/>
      <c r="O61" s="15"/>
      <c r="P61" s="15"/>
      <c r="Q61" s="15"/>
      <c r="R61" s="15"/>
      <c r="S61" s="15"/>
      <c r="T61" s="15"/>
      <c r="U61" s="15"/>
      <c r="V61" s="15"/>
      <c r="W61" s="15"/>
      <c r="X61" s="15"/>
      <c r="Y61" s="15"/>
      <c r="Z61" s="15"/>
      <c r="AA61" s="15"/>
      <c r="AB61" s="15"/>
      <c r="AC61" s="15"/>
      <c r="AD61" s="15"/>
    </row>
    <row r="62" spans="1:30" x14ac:dyDescent="0.3">
      <c r="A62" s="2" t="s">
        <v>70</v>
      </c>
      <c r="B62" s="2"/>
      <c r="C62" s="2"/>
      <c r="D62" s="2">
        <f>TLAR!F6</f>
        <v>1</v>
      </c>
      <c r="E62" s="2">
        <f>TLAR!F14</f>
        <v>1</v>
      </c>
      <c r="F62" s="2">
        <f>TLAR!F21</f>
        <v>1</v>
      </c>
      <c r="G62" s="2">
        <f>TLAR!F28</f>
        <v>1</v>
      </c>
      <c r="H62" s="2" t="str">
        <f>TLAR!F35</f>
        <v>0.92</v>
      </c>
      <c r="I62" s="2"/>
      <c r="J62" s="2"/>
      <c r="K62" s="2"/>
      <c r="L62" s="2"/>
      <c r="M62" s="2"/>
      <c r="N62" s="15"/>
      <c r="O62" s="15"/>
      <c r="P62" s="15"/>
      <c r="Q62" s="15"/>
      <c r="R62" s="15"/>
      <c r="S62" s="15"/>
      <c r="T62" s="15"/>
      <c r="U62" s="15"/>
      <c r="V62" s="15"/>
      <c r="W62" s="15"/>
      <c r="X62" s="15"/>
      <c r="Y62" s="15"/>
      <c r="Z62" s="15"/>
      <c r="AA62" s="15"/>
      <c r="AB62" s="15"/>
      <c r="AC62" s="15"/>
      <c r="AD62" s="15"/>
    </row>
    <row r="63" spans="1:30" x14ac:dyDescent="0.3">
      <c r="A63" s="2" t="s">
        <v>238</v>
      </c>
      <c r="B63" s="2"/>
      <c r="C63" s="2"/>
      <c r="D63" s="2">
        <v>0</v>
      </c>
      <c r="E63" s="2">
        <v>0</v>
      </c>
      <c r="F63" s="2">
        <v>0</v>
      </c>
      <c r="G63" s="2">
        <v>0</v>
      </c>
      <c r="H63" s="2">
        <v>0</v>
      </c>
      <c r="I63" s="2" t="s">
        <v>45</v>
      </c>
      <c r="J63" s="2"/>
      <c r="K63" s="2"/>
      <c r="L63" s="2"/>
      <c r="M63" s="2"/>
      <c r="N63" s="15"/>
      <c r="O63" s="15"/>
      <c r="P63" s="15"/>
      <c r="Q63" s="15"/>
      <c r="R63" s="15"/>
      <c r="S63" s="15"/>
      <c r="T63" s="15"/>
      <c r="U63" s="15"/>
      <c r="V63" s="15"/>
      <c r="W63" s="15"/>
      <c r="X63" s="15"/>
      <c r="Y63" s="15"/>
      <c r="Z63" s="15"/>
      <c r="AA63" s="15"/>
      <c r="AB63" s="15"/>
      <c r="AC63" s="15"/>
      <c r="AD63" s="15"/>
    </row>
    <row r="64" spans="1:30" x14ac:dyDescent="0.3">
      <c r="A64" s="2" t="s">
        <v>450</v>
      </c>
      <c r="B64" s="2"/>
      <c r="C64" s="2"/>
      <c r="D64" s="16">
        <v>3.2875000000000001E-2</v>
      </c>
      <c r="E64" s="1"/>
      <c r="F64" s="1"/>
      <c r="G64" s="1"/>
      <c r="H64" s="1"/>
      <c r="I64" s="2" t="s">
        <v>20</v>
      </c>
      <c r="J64" s="2"/>
      <c r="K64" s="2"/>
      <c r="L64" s="2"/>
      <c r="M64" s="2"/>
      <c r="N64" s="15"/>
      <c r="O64" s="15"/>
      <c r="P64" s="15"/>
      <c r="Q64" s="15"/>
      <c r="R64" s="15"/>
      <c r="S64" s="15"/>
      <c r="T64" s="15"/>
      <c r="U64" s="15"/>
      <c r="V64" s="15"/>
      <c r="W64" s="15"/>
      <c r="X64" s="15"/>
      <c r="Y64" s="15"/>
      <c r="Z64" s="15"/>
      <c r="AA64" s="15"/>
      <c r="AB64" s="15"/>
      <c r="AC64" s="15"/>
      <c r="AD64" s="15"/>
    </row>
    <row r="65" spans="1:30" x14ac:dyDescent="0.3">
      <c r="A65" s="2" t="s">
        <v>451</v>
      </c>
      <c r="B65" s="2"/>
      <c r="C65" s="2"/>
      <c r="D65" s="1">
        <v>0.78</v>
      </c>
      <c r="E65" s="16"/>
      <c r="F65" s="1"/>
      <c r="G65" s="1"/>
      <c r="H65" s="1"/>
      <c r="I65" s="2" t="s">
        <v>20</v>
      </c>
      <c r="J65" s="2"/>
      <c r="K65" s="2"/>
      <c r="L65" s="2"/>
      <c r="M65" s="2"/>
      <c r="N65" s="15"/>
      <c r="O65" s="15"/>
      <c r="P65" s="15"/>
      <c r="Q65" s="15"/>
      <c r="R65" s="15"/>
      <c r="S65" s="15"/>
      <c r="T65" s="15"/>
      <c r="U65" s="15"/>
      <c r="V65" s="15"/>
      <c r="W65" s="15"/>
      <c r="X65" s="15"/>
      <c r="Y65" s="15"/>
      <c r="Z65" s="15"/>
      <c r="AA65" s="15"/>
      <c r="AB65" s="15"/>
      <c r="AC65" s="15"/>
      <c r="AD65" s="15"/>
    </row>
    <row r="66" spans="1:30" x14ac:dyDescent="0.3">
      <c r="A66" s="2" t="s">
        <v>223</v>
      </c>
      <c r="B66" s="2"/>
      <c r="C66" s="2"/>
      <c r="D66" s="2">
        <v>288.14999999999998</v>
      </c>
      <c r="E66" s="2">
        <v>288.14999999999998</v>
      </c>
      <c r="F66" s="2">
        <v>288.14999999999998</v>
      </c>
      <c r="G66" s="2">
        <v>288.14999999999998</v>
      </c>
      <c r="H66" s="2">
        <v>288.14999999999998</v>
      </c>
      <c r="I66" s="2" t="s">
        <v>45</v>
      </c>
      <c r="J66" s="2"/>
      <c r="K66" s="2"/>
      <c r="L66" s="2"/>
      <c r="M66" s="2"/>
      <c r="N66" s="15"/>
      <c r="O66" s="15"/>
      <c r="P66" s="15"/>
      <c r="Q66" s="15"/>
      <c r="R66" s="15"/>
      <c r="S66" s="15"/>
      <c r="T66" s="15"/>
      <c r="U66" s="15"/>
      <c r="V66" s="15"/>
      <c r="W66" s="15"/>
      <c r="X66" s="15"/>
      <c r="Y66" s="15"/>
      <c r="Z66" s="15"/>
      <c r="AA66" s="15"/>
      <c r="AB66" s="15"/>
      <c r="AC66" s="15"/>
      <c r="AD66" s="15"/>
    </row>
    <row r="67" spans="1:30" ht="16.2" x14ac:dyDescent="0.3">
      <c r="A67" s="2" t="s">
        <v>225</v>
      </c>
      <c r="B67" s="2"/>
      <c r="C67" s="2"/>
      <c r="D67" s="2">
        <v>1.2250000000000001</v>
      </c>
      <c r="E67" s="2">
        <v>1.2250000000000001</v>
      </c>
      <c r="F67" s="2">
        <v>1.2250000000000001</v>
      </c>
      <c r="G67" s="2">
        <v>1.2250000000000001</v>
      </c>
      <c r="H67" s="2">
        <v>1.2250000000000001</v>
      </c>
      <c r="I67" s="2" t="s">
        <v>423</v>
      </c>
      <c r="J67" s="2"/>
      <c r="K67" s="2"/>
      <c r="L67" s="2"/>
      <c r="M67" s="2"/>
      <c r="N67" s="15"/>
      <c r="O67" s="15"/>
      <c r="P67" s="15"/>
      <c r="Q67" s="15"/>
      <c r="R67" s="15"/>
      <c r="S67" s="15"/>
      <c r="T67" s="15"/>
      <c r="U67" s="15"/>
      <c r="V67" s="15"/>
      <c r="W67" s="15"/>
      <c r="X67" s="15"/>
      <c r="Y67" s="15"/>
      <c r="Z67" s="15"/>
      <c r="AA67" s="15"/>
      <c r="AB67" s="15"/>
      <c r="AC67" s="15"/>
      <c r="AD67" s="15"/>
    </row>
    <row r="68" spans="1:30" ht="30" customHeight="1" x14ac:dyDescent="0.3">
      <c r="A68" s="104" t="s">
        <v>241</v>
      </c>
      <c r="B68" s="104"/>
      <c r="C68" s="123"/>
      <c r="D68" s="1"/>
      <c r="E68" s="1"/>
      <c r="F68" s="1"/>
      <c r="G68" s="1"/>
      <c r="H68" s="1"/>
      <c r="I68" s="2" t="s">
        <v>20</v>
      </c>
      <c r="J68" s="2"/>
      <c r="K68" s="2"/>
      <c r="L68" s="2"/>
      <c r="M68" s="2"/>
      <c r="N68" s="15"/>
      <c r="O68" s="15"/>
      <c r="P68" s="15"/>
      <c r="Q68" s="15"/>
      <c r="R68" s="15"/>
      <c r="S68" s="15"/>
      <c r="T68" s="15"/>
      <c r="U68" s="15"/>
      <c r="V68" s="15"/>
      <c r="W68" s="15"/>
      <c r="X68" s="15"/>
      <c r="Y68" s="15"/>
      <c r="Z68" s="15"/>
      <c r="AA68" s="15"/>
      <c r="AB68" s="15"/>
      <c r="AC68" s="15"/>
      <c r="AD68" s="15"/>
    </row>
    <row r="69" spans="1:30" x14ac:dyDescent="0.3">
      <c r="A69" s="2" t="s">
        <v>433</v>
      </c>
      <c r="B69" s="2"/>
      <c r="C69" s="2"/>
      <c r="D69" s="1"/>
      <c r="E69" s="1"/>
      <c r="F69" s="1"/>
      <c r="G69" s="1"/>
      <c r="H69" s="1"/>
      <c r="I69" s="2" t="s">
        <v>20</v>
      </c>
      <c r="J69" s="2"/>
      <c r="K69" s="2"/>
      <c r="L69" s="2"/>
      <c r="M69" s="2"/>
      <c r="N69" s="15"/>
      <c r="O69" s="15"/>
      <c r="P69" s="15"/>
      <c r="Q69" s="15"/>
      <c r="R69" s="15"/>
      <c r="S69" s="15"/>
      <c r="T69" s="15"/>
      <c r="U69" s="15"/>
      <c r="V69" s="15"/>
      <c r="W69" s="15"/>
      <c r="X69" s="15"/>
      <c r="Y69" s="15"/>
      <c r="Z69" s="15"/>
      <c r="AA69" s="15"/>
      <c r="AB69" s="15"/>
      <c r="AC69" s="15"/>
      <c r="AD69" s="15"/>
    </row>
    <row r="70" spans="1:30" x14ac:dyDescent="0.3">
      <c r="A70" s="38" t="s">
        <v>467</v>
      </c>
      <c r="B70" s="2"/>
      <c r="C70" s="2"/>
      <c r="D70" s="2"/>
      <c r="E70" s="2"/>
      <c r="F70" s="2"/>
      <c r="G70" s="2"/>
      <c r="H70" s="2"/>
      <c r="I70" s="2"/>
      <c r="J70" s="2"/>
      <c r="K70" s="2"/>
      <c r="L70" s="2"/>
      <c r="M70" s="2"/>
      <c r="N70" s="15"/>
      <c r="O70" s="15"/>
      <c r="P70" s="15"/>
      <c r="Q70" s="15"/>
      <c r="R70" s="15"/>
      <c r="S70" s="15"/>
      <c r="T70" s="15"/>
      <c r="U70" s="15"/>
      <c r="V70" s="15"/>
      <c r="W70" s="15"/>
      <c r="X70" s="15"/>
      <c r="Y70" s="15"/>
      <c r="Z70" s="15"/>
      <c r="AA70" s="15"/>
      <c r="AB70" s="15"/>
      <c r="AC70" s="15"/>
      <c r="AD70" s="15"/>
    </row>
    <row r="71" spans="1:30" x14ac:dyDescent="0.3">
      <c r="A71" s="2"/>
      <c r="B71" s="2"/>
      <c r="C71" s="2"/>
      <c r="D71" s="2"/>
      <c r="E71" s="2"/>
      <c r="F71" s="2"/>
      <c r="G71" s="2"/>
      <c r="H71" s="2"/>
      <c r="I71" s="2"/>
      <c r="J71" s="2"/>
      <c r="K71" s="2"/>
      <c r="L71" s="2"/>
      <c r="M71" s="2"/>
      <c r="N71" s="15"/>
      <c r="O71" s="15"/>
      <c r="P71" s="15"/>
      <c r="Q71" s="15"/>
      <c r="R71" s="15"/>
      <c r="S71" s="15"/>
      <c r="T71" s="15"/>
      <c r="U71" s="15"/>
      <c r="V71" s="15"/>
      <c r="W71" s="15"/>
      <c r="X71" s="15"/>
      <c r="Y71" s="15"/>
      <c r="Z71" s="15"/>
      <c r="AA71" s="15"/>
      <c r="AB71" s="15"/>
      <c r="AC71" s="15"/>
      <c r="AD71" s="15"/>
    </row>
    <row r="72" spans="1:30" x14ac:dyDescent="0.3">
      <c r="A72" s="7" t="s">
        <v>242</v>
      </c>
      <c r="B72" s="2"/>
      <c r="C72" s="2"/>
      <c r="D72" s="2"/>
      <c r="E72" s="7" t="s">
        <v>19</v>
      </c>
      <c r="F72" s="2"/>
      <c r="G72" s="2"/>
      <c r="H72" s="2"/>
      <c r="I72" s="2"/>
      <c r="J72" s="2"/>
      <c r="K72" s="2"/>
      <c r="L72" s="2"/>
      <c r="M72" s="2"/>
      <c r="N72" s="15"/>
      <c r="O72" s="15"/>
      <c r="P72" s="15"/>
      <c r="Q72" s="15"/>
      <c r="R72" s="15"/>
      <c r="S72" s="15"/>
      <c r="T72" s="15"/>
      <c r="U72" s="15"/>
      <c r="V72" s="15"/>
      <c r="W72" s="15"/>
      <c r="X72" s="15"/>
      <c r="Y72" s="15"/>
      <c r="Z72" s="15"/>
      <c r="AA72" s="15"/>
      <c r="AB72" s="15"/>
      <c r="AC72" s="15"/>
      <c r="AD72" s="15"/>
    </row>
    <row r="73" spans="1:30" x14ac:dyDescent="0.3">
      <c r="A73" s="2" t="s">
        <v>195</v>
      </c>
      <c r="B73" s="2"/>
      <c r="C73" s="2"/>
      <c r="D73" s="2">
        <f>TLAR!B5</f>
        <v>1720</v>
      </c>
      <c r="E73" s="2" t="s">
        <v>24</v>
      </c>
      <c r="F73" s="2"/>
      <c r="G73" s="2"/>
      <c r="H73" s="2"/>
      <c r="I73" s="2"/>
      <c r="J73" s="2"/>
      <c r="K73" s="2"/>
      <c r="L73" s="2"/>
      <c r="M73" s="2"/>
      <c r="N73" s="15"/>
      <c r="O73" s="15"/>
      <c r="P73" s="15"/>
      <c r="Q73" s="15"/>
      <c r="R73" s="15"/>
      <c r="S73" s="15"/>
      <c r="T73" s="15"/>
      <c r="U73" s="15"/>
      <c r="V73" s="15"/>
      <c r="W73" s="15"/>
      <c r="X73" s="15"/>
      <c r="Y73" s="15"/>
      <c r="Z73" s="15"/>
      <c r="AA73" s="15"/>
      <c r="AB73" s="15"/>
      <c r="AC73" s="15"/>
      <c r="AD73" s="15"/>
    </row>
    <row r="74" spans="1:30" x14ac:dyDescent="0.3">
      <c r="A74" s="2" t="s">
        <v>206</v>
      </c>
      <c r="B74" s="2"/>
      <c r="C74" s="2"/>
      <c r="D74" s="2">
        <f>TLAR!B7</f>
        <v>500</v>
      </c>
      <c r="E74" s="2" t="s">
        <v>24</v>
      </c>
      <c r="F74" s="2"/>
      <c r="G74" s="2"/>
      <c r="H74" s="2"/>
      <c r="I74" s="2"/>
      <c r="J74" s="2"/>
      <c r="K74" s="2"/>
      <c r="L74" s="2"/>
      <c r="M74" s="2"/>
      <c r="N74" s="15"/>
      <c r="O74" s="15"/>
      <c r="P74" s="15"/>
      <c r="Q74" s="15"/>
      <c r="R74" s="15"/>
      <c r="S74" s="15"/>
      <c r="T74" s="15"/>
      <c r="U74" s="15"/>
      <c r="V74" s="15"/>
      <c r="W74" s="15"/>
      <c r="X74" s="15"/>
      <c r="Y74" s="15"/>
      <c r="Z74" s="15"/>
      <c r="AA74" s="15"/>
      <c r="AB74" s="15"/>
      <c r="AC74" s="15"/>
      <c r="AD74" s="15"/>
    </row>
    <row r="75" spans="1:30" x14ac:dyDescent="0.3">
      <c r="A75" s="2" t="s">
        <v>238</v>
      </c>
      <c r="B75" s="2"/>
      <c r="C75" s="2"/>
      <c r="D75" s="2">
        <v>15</v>
      </c>
      <c r="E75" s="2" t="s">
        <v>45</v>
      </c>
      <c r="F75" s="2"/>
      <c r="G75" s="2"/>
      <c r="H75" s="2"/>
      <c r="I75" s="2"/>
      <c r="J75" s="2"/>
      <c r="K75" s="2"/>
      <c r="L75" s="2"/>
      <c r="M75" s="2"/>
      <c r="N75" s="15"/>
      <c r="O75" s="15"/>
      <c r="P75" s="15"/>
      <c r="Q75" s="15"/>
      <c r="R75" s="15"/>
      <c r="S75" s="15"/>
      <c r="T75" s="15"/>
      <c r="U75" s="15"/>
      <c r="V75" s="15"/>
      <c r="W75" s="15"/>
      <c r="X75" s="15"/>
      <c r="Y75" s="15"/>
      <c r="Z75" s="15"/>
      <c r="AA75" s="15"/>
      <c r="AB75" s="15"/>
      <c r="AC75" s="15"/>
      <c r="AD75" s="15"/>
    </row>
    <row r="76" spans="1:30" x14ac:dyDescent="0.3">
      <c r="A76" s="2" t="s">
        <v>231</v>
      </c>
      <c r="B76" s="2"/>
      <c r="C76" s="2"/>
      <c r="D76" s="37" t="s">
        <v>240</v>
      </c>
      <c r="E76" s="2"/>
      <c r="F76" s="2"/>
      <c r="G76" s="2"/>
      <c r="H76" s="2"/>
      <c r="I76" s="2"/>
      <c r="J76" s="2"/>
      <c r="K76" s="2"/>
      <c r="L76" s="2"/>
      <c r="M76" s="2"/>
      <c r="N76" s="15"/>
      <c r="O76" s="15"/>
      <c r="P76" s="15"/>
      <c r="Q76" s="15"/>
      <c r="R76" s="15"/>
      <c r="S76" s="15"/>
      <c r="T76" s="15"/>
      <c r="U76" s="15"/>
      <c r="V76" s="15"/>
      <c r="W76" s="15"/>
      <c r="X76" s="15"/>
      <c r="Y76" s="15"/>
      <c r="Z76" s="15"/>
      <c r="AA76" s="15"/>
      <c r="AB76" s="15"/>
      <c r="AC76" s="15"/>
      <c r="AD76" s="15"/>
    </row>
    <row r="77" spans="1:30" x14ac:dyDescent="0.3">
      <c r="A77" s="2" t="s">
        <v>243</v>
      </c>
      <c r="B77" s="2"/>
      <c r="C77" s="2"/>
      <c r="D77" s="1">
        <v>5.2374999999999998E-2</v>
      </c>
      <c r="E77" s="2"/>
      <c r="F77" s="2"/>
      <c r="G77" s="2"/>
      <c r="H77" s="2"/>
      <c r="I77" s="2"/>
      <c r="J77" s="2"/>
      <c r="K77" s="2"/>
      <c r="L77" s="2"/>
      <c r="M77" s="2"/>
      <c r="N77" s="15"/>
      <c r="O77" s="15"/>
      <c r="P77" s="15"/>
      <c r="Q77" s="15"/>
      <c r="R77" s="15"/>
      <c r="S77" s="15"/>
      <c r="T77" s="15"/>
      <c r="U77" s="15"/>
      <c r="V77" s="15"/>
      <c r="W77" s="15"/>
      <c r="X77" s="15"/>
      <c r="Y77" s="15"/>
      <c r="Z77" s="15"/>
      <c r="AA77" s="15"/>
      <c r="AB77" s="15"/>
      <c r="AC77" s="15"/>
      <c r="AD77" s="15"/>
    </row>
    <row r="78" spans="1:30" x14ac:dyDescent="0.3">
      <c r="A78" s="2" t="s">
        <v>244</v>
      </c>
      <c r="B78" s="2"/>
      <c r="C78" s="2"/>
      <c r="D78" s="1">
        <v>0.84899999999999998</v>
      </c>
      <c r="E78" s="2"/>
      <c r="F78" s="2"/>
      <c r="G78" s="2"/>
      <c r="H78" s="2"/>
      <c r="I78" s="2"/>
      <c r="J78" s="2"/>
      <c r="K78" s="2"/>
      <c r="L78" s="2"/>
      <c r="M78" s="2"/>
      <c r="N78" s="15"/>
      <c r="O78" s="15"/>
      <c r="P78" s="15"/>
      <c r="Q78" s="15"/>
      <c r="R78" s="15"/>
      <c r="S78" s="15"/>
      <c r="T78" s="15"/>
      <c r="U78" s="15"/>
      <c r="V78" s="15"/>
      <c r="W78" s="15"/>
      <c r="X78" s="15"/>
      <c r="Y78" s="15"/>
      <c r="Z78" s="15"/>
      <c r="AA78" s="15"/>
      <c r="AB78" s="15"/>
      <c r="AC78" s="15"/>
      <c r="AD78" s="15"/>
    </row>
    <row r="79" spans="1:30" x14ac:dyDescent="0.3">
      <c r="A79" s="38" t="s">
        <v>222</v>
      </c>
      <c r="B79" s="2"/>
      <c r="C79" s="2"/>
      <c r="D79" s="2"/>
      <c r="E79" s="2"/>
      <c r="F79" s="2"/>
      <c r="G79" s="2"/>
      <c r="H79" s="2"/>
      <c r="I79" s="2"/>
      <c r="J79" s="2"/>
      <c r="K79" s="2"/>
      <c r="L79" s="2"/>
      <c r="M79" s="2"/>
      <c r="N79" s="15"/>
      <c r="O79" s="15"/>
      <c r="P79" s="15"/>
      <c r="Q79" s="15"/>
      <c r="R79" s="15"/>
      <c r="S79" s="15"/>
      <c r="T79" s="15"/>
      <c r="U79" s="15"/>
      <c r="V79" s="15"/>
      <c r="W79" s="15"/>
      <c r="X79" s="15"/>
      <c r="Y79" s="15"/>
      <c r="Z79" s="15"/>
      <c r="AA79" s="15"/>
      <c r="AB79" s="15"/>
      <c r="AC79" s="15"/>
      <c r="AD79" s="15"/>
    </row>
    <row r="80" spans="1:30" x14ac:dyDescent="0.3">
      <c r="A80" s="2" t="s">
        <v>223</v>
      </c>
      <c r="B80" s="2"/>
      <c r="C80" s="2"/>
      <c r="D80" s="2">
        <f>TLAR!B8</f>
        <v>298</v>
      </c>
      <c r="E80" s="2" t="s">
        <v>45</v>
      </c>
      <c r="F80" s="2"/>
      <c r="G80" s="2"/>
      <c r="H80" s="2"/>
      <c r="I80" s="2"/>
      <c r="J80" s="2"/>
      <c r="K80" s="2"/>
      <c r="L80" s="2"/>
      <c r="M80" s="2"/>
      <c r="N80" s="15"/>
      <c r="O80" s="15"/>
      <c r="P80" s="15"/>
      <c r="Q80" s="15"/>
      <c r="R80" s="15"/>
      <c r="S80" s="15"/>
      <c r="T80" s="15"/>
      <c r="U80" s="15"/>
      <c r="V80" s="15"/>
      <c r="W80" s="15"/>
      <c r="X80" s="15"/>
      <c r="Y80" s="15"/>
      <c r="Z80" s="15"/>
      <c r="AA80" s="15"/>
      <c r="AB80" s="15"/>
      <c r="AC80" s="15"/>
      <c r="AD80" s="15"/>
    </row>
    <row r="81" spans="1:30" x14ac:dyDescent="0.3">
      <c r="A81" s="2" t="s">
        <v>224</v>
      </c>
      <c r="B81" s="2"/>
      <c r="C81" s="2"/>
      <c r="D81" s="1">
        <v>95461</v>
      </c>
      <c r="E81" s="2" t="s">
        <v>481</v>
      </c>
      <c r="F81" s="2"/>
      <c r="G81" s="2"/>
      <c r="H81" s="2"/>
      <c r="I81" s="2"/>
      <c r="J81" s="2"/>
      <c r="K81" s="2"/>
      <c r="L81" s="2"/>
      <c r="M81" s="2"/>
      <c r="N81" s="15"/>
      <c r="O81" s="15"/>
      <c r="P81" s="15"/>
      <c r="Q81" s="15"/>
      <c r="R81" s="15"/>
      <c r="S81" s="15"/>
      <c r="T81" s="15"/>
      <c r="U81" s="15"/>
      <c r="V81" s="15"/>
      <c r="W81" s="15"/>
      <c r="X81" s="15"/>
      <c r="Y81" s="15"/>
      <c r="Z81" s="15"/>
      <c r="AA81" s="15"/>
      <c r="AB81" s="15"/>
      <c r="AC81" s="15"/>
      <c r="AD81" s="15"/>
    </row>
    <row r="82" spans="1:30" ht="16.2" x14ac:dyDescent="0.3">
      <c r="A82" s="2" t="s">
        <v>225</v>
      </c>
      <c r="B82" s="2"/>
      <c r="C82" s="2"/>
      <c r="D82" s="1">
        <v>1.1159600000000001</v>
      </c>
      <c r="E82" s="2" t="s">
        <v>423</v>
      </c>
      <c r="F82" s="2"/>
      <c r="G82" s="2"/>
      <c r="H82" s="2"/>
      <c r="I82" s="2"/>
      <c r="J82" s="2"/>
      <c r="K82" s="2"/>
      <c r="L82" s="2"/>
      <c r="M82" s="2"/>
      <c r="N82" s="15"/>
      <c r="O82" s="15"/>
      <c r="P82" s="15"/>
      <c r="Q82" s="15"/>
      <c r="R82" s="15"/>
      <c r="S82" s="15"/>
      <c r="T82" s="15"/>
      <c r="U82" s="15"/>
      <c r="V82" s="15"/>
      <c r="W82" s="15"/>
      <c r="X82" s="15"/>
      <c r="Y82" s="15"/>
      <c r="Z82" s="15"/>
      <c r="AA82" s="15"/>
      <c r="AB82" s="15"/>
      <c r="AC82" s="15"/>
      <c r="AD82" s="15"/>
    </row>
    <row r="83" spans="1:30" ht="15.6" x14ac:dyDescent="0.35">
      <c r="A83" s="2" t="s">
        <v>431</v>
      </c>
      <c r="B83" s="2"/>
      <c r="C83" s="2"/>
      <c r="D83" s="1">
        <v>2.2000000000000002</v>
      </c>
      <c r="E83" s="2"/>
      <c r="F83" s="2"/>
      <c r="G83" s="2"/>
      <c r="H83" s="2"/>
      <c r="I83" s="2"/>
      <c r="J83" s="2"/>
      <c r="K83" s="2"/>
      <c r="L83" s="2"/>
      <c r="M83" s="2"/>
      <c r="N83" s="15"/>
      <c r="O83" s="15"/>
      <c r="P83" s="15"/>
      <c r="Q83" s="15"/>
      <c r="R83" s="15"/>
      <c r="S83" s="15"/>
      <c r="T83" s="15"/>
      <c r="U83" s="15"/>
      <c r="V83" s="15"/>
      <c r="W83" s="15"/>
      <c r="X83" s="15"/>
      <c r="Y83" s="15"/>
      <c r="Z83" s="15"/>
      <c r="AA83" s="15"/>
      <c r="AB83" s="15"/>
      <c r="AC83" s="15"/>
      <c r="AD83" s="15"/>
    </row>
    <row r="84" spans="1:30" x14ac:dyDescent="0.3">
      <c r="A84" s="38" t="s">
        <v>452</v>
      </c>
      <c r="B84" s="2"/>
      <c r="C84" s="2"/>
      <c r="D84" s="2"/>
      <c r="E84" s="2"/>
      <c r="F84" s="2"/>
      <c r="G84" s="2"/>
      <c r="H84" s="2"/>
      <c r="I84" s="2"/>
      <c r="J84" s="2"/>
      <c r="K84" s="2"/>
      <c r="L84" s="2"/>
      <c r="M84" s="2"/>
      <c r="N84" s="15"/>
      <c r="O84" s="15"/>
      <c r="P84" s="15"/>
      <c r="Q84" s="15"/>
      <c r="R84" s="15"/>
      <c r="S84" s="15"/>
      <c r="T84" s="15"/>
      <c r="U84" s="15"/>
      <c r="V84" s="15"/>
      <c r="W84" s="15"/>
      <c r="X84" s="15"/>
      <c r="Y84" s="15"/>
      <c r="Z84" s="15"/>
      <c r="AA84" s="15"/>
      <c r="AB84" s="15"/>
      <c r="AC84" s="15"/>
      <c r="AD84" s="15"/>
    </row>
    <row r="85" spans="1:30" x14ac:dyDescent="0.3">
      <c r="A85" s="2"/>
      <c r="B85" s="2"/>
      <c r="C85" s="2"/>
      <c r="D85" s="2"/>
      <c r="E85" s="2"/>
      <c r="F85" s="2"/>
      <c r="G85" s="2"/>
      <c r="H85" s="2"/>
      <c r="I85" s="2"/>
      <c r="J85" s="2"/>
      <c r="K85" s="2"/>
      <c r="L85" s="2"/>
      <c r="M85" s="2"/>
      <c r="N85" s="15"/>
      <c r="O85" s="15"/>
      <c r="P85" s="15"/>
      <c r="Q85" s="15"/>
      <c r="R85" s="15"/>
      <c r="S85" s="15"/>
      <c r="T85" s="15"/>
      <c r="U85" s="15"/>
      <c r="V85" s="15"/>
      <c r="W85" s="15"/>
      <c r="X85" s="15"/>
      <c r="Y85" s="15"/>
      <c r="Z85" s="15"/>
      <c r="AA85" s="15"/>
      <c r="AB85" s="15"/>
      <c r="AC85" s="15"/>
      <c r="AD85" s="15"/>
    </row>
    <row r="86" spans="1:30" x14ac:dyDescent="0.3">
      <c r="A86" s="7" t="s">
        <v>245</v>
      </c>
      <c r="B86" s="2"/>
      <c r="C86" s="2"/>
      <c r="D86" s="2"/>
      <c r="E86" s="7" t="s">
        <v>19</v>
      </c>
      <c r="F86" s="2"/>
      <c r="G86" s="2"/>
      <c r="H86" s="2"/>
      <c r="I86" s="2"/>
      <c r="J86" s="2"/>
      <c r="K86" s="2"/>
      <c r="L86" s="2"/>
      <c r="M86" s="2"/>
      <c r="N86" s="15"/>
      <c r="O86" s="15"/>
      <c r="P86" s="15"/>
      <c r="Q86" s="15"/>
      <c r="R86" s="15"/>
      <c r="S86" s="15"/>
      <c r="T86" s="15"/>
      <c r="U86" s="15"/>
      <c r="V86" s="15"/>
      <c r="W86" s="15"/>
      <c r="X86" s="15"/>
      <c r="Y86" s="15"/>
      <c r="Z86" s="15"/>
      <c r="AA86" s="15"/>
      <c r="AB86" s="15"/>
      <c r="AC86" s="15"/>
      <c r="AD86" s="15"/>
    </row>
    <row r="87" spans="1:30" x14ac:dyDescent="0.3">
      <c r="A87" s="7" t="s">
        <v>247</v>
      </c>
      <c r="B87" s="2"/>
      <c r="C87" s="2"/>
      <c r="D87" s="2"/>
      <c r="E87" s="2"/>
      <c r="F87" s="2"/>
      <c r="G87" s="2"/>
      <c r="H87" s="2"/>
      <c r="I87" s="2"/>
      <c r="J87" s="2"/>
      <c r="K87" s="2"/>
      <c r="L87" s="2"/>
      <c r="M87" s="2"/>
      <c r="N87" s="15"/>
      <c r="O87" s="15"/>
      <c r="P87" s="15"/>
      <c r="Q87" s="15"/>
      <c r="R87" s="15"/>
      <c r="S87" s="15"/>
      <c r="T87" s="15"/>
      <c r="U87" s="15"/>
      <c r="V87" s="15"/>
      <c r="W87" s="15"/>
      <c r="X87" s="15"/>
      <c r="Y87" s="15"/>
      <c r="Z87" s="15"/>
      <c r="AA87" s="15"/>
      <c r="AB87" s="15"/>
      <c r="AC87" s="15"/>
      <c r="AD87" s="15"/>
    </row>
    <row r="88" spans="1:30" ht="16.8" x14ac:dyDescent="0.35">
      <c r="A88" s="2" t="s">
        <v>248</v>
      </c>
      <c r="B88" s="2"/>
      <c r="C88" s="2"/>
      <c r="D88" s="1">
        <v>4100</v>
      </c>
      <c r="E88" s="2" t="s">
        <v>535</v>
      </c>
      <c r="F88" s="2"/>
      <c r="G88" s="2"/>
      <c r="H88" s="2"/>
      <c r="I88" s="2"/>
      <c r="J88" s="2"/>
      <c r="K88" s="2"/>
      <c r="L88" s="2"/>
      <c r="M88" s="2"/>
      <c r="N88" s="15"/>
      <c r="O88" s="15"/>
      <c r="P88" s="15"/>
      <c r="Q88" s="15"/>
      <c r="R88" s="15"/>
      <c r="S88" s="15"/>
      <c r="T88" s="15"/>
      <c r="U88" s="15"/>
      <c r="V88" s="15"/>
      <c r="W88" s="15"/>
      <c r="X88" s="15"/>
      <c r="Y88" s="15"/>
      <c r="Z88" s="15"/>
      <c r="AA88" s="15"/>
      <c r="AB88" s="15"/>
      <c r="AC88" s="15"/>
      <c r="AD88" s="15"/>
    </row>
    <row r="89" spans="1:30" x14ac:dyDescent="0.3">
      <c r="A89" s="2" t="str">
        <f>IF('Configuration Selection'!$B$10="propeller","W_TO/P_TO","T_TO/W_TO")</f>
        <v>T_TO/W_TO</v>
      </c>
      <c r="B89" s="2"/>
      <c r="C89" s="2"/>
      <c r="D89" s="1">
        <v>0.31879999999999997</v>
      </c>
      <c r="E89" s="2" t="str">
        <f>IF('Configuration Selection'!$B$10="propeller","[N/W]","[N/N]")</f>
        <v>[N/N]</v>
      </c>
      <c r="F89" s="2"/>
      <c r="G89" s="2"/>
      <c r="H89" s="2"/>
      <c r="I89" s="2"/>
      <c r="J89" s="2"/>
      <c r="K89" s="2"/>
      <c r="L89" s="2"/>
      <c r="M89" s="2"/>
      <c r="N89" s="15"/>
      <c r="O89" s="15"/>
      <c r="P89" s="15"/>
      <c r="Q89" s="15"/>
      <c r="R89" s="15"/>
      <c r="S89" s="15"/>
      <c r="T89" s="15"/>
      <c r="U89" s="15"/>
      <c r="V89" s="15"/>
      <c r="W89" s="15"/>
      <c r="X89" s="15"/>
      <c r="Y89" s="15"/>
      <c r="Z89" s="15"/>
      <c r="AA89" s="15"/>
      <c r="AB89" s="15"/>
      <c r="AC89" s="15"/>
      <c r="AD89" s="15"/>
    </row>
    <row r="90" spans="1:30" x14ac:dyDescent="0.3">
      <c r="A90" s="38" t="s">
        <v>269</v>
      </c>
      <c r="B90" s="2"/>
      <c r="C90" s="2"/>
      <c r="D90" s="2"/>
      <c r="E90" s="2"/>
      <c r="F90" s="2"/>
      <c r="G90" s="2"/>
      <c r="H90" s="2"/>
      <c r="I90" s="2"/>
      <c r="J90" s="2"/>
      <c r="K90" s="2"/>
      <c r="L90" s="2"/>
      <c r="M90" s="2"/>
      <c r="N90" s="15"/>
      <c r="O90" s="15"/>
      <c r="P90" s="15"/>
      <c r="Q90" s="15"/>
      <c r="R90" s="15"/>
      <c r="S90" s="15"/>
      <c r="T90" s="15"/>
      <c r="U90" s="15"/>
      <c r="V90" s="15"/>
      <c r="W90" s="15"/>
      <c r="X90" s="15"/>
      <c r="Y90" s="15"/>
      <c r="Z90" s="15"/>
      <c r="AA90" s="15"/>
      <c r="AB90" s="15"/>
      <c r="AC90" s="15"/>
      <c r="AD90" s="15"/>
    </row>
    <row r="91" spans="1:30" x14ac:dyDescent="0.3">
      <c r="A91" s="7" t="s">
        <v>246</v>
      </c>
      <c r="B91" s="2"/>
      <c r="C91" s="2"/>
      <c r="D91" s="2"/>
      <c r="E91" s="7" t="s">
        <v>19</v>
      </c>
      <c r="F91" s="2"/>
      <c r="G91" s="2"/>
      <c r="H91" s="2"/>
      <c r="I91" s="2"/>
      <c r="J91" s="2"/>
      <c r="K91" s="2"/>
      <c r="L91" s="2"/>
      <c r="M91" s="2"/>
      <c r="N91" s="15"/>
      <c r="O91" s="15"/>
      <c r="P91" s="15"/>
      <c r="Q91" s="15"/>
      <c r="R91" s="15"/>
      <c r="S91" s="15"/>
      <c r="T91" s="15"/>
      <c r="U91" s="15"/>
      <c r="V91" s="15"/>
      <c r="W91" s="15"/>
      <c r="X91" s="15"/>
      <c r="Y91" s="15"/>
      <c r="Z91" s="15"/>
      <c r="AA91" s="15"/>
      <c r="AB91" s="15"/>
      <c r="AC91" s="15"/>
      <c r="AD91" s="15"/>
    </row>
    <row r="92" spans="1:30" ht="16.8" x14ac:dyDescent="0.35">
      <c r="A92" s="2" t="s">
        <v>435</v>
      </c>
      <c r="B92" s="2"/>
      <c r="C92" s="2"/>
      <c r="D92" s="1">
        <v>70.87</v>
      </c>
      <c r="E92" s="2" t="s">
        <v>478</v>
      </c>
      <c r="F92" s="2"/>
      <c r="G92" s="2"/>
      <c r="H92" s="2"/>
      <c r="I92" s="2"/>
      <c r="J92" s="2"/>
      <c r="K92" s="2"/>
      <c r="L92" s="2"/>
      <c r="M92" s="2"/>
      <c r="N92" s="15"/>
      <c r="O92" s="15"/>
      <c r="P92" s="15"/>
      <c r="Q92" s="15"/>
      <c r="R92" s="15"/>
      <c r="S92" s="15"/>
      <c r="T92" s="15"/>
      <c r="U92" s="15"/>
      <c r="V92" s="15"/>
      <c r="W92" s="15"/>
      <c r="X92" s="15"/>
      <c r="Y92" s="15"/>
      <c r="Z92" s="15"/>
      <c r="AA92" s="15"/>
      <c r="AB92" s="15"/>
      <c r="AC92" s="15"/>
      <c r="AD92" s="15"/>
    </row>
    <row r="93" spans="1:30" ht="15.6" x14ac:dyDescent="0.35">
      <c r="A93" s="2" t="s">
        <v>436</v>
      </c>
      <c r="B93" s="2"/>
      <c r="C93" s="2"/>
      <c r="D93" s="1">
        <v>25.946999999999999</v>
      </c>
      <c r="E93" s="2" t="s">
        <v>24</v>
      </c>
      <c r="F93" s="2"/>
      <c r="G93" s="2"/>
      <c r="H93" s="2"/>
      <c r="I93" s="2"/>
      <c r="J93" s="2"/>
      <c r="K93" s="2"/>
      <c r="L93" s="2"/>
      <c r="M93" s="2"/>
      <c r="N93" s="15"/>
      <c r="O93" s="15"/>
      <c r="P93" s="15"/>
      <c r="Q93" s="15"/>
      <c r="R93" s="15"/>
      <c r="S93" s="15"/>
      <c r="T93" s="15"/>
      <c r="U93" s="15"/>
      <c r="V93" s="15"/>
      <c r="W93" s="15"/>
      <c r="X93" s="15"/>
      <c r="Y93" s="15"/>
      <c r="Z93" s="15"/>
      <c r="AA93" s="15"/>
      <c r="AB93" s="15"/>
      <c r="AC93" s="15"/>
      <c r="AD93" s="15"/>
    </row>
    <row r="94" spans="1:30" x14ac:dyDescent="0.3">
      <c r="A94" s="2" t="str">
        <f>IF('Configuration Selection'!$B$10="propeller","P_TO","T_TO")</f>
        <v>T_TO</v>
      </c>
      <c r="B94" s="2"/>
      <c r="C94" s="2"/>
      <c r="D94" s="1">
        <v>92.63</v>
      </c>
      <c r="E94" s="2" t="str">
        <f>IF('Configuration Selection'!$B$10="propeller","kW","kN")</f>
        <v>kN</v>
      </c>
      <c r="F94" s="2"/>
      <c r="G94" s="2"/>
      <c r="H94" s="2"/>
      <c r="I94" s="2"/>
      <c r="J94" s="2"/>
      <c r="K94" s="2"/>
      <c r="L94" s="2"/>
      <c r="M94" s="2"/>
      <c r="N94" s="15"/>
      <c r="O94" s="15"/>
      <c r="P94" s="15"/>
      <c r="Q94" s="15"/>
      <c r="R94" s="15"/>
      <c r="S94" s="15"/>
      <c r="T94" s="15"/>
      <c r="U94" s="15"/>
      <c r="V94" s="15"/>
      <c r="W94" s="15"/>
      <c r="X94" s="15"/>
      <c r="Y94" s="15"/>
      <c r="Z94" s="15"/>
      <c r="AA94" s="15"/>
      <c r="AB94" s="15"/>
      <c r="AC94" s="15"/>
      <c r="AD94" s="15"/>
    </row>
    <row r="95" spans="1:30" x14ac:dyDescent="0.3">
      <c r="A95" s="38" t="s">
        <v>567</v>
      </c>
      <c r="B95" s="2"/>
      <c r="C95" s="2"/>
      <c r="D95" s="2"/>
      <c r="E95" s="2"/>
      <c r="F95" s="2"/>
      <c r="G95" s="2"/>
      <c r="H95" s="2"/>
      <c r="I95" s="2"/>
      <c r="J95" s="2"/>
      <c r="K95" s="2"/>
      <c r="L95" s="2"/>
      <c r="M95" s="2"/>
      <c r="N95" s="15"/>
      <c r="O95" s="15"/>
      <c r="P95" s="15"/>
      <c r="Q95" s="15"/>
      <c r="R95" s="15"/>
      <c r="S95" s="15"/>
      <c r="T95" s="15"/>
      <c r="U95" s="15"/>
      <c r="V95" s="15"/>
      <c r="W95" s="15"/>
      <c r="X95" s="15"/>
      <c r="Y95" s="15"/>
      <c r="Z95" s="15"/>
      <c r="AA95" s="15"/>
      <c r="AB95" s="15"/>
      <c r="AC95" s="15"/>
      <c r="AD95" s="15"/>
    </row>
    <row r="96" spans="1:30" x14ac:dyDescent="0.3">
      <c r="A96" s="7" t="s">
        <v>559</v>
      </c>
      <c r="B96" s="2"/>
      <c r="C96" s="2"/>
      <c r="D96" s="2"/>
      <c r="E96" s="2"/>
      <c r="F96" s="2"/>
      <c r="G96" s="2"/>
      <c r="H96" s="2"/>
      <c r="I96" s="2"/>
      <c r="J96" s="2"/>
      <c r="K96" s="2"/>
      <c r="L96" s="2"/>
      <c r="M96" s="2"/>
      <c r="N96" s="15"/>
      <c r="O96" s="15"/>
      <c r="P96" s="15"/>
      <c r="Q96" s="15"/>
      <c r="R96" s="15"/>
      <c r="S96" s="15"/>
      <c r="T96" s="15"/>
      <c r="U96" s="15"/>
      <c r="V96" s="15"/>
      <c r="W96" s="15"/>
      <c r="X96" s="15"/>
      <c r="Y96" s="15"/>
      <c r="Z96" s="15"/>
      <c r="AA96" s="15"/>
      <c r="AB96" s="15"/>
      <c r="AC96" s="15"/>
      <c r="AD96" s="15"/>
    </row>
    <row r="97" spans="1:30" x14ac:dyDescent="0.3">
      <c r="A97" s="38" t="s">
        <v>293</v>
      </c>
      <c r="B97" s="56">
        <v>1</v>
      </c>
      <c r="C97" s="2"/>
      <c r="D97" s="2"/>
      <c r="E97" s="2"/>
      <c r="F97" s="2"/>
      <c r="G97" s="2"/>
      <c r="H97" s="2"/>
      <c r="I97" s="2"/>
      <c r="J97" s="2"/>
      <c r="K97" s="2"/>
      <c r="L97" s="2"/>
      <c r="M97" s="2"/>
      <c r="N97" s="15"/>
      <c r="O97" s="15"/>
      <c r="P97" s="15"/>
      <c r="Q97" s="15"/>
      <c r="R97" s="15"/>
      <c r="S97" s="15"/>
      <c r="T97" s="15"/>
      <c r="U97" s="15"/>
      <c r="V97" s="15"/>
      <c r="W97" s="15"/>
      <c r="X97" s="15"/>
      <c r="Y97" s="15"/>
      <c r="Z97" s="15"/>
      <c r="AA97" s="15"/>
      <c r="AB97" s="15"/>
      <c r="AC97" s="15"/>
      <c r="AD97" s="15"/>
    </row>
    <row r="98" spans="1:30" ht="110.25" customHeight="1" x14ac:dyDescent="0.3">
      <c r="A98" s="15"/>
      <c r="B98" s="45" t="s">
        <v>191</v>
      </c>
      <c r="C98" s="46" t="s">
        <v>192</v>
      </c>
      <c r="D98" s="47" t="s">
        <v>35</v>
      </c>
      <c r="E98" s="48" t="s">
        <v>193</v>
      </c>
      <c r="F98" s="49" t="s">
        <v>194</v>
      </c>
      <c r="G98" s="50" t="s">
        <v>468</v>
      </c>
      <c r="H98" s="51" t="s">
        <v>469</v>
      </c>
      <c r="I98" s="52" t="s">
        <v>470</v>
      </c>
      <c r="J98" s="53" t="s">
        <v>471</v>
      </c>
      <c r="K98" s="54" t="s">
        <v>472</v>
      </c>
      <c r="L98" s="55" t="s">
        <v>195</v>
      </c>
      <c r="M98" s="15"/>
      <c r="N98" s="15"/>
      <c r="O98" s="15"/>
      <c r="P98" s="15"/>
      <c r="Q98" s="15"/>
      <c r="R98" s="15"/>
      <c r="S98" s="15"/>
      <c r="T98" s="15"/>
      <c r="U98" s="15"/>
      <c r="V98" s="15"/>
      <c r="W98" s="15"/>
      <c r="X98" s="15"/>
      <c r="Y98" s="15"/>
      <c r="Z98" s="15"/>
      <c r="AA98" s="15"/>
      <c r="AB98" s="15"/>
      <c r="AC98" s="15"/>
      <c r="AD98" s="15"/>
    </row>
    <row r="99" spans="1:30" ht="16.2" x14ac:dyDescent="0.3">
      <c r="A99" s="15"/>
      <c r="B99" s="17" t="s">
        <v>432</v>
      </c>
      <c r="C99" s="17" t="s">
        <v>432</v>
      </c>
      <c r="D99" s="17" t="s">
        <v>432</v>
      </c>
      <c r="E99" s="17" t="str">
        <f>IF('Configuration Selection'!$B$10="propeller","W/P - [N/W]","T/W - [N/N]")</f>
        <v>T/W - [N/N]</v>
      </c>
      <c r="F99" s="17" t="str">
        <f>IF('Configuration Selection'!$B$10="propeller","W/P - [N/W]","T/W - [N/N]")</f>
        <v>T/W - [N/N]</v>
      </c>
      <c r="G99" s="17" t="str">
        <f>IF('Configuration Selection'!$B$10="propeller","W/P - [N/W]","T/W - [N/N]")</f>
        <v>T/W - [N/N]</v>
      </c>
      <c r="H99" s="17" t="str">
        <f>IF('Configuration Selection'!$B$10="propeller","W/P - [N/W]","T/W - [N/N]")</f>
        <v>T/W - [N/N]</v>
      </c>
      <c r="I99" s="17" t="str">
        <f>IF('Configuration Selection'!$B$10="propeller","W/P - [N/W]","T/W - [N/N]")</f>
        <v>T/W - [N/N]</v>
      </c>
      <c r="J99" s="17" t="str">
        <f>IF('Configuration Selection'!$B$10="propeller","W/P - [N/W]","T/W - [N/N]")</f>
        <v>T/W - [N/N]</v>
      </c>
      <c r="K99" s="17" t="str">
        <f>IF('Configuration Selection'!$B$10="propeller","W/P - [N/W]","T/W - [N/N]")</f>
        <v>T/W - [N/N]</v>
      </c>
      <c r="L99" s="17" t="str">
        <f>IF('Configuration Selection'!$B$10="propeller","W/P - [N/W]","T/W - [N/N]")</f>
        <v>T/W - [N/N]</v>
      </c>
      <c r="M99" s="15"/>
      <c r="N99" s="15"/>
      <c r="O99" s="15"/>
      <c r="P99" s="15"/>
      <c r="Q99" s="15"/>
      <c r="R99" s="15"/>
      <c r="S99" s="15"/>
      <c r="T99" s="15"/>
      <c r="U99" s="15"/>
      <c r="V99" s="15"/>
      <c r="W99" s="15"/>
      <c r="X99" s="15"/>
      <c r="Y99" s="15"/>
      <c r="Z99" s="15"/>
      <c r="AA99" s="15"/>
      <c r="AB99" s="15"/>
      <c r="AC99" s="15"/>
      <c r="AD99" s="15"/>
    </row>
    <row r="100" spans="1:30" x14ac:dyDescent="0.3">
      <c r="A100" s="15"/>
      <c r="B100" s="15">
        <v>0</v>
      </c>
      <c r="C100" s="15">
        <v>4300</v>
      </c>
      <c r="D100" s="15">
        <v>4100</v>
      </c>
      <c r="E100" s="15"/>
      <c r="F100" s="16"/>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spans="1:30" x14ac:dyDescent="0.3">
      <c r="A101" s="15"/>
      <c r="B101" s="15">
        <v>100</v>
      </c>
      <c r="C101" s="16">
        <v>4300</v>
      </c>
      <c r="D101" s="16">
        <v>4100</v>
      </c>
      <c r="E101" s="15"/>
      <c r="F101" s="16">
        <f>((0.95)/(0.3829*POWER(1+0.000011419*B101,3.5)*(1-0.57*SQRT(SQRT(B101*5.506)/310.56)))*(SQRT(2.76019/B101)+0.05542))</f>
        <v>0.64922984610833734</v>
      </c>
      <c r="G101" s="15">
        <f>(1/(POWER(1+0.2*B101*2/(1.4*287*288.15*1.225*SQRT(3.1415*'Drag Polar'!$D$44*'Drag Polar'!$E$44*'Drag Polar'!$D$6)),3.5)*(1-0.57*SQRT(SQRT(B101*2/(1.225*SQRT(3.1415*'Drag Polar'!$D$44*'Drag Polar'!$E$44*'Drag Polar'!$D$6)))/SQRT(1.4*287*288.15))-(3*(1+0.2*B101*2/(1.4*287*288.15*1.225*SQRT(3.1415*'Drag Polar'!$D$44*'Drag Polar'!$E$44*'Drag Polar'!$D$6))-1.07))/(1.5+SQRT(B101*2/(1.225*SQRT(3.1415*'Drag Polar'!$D$44*'Drag Polar'!$E$44*'Drag Polar'!$D$6)))))))*(0.032+2*(SQRT('Drag Polar'!$D$44/(3.1415*'Drag Polar'!$D$6*'Drag Polar'!$E$44))))</f>
        <v>0.15565625430108562</v>
      </c>
      <c r="H101" s="15">
        <f>2*(1/(POWER(1+0.2*B101*2/(1.4*287*288.15*1.225*SQRT(3.1415*'Drag Polar'!$D$6*'Drag Polar'!$D$42*'Drag Polar'!$E$42)),3.5)*(1-0.57*SQRT(SQRT(B101*2/(1.225*SQRT(3.1415*'Drag Polar'!$D$6*'Drag Polar'!$D$42*'Drag Polar'!$E$42)))/SQRT(1.4*287*288.15))-(3*(1+0.2*B101*2/(1.4*287*288.15*1.225*SQRT(3.1415*'Drag Polar'!$D$6*'Drag Polar'!$D$42*'Drag Polar'!$E$42))-1.07))/(1.5+SQRT(B101*2/(1.225*SQRT(3.1415*'Drag Polar'!$D$6*'Drag Polar'!$D$42*'Drag Polar'!$E$42)))))))*(2*SQRT('Drag Polar'!$D$42/(3.1415*'Drag Polar'!$D$6*'Drag Polar'!$E$42)))</f>
        <v>0.19989641656865875</v>
      </c>
      <c r="I101" s="15">
        <f>2*(1/(POWER(1+0.2*B101*2/(1.4*287*288.15*1.225*SQRT(3.1415*'Drag Polar'!$D$6*'Drag Polar'!$D$41*'Drag Polar'!$E$41)),3.5)*(1-0.57*SQRT(SQRT(B101*2/(1.225*SQRT(3.1415*'Drag Polar'!$D$6*'Drag Polar'!$D$41*'Drag Polar'!$E$41)))/SQRT(1.4*287*288.15))-(3*(1+0.2*B101*2/(1.4*287*288.15*1.225*SQRT(3.1415*'Drag Polar'!$D$6*'Drag Polar'!$D$41*'Drag Polar'!$E$41))-1.07))/(1.5+SQRT(B101*2/(1.225*SQRT(3.1415*'Drag Polar'!$D$6*'Drag Polar'!$D$41*'Drag Polar'!$E$41)))))))*(0.024+2*(SQRT('Drag Polar'!$D$41/(3.14*'Drag Polar'!$D$6*'Drag Polar'!$E$41))))</f>
        <v>0.22303552398243762</v>
      </c>
      <c r="J101" s="15">
        <f>2*(1/(POWER(1+0.2*B101*2/(1.4*287*288.15*1.225*SQRT(3.1415*'Drag Polar'!$D$6*'Drag Polar'!$D$39*'Drag Polar'!$E$39)),3.5)*(1-0.57*SQRT(SQRT(B101*2/(1.225*SQRT(3.1415*'Drag Polar'!$D$6*'Drag Polar'!$D$39*'Drag Polar'!$E$39)))/SQRT(1.4*287*288.15))-(3*(1+0.2*B101*2/(1.4*287*288.15*1.225*SQRT(3.1415*'Drag Polar'!$D$6*'Drag Polar'!$D$39*'Drag Polar'!$E$39))-1.07))/(1.5+SQRT(B101*2/(1.225*SQRT(3.1415*'Drag Polar'!$D$6*'Drag Polar'!$D$39*'Drag Polar'!$E$39)))))))*(0.012+2*(SQRT('Drag Polar'!$D$39/(3.14*'Drag Polar'!$D$6*'Drag Polar'!$E$39))))</f>
        <v>0.1515214134033826</v>
      </c>
      <c r="K101" s="15">
        <f>2*(1/(POWER(1+0.2*B101*2/(1.4*287*288.15*1.225*SQRT(3.1415*'Drag Polar'!$D$6*'Drag Polar'!$D$43*'Drag Polar'!$E$43)),3.5)*(1-0.57*SQRT(SQRT(B101*2/(1.225*SQRT(3.1415*'Drag Polar'!$D$6*'Drag Polar'!$D$43*'Drag Polar'!$E$43)))/SQRT(1.4*287*288.15))-(3*(1+0.2*B101*2/(1.4*287*288.15*1.225*SQRT(3.1415*'Drag Polar'!$D$6*'Drag Polar'!$D$43*'Drag Polar'!$E$43))-1.07))/(1.5+SQRT(B101*2/(1.225*SQRT(3.1415*'Drag Polar'!$D$6*'Drag Polar'!$D$43*'Drag Polar'!$E$43)))))))*(0.021+2*(SQRT('Drag Polar'!$D$43/(3.14*'Drag Polar'!$D$6*'Drag Polar'!$E$43))))</f>
        <v>0.26757692978126185</v>
      </c>
      <c r="L101" s="15">
        <f>1.15*(POWER(1+0.2*B101*2/(1.4*287*298*1.11596*2.2),3.5)*(1-0.57*SQRT(SQRT(B101*2/(1.11596*2.2))/SQRT(1.4*287*298))-(3*(1+0.2*B101*2/(1.4*287*298*1.11596*2.2)-1.07))/(1.5+SQRT(B101*2/(1.11596*2.2)))))*(SQRT(B101/(1720*1.11596*9.8065*3.1415*0.85*'Drag Polar'!$E$42*'Drag Polar'!$D$6))+11*4/1720)</f>
        <v>4.4075832784648959E-2</v>
      </c>
      <c r="M101" s="15"/>
      <c r="N101" s="15"/>
      <c r="O101" s="15"/>
      <c r="P101" s="15"/>
      <c r="Q101" s="15"/>
      <c r="R101" s="15"/>
      <c r="S101" s="15"/>
      <c r="T101" s="15"/>
      <c r="U101" s="15"/>
      <c r="V101" s="15"/>
      <c r="W101" s="15"/>
      <c r="X101" s="15"/>
      <c r="Y101" s="15"/>
      <c r="Z101" s="15"/>
      <c r="AA101" s="15"/>
      <c r="AB101" s="15"/>
      <c r="AC101" s="15"/>
      <c r="AD101" s="15"/>
    </row>
    <row r="102" spans="1:30" x14ac:dyDescent="0.3">
      <c r="A102" s="15"/>
      <c r="B102" s="15">
        <v>200</v>
      </c>
      <c r="C102" s="15">
        <v>4300</v>
      </c>
      <c r="D102" s="15">
        <v>4100</v>
      </c>
      <c r="E102" s="15"/>
      <c r="F102" s="16">
        <f t="shared" ref="F102:F150" si="0">((0.95)/(0.3829*POWER(1+0.000011419*B102,3.5)*(1-0.57*SQRT(SQRT(B102*5.506)/310.56)))*(SQRT(2.76019/B102)+0.05542))</f>
        <v>0.52300734063352672</v>
      </c>
      <c r="G102" s="15">
        <f>(1/(POWER(1+0.2*B102*2/(1.4*287*288.15*1.225*SQRT(3.1415*'Drag Polar'!$D$44*'Drag Polar'!$E$44*'Drag Polar'!$D$6)),3.5)*(1-0.57*SQRT(SQRT(B102*2/(1.225*SQRT(3.1415*'Drag Polar'!$D$44*'Drag Polar'!$E$44*'Drag Polar'!$D$6)))/SQRT(1.4*287*288.15))-(3*(1+0.2*B102*2/(1.4*287*288.15*1.225*SQRT(3.1415*'Drag Polar'!$D$44*'Drag Polar'!$E$44*'Drag Polar'!$D$6))-1.07))/(1.5+SQRT(B102*2/(1.225*SQRT(3.1415*'Drag Polar'!$D$44*'Drag Polar'!$E$44*'Drag Polar'!$D$6)))))))*(0.032+2*(SQRT('Drag Polar'!$D$44/(3.1415*'Drag Polar'!$D$6*'Drag Polar'!$E$44))))</f>
        <v>0.15960755999611931</v>
      </c>
      <c r="H102" s="15">
        <f>2*(1/(POWER(1+0.2*B102*2/(1.4*287*288.15*1.225*SQRT(3.1415*'Drag Polar'!$D$6*'Drag Polar'!$D$42*'Drag Polar'!$E$42)),3.5)*(1-0.57*SQRT(SQRT(B102*2/(1.225*SQRT(3.1415*'Drag Polar'!$D$6*'Drag Polar'!$D$42*'Drag Polar'!$E$42)))/SQRT(1.4*287*288.15))-(3*(1+0.2*B102*2/(1.4*287*288.15*1.225*SQRT(3.1415*'Drag Polar'!$D$6*'Drag Polar'!$D$42*'Drag Polar'!$E$42))-1.07))/(1.5+SQRT(B102*2/(1.225*SQRT(3.1415*'Drag Polar'!$D$6*'Drag Polar'!$D$42*'Drag Polar'!$E$42)))))))*(2*(SQRT('Drag Polar'!$D$42/(3.1415*'Drag Polar'!$D$6*'Drag Polar'!$E$42))))</f>
        <v>0.20523695907571812</v>
      </c>
      <c r="I102" s="15">
        <f>2*(1/(POWER(1+0.2*B102*2/(1.4*287*288.15*1.225*SQRT(3.1415*'Drag Polar'!$D$6*'Drag Polar'!$D$41*'Drag Polar'!$E$41)),3.5)*(1-0.57*SQRT(SQRT(B102*2/(1.225*SQRT(3.1415*'Drag Polar'!$D$6*'Drag Polar'!$D$41*'Drag Polar'!$E$41)))/SQRT(1.4*287*288.15))-(3*(1+0.2*B102*2/(1.4*287*288.15*1.225*SQRT(3.1415*'Drag Polar'!$D$6*'Drag Polar'!$D$41*'Drag Polar'!$E$41))-1.07))/(1.5+SQRT(B102*2/(1.225*SQRT(3.1415*'Drag Polar'!$D$6*'Drag Polar'!$D$41*'Drag Polar'!$E$41)))))))*(0.024+2*(SQRT('Drag Polar'!$D$41/(3.14*'Drag Polar'!$D$6*'Drag Polar'!$E$41))))</f>
        <v>0.22915268717369464</v>
      </c>
      <c r="J102" s="15">
        <f>2*(1/(POWER(1+0.2*B102*2/(1.4*287*288.15*1.225*SQRT(3.1415*'Drag Polar'!$D$6*'Drag Polar'!$D$39*'Drag Polar'!$E$39)),3.5)*(1-0.57*SQRT(SQRT(B102*2/(1.225*SQRT(3.1415*'Drag Polar'!$D$6*'Drag Polar'!$D$39*'Drag Polar'!$E$39)))/SQRT(1.4*287*288.15))-(3*(1+0.2*B102*2/(1.4*287*288.15*1.225*SQRT(3.1415*'Drag Polar'!$D$6*'Drag Polar'!$D$39*'Drag Polar'!$E$39))-1.07))/(1.5+SQRT(B102*2/(1.225*SQRT(3.1415*'Drag Polar'!$D$6*'Drag Polar'!$D$39*'Drag Polar'!$E$39)))))))*(0.012+2*(SQRT('Drag Polar'!$D$39/(3.14*'Drag Polar'!$D$6*'Drag Polar'!$E$39))))</f>
        <v>0.1559696896769206</v>
      </c>
      <c r="K102" s="15">
        <f>2*(1/(POWER(1+0.2*B102*2/(1.4*287*288.15*1.225*SQRT(3.1415*'Drag Polar'!$D$6*'Drag Polar'!$D$43*'Drag Polar'!$E$43)),3.5)*(1-0.57*SQRT(SQRT(B102*2/(1.225*SQRT(3.1415*'Drag Polar'!$D$6*'Drag Polar'!$D$43*'Drag Polar'!$E$43)))/SQRT(1.4*287*288.15))-(3*(1+0.2*B102*2/(1.4*287*288.15*1.225*SQRT(3.1415*'Drag Polar'!$D$6*'Drag Polar'!$D$43*'Drag Polar'!$E$43))-1.07))/(1.5+SQRT(B102*2/(1.225*SQRT(3.1415*'Drag Polar'!$D$6*'Drag Polar'!$D$43*'Drag Polar'!$E$43)))))))*(0.021+2*(SQRT('Drag Polar'!$D$43/(3.14*'Drag Polar'!$D$6*'Drag Polar'!$E$43))))</f>
        <v>0.2744543326339321</v>
      </c>
      <c r="L102" s="15">
        <f>1.15*(POWER(1+0.2*B102*2/(1.4*287*298*1.11596*2.2),3.5)*(1-0.57*SQRT(SQRT(B102*2/(1.11596*2.2))/SQRT(1.4*287*298))-(3*(1+0.2*B102*2/(1.4*287*298*1.11596*2.2)-1.07))/(1.5+SQRT(B102*2/(1.11596*2.2)))))*(SQRT(B102/(1720*1.11596*9.8065*3.1415*0.85*'Drag Polar'!$E$42*'Drag Polar'!$D$6))+11*4/1720)</f>
        <v>4.979817870821078E-2</v>
      </c>
      <c r="M102" s="15"/>
      <c r="N102" s="15"/>
      <c r="O102" s="15"/>
      <c r="P102" s="15"/>
      <c r="Q102" s="15"/>
      <c r="R102" s="15"/>
      <c r="S102" s="15"/>
      <c r="T102" s="15"/>
      <c r="U102" s="15"/>
      <c r="V102" s="15"/>
      <c r="W102" s="15"/>
      <c r="X102" s="15"/>
      <c r="Y102" s="15"/>
      <c r="Z102" s="15"/>
      <c r="AA102" s="15"/>
      <c r="AB102" s="15"/>
      <c r="AC102" s="15"/>
      <c r="AD102" s="15"/>
    </row>
    <row r="103" spans="1:30" x14ac:dyDescent="0.3">
      <c r="A103" s="15"/>
      <c r="B103" s="15">
        <v>300</v>
      </c>
      <c r="C103" s="15">
        <v>4300</v>
      </c>
      <c r="D103" s="15">
        <v>4100</v>
      </c>
      <c r="E103" s="15"/>
      <c r="F103" s="16">
        <f t="shared" si="0"/>
        <v>0.46739400306085693</v>
      </c>
      <c r="G103" s="15">
        <f>(1/(POWER(1+0.2*B103*2/(1.4*287*288.15*1.225*SQRT(3.1415*'Drag Polar'!$D$44*'Drag Polar'!$E$44*'Drag Polar'!$D$6)),3.5)*(1-0.57*SQRT(SQRT(B103*2/(1.225*SQRT(3.1415*'Drag Polar'!$D$44*'Drag Polar'!$E$44*'Drag Polar'!$D$6)))/SQRT(1.4*287*288.15))-(3*(1+0.2*B103*2/(1.4*287*288.15*1.225*SQRT(3.1415*'Drag Polar'!$D$44*'Drag Polar'!$E$44*'Drag Polar'!$D$6))-1.07))/(1.5+SQRT(B103*2/(1.225*SQRT(3.1415*'Drag Polar'!$D$44*'Drag Polar'!$E$44*'Drag Polar'!$D$6)))))))*(0.032+2*(SQRT('Drag Polar'!$D$44/(3.1415*'Drag Polar'!$D$6*'Drag Polar'!$E$44))))</f>
        <v>0.16216273705695911</v>
      </c>
      <c r="H103" s="15">
        <f>2*(1/(POWER(1+0.2*B103*2/(1.4*287*288.15*1.225*SQRT(3.1415*'Drag Polar'!$D$6*'Drag Polar'!$D$42*'Drag Polar'!$E$42)),3.5)*(1-0.57*SQRT(SQRT(B103*2/(1.225*SQRT(3.1415*'Drag Polar'!$D$6*'Drag Polar'!$D$42*'Drag Polar'!$E$42)))/SQRT(1.4*287*288.15))-(3*(1+0.2*B103*2/(1.4*287*288.15*1.225*SQRT(3.1415*'Drag Polar'!$D$6*'Drag Polar'!$D$42*'Drag Polar'!$E$42))-1.07))/(1.5+SQRT(B103*2/(1.225*SQRT(3.1415*'Drag Polar'!$D$6*'Drag Polar'!$D$42*'Drag Polar'!$E$42)))))))*(2*(SQRT('Drag Polar'!$D$42/(3.1415*'Drag Polar'!$D$6*'Drag Polar'!$E$42))))</f>
        <v>0.20871970357448641</v>
      </c>
      <c r="I103" s="15">
        <f>2*(1/(POWER(1+0.2*B103*2/(1.4*287*288.15*1.225*SQRT(3.1415*'Drag Polar'!$D$6*'Drag Polar'!$D$41*'Drag Polar'!$E$41)),3.5)*(1-0.57*SQRT(SQRT(B103*2/(1.225*SQRT(3.1415*'Drag Polar'!$D$6*'Drag Polar'!$D$41*'Drag Polar'!$E$41)))/SQRT(1.4*287*288.15))-(3*(1+0.2*B103*2/(1.4*287*288.15*1.225*SQRT(3.1415*'Drag Polar'!$D$6*'Drag Polar'!$D$41*'Drag Polar'!$E$41))-1.07))/(1.5+SQRT(B103*2/(1.225*SQRT(3.1415*'Drag Polar'!$D$6*'Drag Polar'!$D$41*'Drag Polar'!$E$41)))))))*(0.024+2*(SQRT('Drag Polar'!$D$41/(3.14*'Drag Polar'!$D$6*'Drag Polar'!$E$41))))</f>
        <v>0.23315562679077526</v>
      </c>
      <c r="J103" s="15">
        <f>2*(1/(POWER(1+0.2*B103*2/(1.4*287*288.15*1.225*SQRT(3.1415*'Drag Polar'!$D$6*'Drag Polar'!$D$39*'Drag Polar'!$E$39)),3.5)*(1-0.57*SQRT(SQRT(B103*2/(1.225*SQRT(3.1415*'Drag Polar'!$D$6*'Drag Polar'!$D$39*'Drag Polar'!$E$39)))/SQRT(1.4*287*288.15))-(3*(1+0.2*B103*2/(1.4*287*288.15*1.225*SQRT(3.1415*'Drag Polar'!$D$6*'Drag Polar'!$D$39*'Drag Polar'!$E$39))-1.07))/(1.5+SQRT(B103*2/(1.225*SQRT(3.1415*'Drag Polar'!$D$6*'Drag Polar'!$D$39*'Drag Polar'!$E$39)))))))*(0.012+2*(SQRT('Drag Polar'!$D$39/(3.14*'Drag Polar'!$D$6*'Drag Polar'!$E$39))))</f>
        <v>0.15889912838290474</v>
      </c>
      <c r="K103" s="15">
        <f>2*(1/(POWER(1+0.2*B103*2/(1.4*287*288.15*1.225*SQRT(3.1415*'Drag Polar'!$D$6*'Drag Polar'!$D$43*'Drag Polar'!$E$43)),3.5)*(1-0.57*SQRT(SQRT(B103*2/(1.225*SQRT(3.1415*'Drag Polar'!$D$6*'Drag Polar'!$D$43*'Drag Polar'!$E$43)))/SQRT(1.4*287*288.15))-(3*(1+0.2*B103*2/(1.4*287*288.15*1.225*SQRT(3.1415*'Drag Polar'!$D$6*'Drag Polar'!$D$43*'Drag Polar'!$E$43))-1.07))/(1.5+SQRT(B103*2/(1.225*SQRT(3.1415*'Drag Polar'!$D$6*'Drag Polar'!$D$43*'Drag Polar'!$E$43)))))))*(0.021+2*(SQRT('Drag Polar'!$D$43/(3.14*'Drag Polar'!$D$6*'Drag Polar'!$E$43))))</f>
        <v>0.27891182284283689</v>
      </c>
      <c r="L103" s="15">
        <f>1.15*(POWER(1+0.2*B103*2/(1.4*287*298*1.11596*2.2),3.5)*(1-0.57*SQRT(SQRT(B103*2/(1.11596*2.2))/SQRT(1.4*287*298))-(3*(1+0.2*B103*2/(1.4*287*298*1.11596*2.2)-1.07))/(1.5+SQRT(B103*2/(1.11596*2.2)))))*(SQRT(B103/(1720*1.11596*9.8065*3.1415*0.85*'Drag Polar'!$E$42*'Drag Polar'!$D$6))+11*4/1720)</f>
        <v>5.416505529398493E-2</v>
      </c>
      <c r="M103" s="15"/>
      <c r="N103" s="15"/>
      <c r="O103" s="15"/>
      <c r="P103" s="15"/>
      <c r="Q103" s="15"/>
      <c r="R103" s="15"/>
      <c r="S103" s="15"/>
      <c r="T103" s="15"/>
      <c r="U103" s="15"/>
      <c r="V103" s="15"/>
      <c r="W103" s="15"/>
      <c r="X103" s="15"/>
      <c r="Y103" s="15"/>
      <c r="Z103" s="15"/>
      <c r="AA103" s="15"/>
      <c r="AB103" s="15"/>
      <c r="AC103" s="15"/>
      <c r="AD103" s="15"/>
    </row>
    <row r="104" spans="1:30" x14ac:dyDescent="0.3">
      <c r="A104" s="15"/>
      <c r="B104" s="15">
        <v>400</v>
      </c>
      <c r="C104" s="15">
        <v>4300</v>
      </c>
      <c r="D104" s="15">
        <v>4100</v>
      </c>
      <c r="E104" s="15"/>
      <c r="F104" s="16">
        <f t="shared" si="0"/>
        <v>0.43442168832722078</v>
      </c>
      <c r="G104" s="15">
        <f>(1/(POWER(1+0.2*B104*2/(1.4*287*288.15*1.225*SQRT(3.1415*'Drag Polar'!$D$44*'Drag Polar'!$E$44*'Drag Polar'!$D$6)),3.5)*(1-0.57*SQRT(SQRT(B104*2/(1.225*SQRT(3.1415*'Drag Polar'!$D$44*'Drag Polar'!$E$44*'Drag Polar'!$D$6)))/SQRT(1.4*287*288.15))-(3*(1+0.2*B104*2/(1.4*287*288.15*1.225*SQRT(3.1415*'Drag Polar'!$D$44*'Drag Polar'!$E$44*'Drag Polar'!$D$6))-1.07))/(1.5+SQRT(B104*2/(1.225*SQRT(3.1415*'Drag Polar'!$D$44*'Drag Polar'!$E$44*'Drag Polar'!$D$6)))))))*(0.032+2*(SQRT('Drag Polar'!$D$44/(3.1415*'Drag Polar'!$D$6*'Drag Polar'!$E$44))))</f>
        <v>0.16410773062795486</v>
      </c>
      <c r="H104" s="15">
        <f>2*(1/(POWER(1+0.2*B104*2/(1.4*287*288.15*1.225*SQRT(3.1415*'Drag Polar'!$D$6*'Drag Polar'!$D$42*'Drag Polar'!$E$42)),3.5)*(1-0.57*SQRT(SQRT(B104*2/(1.225*SQRT(3.1415*'Drag Polar'!$D$6*'Drag Polar'!$D$42*'Drag Polar'!$E$42)))/SQRT(1.4*287*288.15))-(3*(1+0.2*B104*2/(1.4*287*288.15*1.225*SQRT(3.1415*'Drag Polar'!$D$6*'Drag Polar'!$D$42*'Drag Polar'!$E$42))-1.07))/(1.5+SQRT(B104*2/(1.225*SQRT(3.1415*'Drag Polar'!$D$6*'Drag Polar'!$D$42*'Drag Polar'!$E$42)))))))*(2*(SQRT('Drag Polar'!$D$42/(3.1415*'Drag Polar'!$D$6*'Drag Polar'!$E$42))))</f>
        <v>0.21138108223961904</v>
      </c>
      <c r="I104" s="15">
        <f>2*(1/(POWER(1+0.2*B104*2/(1.4*287*288.15*1.225*SQRT(3.1415*'Drag Polar'!$D$6*'Drag Polar'!$D$41*'Drag Polar'!$E$41)),3.5)*(1-0.57*SQRT(SQRT(B104*2/(1.225*SQRT(3.1415*'Drag Polar'!$D$6*'Drag Polar'!$D$41*'Drag Polar'!$E$41)))/SQRT(1.4*287*288.15))-(3*(1+0.2*B104*2/(1.4*287*288.15*1.225*SQRT(3.1415*'Drag Polar'!$D$6*'Drag Polar'!$D$41*'Drag Polar'!$E$41))-1.07))/(1.5+SQRT(B104*2/(1.225*SQRT(3.1415*'Drag Polar'!$D$6*'Drag Polar'!$D$41*'Drag Polar'!$E$41)))))))*(0.024+2*(SQRT('Drag Polar'!$D$41/(3.14*'Drag Polar'!$D$6*'Drag Polar'!$E$41))))</f>
        <v>0.23621860332360367</v>
      </c>
      <c r="J104" s="15">
        <f>2*(1/(POWER(1+0.2*B104*2/(1.4*287*288.15*1.225*SQRT(3.1415*'Drag Polar'!$D$6*'Drag Polar'!$D$39*'Drag Polar'!$E$39)),3.5)*(1-0.57*SQRT(SQRT(B104*2/(1.225*SQRT(3.1415*'Drag Polar'!$D$6*'Drag Polar'!$D$39*'Drag Polar'!$E$39)))/SQRT(1.4*287*288.15))-(3*(1+0.2*B104*2/(1.4*287*288.15*1.225*SQRT(3.1415*'Drag Polar'!$D$6*'Drag Polar'!$D$39*'Drag Polar'!$E$39))-1.07))/(1.5+SQRT(B104*2/(1.225*SQRT(3.1415*'Drag Polar'!$D$6*'Drag Polar'!$D$39*'Drag Polar'!$E$39)))))))*(0.012+2*(SQRT('Drag Polar'!$D$39/(3.14*'Drag Polar'!$D$6*'Drag Polar'!$E$39))))</f>
        <v>0.16114412843047271</v>
      </c>
      <c r="K104" s="15">
        <f>2*(1/(POWER(1+0.2*B104*2/(1.4*287*288.15*1.225*SQRT(3.1415*'Drag Polar'!$D$6*'Drag Polar'!$D$43*'Drag Polar'!$E$43)),3.5)*(1-0.57*SQRT(SQRT(B104*2/(1.225*SQRT(3.1415*'Drag Polar'!$D$6*'Drag Polar'!$D$43*'Drag Polar'!$E$43)))/SQRT(1.4*287*288.15))-(3*(1+0.2*B104*2/(1.4*287*288.15*1.225*SQRT(3.1415*'Drag Polar'!$D$6*'Drag Polar'!$D$43*'Drag Polar'!$E$43))-1.07))/(1.5+SQRT(B104*2/(1.225*SQRT(3.1415*'Drag Polar'!$D$6*'Drag Polar'!$D$43*'Drag Polar'!$E$43)))))))*(0.021+2*(SQRT('Drag Polar'!$D$43/(3.14*'Drag Polar'!$D$6*'Drag Polar'!$E$43))))</f>
        <v>0.28230862741262625</v>
      </c>
      <c r="L104" s="15">
        <f>1.15*(POWER(1+0.2*B104*2/(1.4*287*298*1.11596*2.2),3.5)*(1-0.57*SQRT(SQRT(B104*2/(1.11596*2.2))/SQRT(1.4*287*298))-(3*(1+0.2*B104*2/(1.4*287*298*1.11596*2.2)-1.07))/(1.5+SQRT(B104*2/(1.11596*2.2)))))*(SQRT(B104/(1720*1.11596*9.8065*3.1415*0.85*'Drag Polar'!$E$42*'Drag Polar'!$D$6))+11*4/1720)</f>
        <v>5.7817700597381547E-2</v>
      </c>
      <c r="M104" s="15"/>
      <c r="N104" s="15"/>
      <c r="O104" s="15"/>
      <c r="P104" s="15"/>
      <c r="Q104" s="15"/>
      <c r="R104" s="15"/>
      <c r="S104" s="15"/>
      <c r="T104" s="15"/>
      <c r="U104" s="15"/>
      <c r="V104" s="15"/>
      <c r="W104" s="15"/>
      <c r="X104" s="15"/>
      <c r="Y104" s="15"/>
      <c r="Z104" s="15"/>
      <c r="AA104" s="15"/>
      <c r="AB104" s="15"/>
      <c r="AC104" s="15"/>
      <c r="AD104" s="15"/>
    </row>
    <row r="105" spans="1:30" x14ac:dyDescent="0.3">
      <c r="A105" s="15"/>
      <c r="B105" s="15">
        <v>500</v>
      </c>
      <c r="C105" s="15">
        <v>4300</v>
      </c>
      <c r="D105" s="15">
        <v>4100</v>
      </c>
      <c r="E105" s="15"/>
      <c r="F105" s="16">
        <f t="shared" si="0"/>
        <v>0.4120258048571207</v>
      </c>
      <c r="G105" s="15">
        <f>(1/(POWER(1+0.2*B105*2/(1.4*287*288.15*1.225*SQRT(3.1415*'Drag Polar'!$D$44*'Drag Polar'!$E$44*'Drag Polar'!$D$6)),3.5)*(1-0.57*SQRT(SQRT(B105*2/(1.225*SQRT(3.1415*'Drag Polar'!$D$44*'Drag Polar'!$E$44*'Drag Polar'!$D$6)))/SQRT(1.4*287*288.15))-(3*(1+0.2*B105*2/(1.4*287*288.15*1.225*SQRT(3.1415*'Drag Polar'!$D$44*'Drag Polar'!$E$44*'Drag Polar'!$D$6))-1.07))/(1.5+SQRT(B105*2/(1.225*SQRT(3.1415*'Drag Polar'!$D$44*'Drag Polar'!$E$44*'Drag Polar'!$D$6)))))))*(0.032+2*(SQRT('Drag Polar'!$D$44/(3.1415*'Drag Polar'!$D$6*'Drag Polar'!$E$44))))</f>
        <v>0.16570079324974074</v>
      </c>
      <c r="H105" s="15">
        <f>2*(1/(POWER(1+0.2*B105*2/(1.4*287*288.15*1.225*SQRT(3.1415*'Drag Polar'!$D$6*'Drag Polar'!$D$42*'Drag Polar'!$E$42)),3.5)*(1-0.57*SQRT(SQRT(B105*2/(1.225*SQRT(3.1415*'Drag Polar'!$D$6*'Drag Polar'!$D$42*'Drag Polar'!$E$42)))/SQRT(1.4*287*288.15))-(3*(1+0.2*B105*2/(1.4*287*288.15*1.225*SQRT(3.1415*'Drag Polar'!$D$6*'Drag Polar'!$D$42*'Drag Polar'!$E$42))-1.07))/(1.5+SQRT(B105*2/(1.225*SQRT(3.1415*'Drag Polar'!$D$6*'Drag Polar'!$D$42*'Drag Polar'!$E$42)))))))*(2*(SQRT('Drag Polar'!$D$42/(3.1415*'Drag Polar'!$D$6*'Drag Polar'!$E$42))))</f>
        <v>0.21356509048741951</v>
      </c>
      <c r="I105" s="15">
        <f>2*(1/(POWER(1+0.2*B105*2/(1.4*287*288.15*1.225*SQRT(3.1415*'Drag Polar'!$D$6*'Drag Polar'!$D$41*'Drag Polar'!$E$41)),3.5)*(1-0.57*SQRT(SQRT(B105*2/(1.225*SQRT(3.1415*'Drag Polar'!$D$6*'Drag Polar'!$D$41*'Drag Polar'!$E$41)))/SQRT(1.4*287*288.15))-(3*(1+0.2*B105*2/(1.4*287*288.15*1.225*SQRT(3.1415*'Drag Polar'!$D$6*'Drag Polar'!$D$41*'Drag Polar'!$E$41))-1.07))/(1.5+SQRT(B105*2/(1.225*SQRT(3.1415*'Drag Polar'!$D$6*'Drag Polar'!$D$41*'Drag Polar'!$E$41)))))))*(0.024+2*(SQRT('Drag Polar'!$D$41/(3.14*'Drag Polar'!$D$6*'Drag Polar'!$E$41))))</f>
        <v>0.23873330705483028</v>
      </c>
      <c r="J105" s="15">
        <f>2*(1/(POWER(1+0.2*B105*2/(1.4*287*288.15*1.225*SQRT(3.1415*'Drag Polar'!$D$6*'Drag Polar'!$D$39*'Drag Polar'!$E$39)),3.5)*(1-0.57*SQRT(SQRT(B105*2/(1.225*SQRT(3.1415*'Drag Polar'!$D$6*'Drag Polar'!$D$39*'Drag Polar'!$E$39)))/SQRT(1.4*287*288.15))-(3*(1+0.2*B105*2/(1.4*287*288.15*1.225*SQRT(3.1415*'Drag Polar'!$D$6*'Drag Polar'!$D$39*'Drag Polar'!$E$39))-1.07))/(1.5+SQRT(B105*2/(1.225*SQRT(3.1415*'Drag Polar'!$D$6*'Drag Polar'!$D$39*'Drag Polar'!$E$39)))))))*(0.012+2*(SQRT('Drag Polar'!$D$39/(3.14*'Drag Polar'!$D$6*'Drag Polar'!$E$39))))</f>
        <v>0.16298646375820797</v>
      </c>
      <c r="K105" s="15">
        <f>2*(1/(POWER(1+0.2*B105*2/(1.4*287*288.15*1.225*SQRT(3.1415*'Drag Polar'!$D$6*'Drag Polar'!$D$43*'Drag Polar'!$E$43)),3.5)*(1-0.57*SQRT(SQRT(B105*2/(1.225*SQRT(3.1415*'Drag Polar'!$D$6*'Drag Polar'!$D$43*'Drag Polar'!$E$43)))/SQRT(1.4*287*288.15))-(3*(1+0.2*B105*2/(1.4*287*288.15*1.225*SQRT(3.1415*'Drag Polar'!$D$6*'Drag Polar'!$D$43*'Drag Polar'!$E$43))-1.07))/(1.5+SQRT(B105*2/(1.225*SQRT(3.1415*'Drag Polar'!$D$6*'Drag Polar'!$D$43*'Drag Polar'!$E$43)))))))*(0.021+2*(SQRT('Drag Polar'!$D$43/(3.14*'Drag Polar'!$D$6*'Drag Polar'!$E$43))))</f>
        <v>0.28509247811519017</v>
      </c>
      <c r="L105" s="15">
        <f>1.15*(POWER(1+0.2*B105*2/(1.4*287*298*1.11596*2.2),3.5)*(1-0.57*SQRT(SQRT(B105*2/(1.11596*2.2))/SQRT(1.4*287*298))-(3*(1+0.2*B105*2/(1.4*287*298*1.11596*2.2)-1.07))/(1.5+SQRT(B105*2/(1.11596*2.2)))))*(SQRT(B105/(1720*1.11596*9.8065*3.1415*0.85*'Drag Polar'!$E$42*'Drag Polar'!$D$6))+11*4/1720)</f>
        <v>6.1011079224803255E-2</v>
      </c>
      <c r="M105" s="15"/>
      <c r="N105" s="15"/>
      <c r="O105" s="15"/>
      <c r="P105" s="15"/>
      <c r="Q105" s="15"/>
      <c r="R105" s="15"/>
      <c r="S105" s="15"/>
      <c r="T105" s="15"/>
      <c r="U105" s="15"/>
      <c r="V105" s="15"/>
      <c r="W105" s="15"/>
      <c r="X105" s="15"/>
      <c r="Y105" s="15"/>
      <c r="Z105" s="15"/>
      <c r="AA105" s="15"/>
      <c r="AB105" s="15"/>
      <c r="AC105" s="15"/>
      <c r="AD105" s="15"/>
    </row>
    <row r="106" spans="1:30" x14ac:dyDescent="0.3">
      <c r="A106" s="15"/>
      <c r="B106" s="15">
        <v>600</v>
      </c>
      <c r="C106" s="15">
        <v>4300</v>
      </c>
      <c r="D106" s="15">
        <v>4100</v>
      </c>
      <c r="E106" s="15"/>
      <c r="F106" s="16">
        <f t="shared" si="0"/>
        <v>0.39555631734653679</v>
      </c>
      <c r="G106" s="15">
        <f>(1/(POWER(1+0.2*B106*2/(1.4*287*288.15*1.225*SQRT(3.1415*'Drag Polar'!$D$44*'Drag Polar'!$E$44*'Drag Polar'!$D$6)),3.5)*(1-0.57*SQRT(SQRT(B106*2/(1.225*SQRT(3.1415*'Drag Polar'!$D$44*'Drag Polar'!$E$44*'Drag Polar'!$D$6)))/SQRT(1.4*287*288.15))-(3*(1+0.2*B106*2/(1.4*287*288.15*1.225*SQRT(3.1415*'Drag Polar'!$D$44*'Drag Polar'!$E$44*'Drag Polar'!$D$6))-1.07))/(1.5+SQRT(B106*2/(1.225*SQRT(3.1415*'Drag Polar'!$D$44*'Drag Polar'!$E$44*'Drag Polar'!$D$6)))))))*(0.032+2*(SQRT('Drag Polar'!$D$44/(3.1415*'Drag Polar'!$D$6*'Drag Polar'!$E$44))))</f>
        <v>0.16706144875332815</v>
      </c>
      <c r="H106" s="15">
        <f>2*(1/(POWER(1+0.2*B106*2/(1.4*287*288.15*1.225*SQRT(3.1415*'Drag Polar'!$D$6*'Drag Polar'!$D$42*'Drag Polar'!$E$42)),3.5)*(1-0.57*SQRT(SQRT(B106*2/(1.225*SQRT(3.1415*'Drag Polar'!$D$6*'Drag Polar'!$D$42*'Drag Polar'!$E$42)))/SQRT(1.4*287*288.15))-(3*(1+0.2*B106*2/(1.4*287*288.15*1.225*SQRT(3.1415*'Drag Polar'!$D$6*'Drag Polar'!$D$42*'Drag Polar'!$E$42))-1.07))/(1.5+SQRT(B106*2/(1.225*SQRT(3.1415*'Drag Polar'!$D$6*'Drag Polar'!$D$42*'Drag Polar'!$E$42)))))))*(2*(SQRT('Drag Polar'!$D$42/(3.1415*'Drag Polar'!$D$6*'Drag Polar'!$E$42))))</f>
        <v>0.21543205481733399</v>
      </c>
      <c r="I106" s="15">
        <f>2*(1/(POWER(1+0.2*B106*2/(1.4*287*288.15*1.225*SQRT(3.1415*'Drag Polar'!$D$6*'Drag Polar'!$D$41*'Drag Polar'!$E$41)),3.5)*(1-0.57*SQRT(SQRT(B106*2/(1.225*SQRT(3.1415*'Drag Polar'!$D$6*'Drag Polar'!$D$41*'Drag Polar'!$E$41)))/SQRT(1.4*287*288.15))-(3*(1+0.2*B106*2/(1.4*287*288.15*1.225*SQRT(3.1415*'Drag Polar'!$D$6*'Drag Polar'!$D$41*'Drag Polar'!$E$41))-1.07))/(1.5+SQRT(B106*2/(1.225*SQRT(3.1415*'Drag Polar'!$D$6*'Drag Polar'!$D$41*'Drag Polar'!$E$41)))))))*(0.024+2*(SQRT('Drag Polar'!$D$41/(3.14*'Drag Polar'!$D$6*'Drag Polar'!$E$41))))</f>
        <v>0.24088290871931944</v>
      </c>
      <c r="J106" s="15">
        <f>2*(1/(POWER(1+0.2*B106*2/(1.4*287*288.15*1.225*SQRT(3.1415*'Drag Polar'!$D$6*'Drag Polar'!$D$39*'Drag Polar'!$E$39)),3.5)*(1-0.57*SQRT(SQRT(B106*2/(1.225*SQRT(3.1415*'Drag Polar'!$D$6*'Drag Polar'!$D$39*'Drag Polar'!$E$39)))/SQRT(1.4*287*288.15))-(3*(1+0.2*B106*2/(1.4*287*288.15*1.225*SQRT(3.1415*'Drag Polar'!$D$6*'Drag Polar'!$D$39*'Drag Polar'!$E$39))-1.07))/(1.5+SQRT(B106*2/(1.225*SQRT(3.1415*'Drag Polar'!$D$6*'Drag Polar'!$D$39*'Drag Polar'!$E$39)))))))*(0.012+2*(SQRT('Drag Polar'!$D$39/(3.14*'Drag Polar'!$D$6*'Drag Polar'!$E$39))))</f>
        <v>0.1645589721559696</v>
      </c>
      <c r="K106" s="15">
        <f>2*(1/(POWER(1+0.2*B106*2/(1.4*287*288.15*1.225*SQRT(3.1415*'Drag Polar'!$D$6*'Drag Polar'!$D$43*'Drag Polar'!$E$43)),3.5)*(1-0.57*SQRT(SQRT(B106*2/(1.225*SQRT(3.1415*'Drag Polar'!$D$6*'Drag Polar'!$D$43*'Drag Polar'!$E$43)))/SQRT(1.4*287*288.15))-(3*(1+0.2*B106*2/(1.4*287*288.15*1.225*SQRT(3.1415*'Drag Polar'!$D$6*'Drag Polar'!$D$43*'Drag Polar'!$E$43))-1.07))/(1.5+SQRT(B106*2/(1.225*SQRT(3.1415*'Drag Polar'!$D$6*'Drag Polar'!$D$43*'Drag Polar'!$E$43)))))))*(0.021+2*(SQRT('Drag Polar'!$D$43/(3.14*'Drag Polar'!$D$6*'Drag Polar'!$E$43))))</f>
        <v>0.28747095833933961</v>
      </c>
      <c r="L106" s="15">
        <f>1.15*(POWER(1+0.2*B106*2/(1.4*287*298*1.11596*2.2),3.5)*(1-0.57*SQRT(SQRT(B106*2/(1.11596*2.2))/SQRT(1.4*287*298))-(3*(1+0.2*B106*2/(1.4*287*298*1.11596*2.2)-1.07))/(1.5+SQRT(B106*2/(1.11596*2.2)))))*(SQRT(B106/(1720*1.11596*9.8065*3.1415*0.85*'Drag Polar'!$E$42*'Drag Polar'!$D$6))+11*4/1720)</f>
        <v>6.3877511484559432E-2</v>
      </c>
      <c r="M106" s="15"/>
      <c r="N106" s="15"/>
      <c r="O106" s="15"/>
      <c r="P106" s="15"/>
      <c r="Q106" s="15"/>
      <c r="R106" s="15"/>
      <c r="S106" s="15"/>
      <c r="T106" s="15"/>
      <c r="U106" s="15"/>
      <c r="V106" s="15"/>
      <c r="W106" s="15"/>
      <c r="X106" s="15"/>
      <c r="Y106" s="15"/>
      <c r="Z106" s="15"/>
      <c r="AA106" s="15"/>
      <c r="AB106" s="15"/>
      <c r="AC106" s="15"/>
      <c r="AD106" s="15"/>
    </row>
    <row r="107" spans="1:30" x14ac:dyDescent="0.3">
      <c r="A107" s="15"/>
      <c r="B107" s="15">
        <v>700</v>
      </c>
      <c r="C107" s="15">
        <v>4300</v>
      </c>
      <c r="D107" s="15">
        <v>4100</v>
      </c>
      <c r="E107" s="15"/>
      <c r="F107" s="16">
        <f t="shared" si="0"/>
        <v>0.38279236641074721</v>
      </c>
      <c r="G107" s="15">
        <f>(1/(POWER(1+0.2*B107*2/(1.4*287*288.15*1.225*SQRT(3.1415*'Drag Polar'!$D$44*'Drag Polar'!$E$44*'Drag Polar'!$D$6)),3.5)*(1-0.57*SQRT(SQRT(B107*2/(1.225*SQRT(3.1415*'Drag Polar'!$D$44*'Drag Polar'!$E$44*'Drag Polar'!$D$6)))/SQRT(1.4*287*288.15))-(3*(1+0.2*B107*2/(1.4*287*288.15*1.225*SQRT(3.1415*'Drag Polar'!$D$44*'Drag Polar'!$E$44*'Drag Polar'!$D$6))-1.07))/(1.5+SQRT(B107*2/(1.225*SQRT(3.1415*'Drag Polar'!$D$44*'Drag Polar'!$E$44*'Drag Polar'!$D$6)))))))*(0.032+2*(SQRT('Drag Polar'!$D$44/(3.1415*'Drag Polar'!$D$6*'Drag Polar'!$E$44))))</f>
        <v>0.16825559578224528</v>
      </c>
      <c r="H107" s="15">
        <f>2*(1/(POWER(1+0.2*B107*2/(1.4*287*288.15*1.225*SQRT(3.1415*'Drag Polar'!$D$6*'Drag Polar'!$D$42*'Drag Polar'!$E$42)),3.5)*(1-0.57*SQRT(SQRT(B107*2/(1.225*SQRT(3.1415*'Drag Polar'!$D$6*'Drag Polar'!$D$42*'Drag Polar'!$E$42)))/SQRT(1.4*287*288.15))-(3*(1+0.2*B107*2/(1.4*287*288.15*1.225*SQRT(3.1415*'Drag Polar'!$D$6*'Drag Polar'!$D$42*'Drag Polar'!$E$42))-1.07))/(1.5+SQRT(B107*2/(1.225*SQRT(3.1415*'Drag Polar'!$D$6*'Drag Polar'!$D$42*'Drag Polar'!$E$42)))))))*(2*(SQRT('Drag Polar'!$D$42/(3.1415*'Drag Polar'!$D$6*'Drag Polar'!$E$42))))</f>
        <v>0.2170708464452481</v>
      </c>
      <c r="I107" s="15">
        <f>2*(1/(POWER(1+0.2*B107*2/(1.4*287*288.15*1.225*SQRT(3.1415*'Drag Polar'!$D$6*'Drag Polar'!$D$41*'Drag Polar'!$E$41)),3.5)*(1-0.57*SQRT(SQRT(B107*2/(1.225*SQRT(3.1415*'Drag Polar'!$D$6*'Drag Polar'!$D$41*'Drag Polar'!$E$41)))/SQRT(1.4*287*288.15))-(3*(1+0.2*B107*2/(1.4*287*288.15*1.225*SQRT(3.1415*'Drag Polar'!$D$6*'Drag Polar'!$D$41*'Drag Polar'!$E$41))-1.07))/(1.5+SQRT(B107*2/(1.225*SQRT(3.1415*'Drag Polar'!$D$6*'Drag Polar'!$D$41*'Drag Polar'!$E$41)))))))*(0.024+2*(SQRT('Drag Polar'!$D$41/(3.14*'Drag Polar'!$D$6*'Drag Polar'!$E$41))))</f>
        <v>0.2427692003086723</v>
      </c>
      <c r="J107" s="15">
        <f>2*(1/(POWER(1+0.2*B107*2/(1.4*287*288.15*1.225*SQRT(3.1415*'Drag Polar'!$D$6*'Drag Polar'!$D$39*'Drag Polar'!$E$39)),3.5)*(1-0.57*SQRT(SQRT(B107*2/(1.225*SQRT(3.1415*'Drag Polar'!$D$6*'Drag Polar'!$D$39*'Drag Polar'!$E$39)))/SQRT(1.4*287*288.15))-(3*(1+0.2*B107*2/(1.4*287*288.15*1.225*SQRT(3.1415*'Drag Polar'!$D$6*'Drag Polar'!$D$39*'Drag Polar'!$E$39))-1.07))/(1.5+SQRT(B107*2/(1.225*SQRT(3.1415*'Drag Polar'!$D$6*'Drag Polar'!$D$39*'Drag Polar'!$E$39)))))))*(0.012+2*(SQRT('Drag Polar'!$D$39/(3.14*'Drag Polar'!$D$6*'Drag Polar'!$E$39))))</f>
        <v>0.16593592033179053</v>
      </c>
      <c r="K107" s="15">
        <f>2*(1/(POWER(1+0.2*B107*2/(1.4*287*288.15*1.225*SQRT(3.1415*'Drag Polar'!$D$6*'Drag Polar'!$D$43*'Drag Polar'!$E$43)),3.5)*(1-0.57*SQRT(SQRT(B107*2/(1.225*SQRT(3.1415*'Drag Polar'!$D$6*'Drag Polar'!$D$43*'Drag Polar'!$E$43)))/SQRT(1.4*287*288.15))-(3*(1+0.2*B107*2/(1.4*287*288.15*1.225*SQRT(3.1415*'Drag Polar'!$D$6*'Drag Polar'!$D$43*'Drag Polar'!$E$43))-1.07))/(1.5+SQRT(B107*2/(1.225*SQRT(3.1415*'Drag Polar'!$D$6*'Drag Polar'!$D$43*'Drag Polar'!$E$43)))))))*(0.021+2*(SQRT('Drag Polar'!$D$43/(3.14*'Drag Polar'!$D$6*'Drag Polar'!$E$43))))</f>
        <v>0.28955867400716867</v>
      </c>
      <c r="L107" s="15">
        <f>1.15*(POWER(1+0.2*B107*2/(1.4*287*298*1.11596*2.2),3.5)*(1-0.57*SQRT(SQRT(B107*2/(1.11596*2.2))/SQRT(1.4*287*298))-(3*(1+0.2*B107*2/(1.4*287*298*1.11596*2.2)-1.07))/(1.5+SQRT(B107*2/(1.11596*2.2)))))*(SQRT(B107/(1720*1.11596*9.8065*3.1415*0.85*'Drag Polar'!$E$42*'Drag Polar'!$D$6))+11*4/1720)</f>
        <v>6.6496118634871926E-2</v>
      </c>
      <c r="M107" s="15"/>
      <c r="N107" s="15"/>
      <c r="O107" s="15"/>
      <c r="P107" s="15"/>
      <c r="Q107" s="15"/>
      <c r="R107" s="15"/>
      <c r="S107" s="15"/>
      <c r="T107" s="15"/>
      <c r="U107" s="15"/>
      <c r="V107" s="15"/>
      <c r="W107" s="15"/>
      <c r="X107" s="15"/>
      <c r="Y107" s="15"/>
      <c r="Z107" s="15"/>
      <c r="AA107" s="15"/>
      <c r="AB107" s="15"/>
      <c r="AC107" s="15"/>
      <c r="AD107" s="15"/>
    </row>
    <row r="108" spans="1:30" x14ac:dyDescent="0.3">
      <c r="A108" s="15"/>
      <c r="B108" s="15">
        <v>800</v>
      </c>
      <c r="C108" s="15">
        <v>4300</v>
      </c>
      <c r="D108" s="15">
        <v>4100</v>
      </c>
      <c r="E108" s="15">
        <f t="shared" ref="E108:E150" si="1">4.51*(180.427/(0.95*B108)+(0.95*B108)/242397)</f>
        <v>1.0848322416634151</v>
      </c>
      <c r="F108" s="16">
        <f t="shared" si="0"/>
        <v>0.3725228582082139</v>
      </c>
      <c r="G108" s="15">
        <f>(1/(POWER(1+0.2*B108*2/(1.4*287*288.15*1.225*SQRT(3.1415*'Drag Polar'!$D$44*'Drag Polar'!$E$44*'Drag Polar'!$D$6)),3.5)*(1-0.57*SQRT(SQRT(B108*2/(1.225*SQRT(3.1415*'Drag Polar'!$D$44*'Drag Polar'!$E$44*'Drag Polar'!$D$6)))/SQRT(1.4*287*288.15))-(3*(1+0.2*B108*2/(1.4*287*288.15*1.225*SQRT(3.1415*'Drag Polar'!$D$44*'Drag Polar'!$E$44*'Drag Polar'!$D$6))-1.07))/(1.5+SQRT(B108*2/(1.225*SQRT(3.1415*'Drag Polar'!$D$44*'Drag Polar'!$E$44*'Drag Polar'!$D$6)))))))*(0.032+2*(SQRT('Drag Polar'!$D$44/(3.1415*'Drag Polar'!$D$6*'Drag Polar'!$E$44))))</f>
        <v>0.16932374006761619</v>
      </c>
      <c r="H108" s="15">
        <f>2*(1/(POWER(1+0.2*B108*2/(1.4*287*288.15*1.225*SQRT(3.1415*'Drag Polar'!$D$6*'Drag Polar'!$D$42*'Drag Polar'!$E$42)),3.5)*(1-0.57*SQRT(SQRT(B108*2/(1.225*SQRT(3.1415*'Drag Polar'!$D$6*'Drag Polar'!$D$42*'Drag Polar'!$E$42)))/SQRT(1.4*287*288.15))-(3*(1+0.2*B108*2/(1.4*287*288.15*1.225*SQRT(3.1415*'Drag Polar'!$D$6*'Drag Polar'!$D$42*'Drag Polar'!$E$42))-1.07))/(1.5+SQRT(B108*2/(1.225*SQRT(3.1415*'Drag Polar'!$D$6*'Drag Polar'!$D$42*'Drag Polar'!$E$42)))))))*(2*(SQRT('Drag Polar'!$D$42/(3.1415*'Drag Polar'!$D$6*'Drag Polar'!$E$42))))</f>
        <v>0.21853632916563226</v>
      </c>
      <c r="I108" s="15">
        <f>2*(1/(POWER(1+0.2*B108*2/(1.4*287*288.15*1.225*SQRT(3.1415*'Drag Polar'!$D$6*'Drag Polar'!$D$41*'Drag Polar'!$E$41)),3.5)*(1-0.57*SQRT(SQRT(B108*2/(1.225*SQRT(3.1415*'Drag Polar'!$D$6*'Drag Polar'!$D$41*'Drag Polar'!$E$41)))/SQRT(1.4*287*288.15))-(3*(1+0.2*B108*2/(1.4*287*288.15*1.225*SQRT(3.1415*'Drag Polar'!$D$6*'Drag Polar'!$D$41*'Drag Polar'!$E$41))-1.07))/(1.5+SQRT(B108*2/(1.225*SQRT(3.1415*'Drag Polar'!$D$6*'Drag Polar'!$D$41*'Drag Polar'!$E$41)))))))*(0.024+2*(SQRT('Drag Polar'!$D$41/(3.14*'Drag Polar'!$D$6*'Drag Polar'!$E$41))))</f>
        <v>0.2444551497912538</v>
      </c>
      <c r="J108" s="15">
        <f>2*(1/(POWER(1+0.2*B108*2/(1.4*287*288.15*1.225*SQRT(3.1415*'Drag Polar'!$D$6*'Drag Polar'!$D$39*'Drag Polar'!$E$39)),3.5)*(1-0.57*SQRT(SQRT(B108*2/(1.225*SQRT(3.1415*'Drag Polar'!$D$6*'Drag Polar'!$D$39*'Drag Polar'!$E$39)))/SQRT(1.4*287*288.15))-(3*(1+0.2*B108*2/(1.4*287*288.15*1.225*SQRT(3.1415*'Drag Polar'!$D$6*'Drag Polar'!$D$39*'Drag Polar'!$E$39))-1.07))/(1.5+SQRT(B108*2/(1.225*SQRT(3.1415*'Drag Polar'!$D$6*'Drag Polar'!$D$39*'Drag Polar'!$E$39)))))))*(0.012+2*(SQRT('Drag Polar'!$D$39/(3.14*'Drag Polar'!$D$6*'Drag Polar'!$E$39))))</f>
        <v>0.16716346999186482</v>
      </c>
      <c r="K108" s="15">
        <f>2*(1/(POWER(1+0.2*B108*2/(1.4*287*288.15*1.225*SQRT(3.1415*'Drag Polar'!$D$6*'Drag Polar'!$D$43*'Drag Polar'!$E$43)),3.5)*(1-0.57*SQRT(SQRT(B108*2/(1.225*SQRT(3.1415*'Drag Polar'!$D$6*'Drag Polar'!$D$43*'Drag Polar'!$E$43)))/SQRT(1.4*287*288.15))-(3*(1+0.2*B108*2/(1.4*287*288.15*1.225*SQRT(3.1415*'Drag Polar'!$D$6*'Drag Polar'!$D$43*'Drag Polar'!$E$43))-1.07))/(1.5+SQRT(B108*2/(1.225*SQRT(3.1415*'Drag Polar'!$D$6*'Drag Polar'!$D$43*'Drag Polar'!$E$43)))))))*(0.021+2*(SQRT('Drag Polar'!$D$43/(3.14*'Drag Polar'!$D$6*'Drag Polar'!$E$43))))</f>
        <v>0.29142614772442288</v>
      </c>
      <c r="L108" s="15">
        <f>1.15*(POWER(1+0.2*B108*2/(1.4*287*298*1.11596*2.2),3.5)*(1-0.57*SQRT(SQRT(B108*2/(1.11596*2.2))/SQRT(1.4*287*298))-(3*(1+0.2*B108*2/(1.4*287*298*1.11596*2.2)-1.07))/(1.5+SQRT(B108*2/(1.11596*2.2)))))*(SQRT(B108/(1720*1.11596*9.8065*3.1415*0.85*'Drag Polar'!$E$42*'Drag Polar'!$D$6))+11*4/1720)</f>
        <v>6.8918654881734209E-2</v>
      </c>
      <c r="M108" s="15"/>
      <c r="N108" s="15"/>
      <c r="O108" s="15"/>
      <c r="P108" s="15"/>
      <c r="Q108" s="15"/>
      <c r="R108" s="15"/>
      <c r="S108" s="15"/>
      <c r="T108" s="15"/>
      <c r="U108" s="15"/>
      <c r="V108" s="15"/>
      <c r="W108" s="15"/>
      <c r="X108" s="15"/>
      <c r="Y108" s="15"/>
      <c r="Z108" s="15"/>
      <c r="AA108" s="15"/>
      <c r="AB108" s="15"/>
      <c r="AC108" s="15"/>
      <c r="AD108" s="15"/>
    </row>
    <row r="109" spans="1:30" x14ac:dyDescent="0.3">
      <c r="A109" s="15"/>
      <c r="B109" s="15">
        <v>900</v>
      </c>
      <c r="C109" s="15">
        <v>4300</v>
      </c>
      <c r="D109" s="15">
        <v>4100</v>
      </c>
      <c r="E109" s="15">
        <f t="shared" si="1"/>
        <v>0.96763404069444137</v>
      </c>
      <c r="F109" s="16">
        <f t="shared" si="0"/>
        <v>0.36402441647902578</v>
      </c>
      <c r="G109" s="15">
        <f>(1/(POWER(1+0.2*B109*2/(1.4*287*288.15*1.225*SQRT(3.1415*'Drag Polar'!$D$44*'Drag Polar'!$E$44*'Drag Polar'!$D$6)),3.5)*(1-0.57*SQRT(SQRT(B109*2/(1.225*SQRT(3.1415*'Drag Polar'!$D$44*'Drag Polar'!$E$44*'Drag Polar'!$D$6)))/SQRT(1.4*287*288.15))-(3*(1+0.2*B109*2/(1.4*287*288.15*1.225*SQRT(3.1415*'Drag Polar'!$D$44*'Drag Polar'!$E$44*'Drag Polar'!$D$6))-1.07))/(1.5+SQRT(B109*2/(1.225*SQRT(3.1415*'Drag Polar'!$D$44*'Drag Polar'!$E$44*'Drag Polar'!$D$6)))))))*(0.032+2*(SQRT('Drag Polar'!$D$44/(3.1415*'Drag Polar'!$D$6*'Drag Polar'!$E$44))))</f>
        <v>0.1702927096171632</v>
      </c>
      <c r="H109" s="15">
        <f>2*(1/(POWER(1+0.2*B109*2/(1.4*287*288.15*1.225*SQRT(3.1415*'Drag Polar'!$D$6*'Drag Polar'!$D$42*'Drag Polar'!$E$42)),3.5)*(1-0.57*SQRT(SQRT(B109*2/(1.225*SQRT(3.1415*'Drag Polar'!$D$6*'Drag Polar'!$D$42*'Drag Polar'!$E$42)))/SQRT(1.4*287*288.15))-(3*(1+0.2*B109*2/(1.4*287*288.15*1.225*SQRT(3.1415*'Drag Polar'!$D$6*'Drag Polar'!$D$42*'Drag Polar'!$E$42))-1.07))/(1.5+SQRT(B109*2/(1.225*SQRT(3.1415*'Drag Polar'!$D$6*'Drag Polar'!$D$42*'Drag Polar'!$E$42)))))))*(2*(SQRT('Drag Polar'!$D$42/(3.1415*'Drag Polar'!$D$6*'Drag Polar'!$E$42))))</f>
        <v>0.2198649726846672</v>
      </c>
      <c r="I109" s="15">
        <f>2*(1/(POWER(1+0.2*B109*2/(1.4*287*288.15*1.225*SQRT(3.1415*'Drag Polar'!$D$6*'Drag Polar'!$D$41*'Drag Polar'!$E$41)),3.5)*(1-0.57*SQRT(SQRT(B109*2/(1.225*SQRT(3.1415*'Drag Polar'!$D$6*'Drag Polar'!$D$41*'Drag Polar'!$E$41)))/SQRT(1.4*287*288.15))-(3*(1+0.2*B109*2/(1.4*287*288.15*1.225*SQRT(3.1415*'Drag Polar'!$D$6*'Drag Polar'!$D$41*'Drag Polar'!$E$41))-1.07))/(1.5+SQRT(B109*2/(1.225*SQRT(3.1415*'Drag Polar'!$D$6*'Drag Polar'!$D$41*'Drag Polar'!$E$41)))))))*(0.024+2*(SQRT('Drag Polar'!$D$41/(3.14*'Drag Polar'!$D$6*'Drag Polar'!$E$41))))</f>
        <v>0.24598268461282807</v>
      </c>
      <c r="J109" s="15">
        <f>2*(1/(POWER(1+0.2*B109*2/(1.4*287*288.15*1.225*SQRT(3.1415*'Drag Polar'!$D$6*'Drag Polar'!$D$39*'Drag Polar'!$E$39)),3.5)*(1-0.57*SQRT(SQRT(B109*2/(1.225*SQRT(3.1415*'Drag Polar'!$D$6*'Drag Polar'!$D$39*'Drag Polar'!$E$39)))/SQRT(1.4*287*288.15))-(3*(1+0.2*B109*2/(1.4*287*288.15*1.225*SQRT(3.1415*'Drag Polar'!$D$6*'Drag Polar'!$D$39*'Drag Polar'!$E$39))-1.07))/(1.5+SQRT(B109*2/(1.225*SQRT(3.1415*'Drag Polar'!$D$6*'Drag Polar'!$D$39*'Drag Polar'!$E$39)))))))*(0.012+2*(SQRT('Drag Polar'!$D$39/(3.14*'Drag Polar'!$D$6*'Drag Polar'!$E$39))))</f>
        <v>0.16827248056623262</v>
      </c>
      <c r="K109" s="15">
        <f>2*(1/(POWER(1+0.2*B109*2/(1.4*287*288.15*1.225*SQRT(3.1415*'Drag Polar'!$D$6*'Drag Polar'!$D$43*'Drag Polar'!$E$43)),3.5)*(1-0.57*SQRT(SQRT(B109*2/(1.225*SQRT(3.1415*'Drag Polar'!$D$6*'Drag Polar'!$D$43*'Drag Polar'!$E$43)))/SQRT(1.4*287*288.15))-(3*(1+0.2*B109*2/(1.4*287*288.15*1.225*SQRT(3.1415*'Drag Polar'!$D$6*'Drag Polar'!$D$43*'Drag Polar'!$E$43))-1.07))/(1.5+SQRT(B109*2/(1.225*SQRT(3.1415*'Drag Polar'!$D$6*'Drag Polar'!$D$43*'Drag Polar'!$E$43)))))))*(0.021+2*(SQRT('Drag Polar'!$D$43/(3.14*'Drag Polar'!$D$6*'Drag Polar'!$E$43))))</f>
        <v>0.29312013188284053</v>
      </c>
      <c r="L109" s="15">
        <f>1.15*(POWER(1+0.2*B109*2/(1.4*287*298*1.11596*2.2),3.5)*(1-0.57*SQRT(SQRT(B109*2/(1.11596*2.2))/SQRT(1.4*287*298))-(3*(1+0.2*B109*2/(1.4*287*298*1.11596*2.2)-1.07))/(1.5+SQRT(B109*2/(1.11596*2.2)))))*(SQRT(B109/(1720*1.11596*9.8065*3.1415*0.85*'Drag Polar'!$E$42*'Drag Polar'!$D$6))+11*4/1720)</f>
        <v>7.1181155119801165E-2</v>
      </c>
      <c r="M109" s="15"/>
      <c r="N109" s="15"/>
      <c r="O109" s="15"/>
      <c r="P109" s="15"/>
      <c r="Q109" s="15"/>
      <c r="R109" s="15"/>
      <c r="S109" s="15"/>
      <c r="T109" s="15"/>
      <c r="U109" s="15"/>
      <c r="V109" s="15"/>
      <c r="W109" s="15"/>
      <c r="X109" s="15"/>
      <c r="Y109" s="15"/>
      <c r="Z109" s="15"/>
      <c r="AA109" s="15"/>
      <c r="AB109" s="15"/>
      <c r="AC109" s="15"/>
      <c r="AD109" s="15"/>
    </row>
    <row r="110" spans="1:30" x14ac:dyDescent="0.3">
      <c r="A110" s="15"/>
      <c r="B110" s="15">
        <v>1000</v>
      </c>
      <c r="C110" s="15">
        <v>4300</v>
      </c>
      <c r="D110" s="15">
        <v>4100</v>
      </c>
      <c r="E110" s="15">
        <f t="shared" si="1"/>
        <v>0.87422899089505823</v>
      </c>
      <c r="F110" s="16">
        <f t="shared" si="0"/>
        <v>0.35683519674865383</v>
      </c>
      <c r="G110" s="15">
        <f>(1/(POWER(1+0.2*B110*2/(1.4*287*288.15*1.225*SQRT(3.1415*'Drag Polar'!$D$44*'Drag Polar'!$E$44*'Drag Polar'!$D$6)),3.5)*(1-0.57*SQRT(SQRT(B110*2/(1.225*SQRT(3.1415*'Drag Polar'!$D$44*'Drag Polar'!$E$44*'Drag Polar'!$D$6)))/SQRT(1.4*287*288.15))-(3*(1+0.2*B110*2/(1.4*287*288.15*1.225*SQRT(3.1415*'Drag Polar'!$D$44*'Drag Polar'!$E$44*'Drag Polar'!$D$6))-1.07))/(1.5+SQRT(B110*2/(1.225*SQRT(3.1415*'Drag Polar'!$D$44*'Drag Polar'!$E$44*'Drag Polar'!$D$6)))))))*(0.032+2*(SQRT('Drag Polar'!$D$44/(3.1415*'Drag Polar'!$D$6*'Drag Polar'!$E$44))))</f>
        <v>0.1711812712952504</v>
      </c>
      <c r="H110" s="15">
        <f>2*(1/(POWER(1+0.2*B110*2/(1.4*287*288.15*1.225*SQRT(3.1415*'Drag Polar'!$D$6*'Drag Polar'!$D$42*'Drag Polar'!$E$42)),3.5)*(1-0.57*SQRT(SQRT(B110*2/(1.225*SQRT(3.1415*'Drag Polar'!$D$6*'Drag Polar'!$D$42*'Drag Polar'!$E$42)))/SQRT(1.4*287*288.15))-(3*(1+0.2*B110*2/(1.4*287*288.15*1.225*SQRT(3.1415*'Drag Polar'!$D$6*'Drag Polar'!$D$42*'Drag Polar'!$E$42))-1.07))/(1.5+SQRT(B110*2/(1.225*SQRT(3.1415*'Drag Polar'!$D$6*'Drag Polar'!$D$42*'Drag Polar'!$E$42)))))))*(2*(SQRT('Drag Polar'!$D$42/(3.1415*'Drag Polar'!$D$6*'Drag Polar'!$E$42))))</f>
        <v>0.22108236777952023</v>
      </c>
      <c r="I110" s="15">
        <f>2*(1/(POWER(1+0.2*B110*2/(1.4*287*288.15*1.225*SQRT(3.1415*'Drag Polar'!$D$6*'Drag Polar'!$D$41*'Drag Polar'!$E$41)),3.5)*(1-0.57*SQRT(SQRT(B110*2/(1.225*SQRT(3.1415*'Drag Polar'!$D$6*'Drag Polar'!$D$41*'Drag Polar'!$E$41)))/SQRT(1.4*287*288.15))-(3*(1+0.2*B110*2/(1.4*287*288.15*1.225*SQRT(3.1415*'Drag Polar'!$D$6*'Drag Polar'!$D$41*'Drag Polar'!$E$41))-1.07))/(1.5+SQRT(B110*2/(1.225*SQRT(3.1415*'Drag Polar'!$D$6*'Drag Polar'!$D$41*'Drag Polar'!$E$41)))))))*(0.024+2*(SQRT('Drag Polar'!$D$41/(3.14*'Drag Polar'!$D$6*'Drag Polar'!$E$41))))</f>
        <v>0.24738126762223861</v>
      </c>
      <c r="J110" s="15">
        <f>2*(1/(POWER(1+0.2*B110*2/(1.4*287*288.15*1.225*SQRT(3.1415*'Drag Polar'!$D$6*'Drag Polar'!$D$39*'Drag Polar'!$E$39)),3.5)*(1-0.57*SQRT(SQRT(B110*2/(1.225*SQRT(3.1415*'Drag Polar'!$D$6*'Drag Polar'!$D$39*'Drag Polar'!$E$39)))/SQRT(1.4*287*288.15))-(3*(1+0.2*B110*2/(1.4*287*288.15*1.225*SQRT(3.1415*'Drag Polar'!$D$6*'Drag Polar'!$D$39*'Drag Polar'!$E$39))-1.07))/(1.5+SQRT(B110*2/(1.225*SQRT(3.1415*'Drag Polar'!$D$6*'Drag Polar'!$D$39*'Drag Polar'!$E$39)))))))*(0.012+2*(SQRT('Drag Polar'!$D$39/(3.14*'Drag Polar'!$D$6*'Drag Polar'!$E$39))))</f>
        <v>0.16928471111614099</v>
      </c>
      <c r="K110" s="15">
        <f>2*(1/(POWER(1+0.2*B110*2/(1.4*287*288.15*1.225*SQRT(3.1415*'Drag Polar'!$D$6*'Drag Polar'!$D$43*'Drag Polar'!$E$43)),3.5)*(1-0.57*SQRT(SQRT(B110*2/(1.225*SQRT(3.1415*'Drag Polar'!$D$6*'Drag Polar'!$D$43*'Drag Polar'!$E$43)))/SQRT(1.4*287*288.15))-(3*(1+0.2*B110*2/(1.4*287*288.15*1.225*SQRT(3.1415*'Drag Polar'!$D$6*'Drag Polar'!$D$43*'Drag Polar'!$E$43))-1.07))/(1.5+SQRT(B110*2/(1.225*SQRT(3.1415*'Drag Polar'!$D$6*'Drag Polar'!$D$43*'Drag Polar'!$E$43)))))))*(0.021+2*(SQRT('Drag Polar'!$D$43/(3.14*'Drag Polar'!$D$6*'Drag Polar'!$E$43))))</f>
        <v>0.29467335703805914</v>
      </c>
      <c r="L110" s="15">
        <f>1.15*(POWER(1+0.2*B110*2/(1.4*287*298*1.11596*2.2),3.5)*(1-0.57*SQRT(SQRT(B110*2/(1.11596*2.2))/SQRT(1.4*287*298))-(3*(1+0.2*B110*2/(1.4*287*298*1.11596*2.2)-1.07))/(1.5+SQRT(B110*2/(1.11596*2.2)))))*(SQRT(B110/(1720*1.11596*9.8065*3.1415*0.85*'Drag Polar'!$E$42*'Drag Polar'!$D$6))+11*4/1720)</f>
        <v>7.3309893981284804E-2</v>
      </c>
      <c r="M110" s="15"/>
      <c r="N110" s="15"/>
      <c r="O110" s="15"/>
      <c r="P110" s="15"/>
      <c r="Q110" s="15"/>
      <c r="R110" s="15"/>
      <c r="S110" s="15"/>
      <c r="T110" s="15"/>
      <c r="U110" s="15"/>
      <c r="V110" s="15"/>
      <c r="W110" s="15"/>
      <c r="X110" s="15"/>
      <c r="Y110" s="15"/>
      <c r="Z110" s="15"/>
      <c r="AA110" s="15"/>
      <c r="AB110" s="15"/>
      <c r="AC110" s="15"/>
      <c r="AD110" s="15"/>
    </row>
    <row r="111" spans="1:30" x14ac:dyDescent="0.3">
      <c r="A111" s="15"/>
      <c r="B111" s="15">
        <v>1100</v>
      </c>
      <c r="C111" s="15">
        <v>4300</v>
      </c>
      <c r="D111" s="15">
        <v>4100</v>
      </c>
      <c r="E111" s="15">
        <f t="shared" si="1"/>
        <v>0.79812805103719564</v>
      </c>
      <c r="F111" s="16">
        <f t="shared" si="0"/>
        <v>0.35064489270486793</v>
      </c>
      <c r="G111" s="15">
        <f>(1/(POWER(1+0.2*B111*2/(1.4*287*288.15*1.225*SQRT(3.1415*'Drag Polar'!$D$44*'Drag Polar'!$E$44*'Drag Polar'!$D$6)),3.5)*(1-0.57*SQRT(SQRT(B111*2/(1.225*SQRT(3.1415*'Drag Polar'!$D$44*'Drag Polar'!$E$44*'Drag Polar'!$D$6)))/SQRT(1.4*287*288.15))-(3*(1+0.2*B111*2/(1.4*287*288.15*1.225*SQRT(3.1415*'Drag Polar'!$D$44*'Drag Polar'!$E$44*'Drag Polar'!$D$6))-1.07))/(1.5+SQRT(B111*2/(1.225*SQRT(3.1415*'Drag Polar'!$D$44*'Drag Polar'!$E$44*'Drag Polar'!$D$6)))))))*(0.032+2*(SQRT('Drag Polar'!$D$44/(3.1415*'Drag Polar'!$D$6*'Drag Polar'!$E$44))))</f>
        <v>0.17200311321011508</v>
      </c>
      <c r="H111" s="15">
        <f>2*(1/(POWER(1+0.2*B111*2/(1.4*287*288.15*1.225*SQRT(3.1415*'Drag Polar'!$D$6*'Drag Polar'!$D$42*'Drag Polar'!$E$42)),3.5)*(1-0.57*SQRT(SQRT(B111*2/(1.225*SQRT(3.1415*'Drag Polar'!$D$6*'Drag Polar'!$D$42*'Drag Polar'!$E$42)))/SQRT(1.4*287*288.15))-(3*(1+0.2*B111*2/(1.4*287*288.15*1.225*SQRT(3.1415*'Drag Polar'!$D$6*'Drag Polar'!$D$42*'Drag Polar'!$E$42))-1.07))/(1.5+SQRT(B111*2/(1.225*SQRT(3.1415*'Drag Polar'!$D$6*'Drag Polar'!$D$42*'Drag Polar'!$E$42)))))))*(2*(SQRT('Drag Polar'!$D$42/(3.1415*'Drag Polar'!$D$6*'Drag Polar'!$E$42))))</f>
        <v>0.22220723036183523</v>
      </c>
      <c r="I111" s="15">
        <f>2*(1/(POWER(1+0.2*B111*2/(1.4*287*288.15*1.225*SQRT(3.1415*'Drag Polar'!$D$6*'Drag Polar'!$D$41*'Drag Polar'!$E$41)),3.5)*(1-0.57*SQRT(SQRT(B111*2/(1.225*SQRT(3.1415*'Drag Polar'!$D$6*'Drag Polar'!$D$41*'Drag Polar'!$E$41)))/SQRT(1.4*287*288.15))-(3*(1+0.2*B111*2/(1.4*287*288.15*1.225*SQRT(3.1415*'Drag Polar'!$D$6*'Drag Polar'!$D$41*'Drag Polar'!$E$41))-1.07))/(1.5+SQRT(B111*2/(1.225*SQRT(3.1415*'Drag Polar'!$D$6*'Drag Polar'!$D$41*'Drag Polar'!$E$41)))))))*(0.024+2*(SQRT('Drag Polar'!$D$41/(3.14*'Drag Polar'!$D$6*'Drag Polar'!$E$41))))</f>
        <v>0.24867247362580353</v>
      </c>
      <c r="J111" s="15">
        <f>2*(1/(POWER(1+0.2*B111*2/(1.4*287*288.15*1.225*SQRT(3.1415*'Drag Polar'!$D$6*'Drag Polar'!$D$39*'Drag Polar'!$E$39)),3.5)*(1-0.57*SQRT(SQRT(B111*2/(1.225*SQRT(3.1415*'Drag Polar'!$D$6*'Drag Polar'!$D$39*'Drag Polar'!$E$39)))/SQRT(1.4*287*288.15))-(3*(1+0.2*B111*2/(1.4*287*288.15*1.225*SQRT(3.1415*'Drag Polar'!$D$6*'Drag Polar'!$D$39*'Drag Polar'!$E$39))-1.07))/(1.5+SQRT(B111*2/(1.225*SQRT(3.1415*'Drag Polar'!$D$6*'Drag Polar'!$D$39*'Drag Polar'!$E$39)))))))*(0.012+2*(SQRT('Drag Polar'!$D$39/(3.14*'Drag Polar'!$D$6*'Drag Polar'!$E$39))))</f>
        <v>0.17021614254826009</v>
      </c>
      <c r="K111" s="15">
        <f>2*(1/(POWER(1+0.2*B111*2/(1.4*287*288.15*1.225*SQRT(3.1415*'Drag Polar'!$D$6*'Drag Polar'!$D$43*'Drag Polar'!$E$43)),3.5)*(1-0.57*SQRT(SQRT(B111*2/(1.225*SQRT(3.1415*'Drag Polar'!$D$6*'Drag Polar'!$D$43*'Drag Polar'!$E$43)))/SQRT(1.4*287*288.15))-(3*(1+0.2*B111*2/(1.4*287*288.15*1.225*SQRT(3.1415*'Drag Polar'!$D$6*'Drag Polar'!$D$43*'Drag Polar'!$E$43))-1.07))/(1.5+SQRT(B111*2/(1.225*SQRT(3.1415*'Drag Polar'!$D$6*'Drag Polar'!$D$43*'Drag Polar'!$E$43)))))))*(0.021+2*(SQRT('Drag Polar'!$D$43/(3.14*'Drag Polar'!$D$6*'Drag Polar'!$E$43))))</f>
        <v>0.2961097127160382</v>
      </c>
      <c r="L111" s="15">
        <f>1.15*(POWER(1+0.2*B111*2/(1.4*287*298*1.11596*2.2),3.5)*(1-0.57*SQRT(SQRT(B111*2/(1.11596*2.2))/SQRT(1.4*287*298))-(3*(1+0.2*B111*2/(1.4*287*298*1.11596*2.2)-1.07))/(1.5+SQRT(B111*2/(1.11596*2.2)))))*(SQRT(B111/(1720*1.11596*9.8065*3.1415*0.85*'Drag Polar'!$E$42*'Drag Polar'!$D$6))+11*4/1720)</f>
        <v>7.5324722602752581E-2</v>
      </c>
      <c r="M111" s="15"/>
      <c r="N111" s="15"/>
      <c r="O111" s="15"/>
      <c r="P111" s="15"/>
      <c r="Q111" s="15"/>
      <c r="R111" s="15"/>
      <c r="S111" s="15"/>
      <c r="T111" s="15"/>
      <c r="U111" s="15"/>
      <c r="V111" s="15"/>
      <c r="W111" s="15"/>
      <c r="X111" s="15"/>
      <c r="Y111" s="15"/>
      <c r="Z111" s="15"/>
      <c r="AA111" s="15"/>
      <c r="AB111" s="15"/>
      <c r="AC111" s="15"/>
      <c r="AD111" s="15"/>
    </row>
    <row r="112" spans="1:30" x14ac:dyDescent="0.3">
      <c r="A112" s="15"/>
      <c r="B112" s="15">
        <v>1200</v>
      </c>
      <c r="C112" s="15">
        <v>4300</v>
      </c>
      <c r="D112" s="15">
        <v>4100</v>
      </c>
      <c r="E112" s="15">
        <f t="shared" si="1"/>
        <v>0.73500519363547356</v>
      </c>
      <c r="F112" s="16">
        <f t="shared" si="0"/>
        <v>0.34523642167170626</v>
      </c>
      <c r="G112" s="15">
        <f>(1/(POWER(1+0.2*B112*2/(1.4*287*288.15*1.225*SQRT(3.1415*'Drag Polar'!$D$44*'Drag Polar'!$E$44*'Drag Polar'!$D$6)),3.5)*(1-0.57*SQRT(SQRT(B112*2/(1.225*SQRT(3.1415*'Drag Polar'!$D$44*'Drag Polar'!$E$44*'Drag Polar'!$D$6)))/SQRT(1.4*287*288.15))-(3*(1+0.2*B112*2/(1.4*287*288.15*1.225*SQRT(3.1415*'Drag Polar'!$D$44*'Drag Polar'!$E$44*'Drag Polar'!$D$6))-1.07))/(1.5+SQRT(B112*2/(1.225*SQRT(3.1415*'Drag Polar'!$D$44*'Drag Polar'!$E$44*'Drag Polar'!$D$6)))))))*(0.032+2*(SQRT('Drag Polar'!$D$44/(3.1415*'Drag Polar'!$D$6*'Drag Polar'!$E$44))))</f>
        <v>0.17276855433429267</v>
      </c>
      <c r="H112" s="15">
        <f>2*(1/(POWER(1+0.2*B112*2/(1.4*287*288.15*1.225*SQRT(3.1415*'Drag Polar'!$D$6*'Drag Polar'!$D$42*'Drag Polar'!$E$42)),3.5)*(1-0.57*SQRT(SQRT(B112*2/(1.225*SQRT(3.1415*'Drag Polar'!$D$6*'Drag Polar'!$D$42*'Drag Polar'!$E$42)))/SQRT(1.4*287*288.15))-(3*(1+0.2*B112*2/(1.4*287*288.15*1.225*SQRT(3.1415*'Drag Polar'!$D$6*'Drag Polar'!$D$42*'Drag Polar'!$E$42))-1.07))/(1.5+SQRT(B112*2/(1.225*SQRT(3.1415*'Drag Polar'!$D$6*'Drag Polar'!$D$42*'Drag Polar'!$E$42)))))))*(2*(SQRT('Drag Polar'!$D$42/(3.1415*'Drag Polar'!$D$6*'Drag Polar'!$E$42))))</f>
        <v>0.22325370354637458</v>
      </c>
      <c r="I112" s="15">
        <f>2*(1/(POWER(1+0.2*B112*2/(1.4*287*288.15*1.225*SQRT(3.1415*'Drag Polar'!$D$6*'Drag Polar'!$D$41*'Drag Polar'!$E$41)),3.5)*(1-0.57*SQRT(SQRT(B112*2/(1.225*SQRT(3.1415*'Drag Polar'!$D$6*'Drag Polar'!$D$41*'Drag Polar'!$E$41)))/SQRT(1.4*287*288.15))-(3*(1+0.2*B112*2/(1.4*287*288.15*1.225*SQRT(3.1415*'Drag Polar'!$D$6*'Drag Polar'!$D$41*'Drag Polar'!$E$41))-1.07))/(1.5+SQRT(B112*2/(1.225*SQRT(3.1415*'Drag Polar'!$D$6*'Drag Polar'!$D$41*'Drag Polar'!$E$41)))))))*(0.024+2*(SQRT('Drag Polar'!$D$41/(3.14*'Drag Polar'!$D$6*'Drag Polar'!$E$41))))</f>
        <v>0.24987262424299972</v>
      </c>
      <c r="J112" s="15">
        <f>2*(1/(POWER(1+0.2*B112*2/(1.4*287*288.15*1.225*SQRT(3.1415*'Drag Polar'!$D$6*'Drag Polar'!$D$39*'Drag Polar'!$E$39)),3.5)*(1-0.57*SQRT(SQRT(B112*2/(1.225*SQRT(3.1415*'Drag Polar'!$D$6*'Drag Polar'!$D$39*'Drag Polar'!$E$39)))/SQRT(1.4*287*288.15))-(3*(1+0.2*B112*2/(1.4*287*288.15*1.225*SQRT(3.1415*'Drag Polar'!$D$6*'Drag Polar'!$D$39*'Drag Polar'!$E$39))-1.07))/(1.5+SQRT(B112*2/(1.225*SQRT(3.1415*'Drag Polar'!$D$6*'Drag Polar'!$D$39*'Drag Polar'!$E$39)))))))*(0.012+2*(SQRT('Drag Polar'!$D$39/(3.14*'Drag Polar'!$D$6*'Drag Polar'!$E$39))))</f>
        <v>0.17107889655140637</v>
      </c>
      <c r="K112" s="15">
        <f>2*(1/(POWER(1+0.2*B112*2/(1.4*287*288.15*1.225*SQRT(3.1415*'Drag Polar'!$D$6*'Drag Polar'!$D$43*'Drag Polar'!$E$43)),3.5)*(1-0.57*SQRT(SQRT(B112*2/(1.225*SQRT(3.1415*'Drag Polar'!$D$6*'Drag Polar'!$D$43*'Drag Polar'!$E$43)))/SQRT(1.4*287*288.15))-(3*(1+0.2*B112*2/(1.4*287*288.15*1.225*SQRT(3.1415*'Drag Polar'!$D$6*'Drag Polar'!$D$43*'Drag Polar'!$E$43))-1.07))/(1.5+SQRT(B112*2/(1.225*SQRT(3.1415*'Drag Polar'!$D$6*'Drag Polar'!$D$43*'Drag Polar'!$E$43)))))))*(0.021+2*(SQRT('Drag Polar'!$D$43/(3.14*'Drag Polar'!$D$6*'Drag Polar'!$E$43))))</f>
        <v>0.29744721948636588</v>
      </c>
      <c r="L112" s="15">
        <f>1.15*(POWER(1+0.2*B112*2/(1.4*287*298*1.11596*2.2),3.5)*(1-0.57*SQRT(SQRT(B112*2/(1.11596*2.2))/SQRT(1.4*287*298))-(3*(1+0.2*B112*2/(1.4*287*298*1.11596*2.2)-1.07))/(1.5+SQRT(B112*2/(1.11596*2.2)))))*(SQRT(B112/(1720*1.11596*9.8065*3.1415*0.85*'Drag Polar'!$E$42*'Drag Polar'!$D$6))+11*4/1720)</f>
        <v>7.7241068819757591E-2</v>
      </c>
      <c r="M112" s="15"/>
      <c r="N112" s="15"/>
      <c r="O112" s="15"/>
      <c r="P112" s="15"/>
      <c r="Q112" s="15"/>
      <c r="R112" s="15"/>
      <c r="S112" s="15"/>
      <c r="T112" s="15"/>
      <c r="U112" s="15"/>
      <c r="V112" s="15"/>
      <c r="W112" s="15"/>
      <c r="X112" s="15"/>
      <c r="Y112" s="15"/>
      <c r="Z112" s="15"/>
      <c r="AA112" s="15"/>
      <c r="AB112" s="15"/>
      <c r="AC112" s="15"/>
      <c r="AD112" s="15"/>
    </row>
    <row r="113" spans="1:30" x14ac:dyDescent="0.3">
      <c r="A113" s="15"/>
      <c r="B113" s="15">
        <v>1300</v>
      </c>
      <c r="C113" s="15">
        <v>4300</v>
      </c>
      <c r="D113" s="15">
        <v>4100</v>
      </c>
      <c r="E113" s="15">
        <f t="shared" si="1"/>
        <v>0.68186547658462848</v>
      </c>
      <c r="F113" s="16">
        <f t="shared" si="0"/>
        <v>0.34045285644348128</v>
      </c>
      <c r="G113" s="15">
        <f>(1/(POWER(1+0.2*B113*2/(1.4*287*288.15*1.225*SQRT(3.1415*'Drag Polar'!$D$44*'Drag Polar'!$E$44*'Drag Polar'!$D$6)),3.5)*(1-0.57*SQRT(SQRT(B113*2/(1.225*SQRT(3.1415*'Drag Polar'!$D$44*'Drag Polar'!$E$44*'Drag Polar'!$D$6)))/SQRT(1.4*287*288.15))-(3*(1+0.2*B113*2/(1.4*287*288.15*1.225*SQRT(3.1415*'Drag Polar'!$D$44*'Drag Polar'!$E$44*'Drag Polar'!$D$6))-1.07))/(1.5+SQRT(B113*2/(1.225*SQRT(3.1415*'Drag Polar'!$D$44*'Drag Polar'!$E$44*'Drag Polar'!$D$6)))))))*(0.032+2*(SQRT('Drag Polar'!$D$44/(3.1415*'Drag Polar'!$D$6*'Drag Polar'!$E$44))))</f>
        <v>0.17348558479967732</v>
      </c>
      <c r="H113" s="15">
        <f>2*(1/(POWER(1+0.2*B113*2/(1.4*287*288.15*1.225*SQRT(3.1415*'Drag Polar'!$D$6*'Drag Polar'!$D$42*'Drag Polar'!$E$42)),3.5)*(1-0.57*SQRT(SQRT(B113*2/(1.225*SQRT(3.1415*'Drag Polar'!$D$6*'Drag Polar'!$D$42*'Drag Polar'!$E$42)))/SQRT(1.4*287*288.15))-(3*(1+0.2*B113*2/(1.4*287*288.15*1.225*SQRT(3.1415*'Drag Polar'!$D$6*'Drag Polar'!$D$42*'Drag Polar'!$E$42))-1.07))/(1.5+SQRT(B113*2/(1.225*SQRT(3.1415*'Drag Polar'!$D$6*'Drag Polar'!$D$42*'Drag Polar'!$E$42)))))))*(2*(SQRT('Drag Polar'!$D$42/(3.1415*'Drag Polar'!$D$6*'Drag Polar'!$E$42))))</f>
        <v>0.2242327621076694</v>
      </c>
      <c r="I113" s="15">
        <f>2*(1/(POWER(1+0.2*B113*2/(1.4*287*288.15*1.225*SQRT(3.1415*'Drag Polar'!$D$6*'Drag Polar'!$D$41*'Drag Polar'!$E$41)),3.5)*(1-0.57*SQRT(SQRT(B113*2/(1.225*SQRT(3.1415*'Drag Polar'!$D$6*'Drag Polar'!$D$41*'Drag Polar'!$E$41)))/SQRT(1.4*287*288.15))-(3*(1+0.2*B113*2/(1.4*287*288.15*1.225*SQRT(3.1415*'Drag Polar'!$D$6*'Drag Polar'!$D$41*'Drag Polar'!$E$41))-1.07))/(1.5+SQRT(B113*2/(1.225*SQRT(3.1415*'Drag Polar'!$D$6*'Drag Polar'!$D$41*'Drag Polar'!$E$41)))))))*(0.024+2*(SQRT('Drag Polar'!$D$41/(3.14*'Drag Polar'!$D$6*'Drag Polar'!$E$41))))</f>
        <v>0.25099439734776524</v>
      </c>
      <c r="J113" s="15">
        <f>2*(1/(POWER(1+0.2*B113*2/(1.4*287*288.15*1.225*SQRT(3.1415*'Drag Polar'!$D$6*'Drag Polar'!$D$39*'Drag Polar'!$E$39)),3.5)*(1-0.57*SQRT(SQRT(B113*2/(1.225*SQRT(3.1415*'Drag Polar'!$D$6*'Drag Polar'!$D$39*'Drag Polar'!$E$39)))/SQRT(1.4*287*288.15))-(3*(1+0.2*B113*2/(1.4*287*288.15*1.225*SQRT(3.1415*'Drag Polar'!$D$6*'Drag Polar'!$D$39*'Drag Polar'!$E$39))-1.07))/(1.5+SQRT(B113*2/(1.225*SQRT(3.1415*'Drag Polar'!$D$6*'Drag Polar'!$D$39*'Drag Polar'!$E$39)))))))*(0.012+2*(SQRT('Drag Polar'!$D$39/(3.14*'Drag Polar'!$D$6*'Drag Polar'!$E$39))))</f>
        <v>0.17188241108493174</v>
      </c>
      <c r="K113" s="15">
        <f>2*(1/(POWER(1+0.2*B113*2/(1.4*287*288.15*1.225*SQRT(3.1415*'Drag Polar'!$D$6*'Drag Polar'!$D$43*'Drag Polar'!$E$43)),3.5)*(1-0.57*SQRT(SQRT(B113*2/(1.225*SQRT(3.1415*'Drag Polar'!$D$6*'Drag Polar'!$D$43*'Drag Polar'!$E$43)))/SQRT(1.4*287*288.15))-(3*(1+0.2*B113*2/(1.4*287*288.15*1.225*SQRT(3.1415*'Drag Polar'!$D$6*'Drag Polar'!$D$43*'Drag Polar'!$E$43))-1.07))/(1.5+SQRT(B113*2/(1.225*SQRT(3.1415*'Drag Polar'!$D$6*'Drag Polar'!$D$43*'Drag Polar'!$E$43)))))))*(0.021+2*(SQRT('Drag Polar'!$D$43/(3.14*'Drag Polar'!$D$6*'Drag Polar'!$E$43))))</f>
        <v>0.29869983866000843</v>
      </c>
      <c r="L113" s="15">
        <f>1.15*(POWER(1+0.2*B113*2/(1.4*287*298*1.11596*2.2),3.5)*(1-0.57*SQRT(SQRT(B113*2/(1.11596*2.2))/SQRT(1.4*287*298))-(3*(1+0.2*B113*2/(1.4*287*298*1.11596*2.2)-1.07))/(1.5+SQRT(B113*2/(1.11596*2.2)))))*(SQRT(B113/(1720*1.11596*9.8065*3.1415*0.85*'Drag Polar'!$E$42*'Drag Polar'!$D$6))+11*4/1720)</f>
        <v>7.9071201977766514E-2</v>
      </c>
      <c r="M113" s="15"/>
      <c r="N113" s="15"/>
      <c r="O113" s="15"/>
      <c r="P113" s="15"/>
      <c r="Q113" s="15"/>
      <c r="R113" s="15"/>
      <c r="S113" s="15"/>
      <c r="T113" s="15"/>
      <c r="U113" s="15"/>
      <c r="V113" s="15"/>
      <c r="W113" s="15"/>
      <c r="X113" s="15"/>
      <c r="Y113" s="15"/>
      <c r="Z113" s="15"/>
      <c r="AA113" s="15"/>
      <c r="AB113" s="15"/>
      <c r="AC113" s="15"/>
      <c r="AD113" s="15"/>
    </row>
    <row r="114" spans="1:30" x14ac:dyDescent="0.3">
      <c r="A114" s="15"/>
      <c r="B114" s="15">
        <v>1400</v>
      </c>
      <c r="C114" s="15">
        <v>4300</v>
      </c>
      <c r="D114" s="15">
        <v>4100</v>
      </c>
      <c r="E114" s="15">
        <f t="shared" si="1"/>
        <v>0.63656965552375833</v>
      </c>
      <c r="F114" s="16">
        <f t="shared" si="0"/>
        <v>0.33617763232869791</v>
      </c>
      <c r="G114" s="15">
        <f>(1/(POWER(1+0.2*B114*2/(1.4*287*288.15*1.225*SQRT(3.1415*'Drag Polar'!$D$44*'Drag Polar'!$E$44*'Drag Polar'!$D$6)),3.5)*(1-0.57*SQRT(SQRT(B114*2/(1.225*SQRT(3.1415*'Drag Polar'!$D$44*'Drag Polar'!$E$44*'Drag Polar'!$D$6)))/SQRT(1.4*287*288.15))-(3*(1+0.2*B114*2/(1.4*287*288.15*1.225*SQRT(3.1415*'Drag Polar'!$D$44*'Drag Polar'!$E$44*'Drag Polar'!$D$6))-1.07))/(1.5+SQRT(B114*2/(1.225*SQRT(3.1415*'Drag Polar'!$D$44*'Drag Polar'!$E$44*'Drag Polar'!$D$6)))))))*(0.032+2*(SQRT('Drag Polar'!$D$44/(3.1415*'Drag Polar'!$D$6*'Drag Polar'!$E$44))))</f>
        <v>0.17416052999520845</v>
      </c>
      <c r="H114" s="15">
        <f>2*(1/(POWER(1+0.2*B114*2/(1.4*287*288.15*1.225*SQRT(3.1415*'Drag Polar'!$D$6*'Drag Polar'!$D$42*'Drag Polar'!$E$42)),3.5)*(1-0.57*SQRT(SQRT(B114*2/(1.225*SQRT(3.1415*'Drag Polar'!$D$6*'Drag Polar'!$D$42*'Drag Polar'!$E$42)))/SQRT(1.4*287*288.15))-(3*(1+0.2*B114*2/(1.4*287*288.15*1.225*SQRT(3.1415*'Drag Polar'!$D$6*'Drag Polar'!$D$42*'Drag Polar'!$E$42))-1.07))/(1.5+SQRT(B114*2/(1.225*SQRT(3.1415*'Drag Polar'!$D$6*'Drag Polar'!$D$42*'Drag Polar'!$E$42)))))))*(2*(SQRT('Drag Polar'!$D$42/(3.1415*'Drag Polar'!$D$6*'Drag Polar'!$E$42))))</f>
        <v>0.22515311114421918</v>
      </c>
      <c r="I114" s="15">
        <f>2*(1/(POWER(1+0.2*B114*2/(1.4*287*288.15*1.225*SQRT(3.1415*'Drag Polar'!$D$6*'Drag Polar'!$D$41*'Drag Polar'!$E$41)),3.5)*(1-0.57*SQRT(SQRT(B114*2/(1.225*SQRT(3.1415*'Drag Polar'!$D$6*'Drag Polar'!$D$41*'Drag Polar'!$E$41)))/SQRT(1.4*287*288.15))-(3*(1+0.2*B114*2/(1.4*287*288.15*1.225*SQRT(3.1415*'Drag Polar'!$D$6*'Drag Polar'!$D$41*'Drag Polar'!$E$41))-1.07))/(1.5+SQRT(B114*2/(1.225*SQRT(3.1415*'Drag Polar'!$D$6*'Drag Polar'!$D$41*'Drag Polar'!$E$41)))))))*(0.024+2*(SQRT('Drag Polar'!$D$41/(3.14*'Drag Polar'!$D$6*'Drag Polar'!$E$41))))</f>
        <v>0.25204785801158014</v>
      </c>
      <c r="J114" s="15">
        <f>2*(1/(POWER(1+0.2*B114*2/(1.4*287*288.15*1.225*SQRT(3.1415*'Drag Polar'!$D$6*'Drag Polar'!$D$39*'Drag Polar'!$E$39)),3.5)*(1-0.57*SQRT(SQRT(B114*2/(1.225*SQRT(3.1415*'Drag Polar'!$D$6*'Drag Polar'!$D$39*'Drag Polar'!$E$39)))/SQRT(1.4*287*288.15))-(3*(1+0.2*B114*2/(1.4*287*288.15*1.225*SQRT(3.1415*'Drag Polar'!$D$6*'Drag Polar'!$D$39*'Drag Polar'!$E$39))-1.07))/(1.5+SQRT(B114*2/(1.225*SQRT(3.1415*'Drag Polar'!$D$6*'Drag Polar'!$D$39*'Drag Polar'!$E$39)))))))*(0.012+2*(SQRT('Drag Polar'!$D$39/(3.14*'Drag Polar'!$D$6*'Drag Polar'!$E$39))))</f>
        <v>0.17263419526090817</v>
      </c>
      <c r="K114" s="15">
        <f>2*(1/(POWER(1+0.2*B114*2/(1.4*287*288.15*1.225*SQRT(3.1415*'Drag Polar'!$D$6*'Drag Polar'!$D$43*'Drag Polar'!$E$43)),3.5)*(1-0.57*SQRT(SQRT(B114*2/(1.225*SQRT(3.1415*'Drag Polar'!$D$6*'Drag Polar'!$D$43*'Drag Polar'!$E$43)))/SQRT(1.4*287*288.15))-(3*(1+0.2*B114*2/(1.4*287*288.15*1.225*SQRT(3.1415*'Drag Polar'!$D$6*'Drag Polar'!$D$43*'Drag Polar'!$E$43))-1.07))/(1.5+SQRT(B114*2/(1.225*SQRT(3.1415*'Drag Polar'!$D$6*'Drag Polar'!$D$43*'Drag Polar'!$E$43)))))))*(0.021+2*(SQRT('Drag Polar'!$D$43/(3.14*'Drag Polar'!$D$6*'Drag Polar'!$E$43))))</f>
        <v>0.2998786282453364</v>
      </c>
      <c r="L114" s="15">
        <f>1.15*(POWER(1+0.2*B114*2/(1.4*287*298*1.11596*2.2),3.5)*(1-0.57*SQRT(SQRT(B114*2/(1.11596*2.2))/SQRT(1.4*287*298))-(3*(1+0.2*B114*2/(1.4*287*298*1.11596*2.2)-1.07))/(1.5+SQRT(B114*2/(1.11596*2.2)))))*(SQRT(B114/(1720*1.11596*9.8065*3.1415*0.85*'Drag Polar'!$E$42*'Drag Polar'!$D$6))+11*4/1720)</f>
        <v>8.0825067959061261E-2</v>
      </c>
      <c r="M114" s="15"/>
      <c r="N114" s="15"/>
      <c r="O114" s="15"/>
      <c r="P114" s="15"/>
      <c r="Q114" s="15"/>
      <c r="R114" s="15"/>
      <c r="S114" s="15"/>
      <c r="T114" s="15"/>
      <c r="U114" s="15"/>
      <c r="V114" s="15"/>
      <c r="W114" s="15"/>
      <c r="X114" s="15"/>
      <c r="Y114" s="15"/>
      <c r="Z114" s="15"/>
      <c r="AA114" s="15"/>
      <c r="AB114" s="15"/>
      <c r="AC114" s="15"/>
      <c r="AD114" s="15"/>
    </row>
    <row r="115" spans="1:30" x14ac:dyDescent="0.3">
      <c r="A115" s="15"/>
      <c r="B115" s="15">
        <v>1500</v>
      </c>
      <c r="C115" s="15">
        <v>4300</v>
      </c>
      <c r="D115" s="15">
        <v>4100</v>
      </c>
      <c r="E115" s="15">
        <f t="shared" si="1"/>
        <v>0.59754895125486818</v>
      </c>
      <c r="F115" s="16">
        <f t="shared" si="0"/>
        <v>0.33232216205709758</v>
      </c>
      <c r="G115" s="15">
        <f>(1/(POWER(1+0.2*B115*2/(1.4*287*288.15*1.225*SQRT(3.1415*'Drag Polar'!$D$44*'Drag Polar'!$E$44*'Drag Polar'!$D$6)),3.5)*(1-0.57*SQRT(SQRT(B115*2/(1.225*SQRT(3.1415*'Drag Polar'!$D$44*'Drag Polar'!$E$44*'Drag Polar'!$D$6)))/SQRT(1.4*287*288.15))-(3*(1+0.2*B115*2/(1.4*287*288.15*1.225*SQRT(3.1415*'Drag Polar'!$D$44*'Drag Polar'!$E$44*'Drag Polar'!$D$6))-1.07))/(1.5+SQRT(B115*2/(1.225*SQRT(3.1415*'Drag Polar'!$D$44*'Drag Polar'!$E$44*'Drag Polar'!$D$6)))))))*(0.032+2*(SQRT('Drag Polar'!$D$44/(3.1415*'Drag Polar'!$D$6*'Drag Polar'!$E$44))))</f>
        <v>0.17479849154402169</v>
      </c>
      <c r="H115" s="15">
        <f>2*(1/(POWER(1+0.2*B115*2/(1.4*287*288.15*1.225*SQRT(3.1415*'Drag Polar'!$D$6*'Drag Polar'!$D$42*'Drag Polar'!$E$42)),3.5)*(1-0.57*SQRT(SQRT(B115*2/(1.225*SQRT(3.1415*'Drag Polar'!$D$6*'Drag Polar'!$D$42*'Drag Polar'!$E$42)))/SQRT(1.4*287*288.15))-(3*(1+0.2*B115*2/(1.4*287*288.15*1.225*SQRT(3.1415*'Drag Polar'!$D$6*'Drag Polar'!$D$42*'Drag Polar'!$E$42))-1.07))/(1.5+SQRT(B115*2/(1.225*SQRT(3.1415*'Drag Polar'!$D$6*'Drag Polar'!$D$42*'Drag Polar'!$E$42)))))))*(2*(SQRT('Drag Polar'!$D$42/(3.1415*'Drag Polar'!$D$6*'Drag Polar'!$E$42))))</f>
        <v>0.22602178407268891</v>
      </c>
      <c r="I115" s="15">
        <f>2*(1/(POWER(1+0.2*B115*2/(1.4*287*288.15*1.225*SQRT(3.1415*'Drag Polar'!$D$6*'Drag Polar'!$D$41*'Drag Polar'!$E$41)),3.5)*(1-0.57*SQRT(SQRT(B115*2/(1.225*SQRT(3.1415*'Drag Polar'!$D$6*'Drag Polar'!$D$41*'Drag Polar'!$E$41)))/SQRT(1.4*287*288.15))-(3*(1+0.2*B115*2/(1.4*287*288.15*1.225*SQRT(3.1415*'Drag Polar'!$D$6*'Drag Polar'!$D$41*'Drag Polar'!$E$41))-1.07))/(1.5+SQRT(B115*2/(1.225*SQRT(3.1415*'Drag Polar'!$D$6*'Drag Polar'!$D$41*'Drag Polar'!$E$41)))))))*(0.024+2*(SQRT('Drag Polar'!$D$41/(3.14*'Drag Polar'!$D$6*'Drag Polar'!$E$41))))</f>
        <v>0.25304114518858867</v>
      </c>
      <c r="J115" s="15">
        <f>2*(1/(POWER(1+0.2*B115*2/(1.4*287*288.15*1.225*SQRT(3.1415*'Drag Polar'!$D$6*'Drag Polar'!$D$39*'Drag Polar'!$E$39)),3.5)*(1-0.57*SQRT(SQRT(B115*2/(1.225*SQRT(3.1415*'Drag Polar'!$D$6*'Drag Polar'!$D$39*'Drag Polar'!$E$39)))/SQRT(1.4*287*288.15))-(3*(1+0.2*B115*2/(1.4*287*288.15*1.225*SQRT(3.1415*'Drag Polar'!$D$6*'Drag Polar'!$D$39*'Drag Polar'!$E$39))-1.07))/(1.5+SQRT(B115*2/(1.225*SQRT(3.1415*'Drag Polar'!$D$6*'Drag Polar'!$D$39*'Drag Polar'!$E$39)))))))*(0.012+2*(SQRT('Drag Polar'!$D$39/(3.14*'Drag Polar'!$D$6*'Drag Polar'!$E$39))))</f>
        <v>0.17334033329950566</v>
      </c>
      <c r="K115" s="15">
        <f>2*(1/(POWER(1+0.2*B115*2/(1.4*287*288.15*1.225*SQRT(3.1415*'Drag Polar'!$D$6*'Drag Polar'!$D$43*'Drag Polar'!$E$43)),3.5)*(1-0.57*SQRT(SQRT(B115*2/(1.225*SQRT(3.1415*'Drag Polar'!$D$6*'Drag Polar'!$D$43*'Drag Polar'!$E$43)))/SQRT(1.4*287*288.15))-(3*(1+0.2*B115*2/(1.4*287*288.15*1.225*SQRT(3.1415*'Drag Polar'!$D$6*'Drag Polar'!$D$43*'Drag Polar'!$E$43))-1.07))/(1.5+SQRT(B115*2/(1.225*SQRT(3.1415*'Drag Polar'!$D$6*'Drag Polar'!$D$43*'Drag Polar'!$E$43)))))))*(0.021+2*(SQRT('Drag Polar'!$D$43/(3.14*'Drag Polar'!$D$6*'Drag Polar'!$E$43))))</f>
        <v>0.30099251094700014</v>
      </c>
      <c r="L115" s="15">
        <f>1.15*(POWER(1+0.2*B115*2/(1.4*287*298*1.11596*2.2),3.5)*(1-0.57*SQRT(SQRT(B115*2/(1.11596*2.2))/SQRT(1.4*287*298))-(3*(1+0.2*B115*2/(1.4*287*298*1.11596*2.2)-1.07))/(1.5+SQRT(B115*2/(1.11596*2.2)))))*(SQRT(B115/(1720*1.11596*9.8065*3.1415*0.85*'Drag Polar'!$E$42*'Drag Polar'!$D$6))+11*4/1720)</f>
        <v>8.2510860420809254E-2</v>
      </c>
      <c r="M115" s="15"/>
      <c r="N115" s="15"/>
      <c r="O115" s="15"/>
      <c r="P115" s="15"/>
      <c r="Q115" s="15"/>
      <c r="R115" s="15"/>
      <c r="S115" s="15"/>
      <c r="T115" s="15"/>
      <c r="U115" s="15"/>
      <c r="V115" s="15"/>
      <c r="W115" s="15"/>
      <c r="X115" s="15"/>
      <c r="Y115" s="15"/>
      <c r="Z115" s="15"/>
      <c r="AA115" s="15"/>
      <c r="AB115" s="15"/>
      <c r="AC115" s="15"/>
      <c r="AD115" s="15"/>
    </row>
    <row r="116" spans="1:30" x14ac:dyDescent="0.3">
      <c r="A116" s="15"/>
      <c r="B116" s="15">
        <v>1600</v>
      </c>
      <c r="C116" s="15">
        <v>4300</v>
      </c>
      <c r="D116" s="15">
        <v>4100</v>
      </c>
      <c r="E116" s="15">
        <f t="shared" si="1"/>
        <v>0.56362677937946182</v>
      </c>
      <c r="F116" s="16">
        <f t="shared" si="0"/>
        <v>0.32881779240296793</v>
      </c>
      <c r="G116" s="15">
        <f>(1/(POWER(1+0.2*B116*2/(1.4*287*288.15*1.225*SQRT(3.1415*'Drag Polar'!$D$44*'Drag Polar'!$E$44*'Drag Polar'!$D$6)),3.5)*(1-0.57*SQRT(SQRT(B116*2/(1.225*SQRT(3.1415*'Drag Polar'!$D$44*'Drag Polar'!$E$44*'Drag Polar'!$D$6)))/SQRT(1.4*287*288.15))-(3*(1+0.2*B116*2/(1.4*287*288.15*1.225*SQRT(3.1415*'Drag Polar'!$D$44*'Drag Polar'!$E$44*'Drag Polar'!$D$6))-1.07))/(1.5+SQRT(B116*2/(1.225*SQRT(3.1415*'Drag Polar'!$D$44*'Drag Polar'!$E$44*'Drag Polar'!$D$6)))))))*(0.032+2*(SQRT('Drag Polar'!$D$44/(3.1415*'Drag Polar'!$D$6*'Drag Polar'!$E$44))))</f>
        <v>0.17540364993983618</v>
      </c>
      <c r="H116" s="15">
        <f>2*(1/(POWER(1+0.2*B116*2/(1.4*287*288.15*1.225*SQRT(3.1415*'Drag Polar'!$D$6*'Drag Polar'!$D$42*'Drag Polar'!$E$42)),3.5)*(1-0.57*SQRT(SQRT(B116*2/(1.225*SQRT(3.1415*'Drag Polar'!$D$6*'Drag Polar'!$D$42*'Drag Polar'!$E$42)))/SQRT(1.4*287*288.15))-(3*(1+0.2*B116*2/(1.4*287*288.15*1.225*SQRT(3.1415*'Drag Polar'!$D$6*'Drag Polar'!$D$42*'Drag Polar'!$E$42))-1.07))/(1.5+SQRT(B116*2/(1.225*SQRT(3.1415*'Drag Polar'!$D$6*'Drag Polar'!$D$42*'Drag Polar'!$E$42)))))))*(2*(SQRT('Drag Polar'!$D$42/(3.1415*'Drag Polar'!$D$6*'Drag Polar'!$E$42))))</f>
        <v>0.22684455381108687</v>
      </c>
      <c r="I116" s="15">
        <f>2*(1/(POWER(1+0.2*B116*2/(1.4*287*288.15*1.225*SQRT(3.1415*'Drag Polar'!$D$6*'Drag Polar'!$D$41*'Drag Polar'!$E$41)),3.5)*(1-0.57*SQRT(SQRT(B116*2/(1.225*SQRT(3.1415*'Drag Polar'!$D$6*'Drag Polar'!$D$41*'Drag Polar'!$E$41)))/SQRT(1.4*287*288.15))-(3*(1+0.2*B116*2/(1.4*287*288.15*1.225*SQRT(3.1415*'Drag Polar'!$D$6*'Drag Polar'!$D$41*'Drag Polar'!$E$41))-1.07))/(1.5+SQRT(B116*2/(1.225*SQRT(3.1415*'Drag Polar'!$D$6*'Drag Polar'!$D$41*'Drag Polar'!$E$41)))))))*(0.024+2*(SQRT('Drag Polar'!$D$41/(3.14*'Drag Polar'!$D$6*'Drag Polar'!$E$41))))</f>
        <v>0.25398094430121165</v>
      </c>
      <c r="J116" s="15">
        <f>2*(1/(POWER(1+0.2*B116*2/(1.4*287*288.15*1.225*SQRT(3.1415*'Drag Polar'!$D$6*'Drag Polar'!$D$39*'Drag Polar'!$E$39)),3.5)*(1-0.57*SQRT(SQRT(B116*2/(1.225*SQRT(3.1415*'Drag Polar'!$D$6*'Drag Polar'!$D$39*'Drag Polar'!$E$39)))/SQRT(1.4*287*288.15))-(3*(1+0.2*B116*2/(1.4*287*288.15*1.225*SQRT(3.1415*'Drag Polar'!$D$6*'Drag Polar'!$D$39*'Drag Polar'!$E$39))-1.07))/(1.5+SQRT(B116*2/(1.225*SQRT(3.1415*'Drag Polar'!$D$6*'Drag Polar'!$D$39*'Drag Polar'!$E$39)))))))*(0.012+2*(SQRT('Drag Polar'!$D$39/(3.14*'Drag Polar'!$D$6*'Drag Polar'!$E$39))))</f>
        <v>0.17400583207586995</v>
      </c>
      <c r="K116" s="15">
        <f>2*(1/(POWER(1+0.2*B116*2/(1.4*287*288.15*1.225*SQRT(3.1415*'Drag Polar'!$D$6*'Drag Polar'!$D$43*'Drag Polar'!$E$43)),3.5)*(1-0.57*SQRT(SQRT(B116*2/(1.225*SQRT(3.1415*'Drag Polar'!$D$6*'Drag Polar'!$D$43*'Drag Polar'!$E$43)))/SQRT(1.4*287*288.15))-(3*(1+0.2*B116*2/(1.4*287*288.15*1.225*SQRT(3.1415*'Drag Polar'!$D$6*'Drag Polar'!$D$43*'Drag Polar'!$E$43))-1.07))/(1.5+SQRT(B116*2/(1.225*SQRT(3.1415*'Drag Polar'!$D$6*'Drag Polar'!$D$43*'Drag Polar'!$E$43)))))))*(0.021+2*(SQRT('Drag Polar'!$D$43/(3.14*'Drag Polar'!$D$6*'Drag Polar'!$E$43))))</f>
        <v>0.30204880149300312</v>
      </c>
      <c r="L116" s="15">
        <f>1.15*(POWER(1+0.2*B116*2/(1.4*287*298*1.11596*2.2),3.5)*(1-0.57*SQRT(SQRT(B116*2/(1.11596*2.2))/SQRT(1.4*287*298))-(3*(1+0.2*B116*2/(1.4*287*298*1.11596*2.2)-1.07))/(1.5+SQRT(B116*2/(1.11596*2.2)))))*(SQRT(B116/(1720*1.11596*9.8065*3.1415*0.85*'Drag Polar'!$E$42*'Drag Polar'!$D$6))+11*4/1720)</f>
        <v>8.4135423419187561E-2</v>
      </c>
      <c r="M116" s="15"/>
      <c r="N116" s="15"/>
      <c r="O116" s="15"/>
      <c r="P116" s="15"/>
      <c r="Q116" s="15"/>
      <c r="R116" s="15"/>
      <c r="S116" s="15"/>
      <c r="T116" s="15"/>
      <c r="U116" s="15"/>
      <c r="V116" s="15"/>
      <c r="W116" s="15"/>
      <c r="X116" s="15"/>
      <c r="Y116" s="15"/>
      <c r="Z116" s="15"/>
      <c r="AA116" s="15"/>
      <c r="AB116" s="15"/>
      <c r="AC116" s="15"/>
      <c r="AD116" s="15"/>
    </row>
    <row r="117" spans="1:30" x14ac:dyDescent="0.3">
      <c r="A117" s="15"/>
      <c r="B117" s="15">
        <v>1700</v>
      </c>
      <c r="C117" s="15">
        <v>4300</v>
      </c>
      <c r="D117" s="15">
        <v>4100</v>
      </c>
      <c r="E117" s="15">
        <f t="shared" si="1"/>
        <v>0.53390339888692429</v>
      </c>
      <c r="F117" s="16">
        <f t="shared" si="0"/>
        <v>0.32561041270062951</v>
      </c>
      <c r="G117" s="15">
        <f>(1/(POWER(1+0.2*B117*2/(1.4*287*288.15*1.225*SQRT(3.1415*'Drag Polar'!$D$44*'Drag Polar'!$E$44*'Drag Polar'!$D$6)),3.5)*(1-0.57*SQRT(SQRT(B117*2/(1.225*SQRT(3.1415*'Drag Polar'!$D$44*'Drag Polar'!$E$44*'Drag Polar'!$D$6)))/SQRT(1.4*287*288.15))-(3*(1+0.2*B117*2/(1.4*287*288.15*1.225*SQRT(3.1415*'Drag Polar'!$D$44*'Drag Polar'!$E$44*'Drag Polar'!$D$6))-1.07))/(1.5+SQRT(B117*2/(1.225*SQRT(3.1415*'Drag Polar'!$D$44*'Drag Polar'!$E$44*'Drag Polar'!$D$6)))))))*(0.032+2*(SQRT('Drag Polar'!$D$44/(3.1415*'Drag Polar'!$D$6*'Drag Polar'!$E$44))))</f>
        <v>0.17597947814445455</v>
      </c>
      <c r="H117" s="15">
        <f>2*(1/(POWER(1+0.2*B117*2/(1.4*287*288.15*1.225*SQRT(3.1415*'Drag Polar'!$D$6*'Drag Polar'!$D$42*'Drag Polar'!$E$42)),3.5)*(1-0.57*SQRT(SQRT(B117*2/(1.225*SQRT(3.1415*'Drag Polar'!$D$6*'Drag Polar'!$D$42*'Drag Polar'!$E$42)))/SQRT(1.4*287*288.15))-(3*(1+0.2*B117*2/(1.4*287*288.15*1.225*SQRT(3.1415*'Drag Polar'!$D$6*'Drag Polar'!$D$42*'Drag Polar'!$E$42))-1.07))/(1.5+SQRT(B117*2/(1.225*SQRT(3.1415*'Drag Polar'!$D$6*'Drag Polar'!$D$42*'Drag Polar'!$E$42)))))))*(2*(SQRT('Drag Polar'!$D$42/(3.1415*'Drag Polar'!$D$6*'Drag Polar'!$E$42))))</f>
        <v>0.22762622349826359</v>
      </c>
      <c r="I117" s="15">
        <f>2*(1/(POWER(1+0.2*B117*2/(1.4*287*288.15*1.225*SQRT(3.1415*'Drag Polar'!$D$6*'Drag Polar'!$D$41*'Drag Polar'!$E$41)),3.5)*(1-0.57*SQRT(SQRT(B117*2/(1.225*SQRT(3.1415*'Drag Polar'!$D$6*'Drag Polar'!$D$41*'Drag Polar'!$E$41)))/SQRT(1.4*287*288.15))-(3*(1+0.2*B117*2/(1.4*287*288.15*1.225*SQRT(3.1415*'Drag Polar'!$D$6*'Drag Polar'!$D$41*'Drag Polar'!$E$41))-1.07))/(1.5+SQRT(B117*2/(1.225*SQRT(3.1415*'Drag Polar'!$D$6*'Drag Polar'!$D$41*'Drag Polar'!$E$41)))))))*(0.024+2*(SQRT('Drag Polar'!$D$41/(3.14*'Drag Polar'!$D$6*'Drag Polar'!$E$41))))</f>
        <v>0.25487282164385439</v>
      </c>
      <c r="J117" s="15">
        <f>2*(1/(POWER(1+0.2*B117*2/(1.4*287*288.15*1.225*SQRT(3.1415*'Drag Polar'!$D$6*'Drag Polar'!$D$39*'Drag Polar'!$E$39)),3.5)*(1-0.57*SQRT(SQRT(B117*2/(1.225*SQRT(3.1415*'Drag Polar'!$D$6*'Drag Polar'!$D$39*'Drag Polar'!$E$39)))/SQRT(1.4*287*288.15))-(3*(1+0.2*B117*2/(1.4*287*288.15*1.225*SQRT(3.1415*'Drag Polar'!$D$6*'Drag Polar'!$D$39*'Drag Polar'!$E$39))-1.07))/(1.5+SQRT(B117*2/(1.225*SQRT(3.1415*'Drag Polar'!$D$6*'Drag Polar'!$D$39*'Drag Polar'!$E$39)))))))*(0.012+2*(SQRT('Drag Polar'!$D$39/(3.14*'Drag Polar'!$D$6*'Drag Polar'!$E$39))))</f>
        <v>0.17463486751180135</v>
      </c>
      <c r="K117" s="15">
        <f>2*(1/(POWER(1+0.2*B117*2/(1.4*287*288.15*1.225*SQRT(3.1415*'Drag Polar'!$D$6*'Drag Polar'!$D$43*'Drag Polar'!$E$43)),3.5)*(1-0.57*SQRT(SQRT(B117*2/(1.225*SQRT(3.1415*'Drag Polar'!$D$6*'Drag Polar'!$D$43*'Drag Polar'!$E$43)))/SQRT(1.4*287*288.15))-(3*(1+0.2*B117*2/(1.4*287*288.15*1.225*SQRT(3.1415*'Drag Polar'!$D$6*'Drag Polar'!$D$43*'Drag Polar'!$E$43))-1.07))/(1.5+SQRT(B117*2/(1.225*SQRT(3.1415*'Drag Polar'!$D$6*'Drag Polar'!$D$43*'Drag Polar'!$E$43)))))))*(0.021+2*(SQRT('Drag Polar'!$D$43/(3.14*'Drag Polar'!$D$6*'Drag Polar'!$E$43))))</f>
        <v>0.30305357898516166</v>
      </c>
      <c r="L117" s="15">
        <f>1.15*(POWER(1+0.2*B117*2/(1.4*287*298*1.11596*2.2),3.5)*(1-0.57*SQRT(SQRT(B117*2/(1.11596*2.2))/SQRT(1.4*287*298))-(3*(1+0.2*B117*2/(1.4*287*298*1.11596*2.2)-1.07))/(1.5+SQRT(B117*2/(1.11596*2.2)))))*(SQRT(B117/(1720*1.11596*9.8065*3.1415*0.85*'Drag Polar'!$E$42*'Drag Polar'!$D$6))+11*4/1720)</f>
        <v>8.5704542501692002E-2</v>
      </c>
      <c r="M117" s="15"/>
      <c r="N117" s="15"/>
      <c r="O117" s="15"/>
      <c r="P117" s="15"/>
      <c r="Q117" s="15"/>
      <c r="R117" s="15"/>
      <c r="S117" s="15"/>
      <c r="T117" s="15"/>
      <c r="U117" s="15"/>
      <c r="V117" s="15"/>
      <c r="W117" s="15"/>
      <c r="X117" s="15"/>
      <c r="Y117" s="15"/>
      <c r="Z117" s="15"/>
      <c r="AA117" s="15"/>
      <c r="AB117" s="15"/>
      <c r="AC117" s="15"/>
      <c r="AD117" s="15"/>
    </row>
    <row r="118" spans="1:30" x14ac:dyDescent="0.3">
      <c r="A118" s="15"/>
      <c r="B118" s="15">
        <v>1800</v>
      </c>
      <c r="C118" s="15">
        <v>4300</v>
      </c>
      <c r="D118" s="15">
        <v>4100</v>
      </c>
      <c r="E118" s="15">
        <f t="shared" si="1"/>
        <v>0.50767901121344428</v>
      </c>
      <c r="F118" s="16">
        <f t="shared" si="0"/>
        <v>0.3226567411905743</v>
      </c>
      <c r="G118" s="15">
        <f>(1/(POWER(1+0.2*B118*2/(1.4*287*288.15*1.225*SQRT(3.1415*'Drag Polar'!$D$44*'Drag Polar'!$E$44*'Drag Polar'!$D$6)),3.5)*(1-0.57*SQRT(SQRT(B118*2/(1.225*SQRT(3.1415*'Drag Polar'!$D$44*'Drag Polar'!$E$44*'Drag Polar'!$D$6)))/SQRT(1.4*287*288.15))-(3*(1+0.2*B118*2/(1.4*287*288.15*1.225*SQRT(3.1415*'Drag Polar'!$D$44*'Drag Polar'!$E$44*'Drag Polar'!$D$6))-1.07))/(1.5+SQRT(B118*2/(1.225*SQRT(3.1415*'Drag Polar'!$D$44*'Drag Polar'!$E$44*'Drag Polar'!$D$6)))))))*(0.032+2*(SQRT('Drag Polar'!$D$44/(3.1415*'Drag Polar'!$D$6*'Drag Polar'!$E$44))))</f>
        <v>0.17652889602250943</v>
      </c>
      <c r="H118" s="15">
        <f>2*(1/(POWER(1+0.2*B118*2/(1.4*287*288.15*1.225*SQRT(3.1415*'Drag Polar'!$D$6*'Drag Polar'!$D$42*'Drag Polar'!$E$42)),3.5)*(1-0.57*SQRT(SQRT(B118*2/(1.225*SQRT(3.1415*'Drag Polar'!$D$6*'Drag Polar'!$D$42*'Drag Polar'!$E$42)))/SQRT(1.4*287*288.15))-(3*(1+0.2*B118*2/(1.4*287*288.15*1.225*SQRT(3.1415*'Drag Polar'!$D$6*'Drag Polar'!$D$42*'Drag Polar'!$E$42))-1.07))/(1.5+SQRT(B118*2/(1.225*SQRT(3.1415*'Drag Polar'!$D$6*'Drag Polar'!$D$42*'Drag Polar'!$E$42)))))))*(2*(SQRT('Drag Polar'!$D$42/(3.1415*'Drag Polar'!$D$6*'Drag Polar'!$E$42))))</f>
        <v>0.22837083703035202</v>
      </c>
      <c r="I118" s="15">
        <f>2*(1/(POWER(1+0.2*B118*2/(1.4*287*288.15*1.225*SQRT(3.1415*'Drag Polar'!$D$6*'Drag Polar'!$D$41*'Drag Polar'!$E$41)),3.5)*(1-0.57*SQRT(SQRT(B118*2/(1.225*SQRT(3.1415*'Drag Polar'!$D$6*'Drag Polar'!$D$41*'Drag Polar'!$E$41)))/SQRT(1.4*287*288.15))-(3*(1+0.2*B118*2/(1.4*287*288.15*1.225*SQRT(3.1415*'Drag Polar'!$D$6*'Drag Polar'!$D$41*'Drag Polar'!$E$41))-1.07))/(1.5+SQRT(B118*2/(1.225*SQRT(3.1415*'Drag Polar'!$D$6*'Drag Polar'!$D$41*'Drag Polar'!$E$41)))))))*(0.024+2*(SQRT('Drag Polar'!$D$41/(3.14*'Drag Polar'!$D$6*'Drag Polar'!$E$41))))</f>
        <v>0.25572146673574708</v>
      </c>
      <c r="J118" s="15">
        <f>2*(1/(POWER(1+0.2*B118*2/(1.4*287*288.15*1.225*SQRT(3.1415*'Drag Polar'!$D$6*'Drag Polar'!$D$39*'Drag Polar'!$E$39)),3.5)*(1-0.57*SQRT(SQRT(B118*2/(1.225*SQRT(3.1415*'Drag Polar'!$D$6*'Drag Polar'!$D$39*'Drag Polar'!$E$39)))/SQRT(1.4*287*288.15))-(3*(1+0.2*B118*2/(1.4*287*288.15*1.225*SQRT(3.1415*'Drag Polar'!$D$6*'Drag Polar'!$D$39*'Drag Polar'!$E$39))-1.07))/(1.5+SQRT(B118*2/(1.225*SQRT(3.1415*'Drag Polar'!$D$6*'Drag Polar'!$D$39*'Drag Polar'!$E$39)))))))*(0.012+2*(SQRT('Drag Polar'!$D$39/(3.14*'Drag Polar'!$D$6*'Drag Polar'!$E$39))))</f>
        <v>0.1752309634552171</v>
      </c>
      <c r="K118" s="15">
        <f>2*(1/(POWER(1+0.2*B118*2/(1.4*287*288.15*1.225*SQRT(3.1415*'Drag Polar'!$D$6*'Drag Polar'!$D$43*'Drag Polar'!$E$43)),3.5)*(1-0.57*SQRT(SQRT(B118*2/(1.225*SQRT(3.1415*'Drag Polar'!$D$6*'Drag Polar'!$D$43*'Drag Polar'!$E$43)))/SQRT(1.4*287*288.15))-(3*(1+0.2*B118*2/(1.4*287*288.15*1.225*SQRT(3.1415*'Drag Polar'!$D$6*'Drag Polar'!$D$43*'Drag Polar'!$E$43))-1.07))/(1.5+SQRT(B118*2/(1.225*SQRT(3.1415*'Drag Polar'!$D$6*'Drag Polar'!$D$43*'Drag Polar'!$E$43)))))))*(0.021+2*(SQRT('Drag Polar'!$D$43/(3.14*'Drag Polar'!$D$6*'Drag Polar'!$E$43))))</f>
        <v>0.30401195622765564</v>
      </c>
      <c r="L118" s="15">
        <f>1.15*(POWER(1+0.2*B118*2/(1.4*287*298*1.11596*2.2),3.5)*(1-0.57*SQRT(SQRT(B118*2/(1.11596*2.2))/SQRT(1.4*287*298))-(3*(1+0.2*B118*2/(1.4*287*298*1.11596*2.2)-1.07))/(1.5+SQRT(B118*2/(1.11596*2.2)))))*(SQRT(B118/(1720*1.11596*9.8065*3.1415*0.85*'Drag Polar'!$E$42*'Drag Polar'!$D$6))+11*4/1720)</f>
        <v>8.7223159833071606E-2</v>
      </c>
      <c r="M118" s="15"/>
      <c r="N118" s="15"/>
      <c r="O118" s="15"/>
      <c r="P118" s="15"/>
      <c r="Q118" s="15"/>
      <c r="R118" s="15"/>
      <c r="S118" s="15"/>
      <c r="T118" s="15"/>
      <c r="U118" s="15"/>
      <c r="V118" s="15"/>
      <c r="W118" s="15"/>
      <c r="X118" s="15"/>
      <c r="Y118" s="15"/>
      <c r="Z118" s="15"/>
      <c r="AA118" s="15"/>
      <c r="AB118" s="15"/>
      <c r="AC118" s="15"/>
      <c r="AD118" s="15"/>
    </row>
    <row r="119" spans="1:30" x14ac:dyDescent="0.3">
      <c r="A119" s="15"/>
      <c r="B119" s="15">
        <v>1900</v>
      </c>
      <c r="C119" s="15">
        <v>4300</v>
      </c>
      <c r="D119" s="15">
        <v>4100</v>
      </c>
      <c r="E119" s="15">
        <f t="shared" si="1"/>
        <v>0.48440114380864419</v>
      </c>
      <c r="F119" s="16">
        <f t="shared" si="0"/>
        <v>0.31992170571758521</v>
      </c>
      <c r="G119" s="15">
        <f>(1/(POWER(1+0.2*B119*2/(1.4*287*288.15*1.225*SQRT(3.1415*'Drag Polar'!$D$44*'Drag Polar'!$E$44*'Drag Polar'!$D$6)),3.5)*(1-0.57*SQRT(SQRT(B119*2/(1.225*SQRT(3.1415*'Drag Polar'!$D$44*'Drag Polar'!$E$44*'Drag Polar'!$D$6)))/SQRT(1.4*287*288.15))-(3*(1+0.2*B119*2/(1.4*287*288.15*1.225*SQRT(3.1415*'Drag Polar'!$D$44*'Drag Polar'!$E$44*'Drag Polar'!$D$6))-1.07))/(1.5+SQRT(B119*2/(1.225*SQRT(3.1415*'Drag Polar'!$D$44*'Drag Polar'!$E$44*'Drag Polar'!$D$6)))))))*(0.032+2*(SQRT('Drag Polar'!$D$44/(3.1415*'Drag Polar'!$D$6*'Drag Polar'!$E$44))))</f>
        <v>0.17705438436791687</v>
      </c>
      <c r="H119" s="15">
        <f>2*(1/(POWER(1+0.2*B119*2/(1.4*287*288.15*1.225*SQRT(3.1415*'Drag Polar'!$D$6*'Drag Polar'!$D$42*'Drag Polar'!$E$42)),3.5)*(1-0.57*SQRT(SQRT(B119*2/(1.225*SQRT(3.1415*'Drag Polar'!$D$6*'Drag Polar'!$D$42*'Drag Polar'!$E$42)))/SQRT(1.4*287*288.15))-(3*(1+0.2*B119*2/(1.4*287*288.15*1.225*SQRT(3.1415*'Drag Polar'!$D$6*'Drag Polar'!$D$42*'Drag Polar'!$E$42))-1.07))/(1.5+SQRT(B119*2/(1.225*SQRT(3.1415*'Drag Polar'!$D$6*'Drag Polar'!$D$42*'Drag Polar'!$E$42)))))))*(2*(SQRT('Drag Polar'!$D$42/(3.1415*'Drag Polar'!$D$6*'Drag Polar'!$E$42))))</f>
        <v>0.22908183474356322</v>
      </c>
      <c r="I119" s="15">
        <f>2*(1/(POWER(1+0.2*B119*2/(1.4*287*288.15*1.225*SQRT(3.1415*'Drag Polar'!$D$6*'Drag Polar'!$D$41*'Drag Polar'!$E$41)),3.5)*(1-0.57*SQRT(SQRT(B119*2/(1.225*SQRT(3.1415*'Drag Polar'!$D$6*'Drag Polar'!$D$41*'Drag Polar'!$E$41)))/SQRT(1.4*287*288.15))-(3*(1+0.2*B119*2/(1.4*287*288.15*1.225*SQRT(3.1415*'Drag Polar'!$D$6*'Drag Polar'!$D$41*'Drag Polar'!$E$41))-1.07))/(1.5+SQRT(B119*2/(1.225*SQRT(3.1415*'Drag Polar'!$D$6*'Drag Polar'!$D$41*'Drag Polar'!$E$41)))))))*(0.024+2*(SQRT('Drag Polar'!$D$41/(3.14*'Drag Polar'!$D$6*'Drag Polar'!$E$41))))</f>
        <v>0.25653087165445271</v>
      </c>
      <c r="J119" s="15">
        <f>2*(1/(POWER(1+0.2*B119*2/(1.4*287*288.15*1.225*SQRT(3.1415*'Drag Polar'!$D$6*'Drag Polar'!$D$39*'Drag Polar'!$E$39)),3.5)*(1-0.57*SQRT(SQRT(B119*2/(1.225*SQRT(3.1415*'Drag Polar'!$D$6*'Drag Polar'!$D$39*'Drag Polar'!$E$39)))/SQRT(1.4*287*288.15))-(3*(1+0.2*B119*2/(1.4*287*288.15*1.225*SQRT(3.1415*'Drag Polar'!$D$6*'Drag Polar'!$D$39*'Drag Polar'!$E$39))-1.07))/(1.5+SQRT(B119*2/(1.225*SQRT(3.1415*'Drag Polar'!$D$6*'Drag Polar'!$D$39*'Drag Polar'!$E$39)))))))*(0.012+2*(SQRT('Drag Polar'!$D$39/(3.14*'Drag Polar'!$D$6*'Drag Polar'!$E$39))))</f>
        <v>0.17579712425950622</v>
      </c>
      <c r="K119" s="15">
        <f>2*(1/(POWER(1+0.2*B119*2/(1.4*287*288.15*1.225*SQRT(3.1415*'Drag Polar'!$D$6*'Drag Polar'!$D$43*'Drag Polar'!$E$43)),3.5)*(1-0.57*SQRT(SQRT(B119*2/(1.225*SQRT(3.1415*'Drag Polar'!$D$6*'Drag Polar'!$D$43*'Drag Polar'!$E$43)))/SQRT(1.4*287*288.15))-(3*(1+0.2*B119*2/(1.4*287*288.15*1.225*SQRT(3.1415*'Drag Polar'!$D$6*'Drag Polar'!$D$43*'Drag Polar'!$E$43))-1.07))/(1.5+SQRT(B119*2/(1.225*SQRT(3.1415*'Drag Polar'!$D$6*'Drag Polar'!$D$43*'Drag Polar'!$E$43)))))))*(0.021+2*(SQRT('Drag Polar'!$D$43/(3.14*'Drag Polar'!$D$6*'Drag Polar'!$E$43))))</f>
        <v>0.30492827866216532</v>
      </c>
      <c r="L119" s="15">
        <f>1.15*(POWER(1+0.2*B119*2/(1.4*287*298*1.11596*2.2),3.5)*(1-0.57*SQRT(SQRT(B119*2/(1.11596*2.2))/SQRT(1.4*287*298))-(3*(1+0.2*B119*2/(1.4*287*298*1.11596*2.2)-1.07))/(1.5+SQRT(B119*2/(1.11596*2.2)))))*(SQRT(B119/(1720*1.11596*9.8065*3.1415*0.85*'Drag Polar'!$E$42*'Drag Polar'!$D$6))+11*4/1720)</f>
        <v>8.8695536250914517E-2</v>
      </c>
      <c r="M119" s="15"/>
      <c r="N119" s="15"/>
      <c r="O119" s="15"/>
      <c r="P119" s="15"/>
      <c r="Q119" s="15"/>
      <c r="R119" s="15"/>
      <c r="S119" s="15"/>
      <c r="T119" s="15"/>
      <c r="U119" s="15"/>
      <c r="V119" s="15"/>
      <c r="W119" s="15"/>
      <c r="X119" s="15"/>
      <c r="Y119" s="15"/>
      <c r="Z119" s="15"/>
      <c r="AA119" s="15"/>
      <c r="AB119" s="15"/>
      <c r="AC119" s="15"/>
      <c r="AD119" s="15"/>
    </row>
    <row r="120" spans="1:30" x14ac:dyDescent="0.3">
      <c r="A120" s="15"/>
      <c r="B120" s="15">
        <v>2000</v>
      </c>
      <c r="C120" s="15">
        <v>4300</v>
      </c>
      <c r="D120" s="15">
        <v>4100</v>
      </c>
      <c r="E120" s="15">
        <f t="shared" si="1"/>
        <v>0.46362781863222202</v>
      </c>
      <c r="F120" s="16">
        <f t="shared" si="0"/>
        <v>0.31737655742978094</v>
      </c>
      <c r="G120" s="15">
        <f>(1/(POWER(1+0.2*B120*2/(1.4*287*288.15*1.225*SQRT(3.1415*'Drag Polar'!$D$44*'Drag Polar'!$E$44*'Drag Polar'!$D$6)),3.5)*(1-0.57*SQRT(SQRT(B120*2/(1.225*SQRT(3.1415*'Drag Polar'!$D$44*'Drag Polar'!$E$44*'Drag Polar'!$D$6)))/SQRT(1.4*287*288.15))-(3*(1+0.2*B120*2/(1.4*287*288.15*1.225*SQRT(3.1415*'Drag Polar'!$D$44*'Drag Polar'!$E$44*'Drag Polar'!$D$6))-1.07))/(1.5+SQRT(B120*2/(1.225*SQRT(3.1415*'Drag Polar'!$D$44*'Drag Polar'!$E$44*'Drag Polar'!$D$6)))))))*(0.032+2*(SQRT('Drag Polar'!$D$44/(3.1415*'Drag Polar'!$D$6*'Drag Polar'!$E$44))))</f>
        <v>0.17755807066036419</v>
      </c>
      <c r="H120" s="15">
        <f>2*(1/(POWER(1+0.2*B120*2/(1.4*287*288.15*1.225*SQRT(3.1415*'Drag Polar'!$D$6*'Drag Polar'!$D$42*'Drag Polar'!$E$42)),3.5)*(1-0.57*SQRT(SQRT(B120*2/(1.225*SQRT(3.1415*'Drag Polar'!$D$6*'Drag Polar'!$D$42*'Drag Polar'!$E$42)))/SQRT(1.4*287*288.15))-(3*(1+0.2*B120*2/(1.4*287*288.15*1.225*SQRT(3.1415*'Drag Polar'!$D$6*'Drag Polar'!$D$42*'Drag Polar'!$E$42))-1.07))/(1.5+SQRT(B120*2/(1.225*SQRT(3.1415*'Drag Polar'!$D$6*'Drag Polar'!$D$42*'Drag Polar'!$E$42)))))))*(2*(SQRT('Drag Polar'!$D$42/(3.1415*'Drag Polar'!$D$6*'Drag Polar'!$E$42))))</f>
        <v>0.22976217066336801</v>
      </c>
      <c r="I120" s="15">
        <f>2*(1/(POWER(1+0.2*B120*2/(1.4*287*288.15*1.225*SQRT(3.1415*'Drag Polar'!$D$6*'Drag Polar'!$D$41*'Drag Polar'!$E$41)),3.5)*(1-0.57*SQRT(SQRT(B120*2/(1.225*SQRT(3.1415*'Drag Polar'!$D$6*'Drag Polar'!$D$41*'Drag Polar'!$E$41)))/SQRT(1.4*287*288.15))-(3*(1+0.2*B120*2/(1.4*287*288.15*1.225*SQRT(3.1415*'Drag Polar'!$D$6*'Drag Polar'!$D$41*'Drag Polar'!$E$41))-1.07))/(1.5+SQRT(B120*2/(1.225*SQRT(3.1415*'Drag Polar'!$D$6*'Drag Polar'!$D$41*'Drag Polar'!$E$41)))))))*(0.024+2*(SQRT('Drag Polar'!$D$41/(3.14*'Drag Polar'!$D$6*'Drag Polar'!$E$41))))</f>
        <v>0.25730446618392677</v>
      </c>
      <c r="J120" s="15">
        <f>2*(1/(POWER(1+0.2*B120*2/(1.4*287*288.15*1.225*SQRT(3.1415*'Drag Polar'!$D$6*'Drag Polar'!$D$39*'Drag Polar'!$E$39)),3.5)*(1-0.57*SQRT(SQRT(B120*2/(1.225*SQRT(3.1415*'Drag Polar'!$D$6*'Drag Polar'!$D$39*'Drag Polar'!$E$39)))/SQRT(1.4*287*288.15))-(3*(1+0.2*B120*2/(1.4*287*288.15*1.225*SQRT(3.1415*'Drag Polar'!$D$6*'Drag Polar'!$D$39*'Drag Polar'!$E$39))-1.07))/(1.5+SQRT(B120*2/(1.225*SQRT(3.1415*'Drag Polar'!$D$6*'Drag Polar'!$D$39*'Drag Polar'!$E$39)))))))*(0.012+2*(SQRT('Drag Polar'!$D$39/(3.14*'Drag Polar'!$D$6*'Drag Polar'!$E$39))))</f>
        <v>0.17633593484769591</v>
      </c>
      <c r="K120" s="15">
        <f>2*(1/(POWER(1+0.2*B120*2/(1.4*287*288.15*1.225*SQRT(3.1415*'Drag Polar'!$D$6*'Drag Polar'!$D$43*'Drag Polar'!$E$43)),3.5)*(1-0.57*SQRT(SQRT(B120*2/(1.225*SQRT(3.1415*'Drag Polar'!$D$6*'Drag Polar'!$D$43*'Drag Polar'!$E$43)))/SQRT(1.4*287*288.15))-(3*(1+0.2*B120*2/(1.4*287*288.15*1.225*SQRT(3.1415*'Drag Polar'!$D$6*'Drag Polar'!$D$43*'Drag Polar'!$E$43))-1.07))/(1.5+SQRT(B120*2/(1.225*SQRT(3.1415*'Drag Polar'!$D$6*'Drag Polar'!$D$43*'Drag Polar'!$E$43)))))))*(0.021+2*(SQRT('Drag Polar'!$D$43/(3.14*'Drag Polar'!$D$6*'Drag Polar'!$E$43))))</f>
        <v>0.30580627403618316</v>
      </c>
      <c r="L120" s="15">
        <f>1.15*(POWER(1+0.2*B120*2/(1.4*287*298*1.11596*2.2),3.5)*(1-0.57*SQRT(SQRT(B120*2/(1.11596*2.2))/SQRT(1.4*287*298))-(3*(1+0.2*B120*2/(1.4*287*298*1.11596*2.2)-1.07))/(1.5+SQRT(B120*2/(1.11596*2.2)))))*(SQRT(B120/(1720*1.11596*9.8065*3.1415*0.85*'Drag Polar'!$E$42*'Drag Polar'!$D$6))+11*4/1720)</f>
        <v>9.0125375415232079E-2</v>
      </c>
      <c r="M120" s="15"/>
      <c r="N120" s="15"/>
      <c r="O120" s="15"/>
      <c r="P120" s="15"/>
      <c r="Q120" s="15"/>
      <c r="R120" s="15"/>
      <c r="S120" s="15"/>
      <c r="T120" s="15"/>
      <c r="U120" s="15"/>
      <c r="V120" s="15"/>
      <c r="W120" s="15"/>
      <c r="X120" s="15"/>
      <c r="Y120" s="15"/>
      <c r="Z120" s="15"/>
      <c r="AA120" s="15"/>
      <c r="AB120" s="15"/>
      <c r="AC120" s="15"/>
      <c r="AD120" s="15"/>
    </row>
    <row r="121" spans="1:30" x14ac:dyDescent="0.3">
      <c r="A121" s="15"/>
      <c r="B121" s="15">
        <v>2100</v>
      </c>
      <c r="C121" s="15">
        <v>4300</v>
      </c>
      <c r="D121" s="15">
        <v>4100</v>
      </c>
      <c r="E121" s="15">
        <f t="shared" si="1"/>
        <v>0.44500124393726675</v>
      </c>
      <c r="F121" s="16">
        <f t="shared" si="0"/>
        <v>0.31499748707102726</v>
      </c>
      <c r="G121" s="15">
        <f>(1/(POWER(1+0.2*B121*2/(1.4*287*288.15*1.225*SQRT(3.1415*'Drag Polar'!$D$44*'Drag Polar'!$E$44*'Drag Polar'!$D$6)),3.5)*(1-0.57*SQRT(SQRT(B121*2/(1.225*SQRT(3.1415*'Drag Polar'!$D$44*'Drag Polar'!$E$44*'Drag Polar'!$D$6)))/SQRT(1.4*287*288.15))-(3*(1+0.2*B121*2/(1.4*287*288.15*1.225*SQRT(3.1415*'Drag Polar'!$D$44*'Drag Polar'!$E$44*'Drag Polar'!$D$6))-1.07))/(1.5+SQRT(B121*2/(1.225*SQRT(3.1415*'Drag Polar'!$D$44*'Drag Polar'!$E$44*'Drag Polar'!$D$6)))))))*(0.032+2*(SQRT('Drag Polar'!$D$44/(3.1415*'Drag Polar'!$D$6*'Drag Polar'!$E$44))))</f>
        <v>0.1780417946210571</v>
      </c>
      <c r="H121" s="15">
        <f>2*(1/(POWER(1+0.2*B121*2/(1.4*287*288.15*1.225*SQRT(3.1415*'Drag Polar'!$D$6*'Drag Polar'!$D$42*'Drag Polar'!$E$42)),3.5)*(1-0.57*SQRT(SQRT(B121*2/(1.225*SQRT(3.1415*'Drag Polar'!$D$6*'Drag Polar'!$D$42*'Drag Polar'!$E$42)))/SQRT(1.4*287*288.15))-(3*(1+0.2*B121*2/(1.4*287*288.15*1.225*SQRT(3.1415*'Drag Polar'!$D$6*'Drag Polar'!$D$42*'Drag Polar'!$E$42))-1.07))/(1.5+SQRT(B121*2/(1.225*SQRT(3.1415*'Drag Polar'!$D$6*'Drag Polar'!$D$42*'Drag Polar'!$E$42)))))))*(2*(SQRT('Drag Polar'!$D$42/(3.1415*'Drag Polar'!$D$6*'Drag Polar'!$E$42))))</f>
        <v>0.23041440225190263</v>
      </c>
      <c r="I121" s="15">
        <f>2*(1/(POWER(1+0.2*B121*2/(1.4*287*288.15*1.225*SQRT(3.1415*'Drag Polar'!$D$6*'Drag Polar'!$D$41*'Drag Polar'!$E$41)),3.5)*(1-0.57*SQRT(SQRT(B121*2/(1.225*SQRT(3.1415*'Drag Polar'!$D$6*'Drag Polar'!$D$41*'Drag Polar'!$E$41)))/SQRT(1.4*287*288.15))-(3*(1+0.2*B121*2/(1.4*287*288.15*1.225*SQRT(3.1415*'Drag Polar'!$D$6*'Drag Polar'!$D$41*'Drag Polar'!$E$41))-1.07))/(1.5+SQRT(B121*2/(1.225*SQRT(3.1415*'Drag Polar'!$D$6*'Drag Polar'!$D$41*'Drag Polar'!$E$41)))))))*(0.024+2*(SQRT('Drag Polar'!$D$41/(3.14*'Drag Polar'!$D$6*'Drag Polar'!$E$41))))</f>
        <v>0.25804522132466085</v>
      </c>
      <c r="J121" s="15">
        <f>2*(1/(POWER(1+0.2*B121*2/(1.4*287*288.15*1.225*SQRT(3.1415*'Drag Polar'!$D$6*'Drag Polar'!$D$39*'Drag Polar'!$E$39)),3.5)*(1-0.57*SQRT(SQRT(B121*2/(1.225*SQRT(3.1415*'Drag Polar'!$D$6*'Drag Polar'!$D$39*'Drag Polar'!$E$39)))/SQRT(1.4*287*288.15))-(3*(1+0.2*B121*2/(1.4*287*288.15*1.225*SQRT(3.1415*'Drag Polar'!$D$6*'Drag Polar'!$D$39*'Drag Polar'!$E$39))-1.07))/(1.5+SQRT(B121*2/(1.225*SQRT(3.1415*'Drag Polar'!$D$6*'Drag Polar'!$D$39*'Drag Polar'!$E$39)))))))*(0.012+2*(SQRT('Drag Polar'!$D$39/(3.14*'Drag Polar'!$D$6*'Drag Polar'!$E$39))))</f>
        <v>0.17684963745996465</v>
      </c>
      <c r="K121" s="15">
        <f>2*(1/(POWER(1+0.2*B121*2/(1.4*287*288.15*1.225*SQRT(3.1415*'Drag Polar'!$D$6*'Drag Polar'!$D$43*'Drag Polar'!$E$43)),3.5)*(1-0.57*SQRT(SQRT(B121*2/(1.225*SQRT(3.1415*'Drag Polar'!$D$6*'Drag Polar'!$D$43*'Drag Polar'!$E$43)))/SQRT(1.4*287*288.15))-(3*(1+0.2*B121*2/(1.4*287*288.15*1.225*SQRT(3.1415*'Drag Polar'!$D$6*'Drag Polar'!$D$43*'Drag Polar'!$E$43))-1.07))/(1.5+SQRT(B121*2/(1.225*SQRT(3.1415*'Drag Polar'!$D$6*'Drag Polar'!$D$43*'Drag Polar'!$E$43)))))))*(0.021+2*(SQRT('Drag Polar'!$D$43/(3.14*'Drag Polar'!$D$6*'Drag Polar'!$E$43))))</f>
        <v>0.30664916685425198</v>
      </c>
      <c r="L121" s="15">
        <f>1.15*(POWER(1+0.2*B121*2/(1.4*287*298*1.11596*2.2),3.5)*(1-0.57*SQRT(SQRT(B121*2/(1.11596*2.2))/SQRT(1.4*287*298))-(3*(1+0.2*B121*2/(1.4*287*298*1.11596*2.2)-1.07))/(1.5+SQRT(B121*2/(1.11596*2.2)))))*(SQRT(B121/(1720*1.11596*9.8065*3.1415*0.85*'Drag Polar'!$E$42*'Drag Polar'!$D$6))+11*4/1720)</f>
        <v>9.1515920348775162E-2</v>
      </c>
      <c r="M121" s="15"/>
      <c r="N121" s="15"/>
      <c r="O121" s="15"/>
      <c r="P121" s="15"/>
      <c r="Q121" s="15"/>
      <c r="R121" s="15"/>
      <c r="S121" s="15"/>
      <c r="T121" s="15"/>
      <c r="U121" s="15"/>
      <c r="V121" s="15"/>
      <c r="W121" s="15"/>
      <c r="X121" s="15"/>
      <c r="Y121" s="15"/>
      <c r="Z121" s="15"/>
      <c r="AA121" s="15"/>
      <c r="AB121" s="15"/>
      <c r="AC121" s="15"/>
      <c r="AD121" s="15"/>
    </row>
    <row r="122" spans="1:30" x14ac:dyDescent="0.3">
      <c r="A122" s="15"/>
      <c r="B122" s="15">
        <v>2200</v>
      </c>
      <c r="C122" s="15">
        <v>4300</v>
      </c>
      <c r="D122" s="15">
        <v>4100</v>
      </c>
      <c r="E122" s="15">
        <f t="shared" si="1"/>
        <v>0.42822868102176004</v>
      </c>
      <c r="F122" s="16">
        <f t="shared" si="0"/>
        <v>0.31276459312043131</v>
      </c>
      <c r="G122" s="15">
        <f>(1/(POWER(1+0.2*B122*2/(1.4*287*288.15*1.225*SQRT(3.1415*'Drag Polar'!$D$44*'Drag Polar'!$E$44*'Drag Polar'!$D$6)),3.5)*(1-0.57*SQRT(SQRT(B122*2/(1.225*SQRT(3.1415*'Drag Polar'!$D$44*'Drag Polar'!$E$44*'Drag Polar'!$D$6)))/SQRT(1.4*287*288.15))-(3*(1+0.2*B122*2/(1.4*287*288.15*1.225*SQRT(3.1415*'Drag Polar'!$D$44*'Drag Polar'!$E$44*'Drag Polar'!$D$6))-1.07))/(1.5+SQRT(B122*2/(1.225*SQRT(3.1415*'Drag Polar'!$D$44*'Drag Polar'!$E$44*'Drag Polar'!$D$6)))))))*(0.032+2*(SQRT('Drag Polar'!$D$44/(3.1415*'Drag Polar'!$D$6*'Drag Polar'!$E$44))))</f>
        <v>0.17850715906013415</v>
      </c>
      <c r="H122" s="15">
        <f>2*(1/(POWER(1+0.2*B122*2/(1.4*287*288.15*1.225*SQRT(3.1415*'Drag Polar'!$D$6*'Drag Polar'!$D$42*'Drag Polar'!$E$42)),3.5)*(1-0.57*SQRT(SQRT(B122*2/(1.225*SQRT(3.1415*'Drag Polar'!$D$6*'Drag Polar'!$D$42*'Drag Polar'!$E$42)))/SQRT(1.4*287*288.15))-(3*(1+0.2*B122*2/(1.4*287*288.15*1.225*SQRT(3.1415*'Drag Polar'!$D$6*'Drag Polar'!$D$42*'Drag Polar'!$E$42))-1.07))/(1.5+SQRT(B122*2/(1.225*SQRT(3.1415*'Drag Polar'!$D$6*'Drag Polar'!$D$42*'Drag Polar'!$E$42)))))))*(2*(SQRT('Drag Polar'!$D$42/(3.1415*'Drag Polar'!$D$6*'Drag Polar'!$E$42))))</f>
        <v>0.23104076010485253</v>
      </c>
      <c r="I122" s="15">
        <f>2*(1/(POWER(1+0.2*B122*2/(1.4*287*288.15*1.225*SQRT(3.1415*'Drag Polar'!$D$6*'Drag Polar'!$D$41*'Drag Polar'!$E$41)),3.5)*(1-0.57*SQRT(SQRT(B122*2/(1.225*SQRT(3.1415*'Drag Polar'!$D$6*'Drag Polar'!$D$41*'Drag Polar'!$E$41)))/SQRT(1.4*287*288.15))-(3*(1+0.2*B122*2/(1.4*287*288.15*1.225*SQRT(3.1415*'Drag Polar'!$D$6*'Drag Polar'!$D$41*'Drag Polar'!$E$41))-1.07))/(1.5+SQRT(B122*2/(1.225*SQRT(3.1415*'Drag Polar'!$D$6*'Drag Polar'!$D$41*'Drag Polar'!$E$41)))))))*(0.024+2*(SQRT('Drag Polar'!$D$41/(3.14*'Drag Polar'!$D$6*'Drag Polar'!$E$41))))</f>
        <v>0.25875572972391525</v>
      </c>
      <c r="J122" s="15">
        <f>2*(1/(POWER(1+0.2*B122*2/(1.4*287*288.15*1.225*SQRT(3.1415*'Drag Polar'!$D$6*'Drag Polar'!$D$39*'Drag Polar'!$E$39)),3.5)*(1-0.57*SQRT(SQRT(B122*2/(1.225*SQRT(3.1415*'Drag Polar'!$D$6*'Drag Polar'!$D$39*'Drag Polar'!$E$39)))/SQRT(1.4*287*288.15))-(3*(1+0.2*B122*2/(1.4*287*288.15*1.225*SQRT(3.1415*'Drag Polar'!$D$6*'Drag Polar'!$D$39*'Drag Polar'!$E$39))-1.07))/(1.5+SQRT(B122*2/(1.225*SQRT(3.1415*'Drag Polar'!$D$6*'Drag Polar'!$D$39*'Drag Polar'!$E$39)))))))*(0.012+2*(SQRT('Drag Polar'!$D$39/(3.14*'Drag Polar'!$D$6*'Drag Polar'!$E$39))))</f>
        <v>0.17734019136772461</v>
      </c>
      <c r="K122" s="15">
        <f>2*(1/(POWER(1+0.2*B122*2/(1.4*287*288.15*1.225*SQRT(3.1415*'Drag Polar'!$D$6*'Drag Polar'!$D$43*'Drag Polar'!$E$43)),3.5)*(1-0.57*SQRT(SQRT(B122*2/(1.225*SQRT(3.1415*'Drag Polar'!$D$6*'Drag Polar'!$D$43*'Drag Polar'!$E$43)))/SQRT(1.4*287*288.15))-(3*(1+0.2*B122*2/(1.4*287*288.15*1.225*SQRT(3.1415*'Drag Polar'!$D$6*'Drag Polar'!$D$43*'Drag Polar'!$E$43))-1.07))/(1.5+SQRT(B122*2/(1.225*SQRT(3.1415*'Drag Polar'!$D$6*'Drag Polar'!$D$43*'Drag Polar'!$E$43)))))))*(0.021+2*(SQRT('Drag Polar'!$D$43/(3.14*'Drag Polar'!$D$6*'Drag Polar'!$E$43))))</f>
        <v>0.30745976717867807</v>
      </c>
      <c r="L122" s="15">
        <f>1.15*(POWER(1+0.2*B122*2/(1.4*287*298*1.11596*2.2),3.5)*(1-0.57*SQRT(SQRT(B122*2/(1.11596*2.2))/SQRT(1.4*287*298))-(3*(1+0.2*B122*2/(1.4*287*298*1.11596*2.2)-1.07))/(1.5+SQRT(B122*2/(1.11596*2.2)))))*(SQRT(B122/(1720*1.11596*9.8065*3.1415*0.85*'Drag Polar'!$E$42*'Drag Polar'!$D$6))+11*4/1720)</f>
        <v>9.2870029515287847E-2</v>
      </c>
      <c r="M122" s="15"/>
      <c r="N122" s="15"/>
      <c r="O122" s="15"/>
      <c r="P122" s="15"/>
      <c r="Q122" s="15"/>
      <c r="R122" s="15"/>
      <c r="S122" s="15"/>
      <c r="T122" s="15"/>
      <c r="U122" s="15"/>
      <c r="V122" s="15"/>
      <c r="W122" s="15"/>
      <c r="X122" s="15"/>
      <c r="Y122" s="15"/>
      <c r="Z122" s="15"/>
      <c r="AA122" s="15"/>
      <c r="AB122" s="15"/>
      <c r="AC122" s="15"/>
      <c r="AD122" s="15"/>
    </row>
    <row r="123" spans="1:30" x14ac:dyDescent="0.3">
      <c r="A123" s="15"/>
      <c r="B123" s="15">
        <v>2300</v>
      </c>
      <c r="C123" s="15">
        <v>4300</v>
      </c>
      <c r="D123" s="15">
        <v>4100</v>
      </c>
      <c r="E123" s="15">
        <f t="shared" si="1"/>
        <v>0.41306830226229563</v>
      </c>
      <c r="F123" s="16">
        <f t="shared" si="0"/>
        <v>0.3106611008659384</v>
      </c>
      <c r="G123" s="15">
        <f>(1/(POWER(1+0.2*B123*2/(1.4*287*288.15*1.225*SQRT(3.1415*'Drag Polar'!$D$44*'Drag Polar'!$E$44*'Drag Polar'!$D$6)),3.5)*(1-0.57*SQRT(SQRT(B123*2/(1.225*SQRT(3.1415*'Drag Polar'!$D$44*'Drag Polar'!$E$44*'Drag Polar'!$D$6)))/SQRT(1.4*287*288.15))-(3*(1+0.2*B123*2/(1.4*287*288.15*1.225*SQRT(3.1415*'Drag Polar'!$D$44*'Drag Polar'!$E$44*'Drag Polar'!$D$6))-1.07))/(1.5+SQRT(B123*2/(1.225*SQRT(3.1415*'Drag Polar'!$D$44*'Drag Polar'!$E$44*'Drag Polar'!$D$6)))))))*(0.032+2*(SQRT('Drag Polar'!$D$44/(3.1415*'Drag Polar'!$D$6*'Drag Polar'!$E$44))))</f>
        <v>0.17895556983360425</v>
      </c>
      <c r="H123" s="15">
        <f>2*(1/(POWER(1+0.2*B123*2/(1.4*287*288.15*1.225*SQRT(3.1415*'Drag Polar'!$D$6*'Drag Polar'!$D$42*'Drag Polar'!$E$42)),3.5)*(1-0.57*SQRT(SQRT(B123*2/(1.225*SQRT(3.1415*'Drag Polar'!$D$6*'Drag Polar'!$D$42*'Drag Polar'!$E$42)))/SQRT(1.4*287*288.15))-(3*(1+0.2*B123*2/(1.4*287*288.15*1.225*SQRT(3.1415*'Drag Polar'!$D$6*'Drag Polar'!$D$42*'Drag Polar'!$E$42))-1.07))/(1.5+SQRT(B123*2/(1.225*SQRT(3.1415*'Drag Polar'!$D$6*'Drag Polar'!$D$42*'Drag Polar'!$E$42)))))))*(2*(SQRT('Drag Polar'!$D$42/(3.1415*'Drag Polar'!$D$6*'Drag Polar'!$E$42))))</f>
        <v>0.23164320278405984</v>
      </c>
      <c r="I123" s="15">
        <f>2*(1/(POWER(1+0.2*B123*2/(1.4*287*288.15*1.225*SQRT(3.1415*'Drag Polar'!$D$6*'Drag Polar'!$D$41*'Drag Polar'!$E$41)),3.5)*(1-0.57*SQRT(SQRT(B123*2/(1.225*SQRT(3.1415*'Drag Polar'!$D$6*'Drag Polar'!$D$41*'Drag Polar'!$E$41)))/SQRT(1.4*287*288.15))-(3*(1+0.2*B123*2/(1.4*287*288.15*1.225*SQRT(3.1415*'Drag Polar'!$D$6*'Drag Polar'!$D$41*'Drag Polar'!$E$41))-1.07))/(1.5+SQRT(B123*2/(1.225*SQRT(3.1415*'Drag Polar'!$D$6*'Drag Polar'!$D$41*'Drag Polar'!$E$41)))))))*(0.024+2*(SQRT('Drag Polar'!$D$41/(3.14*'Drag Polar'!$D$6*'Drag Polar'!$E$41))))</f>
        <v>0.25943826898620065</v>
      </c>
      <c r="J123" s="15">
        <f>2*(1/(POWER(1+0.2*B123*2/(1.4*287*288.15*1.225*SQRT(3.1415*'Drag Polar'!$D$6*'Drag Polar'!$D$39*'Drag Polar'!$E$39)),3.5)*(1-0.57*SQRT(SQRT(B123*2/(1.225*SQRT(3.1415*'Drag Polar'!$D$6*'Drag Polar'!$D$39*'Drag Polar'!$E$39)))/SQRT(1.4*287*288.15))-(3*(1+0.2*B123*2/(1.4*287*288.15*1.225*SQRT(3.1415*'Drag Polar'!$D$6*'Drag Polar'!$D$39*'Drag Polar'!$E$39))-1.07))/(1.5+SQRT(B123*2/(1.225*SQRT(3.1415*'Drag Polar'!$D$6*'Drag Polar'!$D$39*'Drag Polar'!$E$39)))))))*(0.012+2*(SQRT('Drag Polar'!$D$39/(3.14*'Drag Polar'!$D$6*'Drag Polar'!$E$39))))</f>
        <v>0.17780931993631555</v>
      </c>
      <c r="K123" s="15">
        <f>2*(1/(POWER(1+0.2*B123*2/(1.4*287*288.15*1.225*SQRT(3.1415*'Drag Polar'!$D$6*'Drag Polar'!$D$43*'Drag Polar'!$E$43)),3.5)*(1-0.57*SQRT(SQRT(B123*2/(1.225*SQRT(3.1415*'Drag Polar'!$D$6*'Drag Polar'!$D$43*'Drag Polar'!$E$43)))/SQRT(1.4*287*288.15))-(3*(1+0.2*B123*2/(1.4*287*288.15*1.225*SQRT(3.1415*'Drag Polar'!$D$6*'Drag Polar'!$D$43*'Drag Polar'!$E$43))-1.07))/(1.5+SQRT(B123*2/(1.225*SQRT(3.1415*'Drag Polar'!$D$6*'Drag Polar'!$D$43*'Drag Polar'!$E$43)))))))*(0.021+2*(SQRT('Drag Polar'!$D$43/(3.14*'Drag Polar'!$D$6*'Drag Polar'!$E$43))))</f>
        <v>0.30824054043181087</v>
      </c>
      <c r="L123" s="15">
        <f>1.15*(POWER(1+0.2*B123*2/(1.4*287*298*1.11596*2.2),3.5)*(1-0.57*SQRT(SQRT(B123*2/(1.11596*2.2))/SQRT(1.4*287*298))-(3*(1+0.2*B123*2/(1.4*287*298*1.11596*2.2)-1.07))/(1.5+SQRT(B123*2/(1.11596*2.2)))))*(SQRT(B123/(1720*1.11596*9.8065*3.1415*0.85*'Drag Polar'!$E$42*'Drag Polar'!$D$6))+11*4/1720)</f>
        <v>9.4190237495002063E-2</v>
      </c>
      <c r="M123" s="15"/>
      <c r="N123" s="15"/>
      <c r="O123" s="15"/>
      <c r="P123" s="15"/>
      <c r="Q123" s="15"/>
      <c r="R123" s="15"/>
      <c r="S123" s="15"/>
      <c r="T123" s="15"/>
      <c r="U123" s="15"/>
      <c r="V123" s="15"/>
      <c r="W123" s="15"/>
      <c r="X123" s="15"/>
      <c r="Y123" s="15"/>
      <c r="Z123" s="15"/>
      <c r="AA123" s="15"/>
      <c r="AB123" s="15"/>
      <c r="AC123" s="15"/>
      <c r="AD123" s="15"/>
    </row>
    <row r="124" spans="1:30" x14ac:dyDescent="0.3">
      <c r="A124" s="15"/>
      <c r="B124" s="15">
        <v>2400</v>
      </c>
      <c r="C124" s="15">
        <v>4300</v>
      </c>
      <c r="D124" s="15">
        <v>4100</v>
      </c>
      <c r="E124" s="15">
        <f t="shared" si="1"/>
        <v>0.39931858463936826</v>
      </c>
      <c r="F124" s="16">
        <f t="shared" si="0"/>
        <v>0.3086727634577261</v>
      </c>
      <c r="G124" s="15">
        <f>(1/(POWER(1+0.2*B124*2/(1.4*287*288.15*1.225*SQRT(3.1415*'Drag Polar'!$D$44*'Drag Polar'!$E$44*'Drag Polar'!$D$6)),3.5)*(1-0.57*SQRT(SQRT(B124*2/(1.225*SQRT(3.1415*'Drag Polar'!$D$44*'Drag Polar'!$E$44*'Drag Polar'!$D$6)))/SQRT(1.4*287*288.15))-(3*(1+0.2*B124*2/(1.4*287*288.15*1.225*SQRT(3.1415*'Drag Polar'!$D$44*'Drag Polar'!$E$44*'Drag Polar'!$D$6))-1.07))/(1.5+SQRT(B124*2/(1.225*SQRT(3.1415*'Drag Polar'!$D$44*'Drag Polar'!$E$44*'Drag Polar'!$D$6)))))))*(0.032+2*(SQRT('Drag Polar'!$D$44/(3.1415*'Drag Polar'!$D$6*'Drag Polar'!$E$44))))</f>
        <v>0.17938826761408172</v>
      </c>
      <c r="H124" s="15">
        <f>2*(1/(POWER(1+0.2*B124*2/(1.4*287*288.15*1.225*SQRT(3.1415*'Drag Polar'!$D$6*'Drag Polar'!$D$42*'Drag Polar'!$E$42)),3.5)*(1-0.57*SQRT(SQRT(B124*2/(1.225*SQRT(3.1415*'Drag Polar'!$D$6*'Drag Polar'!$D$42*'Drag Polar'!$E$42)))/SQRT(1.4*287*288.15))-(3*(1+0.2*B124*2/(1.4*287*288.15*1.225*SQRT(3.1415*'Drag Polar'!$D$6*'Drag Polar'!$D$42*'Drag Polar'!$E$42))-1.07))/(1.5+SQRT(B124*2/(1.225*SQRT(3.1415*'Drag Polar'!$D$6*'Drag Polar'!$D$42*'Drag Polar'!$E$42)))))))*(2*(SQRT('Drag Polar'!$D$42/(3.1415*'Drag Polar'!$D$6*'Drag Polar'!$E$42))))</f>
        <v>0.23222346046391126</v>
      </c>
      <c r="I124" s="15">
        <f>2*(1/(POWER(1+0.2*B124*2/(1.4*287*288.15*1.225*SQRT(3.1415*'Drag Polar'!$D$6*'Drag Polar'!$D$41*'Drag Polar'!$E$41)),3.5)*(1-0.57*SQRT(SQRT(B124*2/(1.225*SQRT(3.1415*'Drag Polar'!$D$6*'Drag Polar'!$D$41*'Drag Polar'!$E$41)))/SQRT(1.4*287*288.15))-(3*(1+0.2*B124*2/(1.4*287*288.15*1.225*SQRT(3.1415*'Drag Polar'!$D$6*'Drag Polar'!$D$41*'Drag Polar'!$E$41))-1.07))/(1.5+SQRT(B124*2/(1.225*SQRT(3.1415*'Drag Polar'!$D$6*'Drag Polar'!$D$41*'Drag Polar'!$E$41)))))))*(0.024+2*(SQRT('Drag Polar'!$D$41/(3.14*'Drag Polar'!$D$6*'Drag Polar'!$E$41))))</f>
        <v>0.26009485209330457</v>
      </c>
      <c r="J124" s="15">
        <f>2*(1/(POWER(1+0.2*B124*2/(1.4*287*288.15*1.225*SQRT(3.1415*'Drag Polar'!$D$6*'Drag Polar'!$D$39*'Drag Polar'!$E$39)),3.5)*(1-0.57*SQRT(SQRT(B124*2/(1.225*SQRT(3.1415*'Drag Polar'!$D$6*'Drag Polar'!$D$39*'Drag Polar'!$E$39)))/SQRT(1.4*287*288.15))-(3*(1+0.2*B124*2/(1.4*287*288.15*1.225*SQRT(3.1415*'Drag Polar'!$D$6*'Drag Polar'!$D$39*'Drag Polar'!$E$39))-1.07))/(1.5+SQRT(B124*2/(1.225*SQRT(3.1415*'Drag Polar'!$D$6*'Drag Polar'!$D$39*'Drag Polar'!$E$39)))))))*(0.012+2*(SQRT('Drag Polar'!$D$39/(3.14*'Drag Polar'!$D$6*'Drag Polar'!$E$39))))</f>
        <v>0.17825854814986991</v>
      </c>
      <c r="K124" s="15">
        <f>2*(1/(POWER(1+0.2*B124*2/(1.4*287*288.15*1.225*SQRT(3.1415*'Drag Polar'!$D$6*'Drag Polar'!$D$43*'Drag Polar'!$E$43)),3.5)*(1-0.57*SQRT(SQRT(B124*2/(1.225*SQRT(3.1415*'Drag Polar'!$D$6*'Drag Polar'!$D$43*'Drag Polar'!$E$43)))/SQRT(1.4*287*288.15))-(3*(1+0.2*B124*2/(1.4*287*288.15*1.225*SQRT(3.1415*'Drag Polar'!$D$6*'Drag Polar'!$D$43*'Drag Polar'!$E$43))-1.07))/(1.5+SQRT(B124*2/(1.225*SQRT(3.1415*'Drag Polar'!$D$6*'Drag Polar'!$D$43*'Drag Polar'!$E$43)))))))*(0.021+2*(SQRT('Drag Polar'!$D$43/(3.14*'Drag Polar'!$D$6*'Drag Polar'!$E$43))))</f>
        <v>0.30899366291321012</v>
      </c>
      <c r="L124" s="15">
        <f>1.15*(POWER(1+0.2*B124*2/(1.4*287*298*1.11596*2.2),3.5)*(1-0.57*SQRT(SQRT(B124*2/(1.11596*2.2))/SQRT(1.4*287*298))-(3*(1+0.2*B124*2/(1.4*287*298*1.11596*2.2)-1.07))/(1.5+SQRT(B124*2/(1.11596*2.2)))))*(SQRT(B124/(1720*1.11596*9.8065*3.1415*0.85*'Drag Polar'!$E$42*'Drag Polar'!$D$6))+11*4/1720)</f>
        <v>9.5478803902251511E-2</v>
      </c>
      <c r="M124" s="15"/>
      <c r="N124" s="15"/>
      <c r="O124" s="15"/>
      <c r="P124" s="15"/>
      <c r="Q124" s="15"/>
      <c r="R124" s="15"/>
      <c r="S124" s="15"/>
      <c r="T124" s="15"/>
      <c r="U124" s="15"/>
      <c r="V124" s="15"/>
      <c r="W124" s="15"/>
      <c r="X124" s="15"/>
      <c r="Y124" s="15"/>
      <c r="Z124" s="15"/>
      <c r="AA124" s="15"/>
      <c r="AB124" s="15"/>
      <c r="AC124" s="15"/>
      <c r="AD124" s="15"/>
    </row>
    <row r="125" spans="1:30" x14ac:dyDescent="0.3">
      <c r="A125" s="15"/>
      <c r="B125" s="15">
        <v>2500</v>
      </c>
      <c r="C125" s="15">
        <v>4300</v>
      </c>
      <c r="D125" s="15">
        <v>4100</v>
      </c>
      <c r="E125" s="15">
        <f t="shared" si="1"/>
        <v>0.38681024881659337</v>
      </c>
      <c r="F125" s="16">
        <f t="shared" si="0"/>
        <v>0.30678739694497104</v>
      </c>
      <c r="G125" s="15">
        <f>(1/(POWER(1+0.2*B125*2/(1.4*287*288.15*1.225*SQRT(3.1415*'Drag Polar'!$D$44*'Drag Polar'!$E$44*'Drag Polar'!$D$6)),3.5)*(1-0.57*SQRT(SQRT(B125*2/(1.225*SQRT(3.1415*'Drag Polar'!$D$44*'Drag Polar'!$E$44*'Drag Polar'!$D$6)))/SQRT(1.4*287*288.15))-(3*(1+0.2*B125*2/(1.4*287*288.15*1.225*SQRT(3.1415*'Drag Polar'!$D$44*'Drag Polar'!$E$44*'Drag Polar'!$D$6))-1.07))/(1.5+SQRT(B125*2/(1.225*SQRT(3.1415*'Drag Polar'!$D$44*'Drag Polar'!$E$44*'Drag Polar'!$D$6)))))))*(0.032+2*(SQRT('Drag Polar'!$D$44/(3.1415*'Drag Polar'!$D$6*'Drag Polar'!$E$44))))</f>
        <v>0.17980635342356391</v>
      </c>
      <c r="H125" s="15">
        <f>2*(1/(POWER(1+0.2*B125*2/(1.4*287*288.15*1.225*SQRT(3.1415*'Drag Polar'!$D$6*'Drag Polar'!$D$42*'Drag Polar'!$E$42)),3.5)*(1-0.57*SQRT(SQRT(B125*2/(1.225*SQRT(3.1415*'Drag Polar'!$D$6*'Drag Polar'!$D$42*'Drag Polar'!$E$42)))/SQRT(1.4*287*288.15))-(3*(1+0.2*B125*2/(1.4*287*288.15*1.225*SQRT(3.1415*'Drag Polar'!$D$6*'Drag Polar'!$D$42*'Drag Polar'!$E$42))-1.07))/(1.5+SQRT(B125*2/(1.225*SQRT(3.1415*'Drag Polar'!$D$6*'Drag Polar'!$D$42*'Drag Polar'!$E$42)))))))*(2*(SQRT('Drag Polar'!$D$42/(3.1415*'Drag Polar'!$D$6*'Drag Polar'!$E$42))))</f>
        <v>0.23278307004437365</v>
      </c>
      <c r="I125" s="15">
        <f>2*(1/(POWER(1+0.2*B125*2/(1.4*287*288.15*1.225*SQRT(3.1415*'Drag Polar'!$D$6*'Drag Polar'!$D$41*'Drag Polar'!$E$41)),3.5)*(1-0.57*SQRT(SQRT(B125*2/(1.225*SQRT(3.1415*'Drag Polar'!$D$6*'Drag Polar'!$D$41*'Drag Polar'!$E$41)))/SQRT(1.4*287*288.15))-(3*(1+0.2*B125*2/(1.4*287*288.15*1.225*SQRT(3.1415*'Drag Polar'!$D$6*'Drag Polar'!$D$41*'Drag Polar'!$E$41))-1.07))/(1.5+SQRT(B125*2/(1.225*SQRT(3.1415*'Drag Polar'!$D$6*'Drag Polar'!$D$41*'Drag Polar'!$E$41)))))))*(0.024+2*(SQRT('Drag Polar'!$D$41/(3.14*'Drag Polar'!$D$6*'Drag Polar'!$E$41))))</f>
        <v>0.26072726798595441</v>
      </c>
      <c r="J125" s="15">
        <f>2*(1/(POWER(1+0.2*B125*2/(1.4*287*288.15*1.225*SQRT(3.1415*'Drag Polar'!$D$6*'Drag Polar'!$D$39*'Drag Polar'!$E$39)),3.5)*(1-0.57*SQRT(SQRT(B125*2/(1.225*SQRT(3.1415*'Drag Polar'!$D$6*'Drag Polar'!$D$39*'Drag Polar'!$E$39)))/SQRT(1.4*287*288.15))-(3*(1+0.2*B125*2/(1.4*287*288.15*1.225*SQRT(3.1415*'Drag Polar'!$D$6*'Drag Polar'!$D$39*'Drag Polar'!$E$39))-1.07))/(1.5+SQRT(B125*2/(1.225*SQRT(3.1415*'Drag Polar'!$D$6*'Drag Polar'!$D$39*'Drag Polar'!$E$39)))))))*(0.012+2*(SQRT('Drag Polar'!$D$39/(3.14*'Drag Polar'!$D$6*'Drag Polar'!$E$39))))</f>
        <v>0.17868923284806357</v>
      </c>
      <c r="K125" s="15">
        <f>2*(1/(POWER(1+0.2*B125*2/(1.4*287*288.15*1.225*SQRT(3.1415*'Drag Polar'!$D$6*'Drag Polar'!$D$43*'Drag Polar'!$E$43)),3.5)*(1-0.57*SQRT(SQRT(B125*2/(1.225*SQRT(3.1415*'Drag Polar'!$D$6*'Drag Polar'!$D$43*'Drag Polar'!$E$43)))/SQRT(1.4*287*288.15))-(3*(1+0.2*B125*2/(1.4*287*288.15*1.225*SQRT(3.1415*'Drag Polar'!$D$6*'Drag Polar'!$D$43*'Drag Polar'!$E$43))-1.07))/(1.5+SQRT(B125*2/(1.225*SQRT(3.1415*'Drag Polar'!$D$6*'Drag Polar'!$D$43*'Drag Polar'!$E$43)))))))*(0.021+2*(SQRT('Drag Polar'!$D$43/(3.14*'Drag Polar'!$D$6*'Drag Polar'!$E$43))))</f>
        <v>0.30972106642834718</v>
      </c>
      <c r="L125" s="15">
        <f>1.15*(POWER(1+0.2*B125*2/(1.4*287*298*1.11596*2.2),3.5)*(1-0.57*SQRT(SQRT(B125*2/(1.11596*2.2))/SQRT(1.4*287*298))-(3*(1+0.2*B125*2/(1.4*287*298*1.11596*2.2)-1.07))/(1.5+SQRT(B125*2/(1.11596*2.2)))))*(SQRT(B125/(1720*1.11596*9.8065*3.1415*0.85*'Drag Polar'!$E$42*'Drag Polar'!$D$6))+11*4/1720)</f>
        <v>9.6737753213079633E-2</v>
      </c>
      <c r="M125" s="15"/>
      <c r="N125" s="15"/>
      <c r="O125" s="15"/>
      <c r="P125" s="15"/>
      <c r="Q125" s="15"/>
      <c r="R125" s="15"/>
      <c r="S125" s="15"/>
      <c r="T125" s="15"/>
      <c r="U125" s="15"/>
      <c r="V125" s="15"/>
      <c r="W125" s="15"/>
      <c r="X125" s="15"/>
      <c r="Y125" s="15"/>
      <c r="Z125" s="15"/>
      <c r="AA125" s="15"/>
      <c r="AB125" s="15"/>
      <c r="AC125" s="15"/>
      <c r="AD125" s="15"/>
    </row>
    <row r="126" spans="1:30" x14ac:dyDescent="0.3">
      <c r="A126" s="15"/>
      <c r="B126" s="15">
        <v>2600</v>
      </c>
      <c r="C126" s="15">
        <v>4300</v>
      </c>
      <c r="D126" s="15">
        <v>4100</v>
      </c>
      <c r="E126" s="15">
        <f t="shared" si="1"/>
        <v>0.37540005843241497</v>
      </c>
      <c r="F126" s="16">
        <f t="shared" si="0"/>
        <v>0.30499451532296057</v>
      </c>
      <c r="G126" s="15">
        <f>(1/(POWER(1+0.2*B126*2/(1.4*287*288.15*1.225*SQRT(3.1415*'Drag Polar'!$D$44*'Drag Polar'!$E$44*'Drag Polar'!$D$6)),3.5)*(1-0.57*SQRT(SQRT(B126*2/(1.225*SQRT(3.1415*'Drag Polar'!$D$44*'Drag Polar'!$E$44*'Drag Polar'!$D$6)))/SQRT(1.4*287*288.15))-(3*(1+0.2*B126*2/(1.4*287*288.15*1.225*SQRT(3.1415*'Drag Polar'!$D$44*'Drag Polar'!$E$44*'Drag Polar'!$D$6))-1.07))/(1.5+SQRT(B126*2/(1.225*SQRT(3.1415*'Drag Polar'!$D$44*'Drag Polar'!$E$44*'Drag Polar'!$D$6)))))))*(0.032+2*(SQRT('Drag Polar'!$D$44/(3.1415*'Drag Polar'!$D$6*'Drag Polar'!$E$44))))</f>
        <v>0.18021080935355832</v>
      </c>
      <c r="H126" s="15">
        <f>2*(1/(POWER(1+0.2*B126*2/(1.4*287*288.15*1.225*SQRT(3.1415*'Drag Polar'!$D$6*'Drag Polar'!$D$42*'Drag Polar'!$E$42)),3.5)*(1-0.57*SQRT(SQRT(B126*2/(1.225*SQRT(3.1415*'Drag Polar'!$D$6*'Drag Polar'!$D$42*'Drag Polar'!$E$42)))/SQRT(1.4*287*288.15))-(3*(1+0.2*B126*2/(1.4*287*288.15*1.225*SQRT(3.1415*'Drag Polar'!$D$6*'Drag Polar'!$D$42*'Drag Polar'!$E$42))-1.07))/(1.5+SQRT(B126*2/(1.225*SQRT(3.1415*'Drag Polar'!$D$6*'Drag Polar'!$D$42*'Drag Polar'!$E$42)))))))*(2*(SQRT('Drag Polar'!$D$42/(3.1415*'Drag Polar'!$D$6*'Drag Polar'!$E$42))))</f>
        <v>0.23332340367360821</v>
      </c>
      <c r="I126" s="15">
        <f>2*(1/(POWER(1+0.2*B126*2/(1.4*287*288.15*1.225*SQRT(3.1415*'Drag Polar'!$D$6*'Drag Polar'!$D$41*'Drag Polar'!$E$41)),3.5)*(1-0.57*SQRT(SQRT(B126*2/(1.225*SQRT(3.1415*'Drag Polar'!$D$6*'Drag Polar'!$D$41*'Drag Polar'!$E$41)))/SQRT(1.4*287*288.15))-(3*(1+0.2*B126*2/(1.4*287*288.15*1.225*SQRT(3.1415*'Drag Polar'!$D$6*'Drag Polar'!$D$41*'Drag Polar'!$E$41))-1.07))/(1.5+SQRT(B126*2/(1.225*SQRT(3.1415*'Drag Polar'!$D$6*'Drag Polar'!$D$41*'Drag Polar'!$E$41)))))))*(0.024+2*(SQRT('Drag Polar'!$D$41/(3.14*'Drag Polar'!$D$6*'Drag Polar'!$E$41))))</f>
        <v>0.26133711454355535</v>
      </c>
      <c r="J126" s="15">
        <f>2*(1/(POWER(1+0.2*B126*2/(1.4*287*288.15*1.225*SQRT(3.1415*'Drag Polar'!$D$6*'Drag Polar'!$D$39*'Drag Polar'!$E$39)),3.5)*(1-0.57*SQRT(SQRT(B126*2/(1.225*SQRT(3.1415*'Drag Polar'!$D$6*'Drag Polar'!$D$39*'Drag Polar'!$E$39)))/SQRT(1.4*287*288.15))-(3*(1+0.2*B126*2/(1.4*287*288.15*1.225*SQRT(3.1415*'Drag Polar'!$D$6*'Drag Polar'!$D$39*'Drag Polar'!$E$39))-1.07))/(1.5+SQRT(B126*2/(1.225*SQRT(3.1415*'Drag Polar'!$D$6*'Drag Polar'!$D$39*'Drag Polar'!$E$39)))))))*(0.012+2*(SQRT('Drag Polar'!$D$39/(3.14*'Drag Polar'!$D$6*'Drag Polar'!$E$39))))</f>
        <v>0.17910258732517861</v>
      </c>
      <c r="K126" s="15">
        <f>2*(1/(POWER(1+0.2*B126*2/(1.4*287*288.15*1.225*SQRT(3.1415*'Drag Polar'!$D$6*'Drag Polar'!$D$43*'Drag Polar'!$E$43)),3.5)*(1-0.57*SQRT(SQRT(B126*2/(1.225*SQRT(3.1415*'Drag Polar'!$D$6*'Drag Polar'!$D$43*'Drag Polar'!$E$43)))/SQRT(1.4*287*288.15))-(3*(1+0.2*B126*2/(1.4*287*288.15*1.225*SQRT(3.1415*'Drag Polar'!$D$6*'Drag Polar'!$D$43*'Drag Polar'!$E$43))-1.07))/(1.5+SQRT(B126*2/(1.225*SQRT(3.1415*'Drag Polar'!$D$6*'Drag Polar'!$D$43*'Drag Polar'!$E$43)))))))*(0.021+2*(SQRT('Drag Polar'!$D$43/(3.14*'Drag Polar'!$D$6*'Drag Polar'!$E$43))))</f>
        <v>0.31042447451447613</v>
      </c>
      <c r="L126" s="15">
        <f>1.15*(POWER(1+0.2*B126*2/(1.4*287*298*1.11596*2.2),3.5)*(1-0.57*SQRT(SQRT(B126*2/(1.11596*2.2))/SQRT(1.4*287*298))-(3*(1+0.2*B126*2/(1.4*287*298*1.11596*2.2)-1.07))/(1.5+SQRT(B126*2/(1.11596*2.2)))))*(SQRT(B126/(1720*1.11596*9.8065*3.1415*0.85*'Drag Polar'!$E$42*'Drag Polar'!$D$6))+11*4/1720)</f>
        <v>9.796890748388383E-2</v>
      </c>
      <c r="M126" s="15"/>
      <c r="N126" s="15"/>
      <c r="O126" s="15"/>
      <c r="P126" s="15"/>
      <c r="Q126" s="15"/>
      <c r="R126" s="15"/>
      <c r="S126" s="15"/>
      <c r="T126" s="15"/>
      <c r="U126" s="15"/>
      <c r="V126" s="15"/>
      <c r="W126" s="15"/>
      <c r="X126" s="15"/>
      <c r="Y126" s="15"/>
      <c r="Z126" s="15"/>
      <c r="AA126" s="15"/>
      <c r="AB126" s="15"/>
      <c r="AC126" s="15"/>
      <c r="AD126" s="15"/>
    </row>
    <row r="127" spans="1:30" x14ac:dyDescent="0.3">
      <c r="A127" s="15"/>
      <c r="B127" s="15">
        <v>2700</v>
      </c>
      <c r="C127" s="15">
        <v>4300</v>
      </c>
      <c r="D127" s="15">
        <v>4100</v>
      </c>
      <c r="E127" s="15">
        <f t="shared" si="1"/>
        <v>0.36496599732698903</v>
      </c>
      <c r="F127" s="16">
        <f t="shared" si="0"/>
        <v>0.30328504117397415</v>
      </c>
      <c r="G127" s="15">
        <f>(1/(POWER(1+0.2*B127*2/(1.4*287*288.15*1.225*SQRT(3.1415*'Drag Polar'!$D$44*'Drag Polar'!$E$44*'Drag Polar'!$D$6)),3.5)*(1-0.57*SQRT(SQRT(B127*2/(1.225*SQRT(3.1415*'Drag Polar'!$D$44*'Drag Polar'!$E$44*'Drag Polar'!$D$6)))/SQRT(1.4*287*288.15))-(3*(1+0.2*B127*2/(1.4*287*288.15*1.225*SQRT(3.1415*'Drag Polar'!$D$44*'Drag Polar'!$E$44*'Drag Polar'!$D$6))-1.07))/(1.5+SQRT(B127*2/(1.225*SQRT(3.1415*'Drag Polar'!$D$44*'Drag Polar'!$E$44*'Drag Polar'!$D$6)))))))*(0.032+2*(SQRT('Drag Polar'!$D$44/(3.1415*'Drag Polar'!$D$6*'Drag Polar'!$E$44))))</f>
        <v>0.1806025155299624</v>
      </c>
      <c r="H127" s="15">
        <f>2*(1/(POWER(1+0.2*B127*2/(1.4*287*288.15*1.225*SQRT(3.1415*'Drag Polar'!$D$6*'Drag Polar'!$D$42*'Drag Polar'!$E$42)),3.5)*(1-0.57*SQRT(SQRT(B127*2/(1.225*SQRT(3.1415*'Drag Polar'!$D$6*'Drag Polar'!$D$42*'Drag Polar'!$E$42)))/SQRT(1.4*287*288.15))-(3*(1+0.2*B127*2/(1.4*287*288.15*1.225*SQRT(3.1415*'Drag Polar'!$D$6*'Drag Polar'!$D$42*'Drag Polar'!$E$42))-1.07))/(1.5+SQRT(B127*2/(1.225*SQRT(3.1415*'Drag Polar'!$D$6*'Drag Polar'!$D$42*'Drag Polar'!$E$42)))))))*(2*(SQRT('Drag Polar'!$D$42/(3.1415*'Drag Polar'!$D$6*'Drag Polar'!$E$42))))</f>
        <v>0.23384569212308637</v>
      </c>
      <c r="I127" s="15">
        <f>2*(1/(POWER(1+0.2*B127*2/(1.4*287*288.15*1.225*SQRT(3.1415*'Drag Polar'!$D$6*'Drag Polar'!$D$41*'Drag Polar'!$E$41)),3.5)*(1-0.57*SQRT(SQRT(B127*2/(1.225*SQRT(3.1415*'Drag Polar'!$D$6*'Drag Polar'!$D$41*'Drag Polar'!$E$41)))/SQRT(1.4*287*288.15))-(3*(1+0.2*B127*2/(1.4*287*288.15*1.225*SQRT(3.1415*'Drag Polar'!$D$6*'Drag Polar'!$D$41*'Drag Polar'!$E$41))-1.07))/(1.5+SQRT(B127*2/(1.225*SQRT(3.1415*'Drag Polar'!$D$6*'Drag Polar'!$D$41*'Drag Polar'!$E$41)))))))*(0.024+2*(SQRT('Drag Polar'!$D$41/(3.14*'Drag Polar'!$D$6*'Drag Polar'!$E$41))))</f>
        <v>0.26192582562369904</v>
      </c>
      <c r="J127" s="15">
        <f>2*(1/(POWER(1+0.2*B127*2/(1.4*287*288.15*1.225*SQRT(3.1415*'Drag Polar'!$D$6*'Drag Polar'!$D$39*'Drag Polar'!$E$39)),3.5)*(1-0.57*SQRT(SQRT(B127*2/(1.225*SQRT(3.1415*'Drag Polar'!$D$6*'Drag Polar'!$D$39*'Drag Polar'!$E$39)))/SQRT(1.4*287*288.15))-(3*(1+0.2*B127*2/(1.4*287*288.15*1.225*SQRT(3.1415*'Drag Polar'!$D$6*'Drag Polar'!$D$39*'Drag Polar'!$E$39))-1.07))/(1.5+SQRT(B127*2/(1.225*SQRT(3.1415*'Drag Polar'!$D$6*'Drag Polar'!$D$39*'Drag Polar'!$E$39)))))))*(0.012+2*(SQRT('Drag Polar'!$D$39/(3.14*'Drag Polar'!$D$6*'Drag Polar'!$E$39))))</f>
        <v>0.17949970151912611</v>
      </c>
      <c r="K127" s="15">
        <f>2*(1/(POWER(1+0.2*B127*2/(1.4*287*288.15*1.225*SQRT(3.1415*'Drag Polar'!$D$6*'Drag Polar'!$D$43*'Drag Polar'!$E$43)),3.5)*(1-0.57*SQRT(SQRT(B127*2/(1.225*SQRT(3.1415*'Drag Polar'!$D$6*'Drag Polar'!$D$43*'Drag Polar'!$E$43)))/SQRT(1.4*287*288.15))-(3*(1+0.2*B127*2/(1.4*287*288.15*1.225*SQRT(3.1415*'Drag Polar'!$D$6*'Drag Polar'!$D$43*'Drag Polar'!$E$43))-1.07))/(1.5+SQRT(B127*2/(1.225*SQRT(3.1415*'Drag Polar'!$D$6*'Drag Polar'!$D$43*'Drag Polar'!$E$43)))))))*(0.021+2*(SQRT('Drag Polar'!$D$43/(3.14*'Drag Polar'!$D$6*'Drag Polar'!$E$43))))</f>
        <v>0.31110543210821656</v>
      </c>
      <c r="L127" s="15">
        <f>1.15*(POWER(1+0.2*B127*2/(1.4*287*298*1.11596*2.2),3.5)*(1-0.57*SQRT(SQRT(B127*2/(1.11596*2.2))/SQRT(1.4*287*298))-(3*(1+0.2*B127*2/(1.4*287*298*1.11596*2.2)-1.07))/(1.5+SQRT(B127*2/(1.11596*2.2)))))*(SQRT(B127/(1720*1.11596*9.8065*3.1415*0.85*'Drag Polar'!$E$42*'Drag Polar'!$D$6))+11*4/1720)</f>
        <v>9.9173913451532786E-2</v>
      </c>
      <c r="M127" s="15"/>
      <c r="N127" s="15"/>
      <c r="O127" s="15"/>
      <c r="P127" s="15"/>
      <c r="Q127" s="15"/>
      <c r="R127" s="15"/>
      <c r="S127" s="15"/>
      <c r="T127" s="15"/>
      <c r="U127" s="15"/>
      <c r="V127" s="15"/>
      <c r="W127" s="15"/>
      <c r="X127" s="15"/>
      <c r="Y127" s="15"/>
      <c r="Z127" s="15"/>
      <c r="AA127" s="15"/>
      <c r="AB127" s="15"/>
      <c r="AC127" s="15"/>
      <c r="AD127" s="15"/>
    </row>
    <row r="128" spans="1:30" x14ac:dyDescent="0.3">
      <c r="A128" s="15"/>
      <c r="B128" s="15">
        <v>2800</v>
      </c>
      <c r="C128" s="15">
        <v>4300</v>
      </c>
      <c r="D128" s="15">
        <v>4100</v>
      </c>
      <c r="E128" s="15">
        <f t="shared" si="1"/>
        <v>0.35540348022044921</v>
      </c>
      <c r="F128" s="16">
        <f t="shared" si="0"/>
        <v>0.30165107410712877</v>
      </c>
      <c r="G128" s="15">
        <f>(1/(POWER(1+0.2*B128*2/(1.4*287*288.15*1.225*SQRT(3.1415*'Drag Polar'!$D$44*'Drag Polar'!$E$44*'Drag Polar'!$D$6)),3.5)*(1-0.57*SQRT(SQRT(B128*2/(1.225*SQRT(3.1415*'Drag Polar'!$D$44*'Drag Polar'!$E$44*'Drag Polar'!$D$6)))/SQRT(1.4*287*288.15))-(3*(1+0.2*B128*2/(1.4*287*288.15*1.225*SQRT(3.1415*'Drag Polar'!$D$44*'Drag Polar'!$E$44*'Drag Polar'!$D$6))-1.07))/(1.5+SQRT(B128*2/(1.225*SQRT(3.1415*'Drag Polar'!$D$44*'Drag Polar'!$E$44*'Drag Polar'!$D$6)))))))*(0.032+2*(SQRT('Drag Polar'!$D$44/(3.1415*'Drag Polar'!$D$6*'Drag Polar'!$E$44))))</f>
        <v>0.1809822641172496</v>
      </c>
      <c r="H128" s="15">
        <f>2*(1/(POWER(1+0.2*B128*2/(1.4*287*288.15*1.225*SQRT(3.1415*'Drag Polar'!$D$6*'Drag Polar'!$D$42*'Drag Polar'!$E$42)),3.5)*(1-0.57*SQRT(SQRT(B128*2/(1.225*SQRT(3.1415*'Drag Polar'!$D$6*'Drag Polar'!$D$42*'Drag Polar'!$E$42)))/SQRT(1.4*287*288.15))-(3*(1+0.2*B128*2/(1.4*287*288.15*1.225*SQRT(3.1415*'Drag Polar'!$D$6*'Drag Polar'!$D$42*'Drag Polar'!$E$42))-1.07))/(1.5+SQRT(B128*2/(1.225*SQRT(3.1415*'Drag Polar'!$D$6*'Drag Polar'!$D$42*'Drag Polar'!$E$42)))))))*(2*(SQRT('Drag Polar'!$D$42/(3.1415*'Drag Polar'!$D$6*'Drag Polar'!$E$42))))</f>
        <v>0.23435104410051752</v>
      </c>
      <c r="I128" s="15">
        <f>2*(1/(POWER(1+0.2*B128*2/(1.4*287*288.15*1.225*SQRT(3.1415*'Drag Polar'!$D$6*'Drag Polar'!$D$41*'Drag Polar'!$E$41)),3.5)*(1-0.57*SQRT(SQRT(B128*2/(1.225*SQRT(3.1415*'Drag Polar'!$D$6*'Drag Polar'!$D$41*'Drag Polar'!$E$41)))/SQRT(1.4*287*288.15))-(3*(1+0.2*B128*2/(1.4*287*288.15*1.225*SQRT(3.1415*'Drag Polar'!$D$6*'Drag Polar'!$D$41*'Drag Polar'!$E$41))-1.07))/(1.5+SQRT(B128*2/(1.225*SQRT(3.1415*'Drag Polar'!$D$6*'Drag Polar'!$D$41*'Drag Polar'!$E$41)))))))*(0.024+2*(SQRT('Drag Polar'!$D$41/(3.14*'Drag Polar'!$D$6*'Drag Polar'!$E$41))))</f>
        <v>0.26249469341187259</v>
      </c>
      <c r="J128" s="15">
        <f>2*(1/(POWER(1+0.2*B128*2/(1.4*287*288.15*1.225*SQRT(3.1415*'Drag Polar'!$D$6*'Drag Polar'!$D$39*'Drag Polar'!$E$39)),3.5)*(1-0.57*SQRT(SQRT(B128*2/(1.225*SQRT(3.1415*'Drag Polar'!$D$6*'Drag Polar'!$D$39*'Drag Polar'!$E$39)))/SQRT(1.4*287*288.15))-(3*(1+0.2*B128*2/(1.4*287*288.15*1.225*SQRT(3.1415*'Drag Polar'!$D$6*'Drag Polar'!$D$39*'Drag Polar'!$E$39))-1.07))/(1.5+SQRT(B128*2/(1.225*SQRT(3.1415*'Drag Polar'!$D$6*'Drag Polar'!$D$39*'Drag Polar'!$E$39)))))))*(0.012+2*(SQRT('Drag Polar'!$D$39/(3.14*'Drag Polar'!$D$6*'Drag Polar'!$E$39))))</f>
        <v>0.17988155871522352</v>
      </c>
      <c r="K128" s="15">
        <f>2*(1/(POWER(1+0.2*B128*2/(1.4*287*288.15*1.225*SQRT(3.1415*'Drag Polar'!$D$6*'Drag Polar'!$D$43*'Drag Polar'!$E$43)),3.5)*(1-0.57*SQRT(SQRT(B128*2/(1.225*SQRT(3.1415*'Drag Polar'!$D$6*'Drag Polar'!$D$43*'Drag Polar'!$E$43)))/SQRT(1.4*287*288.15))-(3*(1+0.2*B128*2/(1.4*287*288.15*1.225*SQRT(3.1415*'Drag Polar'!$D$6*'Drag Polar'!$D$43*'Drag Polar'!$E$43))-1.07))/(1.5+SQRT(B128*2/(1.225*SQRT(3.1415*'Drag Polar'!$D$6*'Drag Polar'!$D$43*'Drag Polar'!$E$43)))))))*(0.021+2*(SQRT('Drag Polar'!$D$43/(3.14*'Drag Polar'!$D$6*'Drag Polar'!$E$43))))</f>
        <v>0.31176533004122203</v>
      </c>
      <c r="L128" s="15">
        <f>1.15*(POWER(1+0.2*B128*2/(1.4*287*298*1.11596*2.2),3.5)*(1-0.57*SQRT(SQRT(B128*2/(1.11596*2.2))/SQRT(1.4*287*298))-(3*(1+0.2*B128*2/(1.4*287*298*1.11596*2.2)-1.07))/(1.5+SQRT(B128*2/(1.11596*2.2)))))*(SQRT(B128/(1720*1.11596*9.8065*3.1415*0.85*'Drag Polar'!$E$42*'Drag Polar'!$D$6))+11*4/1720)</f>
        <v>0.10035426514980927</v>
      </c>
      <c r="M128" s="15"/>
      <c r="N128" s="15"/>
      <c r="O128" s="15"/>
      <c r="P128" s="15"/>
      <c r="Q128" s="15"/>
      <c r="R128" s="15"/>
      <c r="S128" s="15"/>
      <c r="T128" s="15"/>
      <c r="U128" s="15"/>
      <c r="V128" s="15"/>
      <c r="W128" s="15"/>
      <c r="X128" s="15"/>
      <c r="Y128" s="15"/>
      <c r="Z128" s="15"/>
      <c r="AA128" s="15"/>
      <c r="AB128" s="15"/>
      <c r="AC128" s="15"/>
      <c r="AD128" s="15"/>
    </row>
    <row r="129" spans="1:30" x14ac:dyDescent="0.3">
      <c r="A129" s="15"/>
      <c r="B129" s="15">
        <v>2900</v>
      </c>
      <c r="C129" s="15">
        <v>4300</v>
      </c>
      <c r="D129" s="15">
        <v>4100</v>
      </c>
      <c r="E129" s="15">
        <f t="shared" si="1"/>
        <v>0.34662234738877279</v>
      </c>
      <c r="F129" s="16">
        <f t="shared" si="0"/>
        <v>0.30008570386124622</v>
      </c>
      <c r="G129" s="15">
        <f>(1/(POWER(1+0.2*B129*2/(1.4*287*288.15*1.225*SQRT(3.1415*'Drag Polar'!$D$44*'Drag Polar'!$E$44*'Drag Polar'!$D$6)),3.5)*(1-0.57*SQRT(SQRT(B129*2/(1.225*SQRT(3.1415*'Drag Polar'!$D$44*'Drag Polar'!$E$44*'Drag Polar'!$D$6)))/SQRT(1.4*287*288.15))-(3*(1+0.2*B129*2/(1.4*287*288.15*1.225*SQRT(3.1415*'Drag Polar'!$D$44*'Drag Polar'!$E$44*'Drag Polar'!$D$6))-1.07))/(1.5+SQRT(B129*2/(1.225*SQRT(3.1415*'Drag Polar'!$D$44*'Drag Polar'!$E$44*'Drag Polar'!$D$6)))))))*(0.032+2*(SQRT('Drag Polar'!$D$44/(3.1415*'Drag Polar'!$D$6*'Drag Polar'!$E$44))))</f>
        <v>0.18135077096604083</v>
      </c>
      <c r="H129" s="15">
        <f>2*(1/(POWER(1+0.2*B129*2/(1.4*287*288.15*1.225*SQRT(3.1415*'Drag Polar'!$D$6*'Drag Polar'!$D$42*'Drag Polar'!$E$42)),3.5)*(1-0.57*SQRT(SQRT(B129*2/(1.225*SQRT(3.1415*'Drag Polar'!$D$6*'Drag Polar'!$D$42*'Drag Polar'!$E$42)))/SQRT(1.4*287*288.15))-(3*(1+0.2*B129*2/(1.4*287*288.15*1.225*SQRT(3.1415*'Drag Polar'!$D$6*'Drag Polar'!$D$42*'Drag Polar'!$E$42))-1.07))/(1.5+SQRT(B129*2/(1.225*SQRT(3.1415*'Drag Polar'!$D$6*'Drag Polar'!$D$42*'Drag Polar'!$E$42)))))))*(2*(SQRT('Drag Polar'!$D$42/(3.1415*'Drag Polar'!$D$6*'Drag Polar'!$E$42))))</f>
        <v>0.23484046232651212</v>
      </c>
      <c r="I129" s="15">
        <f>2*(1/(POWER(1+0.2*B129*2/(1.4*287*288.15*1.225*SQRT(3.1415*'Drag Polar'!$D$6*'Drag Polar'!$D$41*'Drag Polar'!$E$41)),3.5)*(1-0.57*SQRT(SQRT(B129*2/(1.225*SQRT(3.1415*'Drag Polar'!$D$6*'Drag Polar'!$D$41*'Drag Polar'!$E$41)))/SQRT(1.4*287*288.15))-(3*(1+0.2*B129*2/(1.4*287*288.15*1.225*SQRT(3.1415*'Drag Polar'!$D$6*'Drag Polar'!$D$41*'Drag Polar'!$E$41))-1.07))/(1.5+SQRT(B129*2/(1.225*SQRT(3.1415*'Drag Polar'!$D$6*'Drag Polar'!$D$41*'Drag Polar'!$E$41)))))))*(0.024+2*(SQRT('Drag Polar'!$D$41/(3.14*'Drag Polar'!$D$6*'Drag Polar'!$E$41))))</f>
        <v>0.26304488703335532</v>
      </c>
      <c r="J129" s="15">
        <f>2*(1/(POWER(1+0.2*B129*2/(1.4*287*288.15*1.225*SQRT(3.1415*'Drag Polar'!$D$6*'Drag Polar'!$D$39*'Drag Polar'!$E$39)),3.5)*(1-0.57*SQRT(SQRT(B129*2/(1.225*SQRT(3.1415*'Drag Polar'!$D$6*'Drag Polar'!$D$39*'Drag Polar'!$E$39)))/SQRT(1.4*287*288.15))-(3*(1+0.2*B129*2/(1.4*287*288.15*1.225*SQRT(3.1415*'Drag Polar'!$D$6*'Drag Polar'!$D$39*'Drag Polar'!$E$39))-1.07))/(1.5+SQRT(B129*2/(1.225*SQRT(3.1415*'Drag Polar'!$D$6*'Drag Polar'!$D$39*'Drag Polar'!$E$39)))))))*(0.012+2*(SQRT('Drag Polar'!$D$39/(3.14*'Drag Polar'!$D$6*'Drag Polar'!$E$39))))</f>
        <v>0.1802490494695031</v>
      </c>
      <c r="K129" s="15">
        <f>2*(1/(POWER(1+0.2*B129*2/(1.4*287*288.15*1.225*SQRT(3.1415*'Drag Polar'!$D$6*'Drag Polar'!$D$43*'Drag Polar'!$E$43)),3.5)*(1-0.57*SQRT(SQRT(B129*2/(1.225*SQRT(3.1415*'Drag Polar'!$D$6*'Drag Polar'!$D$43*'Drag Polar'!$E$43)))/SQRT(1.4*287*288.15))-(3*(1+0.2*B129*2/(1.4*287*288.15*1.225*SQRT(3.1415*'Drag Polar'!$D$6*'Drag Polar'!$D$43*'Drag Polar'!$E$43))-1.07))/(1.5+SQRT(B129*2/(1.225*SQRT(3.1415*'Drag Polar'!$D$6*'Drag Polar'!$D$43*'Drag Polar'!$E$43)))))))*(0.021+2*(SQRT('Drag Polar'!$D$43/(3.14*'Drag Polar'!$D$6*'Drag Polar'!$E$43))))</f>
        <v>0.31240542541822036</v>
      </c>
      <c r="L129" s="15">
        <f>1.15*(POWER(1+0.2*B129*2/(1.4*287*298*1.11596*2.2),3.5)*(1-0.57*SQRT(SQRT(B129*2/(1.11596*2.2))/SQRT(1.4*287*298))-(3*(1+0.2*B129*2/(1.4*287*298*1.11596*2.2)-1.07))/(1.5+SQRT(B129*2/(1.11596*2.2)))))*(SQRT(B129/(1720*1.11596*9.8065*3.1415*0.85*'Drag Polar'!$E$42*'Drag Polar'!$D$6))+11*4/1720)</f>
        <v>0.10151132291584733</v>
      </c>
      <c r="M129" s="15"/>
      <c r="N129" s="15"/>
      <c r="O129" s="15"/>
      <c r="P129" s="15"/>
      <c r="Q129" s="15"/>
      <c r="R129" s="15"/>
      <c r="S129" s="15"/>
      <c r="T129" s="15"/>
      <c r="U129" s="15"/>
      <c r="V129" s="15"/>
      <c r="W129" s="15"/>
      <c r="X129" s="15"/>
      <c r="Y129" s="15"/>
      <c r="Z129" s="15"/>
      <c r="AA129" s="15"/>
      <c r="AB129" s="15"/>
      <c r="AC129" s="15"/>
      <c r="AD129" s="15"/>
    </row>
    <row r="130" spans="1:30" x14ac:dyDescent="0.3">
      <c r="A130" s="15"/>
      <c r="B130" s="15">
        <v>3000</v>
      </c>
      <c r="C130" s="15">
        <v>4300</v>
      </c>
      <c r="D130" s="15">
        <v>4100</v>
      </c>
      <c r="E130" s="15">
        <f t="shared" si="1"/>
        <v>0.33854446040447345</v>
      </c>
      <c r="F130" s="16">
        <f t="shared" si="0"/>
        <v>0.29858285825886649</v>
      </c>
      <c r="G130" s="15">
        <f>(1/(POWER(1+0.2*B130*2/(1.4*287*288.15*1.225*SQRT(3.1415*'Drag Polar'!$D$44*'Drag Polar'!$E$44*'Drag Polar'!$D$6)),3.5)*(1-0.57*SQRT(SQRT(B130*2/(1.225*SQRT(3.1415*'Drag Polar'!$D$44*'Drag Polar'!$E$44*'Drag Polar'!$D$6)))/SQRT(1.4*287*288.15))-(3*(1+0.2*B130*2/(1.4*287*288.15*1.225*SQRT(3.1415*'Drag Polar'!$D$44*'Drag Polar'!$E$44*'Drag Polar'!$D$6))-1.07))/(1.5+SQRT(B130*2/(1.225*SQRT(3.1415*'Drag Polar'!$D$44*'Drag Polar'!$E$44*'Drag Polar'!$D$6)))))))*(0.032+2*(SQRT('Drag Polar'!$D$44/(3.1415*'Drag Polar'!$D$6*'Drag Polar'!$E$44))))</f>
        <v>0.18170868536831883</v>
      </c>
      <c r="H130" s="15">
        <f>2*(1/(POWER(1+0.2*B130*2/(1.4*287*288.15*1.225*SQRT(3.1415*'Drag Polar'!$D$6*'Drag Polar'!$D$42*'Drag Polar'!$E$42)),3.5)*(1-0.57*SQRT(SQRT(B130*2/(1.225*SQRT(3.1415*'Drag Polar'!$D$6*'Drag Polar'!$D$42*'Drag Polar'!$E$42)))/SQRT(1.4*287*288.15))-(3*(1+0.2*B130*2/(1.4*287*288.15*1.225*SQRT(3.1415*'Drag Polar'!$D$6*'Drag Polar'!$D$42*'Drag Polar'!$E$42))-1.07))/(1.5+SQRT(B130*2/(1.225*SQRT(3.1415*'Drag Polar'!$D$6*'Drag Polar'!$D$42*'Drag Polar'!$E$42)))))))*(2*(SQRT('Drag Polar'!$D$42/(3.1415*'Drag Polar'!$D$6*'Drag Polar'!$E$42))))</f>
        <v>0.235314857010293</v>
      </c>
      <c r="I130" s="15">
        <f>2*(1/(POWER(1+0.2*B130*2/(1.4*287*288.15*1.225*SQRT(3.1415*'Drag Polar'!$D$6*'Drag Polar'!$D$41*'Drag Polar'!$E$41)),3.5)*(1-0.57*SQRT(SQRT(B130*2/(1.225*SQRT(3.1415*'Drag Polar'!$D$6*'Drag Polar'!$D$41*'Drag Polar'!$E$41)))/SQRT(1.4*287*288.15))-(3*(1+0.2*B130*2/(1.4*287*288.15*1.225*SQRT(3.1415*'Drag Polar'!$D$6*'Drag Polar'!$D$41*'Drag Polar'!$E$41))-1.07))/(1.5+SQRT(B130*2/(1.225*SQRT(3.1415*'Drag Polar'!$D$6*'Drag Polar'!$D$41*'Drag Polar'!$E$41)))))))*(0.024+2*(SQRT('Drag Polar'!$D$41/(3.14*'Drag Polar'!$D$6*'Drag Polar'!$E$41))))</f>
        <v>0.26357746815989896</v>
      </c>
      <c r="J130" s="15">
        <f>2*(1/(POWER(1+0.2*B130*2/(1.4*287*288.15*1.225*SQRT(3.1415*'Drag Polar'!$D$6*'Drag Polar'!$D$39*'Drag Polar'!$E$39)),3.5)*(1-0.57*SQRT(SQRT(B130*2/(1.225*SQRT(3.1415*'Drag Polar'!$D$6*'Drag Polar'!$D$39*'Drag Polar'!$E$39)))/SQRT(1.4*287*288.15))-(3*(1+0.2*B130*2/(1.4*287*288.15*1.225*SQRT(3.1415*'Drag Polar'!$D$6*'Drag Polar'!$D$39*'Drag Polar'!$E$39))-1.07))/(1.5+SQRT(B130*2/(1.225*SQRT(3.1415*'Drag Polar'!$D$6*'Drag Polar'!$D$39*'Drag Polar'!$E$39)))))))*(0.012+2*(SQRT('Drag Polar'!$D$39/(3.14*'Drag Polar'!$D$6*'Drag Polar'!$E$39))))</f>
        <v>0.18060298329443622</v>
      </c>
      <c r="K130" s="15">
        <f>2*(1/(POWER(1+0.2*B130*2/(1.4*287*288.15*1.225*SQRT(3.1415*'Drag Polar'!$D$6*'Drag Polar'!$D$43*'Drag Polar'!$E$43)),3.5)*(1-0.57*SQRT(SQRT(B130*2/(1.225*SQRT(3.1415*'Drag Polar'!$D$6*'Drag Polar'!$D$43*'Drag Polar'!$E$43)))/SQRT(1.4*287*288.15))-(3*(1+0.2*B130*2/(1.4*287*288.15*1.225*SQRT(3.1415*'Drag Polar'!$D$6*'Drag Polar'!$D$43*'Drag Polar'!$E$43))-1.07))/(1.5+SQRT(B130*2/(1.225*SQRT(3.1415*'Drag Polar'!$D$6*'Drag Polar'!$D$43*'Drag Polar'!$E$43)))))))*(0.021+2*(SQRT('Drag Polar'!$D$43/(3.14*'Drag Polar'!$D$6*'Drag Polar'!$E$43))))</f>
        <v>0.31302685868786967</v>
      </c>
      <c r="L130" s="15">
        <f>1.15*(POWER(1+0.2*B130*2/(1.4*287*298*1.11596*2.2),3.5)*(1-0.57*SQRT(SQRT(B130*2/(1.11596*2.2))/SQRT(1.4*287*298))-(3*(1+0.2*B130*2/(1.4*287*298*1.11596*2.2)-1.07))/(1.5+SQRT(B130*2/(1.11596*2.2)))))*(SQRT(B130/(1720*1.11596*9.8065*3.1415*0.85*'Drag Polar'!$E$42*'Drag Polar'!$D$6))+11*4/1720)</f>
        <v>0.10264632946602047</v>
      </c>
      <c r="M130" s="15"/>
      <c r="N130" s="15"/>
      <c r="O130" s="15"/>
      <c r="P130" s="15"/>
      <c r="Q130" s="15"/>
      <c r="R130" s="15"/>
      <c r="S130" s="15"/>
      <c r="T130" s="15"/>
      <c r="U130" s="15"/>
      <c r="V130" s="15"/>
      <c r="W130" s="15"/>
      <c r="X130" s="15"/>
      <c r="Y130" s="15"/>
      <c r="Z130" s="15"/>
      <c r="AA130" s="15"/>
      <c r="AB130" s="15"/>
      <c r="AC130" s="15"/>
      <c r="AD130" s="15"/>
    </row>
    <row r="131" spans="1:30" x14ac:dyDescent="0.3">
      <c r="A131" s="15"/>
      <c r="B131" s="15">
        <v>3100</v>
      </c>
      <c r="C131" s="15">
        <v>4300</v>
      </c>
      <c r="D131" s="15">
        <v>4100</v>
      </c>
      <c r="E131" s="15">
        <f t="shared" si="1"/>
        <v>0.33110176321780499</v>
      </c>
      <c r="F131" s="16">
        <f t="shared" si="0"/>
        <v>0.29713717860210964</v>
      </c>
      <c r="G131" s="15">
        <f>(1/(POWER(1+0.2*B131*2/(1.4*287*288.15*1.225*SQRT(3.1415*'Drag Polar'!$D$44*'Drag Polar'!$E$44*'Drag Polar'!$D$6)),3.5)*(1-0.57*SQRT(SQRT(B131*2/(1.225*SQRT(3.1415*'Drag Polar'!$D$44*'Drag Polar'!$E$44*'Drag Polar'!$D$6)))/SQRT(1.4*287*288.15))-(3*(1+0.2*B131*2/(1.4*287*288.15*1.225*SQRT(3.1415*'Drag Polar'!$D$44*'Drag Polar'!$E$44*'Drag Polar'!$D$6))-1.07))/(1.5+SQRT(B131*2/(1.225*SQRT(3.1415*'Drag Polar'!$D$44*'Drag Polar'!$E$44*'Drag Polar'!$D$6)))))))*(0.032+2*(SQRT('Drag Polar'!$D$44/(3.1415*'Drag Polar'!$D$6*'Drag Polar'!$E$44))))</f>
        <v>0.18205659828065321</v>
      </c>
      <c r="H131" s="15">
        <f>2*(1/(POWER(1+0.2*B131*2/(1.4*287*288.15*1.225*SQRT(3.1415*'Drag Polar'!$D$6*'Drag Polar'!$D$42*'Drag Polar'!$E$42)),3.5)*(1-0.57*SQRT(SQRT(B131*2/(1.225*SQRT(3.1415*'Drag Polar'!$D$6*'Drag Polar'!$D$42*'Drag Polar'!$E$42)))/SQRT(1.4*287*288.15))-(3*(1+0.2*B131*2/(1.4*287*288.15*1.225*SQRT(3.1415*'Drag Polar'!$D$6*'Drag Polar'!$D$42*'Drag Polar'!$E$42))-1.07))/(1.5+SQRT(B131*2/(1.225*SQRT(3.1415*'Drag Polar'!$D$6*'Drag Polar'!$D$42*'Drag Polar'!$E$42)))))))*(2*(SQRT('Drag Polar'!$D$42/(3.1415*'Drag Polar'!$D$6*'Drag Polar'!$E$42))))</f>
        <v>0.23577505721804068</v>
      </c>
      <c r="I131" s="15">
        <f>2*(1/(POWER(1+0.2*B131*2/(1.4*287*288.15*1.225*SQRT(3.1415*'Drag Polar'!$D$6*'Drag Polar'!$D$41*'Drag Polar'!$E$41)),3.5)*(1-0.57*SQRT(SQRT(B131*2/(1.225*SQRT(3.1415*'Drag Polar'!$D$6*'Drag Polar'!$D$41*'Drag Polar'!$E$41)))/SQRT(1.4*287*288.15))-(3*(1+0.2*B131*2/(1.4*287*288.15*1.225*SQRT(3.1415*'Drag Polar'!$D$6*'Drag Polar'!$D$41*'Drag Polar'!$E$41))-1.07))/(1.5+SQRT(B131*2/(1.225*SQRT(3.1415*'Drag Polar'!$D$6*'Drag Polar'!$D$41*'Drag Polar'!$E$41)))))))*(0.024+2*(SQRT('Drag Polar'!$D$41/(3.14*'Drag Polar'!$D$6*'Drag Polar'!$E$41))))</f>
        <v>0.26409340418056693</v>
      </c>
      <c r="J131" s="15">
        <f>2*(1/(POWER(1+0.2*B131*2/(1.4*287*288.15*1.225*SQRT(3.1415*'Drag Polar'!$D$6*'Drag Polar'!$D$39*'Drag Polar'!$E$39)),3.5)*(1-0.57*SQRT(SQRT(B131*2/(1.225*SQRT(3.1415*'Drag Polar'!$D$6*'Drag Polar'!$D$39*'Drag Polar'!$E$39)))/SQRT(1.4*287*288.15))-(3*(1+0.2*B131*2/(1.4*287*288.15*1.225*SQRT(3.1415*'Drag Polar'!$D$6*'Drag Polar'!$D$39*'Drag Polar'!$E$39))-1.07))/(1.5+SQRT(B131*2/(1.225*SQRT(3.1415*'Drag Polar'!$D$6*'Drag Polar'!$D$39*'Drag Polar'!$E$39)))))))*(0.012+2*(SQRT('Drag Polar'!$D$39/(3.14*'Drag Polar'!$D$6*'Drag Polar'!$E$39))))</f>
        <v>0.18094409852939639</v>
      </c>
      <c r="K131" s="15">
        <f>2*(1/(POWER(1+0.2*B131*2/(1.4*287*288.15*1.225*SQRT(3.1415*'Drag Polar'!$D$6*'Drag Polar'!$D$43*'Drag Polar'!$E$43)),3.5)*(1-0.57*SQRT(SQRT(B131*2/(1.225*SQRT(3.1415*'Drag Polar'!$D$6*'Drag Polar'!$D$43*'Drag Polar'!$E$43)))/SQRT(1.4*287*288.15))-(3*(1+0.2*B131*2/(1.4*287*288.15*1.225*SQRT(3.1415*'Drag Polar'!$D$6*'Drag Polar'!$D$43*'Drag Polar'!$E$43))-1.07))/(1.5+SQRT(B131*2/(1.225*SQRT(3.1415*'Drag Polar'!$D$6*'Drag Polar'!$D$43*'Drag Polar'!$E$43)))))))*(0.021+2*(SQRT('Drag Polar'!$D$43/(3.14*'Drag Polar'!$D$6*'Drag Polar'!$E$43))))</f>
        <v>0.31363066803566569</v>
      </c>
      <c r="L131" s="15">
        <f>1.15*(POWER(1+0.2*B131*2/(1.4*287*298*1.11596*2.2),3.5)*(1-0.57*SQRT(SQRT(B131*2/(1.11596*2.2))/SQRT(1.4*287*298))-(3*(1+0.2*B131*2/(1.4*287*298*1.11596*2.2)-1.07))/(1.5+SQRT(B131*2/(1.11596*2.2)))))*(SQRT(B131/(1720*1.11596*9.8065*3.1415*0.85*'Drag Polar'!$E$42*'Drag Polar'!$D$6))+11*4/1720)</f>
        <v>0.10376042357468042</v>
      </c>
      <c r="M131" s="15"/>
      <c r="N131" s="15"/>
      <c r="O131" s="15"/>
      <c r="P131" s="15"/>
      <c r="Q131" s="15"/>
      <c r="R131" s="15"/>
      <c r="S131" s="15"/>
      <c r="T131" s="15"/>
      <c r="U131" s="15"/>
      <c r="V131" s="15"/>
      <c r="W131" s="15"/>
      <c r="X131" s="15"/>
      <c r="Y131" s="15"/>
      <c r="Z131" s="15"/>
      <c r="AA131" s="15"/>
      <c r="AB131" s="15"/>
      <c r="AC131" s="15"/>
      <c r="AD131" s="15"/>
    </row>
    <row r="132" spans="1:30" x14ac:dyDescent="0.3">
      <c r="A132" s="15"/>
      <c r="B132" s="15">
        <v>3200</v>
      </c>
      <c r="C132" s="15">
        <v>4300</v>
      </c>
      <c r="D132" s="15">
        <v>4100</v>
      </c>
      <c r="E132" s="15">
        <f t="shared" si="1"/>
        <v>0.32423470678523952</v>
      </c>
      <c r="F132" s="16">
        <f t="shared" si="0"/>
        <v>0.29574391685854196</v>
      </c>
      <c r="G132" s="15">
        <f>(1/(POWER(1+0.2*B132*2/(1.4*287*288.15*1.225*SQRT(3.1415*'Drag Polar'!$D$44*'Drag Polar'!$E$44*'Drag Polar'!$D$6)),3.5)*(1-0.57*SQRT(SQRT(B132*2/(1.225*SQRT(3.1415*'Drag Polar'!$D$44*'Drag Polar'!$E$44*'Drag Polar'!$D$6)))/SQRT(1.4*287*288.15))-(3*(1+0.2*B132*2/(1.4*287*288.15*1.225*SQRT(3.1415*'Drag Polar'!$D$44*'Drag Polar'!$E$44*'Drag Polar'!$D$6))-1.07))/(1.5+SQRT(B132*2/(1.225*SQRT(3.1415*'Drag Polar'!$D$44*'Drag Polar'!$E$44*'Drag Polar'!$D$6)))))))*(0.032+2*(SQRT('Drag Polar'!$D$44/(3.1415*'Drag Polar'!$D$6*'Drag Polar'!$E$44))))</f>
        <v>0.18239504929776937</v>
      </c>
      <c r="H132" s="15">
        <f>2*(1/(POWER(1+0.2*B132*2/(1.4*287*288.15*1.225*SQRT(3.1415*'Drag Polar'!$D$6*'Drag Polar'!$D$42*'Drag Polar'!$E$42)),3.5)*(1-0.57*SQRT(SQRT(B132*2/(1.225*SQRT(3.1415*'Drag Polar'!$D$6*'Drag Polar'!$D$42*'Drag Polar'!$E$42)))/SQRT(1.4*287*288.15))-(3*(1+0.2*B132*2/(1.4*287*288.15*1.225*SQRT(3.1415*'Drag Polar'!$D$6*'Drag Polar'!$D$42*'Drag Polar'!$E$42))-1.07))/(1.5+SQRT(B132*2/(1.225*SQRT(3.1415*'Drag Polar'!$D$6*'Drag Polar'!$D$42*'Drag Polar'!$E$42)))))))*(2*(SQRT('Drag Polar'!$D$42/(3.1415*'Drag Polar'!$D$6*'Drag Polar'!$E$42))))</f>
        <v>0.23622182052088189</v>
      </c>
      <c r="I132" s="15">
        <f>2*(1/(POWER(1+0.2*B132*2/(1.4*287*288.15*1.225*SQRT(3.1415*'Drag Polar'!$D$6*'Drag Polar'!$D$41*'Drag Polar'!$E$41)),3.5)*(1-0.57*SQRT(SQRT(B132*2/(1.225*SQRT(3.1415*'Drag Polar'!$D$6*'Drag Polar'!$D$41*'Drag Polar'!$E$41)))/SQRT(1.4*287*288.15))-(3*(1+0.2*B132*2/(1.4*287*288.15*1.225*SQRT(3.1415*'Drag Polar'!$D$6*'Drag Polar'!$D$41*'Drag Polar'!$E$41))-1.07))/(1.5+SQRT(B132*2/(1.225*SQRT(3.1415*'Drag Polar'!$D$6*'Drag Polar'!$D$41*'Drag Polar'!$E$41)))))))*(0.024+2*(SQRT('Drag Polar'!$D$41/(3.14*'Drag Polar'!$D$6*'Drag Polar'!$E$41))))</f>
        <v>0.26459357938335581</v>
      </c>
      <c r="J132" s="15">
        <f>2*(1/(POWER(1+0.2*B132*2/(1.4*287*288.15*1.225*SQRT(3.1415*'Drag Polar'!$D$6*'Drag Polar'!$D$39*'Drag Polar'!$E$39)),3.5)*(1-0.57*SQRT(SQRT(B132*2/(1.225*SQRT(3.1415*'Drag Polar'!$D$6*'Drag Polar'!$D$39*'Drag Polar'!$E$39)))/SQRT(1.4*287*288.15))-(3*(1+0.2*B132*2/(1.4*287*288.15*1.225*SQRT(3.1415*'Drag Polar'!$D$6*'Drag Polar'!$D$39*'Drag Polar'!$E$39))-1.07))/(1.5+SQRT(B132*2/(1.225*SQRT(3.1415*'Drag Polar'!$D$6*'Drag Polar'!$D$39*'Drag Polar'!$E$39)))))))*(0.012+2*(SQRT('Drag Polar'!$D$39/(3.14*'Drag Polar'!$D$6*'Drag Polar'!$E$39))))</f>
        <v>0.18127307072742177</v>
      </c>
      <c r="K132" s="15">
        <f>2*(1/(POWER(1+0.2*B132*2/(1.4*287*288.15*1.225*SQRT(3.1415*'Drag Polar'!$D$6*'Drag Polar'!$D$43*'Drag Polar'!$E$43)),3.5)*(1-0.57*SQRT(SQRT(B132*2/(1.225*SQRT(3.1415*'Drag Polar'!$D$6*'Drag Polar'!$D$43*'Drag Polar'!$E$43)))/SQRT(1.4*287*288.15))-(3*(1+0.2*B132*2/(1.4*287*288.15*1.225*SQRT(3.1415*'Drag Polar'!$D$6*'Drag Polar'!$D$43*'Drag Polar'!$E$43))-1.07))/(1.5+SQRT(B132*2/(1.225*SQRT(3.1415*'Drag Polar'!$D$6*'Drag Polar'!$D$43*'Drag Polar'!$E$43)))))))*(0.021+2*(SQRT('Drag Polar'!$D$43/(3.14*'Drag Polar'!$D$6*'Drag Polar'!$E$43))))</f>
        <v>0.31421780159197077</v>
      </c>
      <c r="L132" s="15">
        <f>1.15*(POWER(1+0.2*B132*2/(1.4*287*298*1.11596*2.2),3.5)*(1-0.57*SQRT(SQRT(B132*2/(1.11596*2.2))/SQRT(1.4*287*298))-(3*(1+0.2*B132*2/(1.4*287*298*1.11596*2.2)-1.07))/(1.5+SQRT(B132*2/(1.11596*2.2)))))*(SQRT(B132/(1720*1.11596*9.8065*3.1415*0.85*'Drag Polar'!$E$42*'Drag Polar'!$D$6))+11*4/1720)</f>
        <v>0.10485465177814515</v>
      </c>
      <c r="M132" s="15"/>
      <c r="N132" s="15"/>
      <c r="O132" s="15"/>
      <c r="P132" s="15"/>
      <c r="Q132" s="15"/>
      <c r="R132" s="15"/>
      <c r="S132" s="15"/>
      <c r="T132" s="15"/>
      <c r="U132" s="15"/>
      <c r="V132" s="15"/>
      <c r="W132" s="15"/>
      <c r="X132" s="15"/>
      <c r="Y132" s="15"/>
      <c r="Z132" s="15"/>
      <c r="AA132" s="15"/>
      <c r="AB132" s="15"/>
      <c r="AC132" s="15"/>
      <c r="AD132" s="15"/>
    </row>
    <row r="133" spans="1:30" x14ac:dyDescent="0.3">
      <c r="A133" s="15"/>
      <c r="B133" s="15">
        <v>3300</v>
      </c>
      <c r="C133" s="15">
        <v>4300</v>
      </c>
      <c r="D133" s="15">
        <v>4100</v>
      </c>
      <c r="E133" s="15">
        <f t="shared" si="1"/>
        <v>0.31789096012913137</v>
      </c>
      <c r="F133" s="16">
        <f t="shared" si="0"/>
        <v>0.29439885028508095</v>
      </c>
      <c r="G133" s="15">
        <f>(1/(POWER(1+0.2*B133*2/(1.4*287*288.15*1.225*SQRT(3.1415*'Drag Polar'!$D$44*'Drag Polar'!$E$44*'Drag Polar'!$D$6)),3.5)*(1-0.57*SQRT(SQRT(B133*2/(1.225*SQRT(3.1415*'Drag Polar'!$D$44*'Drag Polar'!$E$44*'Drag Polar'!$D$6)))/SQRT(1.4*287*288.15))-(3*(1+0.2*B133*2/(1.4*287*288.15*1.225*SQRT(3.1415*'Drag Polar'!$D$44*'Drag Polar'!$E$44*'Drag Polar'!$D$6))-1.07))/(1.5+SQRT(B133*2/(1.225*SQRT(3.1415*'Drag Polar'!$D$44*'Drag Polar'!$E$44*'Drag Polar'!$D$6)))))))*(0.032+2*(SQRT('Drag Polar'!$D$44/(3.1415*'Drag Polar'!$D$6*'Drag Polar'!$E$44))))</f>
        <v>0.18272453259956134</v>
      </c>
      <c r="H133" s="15">
        <f>2*(1/(POWER(1+0.2*B133*2/(1.4*287*288.15*1.225*SQRT(3.1415*'Drag Polar'!$D$6*'Drag Polar'!$D$42*'Drag Polar'!$E$42)),3.5)*(1-0.57*SQRT(SQRT(B133*2/(1.225*SQRT(3.1415*'Drag Polar'!$D$6*'Drag Polar'!$D$42*'Drag Polar'!$E$42)))/SQRT(1.4*287*288.15))-(3*(1+0.2*B133*2/(1.4*287*288.15*1.225*SQRT(3.1415*'Drag Polar'!$D$6*'Drag Polar'!$D$42*'Drag Polar'!$E$42))-1.07))/(1.5+SQRT(B133*2/(1.225*SQRT(3.1415*'Drag Polar'!$D$6*'Drag Polar'!$D$42*'Drag Polar'!$E$42)))))))*(2*(SQRT('Drag Polar'!$D$42/(3.1415*'Drag Polar'!$D$6*'Drag Polar'!$E$42))))</f>
        <v>0.23665584122859049</v>
      </c>
      <c r="I133" s="15">
        <f>2*(1/(POWER(1+0.2*B133*2/(1.4*287*288.15*1.225*SQRT(3.1415*'Drag Polar'!$D$6*'Drag Polar'!$D$41*'Drag Polar'!$E$41)),3.5)*(1-0.57*SQRT(SQRT(B133*2/(1.225*SQRT(3.1415*'Drag Polar'!$D$6*'Drag Polar'!$D$41*'Drag Polar'!$E$41)))/SQRT(1.4*287*288.15))-(3*(1+0.2*B133*2/(1.4*287*288.15*1.225*SQRT(3.1415*'Drag Polar'!$D$6*'Drag Polar'!$D$41*'Drag Polar'!$E$41))-1.07))/(1.5+SQRT(B133*2/(1.225*SQRT(3.1415*'Drag Polar'!$D$6*'Drag Polar'!$D$41*'Drag Polar'!$E$41)))))))*(0.024+2*(SQRT('Drag Polar'!$D$41/(3.14*'Drag Polar'!$D$6*'Drag Polar'!$E$41))))</f>
        <v>0.26507880450092103</v>
      </c>
      <c r="J133" s="15">
        <f>2*(1/(POWER(1+0.2*B133*2/(1.4*287*288.15*1.225*SQRT(3.1415*'Drag Polar'!$D$6*'Drag Polar'!$D$39*'Drag Polar'!$E$39)),3.5)*(1-0.57*SQRT(SQRT(B133*2/(1.225*SQRT(3.1415*'Drag Polar'!$D$6*'Drag Polar'!$D$39*'Drag Polar'!$E$39)))/SQRT(1.4*287*288.15))-(3*(1+0.2*B133*2/(1.4*287*288.15*1.225*SQRT(3.1415*'Drag Polar'!$D$6*'Drag Polar'!$D$39*'Drag Polar'!$E$39))-1.07))/(1.5+SQRT(B133*2/(1.225*SQRT(3.1415*'Drag Polar'!$D$6*'Drag Polar'!$D$39*'Drag Polar'!$E$39)))))))*(0.012+2*(SQRT('Drag Polar'!$D$39/(3.14*'Drag Polar'!$D$6*'Drag Polar'!$E$39))))</f>
        <v>0.18159051982080809</v>
      </c>
      <c r="K133" s="15">
        <f>2*(1/(POWER(1+0.2*B133*2/(1.4*287*288.15*1.225*SQRT(3.1415*'Drag Polar'!$D$6*'Drag Polar'!$D$43*'Drag Polar'!$E$43)),3.5)*(1-0.57*SQRT(SQRT(B133*2/(1.225*SQRT(3.1415*'Drag Polar'!$D$6*'Drag Polar'!$D$43*'Drag Polar'!$E$43)))/SQRT(1.4*287*288.15))-(3*(1+0.2*B133*2/(1.4*287*288.15*1.225*SQRT(3.1415*'Drag Polar'!$D$6*'Drag Polar'!$D$43*'Drag Polar'!$E$43))-1.07))/(1.5+SQRT(B133*2/(1.225*SQRT(3.1415*'Drag Polar'!$D$6*'Drag Polar'!$D$43*'Drag Polar'!$E$43)))))))*(0.021+2*(SQRT('Drag Polar'!$D$43/(3.14*'Drag Polar'!$D$6*'Drag Polar'!$E$43))))</f>
        <v>0.31478912784488466</v>
      </c>
      <c r="L133" s="15">
        <f>1.15*(POWER(1+0.2*B133*2/(1.4*287*298*1.11596*2.2),3.5)*(1-0.57*SQRT(SQRT(B133*2/(1.11596*2.2))/SQRT(1.4*287*298))-(3*(1+0.2*B133*2/(1.4*287*298*1.11596*2.2)-1.07))/(1.5+SQRT(B133*2/(1.11596*2.2)))))*(SQRT(B133/(1720*1.11596*9.8065*3.1415*0.85*'Drag Polar'!$E$42*'Drag Polar'!$D$6))+11*4/1720)</f>
        <v>0.105929978441154</v>
      </c>
      <c r="M133" s="15"/>
      <c r="N133" s="15"/>
      <c r="O133" s="15"/>
      <c r="P133" s="15"/>
      <c r="Q133" s="15"/>
      <c r="R133" s="15"/>
      <c r="S133" s="15"/>
      <c r="T133" s="15"/>
      <c r="U133" s="15"/>
      <c r="V133" s="15"/>
      <c r="W133" s="15"/>
      <c r="X133" s="15"/>
      <c r="Y133" s="15"/>
      <c r="Z133" s="15"/>
      <c r="AA133" s="15"/>
      <c r="AB133" s="15"/>
      <c r="AC133" s="15"/>
      <c r="AD133" s="15"/>
    </row>
    <row r="134" spans="1:30" x14ac:dyDescent="0.3">
      <c r="A134" s="15"/>
      <c r="B134" s="15">
        <v>3400</v>
      </c>
      <c r="C134" s="15">
        <v>4300</v>
      </c>
      <c r="D134" s="15">
        <v>4100</v>
      </c>
      <c r="E134" s="15">
        <f t="shared" si="1"/>
        <v>0.31202434885744007</v>
      </c>
      <c r="F134" s="16">
        <f t="shared" si="0"/>
        <v>0.29309821010942255</v>
      </c>
      <c r="G134" s="15">
        <f>(1/(POWER(1+0.2*B134*2/(1.4*287*288.15*1.225*SQRT(3.1415*'Drag Polar'!$D$44*'Drag Polar'!$E$44*'Drag Polar'!$D$6)),3.5)*(1-0.57*SQRT(SQRT(B134*2/(1.225*SQRT(3.1415*'Drag Polar'!$D$44*'Drag Polar'!$E$44*'Drag Polar'!$D$6)))/SQRT(1.4*287*288.15))-(3*(1+0.2*B134*2/(1.4*287*288.15*1.225*SQRT(3.1415*'Drag Polar'!$D$44*'Drag Polar'!$E$44*'Drag Polar'!$D$6))-1.07))/(1.5+SQRT(B134*2/(1.225*SQRT(3.1415*'Drag Polar'!$D$44*'Drag Polar'!$E$44*'Drag Polar'!$D$6)))))))*(0.032+2*(SQRT('Drag Polar'!$D$44/(3.1415*'Drag Polar'!$D$6*'Drag Polar'!$E$44))))</f>
        <v>0.18304550204926062</v>
      </c>
      <c r="H134" s="15">
        <f>2*(1/(POWER(1+0.2*B134*2/(1.4*287*288.15*1.225*SQRT(3.1415*'Drag Polar'!$D$6*'Drag Polar'!$D$42*'Drag Polar'!$E$42)),3.5)*(1-0.57*SQRT(SQRT(B134*2/(1.225*SQRT(3.1415*'Drag Polar'!$D$6*'Drag Polar'!$D$42*'Drag Polar'!$E$42)))/SQRT(1.4*287*288.15))-(3*(1+0.2*B134*2/(1.4*287*288.15*1.225*SQRT(3.1415*'Drag Polar'!$D$6*'Drag Polar'!$D$42*'Drag Polar'!$E$42))-1.07))/(1.5+SQRT(B134*2/(1.225*SQRT(3.1415*'Drag Polar'!$D$6*'Drag Polar'!$D$42*'Drag Polar'!$E$42)))))))*(2*(SQRT('Drag Polar'!$D$42/(3.1415*'Drag Polar'!$D$6*'Drag Polar'!$E$42))))</f>
        <v>0.23707775745297943</v>
      </c>
      <c r="I134" s="15">
        <f>2*(1/(POWER(1+0.2*B134*2/(1.4*287*288.15*1.225*SQRT(3.1415*'Drag Polar'!$D$6*'Drag Polar'!$D$41*'Drag Polar'!$E$41)),3.5)*(1-0.57*SQRT(SQRT(B134*2/(1.225*SQRT(3.1415*'Drag Polar'!$D$6*'Drag Polar'!$D$41*'Drag Polar'!$E$41)))/SQRT(1.4*287*288.15))-(3*(1+0.2*B134*2/(1.4*287*288.15*1.225*SQRT(3.1415*'Drag Polar'!$D$6*'Drag Polar'!$D$41*'Drag Polar'!$E$41))-1.07))/(1.5+SQRT(B134*2/(1.225*SQRT(3.1415*'Drag Polar'!$D$6*'Drag Polar'!$D$41*'Drag Polar'!$E$41)))))))*(0.024+2*(SQRT('Drag Polar'!$D$41/(3.14*'Drag Polar'!$D$6*'Drag Polar'!$E$41))))</f>
        <v>0.26554982490216961</v>
      </c>
      <c r="J134" s="15">
        <f>2*(1/(POWER(1+0.2*B134*2/(1.4*287*288.15*1.225*SQRT(3.1415*'Drag Polar'!$D$6*'Drag Polar'!$D$39*'Drag Polar'!$E$39)),3.5)*(1-0.57*SQRT(SQRT(B134*2/(1.225*SQRT(3.1415*'Drag Polar'!$D$6*'Drag Polar'!$D$39*'Drag Polar'!$E$39)))/SQRT(1.4*287*288.15))-(3*(1+0.2*B134*2/(1.4*287*288.15*1.225*SQRT(3.1415*'Drag Polar'!$D$6*'Drag Polar'!$D$39*'Drag Polar'!$E$39))-1.07))/(1.5+SQRT(B134*2/(1.225*SQRT(3.1415*'Drag Polar'!$D$6*'Drag Polar'!$D$39*'Drag Polar'!$E$39)))))))*(0.012+2*(SQRT('Drag Polar'!$D$39/(3.14*'Drag Polar'!$D$6*'Drag Polar'!$E$39))))</f>
        <v>0.18189701627505375</v>
      </c>
      <c r="K134" s="15">
        <f>2*(1/(POWER(1+0.2*B134*2/(1.4*287*288.15*1.225*SQRT(3.1415*'Drag Polar'!$D$6*'Drag Polar'!$D$43*'Drag Polar'!$E$43)),3.5)*(1-0.57*SQRT(SQRT(B134*2/(1.225*SQRT(3.1415*'Drag Polar'!$D$6*'Drag Polar'!$D$43*'Drag Polar'!$E$43)))/SQRT(1.4*287*288.15))-(3*(1+0.2*B134*2/(1.4*287*288.15*1.225*SQRT(3.1415*'Drag Polar'!$D$6*'Drag Polar'!$D$43*'Drag Polar'!$E$43))-1.07))/(1.5+SQRT(B134*2/(1.225*SQRT(3.1415*'Drag Polar'!$D$6*'Drag Polar'!$D$43*'Drag Polar'!$E$43)))))))*(0.021+2*(SQRT('Drag Polar'!$D$43/(3.14*'Drag Polar'!$D$6*'Drag Polar'!$E$43))))</f>
        <v>0.31534544456844443</v>
      </c>
      <c r="L134" s="15">
        <f>1.15*(POWER(1+0.2*B134*2/(1.4*287*298*1.11596*2.2),3.5)*(1-0.57*SQRT(SQRT(B134*2/(1.11596*2.2))/SQRT(1.4*287*298))-(3*(1+0.2*B134*2/(1.4*287*298*1.11596*2.2)-1.07))/(1.5+SQRT(B134*2/(1.11596*2.2)))))*(SQRT(B134/(1720*1.11596*9.8065*3.1415*0.85*'Drag Polar'!$E$42*'Drag Polar'!$D$6))+11*4/1720)</f>
        <v>0.10698729445704158</v>
      </c>
      <c r="M134" s="15"/>
      <c r="N134" s="15"/>
      <c r="O134" s="15"/>
      <c r="P134" s="15"/>
      <c r="Q134" s="15"/>
      <c r="R134" s="15"/>
      <c r="S134" s="15"/>
      <c r="T134" s="15"/>
      <c r="U134" s="15"/>
      <c r="V134" s="15"/>
      <c r="W134" s="15"/>
      <c r="X134" s="15"/>
      <c r="Y134" s="15"/>
      <c r="Z134" s="15"/>
      <c r="AA134" s="15"/>
      <c r="AB134" s="15"/>
      <c r="AC134" s="15"/>
      <c r="AD134" s="15"/>
    </row>
    <row r="135" spans="1:30" x14ac:dyDescent="0.3">
      <c r="A135" s="15"/>
      <c r="B135" s="15">
        <v>3500</v>
      </c>
      <c r="C135" s="15">
        <v>4300</v>
      </c>
      <c r="D135" s="15">
        <v>4100</v>
      </c>
      <c r="E135" s="15">
        <f t="shared" si="1"/>
        <v>0.30659397565150143</v>
      </c>
      <c r="F135" s="16">
        <f t="shared" si="0"/>
        <v>0.29183862162150342</v>
      </c>
      <c r="G135" s="15">
        <f>(1/(POWER(1+0.2*B135*2/(1.4*287*288.15*1.225*SQRT(3.1415*'Drag Polar'!$D$44*'Drag Polar'!$E$44*'Drag Polar'!$D$6)),3.5)*(1-0.57*SQRT(SQRT(B135*2/(1.225*SQRT(3.1415*'Drag Polar'!$D$44*'Drag Polar'!$E$44*'Drag Polar'!$D$6)))/SQRT(1.4*287*288.15))-(3*(1+0.2*B135*2/(1.4*287*288.15*1.225*SQRT(3.1415*'Drag Polar'!$D$44*'Drag Polar'!$E$44*'Drag Polar'!$D$6))-1.07))/(1.5+SQRT(B135*2/(1.225*SQRT(3.1415*'Drag Polar'!$D$44*'Drag Polar'!$E$44*'Drag Polar'!$D$6)))))))*(0.032+2*(SQRT('Drag Polar'!$D$44/(3.1415*'Drag Polar'!$D$6*'Drag Polar'!$E$44))))</f>
        <v>0.18335837558538379</v>
      </c>
      <c r="H135" s="15">
        <f>2*(1/(POWER(1+0.2*B135*2/(1.4*287*288.15*1.225*SQRT(3.1415*'Drag Polar'!$D$6*'Drag Polar'!$D$42*'Drag Polar'!$E$42)),3.5)*(1-0.57*SQRT(SQRT(B135*2/(1.225*SQRT(3.1415*'Drag Polar'!$D$6*'Drag Polar'!$D$42*'Drag Polar'!$E$42)))/SQRT(1.4*287*288.15))-(3*(1+0.2*B135*2/(1.4*287*288.15*1.225*SQRT(3.1415*'Drag Polar'!$D$6*'Drag Polar'!$D$42*'Drag Polar'!$E$42))-1.07))/(1.5+SQRT(B135*2/(1.225*SQRT(3.1415*'Drag Polar'!$D$6*'Drag Polar'!$D$42*'Drag Polar'!$E$42)))))))*(2*(SQRT('Drag Polar'!$D$42/(3.1415*'Drag Polar'!$D$6*'Drag Polar'!$E$42))))</f>
        <v>0.2374881571969388</v>
      </c>
      <c r="I135" s="15">
        <f>2*(1/(POWER(1+0.2*B135*2/(1.4*287*288.15*1.225*SQRT(3.1415*'Drag Polar'!$D$6*'Drag Polar'!$D$41*'Drag Polar'!$E$41)),3.5)*(1-0.57*SQRT(SQRT(B135*2/(1.225*SQRT(3.1415*'Drag Polar'!$D$6*'Drag Polar'!$D$41*'Drag Polar'!$E$41)))/SQRT(1.4*287*288.15))-(3*(1+0.2*B135*2/(1.4*287*288.15*1.225*SQRT(3.1415*'Drag Polar'!$D$6*'Drag Polar'!$D$41*'Drag Polar'!$E$41))-1.07))/(1.5+SQRT(B135*2/(1.225*SQRT(3.1415*'Drag Polar'!$D$6*'Drag Polar'!$D$41*'Drag Polar'!$E$41)))))))*(0.024+2*(SQRT('Drag Polar'!$D$41/(3.14*'Drag Polar'!$D$6*'Drag Polar'!$E$41))))</f>
        <v>0.26600732765608742</v>
      </c>
      <c r="J135" s="15">
        <f>2*(1/(POWER(1+0.2*B135*2/(1.4*287*288.15*1.225*SQRT(3.1415*'Drag Polar'!$D$6*'Drag Polar'!$D$39*'Drag Polar'!$E$39)),3.5)*(1-0.57*SQRT(SQRT(B135*2/(1.225*SQRT(3.1415*'Drag Polar'!$D$6*'Drag Polar'!$D$39*'Drag Polar'!$E$39)))/SQRT(1.4*287*288.15))-(3*(1+0.2*B135*2/(1.4*287*288.15*1.225*SQRT(3.1415*'Drag Polar'!$D$6*'Drag Polar'!$D$39*'Drag Polar'!$E$39))-1.07))/(1.5+SQRT(B135*2/(1.225*SQRT(3.1415*'Drag Polar'!$D$6*'Drag Polar'!$D$39*'Drag Polar'!$E$39)))))))*(0.012+2*(SQRT('Drag Polar'!$D$39/(3.14*'Drag Polar'!$D$6*'Drag Polar'!$E$39))))</f>
        <v>0.18219308639962412</v>
      </c>
      <c r="K135" s="15">
        <f>2*(1/(POWER(1+0.2*B135*2/(1.4*287*288.15*1.225*SQRT(3.1415*'Drag Polar'!$D$6*'Drag Polar'!$D$43*'Drag Polar'!$E$43)),3.5)*(1-0.57*SQRT(SQRT(B135*2/(1.225*SQRT(3.1415*'Drag Polar'!$D$6*'Drag Polar'!$D$43*'Drag Polar'!$E$43)))/SQRT(1.4*287*288.15))-(3*(1+0.2*B135*2/(1.4*287*288.15*1.225*SQRT(3.1415*'Drag Polar'!$D$6*'Drag Polar'!$D$43*'Drag Polar'!$E$43))-1.07))/(1.5+SQRT(B135*2/(1.225*SQRT(3.1415*'Drag Polar'!$D$6*'Drag Polar'!$D$43*'Drag Polar'!$E$43)))))))*(0.021+2*(SQRT('Drag Polar'!$D$43/(3.14*'Drag Polar'!$D$6*'Drag Polar'!$E$43))))</f>
        <v>0.31588748651537973</v>
      </c>
      <c r="L135" s="15">
        <f>1.15*(POWER(1+0.2*B135*2/(1.4*287*298*1.11596*2.2),3.5)*(1-0.57*SQRT(SQRT(B135*2/(1.11596*2.2))/SQRT(1.4*287*298))-(3*(1+0.2*B135*2/(1.4*287*298*1.11596*2.2)-1.07))/(1.5+SQRT(B135*2/(1.11596*2.2)))))*(SQRT(B135/(1720*1.11596*9.8065*3.1415*0.85*'Drag Polar'!$E$42*'Drag Polar'!$D$6))+11*4/1720)</f>
        <v>0.10802742480136956</v>
      </c>
      <c r="M135" s="15"/>
      <c r="N135" s="15"/>
      <c r="O135" s="15"/>
      <c r="P135" s="15"/>
      <c r="Q135" s="15"/>
      <c r="R135" s="15"/>
      <c r="S135" s="15"/>
      <c r="T135" s="15"/>
      <c r="U135" s="15"/>
      <c r="V135" s="15"/>
      <c r="W135" s="15"/>
      <c r="X135" s="15"/>
      <c r="Y135" s="15"/>
      <c r="Z135" s="15"/>
      <c r="AA135" s="15"/>
      <c r="AB135" s="15"/>
      <c r="AC135" s="15"/>
      <c r="AD135" s="15"/>
    </row>
    <row r="136" spans="1:30" x14ac:dyDescent="0.3">
      <c r="A136" s="15"/>
      <c r="B136" s="15">
        <v>3600</v>
      </c>
      <c r="C136" s="15">
        <v>4300</v>
      </c>
      <c r="D136" s="15">
        <v>4100</v>
      </c>
      <c r="E136" s="15">
        <f t="shared" si="1"/>
        <v>0.30156348733916932</v>
      </c>
      <c r="F136" s="16">
        <f t="shared" si="0"/>
        <v>0.29061705358562367</v>
      </c>
      <c r="G136" s="15">
        <f>(1/(POWER(1+0.2*B136*2/(1.4*287*288.15*1.225*SQRT(3.1415*'Drag Polar'!$D$44*'Drag Polar'!$E$44*'Drag Polar'!$D$6)),3.5)*(1-0.57*SQRT(SQRT(B136*2/(1.225*SQRT(3.1415*'Drag Polar'!$D$44*'Drag Polar'!$E$44*'Drag Polar'!$D$6)))/SQRT(1.4*287*288.15))-(3*(1+0.2*B136*2/(1.4*287*288.15*1.225*SQRT(3.1415*'Drag Polar'!$D$44*'Drag Polar'!$E$44*'Drag Polar'!$D$6))-1.07))/(1.5+SQRT(B136*2/(1.225*SQRT(3.1415*'Drag Polar'!$D$44*'Drag Polar'!$E$44*'Drag Polar'!$D$6)))))))*(0.032+2*(SQRT('Drag Polar'!$D$44/(3.1415*'Drag Polar'!$D$6*'Drag Polar'!$E$44))))</f>
        <v>0.18366353902272339</v>
      </c>
      <c r="H136" s="15">
        <f>2*(1/(POWER(1+0.2*B136*2/(1.4*287*288.15*1.225*SQRT(3.1415*'Drag Polar'!$D$6*'Drag Polar'!$D$42*'Drag Polar'!$E$42)),3.5)*(1-0.57*SQRT(SQRT(B136*2/(1.225*SQRT(3.1415*'Drag Polar'!$D$6*'Drag Polar'!$D$42*'Drag Polar'!$E$42)))/SQRT(1.4*287*288.15))-(3*(1+0.2*B136*2/(1.4*287*288.15*1.225*SQRT(3.1415*'Drag Polar'!$D$6*'Drag Polar'!$D$42*'Drag Polar'!$E$42))-1.07))/(1.5+SQRT(B136*2/(1.225*SQRT(3.1415*'Drag Polar'!$D$6*'Drag Polar'!$D$42*'Drag Polar'!$E$42)))))))*(2*(SQRT('Drag Polar'!$D$42/(3.1415*'Drag Polar'!$D$6*'Drag Polar'!$E$42))))</f>
        <v>0.23788758362759532</v>
      </c>
      <c r="I136" s="15">
        <f>2*(1/(POWER(1+0.2*B136*2/(1.4*287*288.15*1.225*SQRT(3.1415*'Drag Polar'!$D$6*'Drag Polar'!$D$41*'Drag Polar'!$E$41)),3.5)*(1-0.57*SQRT(SQRT(B136*2/(1.225*SQRT(3.1415*'Drag Polar'!$D$6*'Drag Polar'!$D$41*'Drag Polar'!$E$41)))/SQRT(1.4*287*288.15))-(3*(1+0.2*B136*2/(1.4*287*288.15*1.225*SQRT(3.1415*'Drag Polar'!$D$6*'Drag Polar'!$D$41*'Drag Polar'!$E$41))-1.07))/(1.5+SQRT(B136*2/(1.225*SQRT(3.1415*'Drag Polar'!$D$6*'Drag Polar'!$D$41*'Drag Polar'!$E$41)))))))*(0.024+2*(SQRT('Drag Polar'!$D$41/(3.14*'Drag Polar'!$D$6*'Drag Polar'!$E$41))))</f>
        <v>0.26645194765093105</v>
      </c>
      <c r="J136" s="15">
        <f>2*(1/(POWER(1+0.2*B136*2/(1.4*287*288.15*1.225*SQRT(3.1415*'Drag Polar'!$D$6*'Drag Polar'!$D$39*'Drag Polar'!$E$39)),3.5)*(1-0.57*SQRT(SQRT(B136*2/(1.225*SQRT(3.1415*'Drag Polar'!$D$6*'Drag Polar'!$D$39*'Drag Polar'!$E$39)))/SQRT(1.4*287*288.15))-(3*(1+0.2*B136*2/(1.4*287*288.15*1.225*SQRT(3.1415*'Drag Polar'!$D$6*'Drag Polar'!$D$39*'Drag Polar'!$E$39))-1.07))/(1.5+SQRT(B136*2/(1.225*SQRT(3.1415*'Drag Polar'!$D$6*'Drag Polar'!$D$39*'Drag Polar'!$E$39)))))))*(0.012+2*(SQRT('Drag Polar'!$D$39/(3.14*'Drag Polar'!$D$6*'Drag Polar'!$E$39))))</f>
        <v>0.18247921695192912</v>
      </c>
      <c r="K136" s="15">
        <f>2*(1/(POWER(1+0.2*B136*2/(1.4*287*288.15*1.225*SQRT(3.1415*'Drag Polar'!$D$6*'Drag Polar'!$D$43*'Drag Polar'!$E$43)),3.5)*(1-0.57*SQRT(SQRT(B136*2/(1.225*SQRT(3.1415*'Drag Polar'!$D$6*'Drag Polar'!$D$43*'Drag Polar'!$E$43)))/SQRT(1.4*287*288.15))-(3*(1+0.2*B136*2/(1.4*287*288.15*1.225*SQRT(3.1415*'Drag Polar'!$D$6*'Drag Polar'!$D$43*'Drag Polar'!$E$43))-1.07))/(1.5+SQRT(B136*2/(1.225*SQRT(3.1415*'Drag Polar'!$D$6*'Drag Polar'!$D$43*'Drag Polar'!$E$43)))))))*(0.021+2*(SQRT('Drag Polar'!$D$43/(3.14*'Drag Polar'!$D$6*'Drag Polar'!$E$43))))</f>
        <v>0.31641593207589175</v>
      </c>
      <c r="L136" s="15">
        <f>1.15*(POWER(1+0.2*B136*2/(1.4*287*298*1.11596*2.2),3.5)*(1-0.57*SQRT(SQRT(B136*2/(1.11596*2.2))/SQRT(1.4*287*298))-(3*(1+0.2*B136*2/(1.4*287*298*1.11596*2.2)-1.07))/(1.5+SQRT(B136*2/(1.11596*2.2)))))*(SQRT(B136/(1720*1.11596*9.8065*3.1415*0.85*'Drag Polar'!$E$42*'Drag Polar'!$D$6))+11*4/1720)</f>
        <v>0.10905113511820093</v>
      </c>
      <c r="M136" s="15"/>
      <c r="N136" s="15"/>
      <c r="O136" s="15"/>
      <c r="P136" s="15"/>
      <c r="Q136" s="15"/>
      <c r="R136" s="15"/>
      <c r="S136" s="15"/>
      <c r="T136" s="15"/>
      <c r="U136" s="15"/>
      <c r="V136" s="15"/>
      <c r="W136" s="15"/>
      <c r="X136" s="15"/>
      <c r="Y136" s="15"/>
      <c r="Z136" s="15"/>
      <c r="AA136" s="15"/>
      <c r="AB136" s="15"/>
      <c r="AC136" s="15"/>
      <c r="AD136" s="15"/>
    </row>
    <row r="137" spans="1:30" x14ac:dyDescent="0.3">
      <c r="A137" s="15"/>
      <c r="B137" s="15">
        <v>3700</v>
      </c>
      <c r="C137" s="15">
        <v>4300</v>
      </c>
      <c r="D137" s="15">
        <v>4100</v>
      </c>
      <c r="E137" s="15">
        <f t="shared" si="1"/>
        <v>0.29690046082096216</v>
      </c>
      <c r="F137" s="16">
        <f t="shared" si="0"/>
        <v>0.28943077531243078</v>
      </c>
      <c r="G137" s="15">
        <f>(1/(POWER(1+0.2*B137*2/(1.4*287*288.15*1.225*SQRT(3.1415*'Drag Polar'!$D$44*'Drag Polar'!$E$44*'Drag Polar'!$D$6)),3.5)*(1-0.57*SQRT(SQRT(B137*2/(1.225*SQRT(3.1415*'Drag Polar'!$D$44*'Drag Polar'!$E$44*'Drag Polar'!$D$6)))/SQRT(1.4*287*288.15))-(3*(1+0.2*B137*2/(1.4*287*288.15*1.225*SQRT(3.1415*'Drag Polar'!$D$44*'Drag Polar'!$E$44*'Drag Polar'!$D$6))-1.07))/(1.5+SQRT(B137*2/(1.225*SQRT(3.1415*'Drag Polar'!$D$44*'Drag Polar'!$E$44*'Drag Polar'!$D$6)))))))*(0.032+2*(SQRT('Drag Polar'!$D$44/(3.1415*'Drag Polar'!$D$6*'Drag Polar'!$E$44))))</f>
        <v>0.18396134935615102</v>
      </c>
      <c r="H137" s="15">
        <f>2*(1/(POWER(1+0.2*B137*2/(1.4*287*288.15*1.225*SQRT(3.1415*'Drag Polar'!$D$6*'Drag Polar'!$D$42*'Drag Polar'!$E$42)),3.5)*(1-0.57*SQRT(SQRT(B137*2/(1.225*SQRT(3.1415*'Drag Polar'!$D$6*'Drag Polar'!$D$42*'Drag Polar'!$E$42)))/SQRT(1.4*287*288.15))-(3*(1+0.2*B137*2/(1.4*287*288.15*1.225*SQRT(3.1415*'Drag Polar'!$D$6*'Drag Polar'!$D$42*'Drag Polar'!$E$42))-1.07))/(1.5+SQRT(B137*2/(1.225*SQRT(3.1415*'Drag Polar'!$D$6*'Drag Polar'!$D$42*'Drag Polar'!$E$42)))))))*(2*(SQRT('Drag Polar'!$D$42/(3.1415*'Drag Polar'!$D$6*'Drag Polar'!$E$42))))</f>
        <v>0.23827653966260132</v>
      </c>
      <c r="I137" s="15">
        <f>2*(1/(POWER(1+0.2*B137*2/(1.4*287*288.15*1.225*SQRT(3.1415*'Drag Polar'!$D$6*'Drag Polar'!$D$41*'Drag Polar'!$E$41)),3.5)*(1-0.57*SQRT(SQRT(B137*2/(1.225*SQRT(3.1415*'Drag Polar'!$D$6*'Drag Polar'!$D$41*'Drag Polar'!$E$41)))/SQRT(1.4*287*288.15))-(3*(1+0.2*B137*2/(1.4*287*288.15*1.225*SQRT(3.1415*'Drag Polar'!$D$6*'Drag Polar'!$D$41*'Drag Polar'!$E$41))-1.07))/(1.5+SQRT(B137*2/(1.225*SQRT(3.1415*'Drag Polar'!$D$6*'Drag Polar'!$D$41*'Drag Polar'!$E$41)))))))*(0.024+2*(SQRT('Drag Polar'!$D$41/(3.14*'Drag Polar'!$D$6*'Drag Polar'!$E$41))))</f>
        <v>0.266884272917915</v>
      </c>
      <c r="J137" s="15">
        <f>2*(1/(POWER(1+0.2*B137*2/(1.4*287*288.15*1.225*SQRT(3.1415*'Drag Polar'!$D$6*'Drag Polar'!$D$39*'Drag Polar'!$E$39)),3.5)*(1-0.57*SQRT(SQRT(B137*2/(1.225*SQRT(3.1415*'Drag Polar'!$D$6*'Drag Polar'!$D$39*'Drag Polar'!$E$39)))/SQRT(1.4*287*288.15))-(3*(1+0.2*B137*2/(1.4*287*288.15*1.225*SQRT(3.1415*'Drag Polar'!$D$6*'Drag Polar'!$D$39*'Drag Polar'!$E$39))-1.07))/(1.5+SQRT(B137*2/(1.225*SQRT(3.1415*'Drag Polar'!$D$6*'Drag Polar'!$D$39*'Drag Polar'!$E$39)))))))*(0.012+2*(SQRT('Drag Polar'!$D$39/(3.14*'Drag Polar'!$D$6*'Drag Polar'!$E$39))))</f>
        <v>0.18275585914566347</v>
      </c>
      <c r="K137" s="15">
        <f>2*(1/(POWER(1+0.2*B137*2/(1.4*287*288.15*1.225*SQRT(3.1415*'Drag Polar'!$D$6*'Drag Polar'!$D$43*'Drag Polar'!$E$43)),3.5)*(1-0.57*SQRT(SQRT(B137*2/(1.225*SQRT(3.1415*'Drag Polar'!$D$6*'Drag Polar'!$D$43*'Drag Polar'!$E$43)))/SQRT(1.4*287*288.15))-(3*(1+0.2*B137*2/(1.4*287*288.15*1.225*SQRT(3.1415*'Drag Polar'!$D$6*'Drag Polar'!$D$43*'Drag Polar'!$E$43))-1.07))/(1.5+SQRT(B137*2/(1.225*SQRT(3.1415*'Drag Polar'!$D$6*'Drag Polar'!$D$43*'Drag Polar'!$E$43)))))))*(0.021+2*(SQRT('Drag Polar'!$D$43/(3.14*'Drag Polar'!$D$6*'Drag Polar'!$E$43))))</f>
        <v>0.31693140906636413</v>
      </c>
      <c r="L137" s="15">
        <f>1.15*(POWER(1+0.2*B137*2/(1.4*287*298*1.11596*2.2),3.5)*(1-0.57*SQRT(SQRT(B137*2/(1.11596*2.2))/SQRT(1.4*287*298))-(3*(1+0.2*B137*2/(1.4*287*298*1.11596*2.2)-1.07))/(1.5+SQRT(B137*2/(1.11596*2.2)))))*(SQRT(B137/(1720*1.11596*9.8065*3.1415*0.85*'Drag Polar'!$E$42*'Drag Polar'!$D$6))+11*4/1720)</f>
        <v>0.11005913748604533</v>
      </c>
      <c r="M137" s="15"/>
      <c r="N137" s="15"/>
      <c r="O137" s="15"/>
      <c r="P137" s="15"/>
      <c r="Q137" s="15"/>
      <c r="R137" s="15"/>
      <c r="S137" s="15"/>
      <c r="T137" s="15"/>
      <c r="U137" s="15"/>
      <c r="V137" s="15"/>
      <c r="W137" s="15"/>
      <c r="X137" s="15"/>
      <c r="Y137" s="15"/>
      <c r="Z137" s="15"/>
      <c r="AA137" s="15"/>
      <c r="AB137" s="15"/>
      <c r="AC137" s="15"/>
      <c r="AD137" s="15"/>
    </row>
    <row r="138" spans="1:30" x14ac:dyDescent="0.3">
      <c r="A138" s="15"/>
      <c r="B138" s="15">
        <v>3800</v>
      </c>
      <c r="C138" s="15">
        <v>4300</v>
      </c>
      <c r="D138" s="15">
        <v>4100</v>
      </c>
      <c r="E138" s="15">
        <f t="shared" si="1"/>
        <v>0.29257588595523853</v>
      </c>
      <c r="F138" s="16">
        <f t="shared" si="0"/>
        <v>0.28827732006165835</v>
      </c>
      <c r="G138" s="15">
        <f>(1/(POWER(1+0.2*B138*2/(1.4*287*288.15*1.225*SQRT(3.1415*'Drag Polar'!$D$44*'Drag Polar'!$E$44*'Drag Polar'!$D$6)),3.5)*(1-0.57*SQRT(SQRT(B138*2/(1.225*SQRT(3.1415*'Drag Polar'!$D$44*'Drag Polar'!$E$44*'Drag Polar'!$D$6)))/SQRT(1.4*287*288.15))-(3*(1+0.2*B138*2/(1.4*287*288.15*1.225*SQRT(3.1415*'Drag Polar'!$D$44*'Drag Polar'!$E$44*'Drag Polar'!$D$6))-1.07))/(1.5+SQRT(B138*2/(1.225*SQRT(3.1415*'Drag Polar'!$D$44*'Drag Polar'!$E$44*'Drag Polar'!$D$6)))))))*(0.032+2*(SQRT('Drag Polar'!$D$44/(3.1415*'Drag Polar'!$D$6*'Drag Polar'!$E$44))))</f>
        <v>0.18425213764398832</v>
      </c>
      <c r="H138" s="15">
        <f>2*(1/(POWER(1+0.2*B138*2/(1.4*287*288.15*1.225*SQRT(3.1415*'Drag Polar'!$D$6*'Drag Polar'!$D$42*'Drag Polar'!$E$42)),3.5)*(1-0.57*SQRT(SQRT(B138*2/(1.225*SQRT(3.1415*'Drag Polar'!$D$6*'Drag Polar'!$D$42*'Drag Polar'!$E$42)))/SQRT(1.4*287*288.15))-(3*(1+0.2*B138*2/(1.4*287*288.15*1.225*SQRT(3.1415*'Drag Polar'!$D$6*'Drag Polar'!$D$42*'Drag Polar'!$E$42))-1.07))/(1.5+SQRT(B138*2/(1.225*SQRT(3.1415*'Drag Polar'!$D$6*'Drag Polar'!$D$42*'Drag Polar'!$E$42)))))))*(2*(SQRT('Drag Polar'!$D$42/(3.1415*'Drag Polar'!$D$6*'Drag Polar'!$E$42))))</f>
        <v>0.23865549197522781</v>
      </c>
      <c r="I138" s="15">
        <f>2*(1/(POWER(1+0.2*B138*2/(1.4*287*288.15*1.225*SQRT(3.1415*'Drag Polar'!$D$6*'Drag Polar'!$D$41*'Drag Polar'!$E$41)),3.5)*(1-0.57*SQRT(SQRT(B138*2/(1.225*SQRT(3.1415*'Drag Polar'!$D$6*'Drag Polar'!$D$41*'Drag Polar'!$E$41)))/SQRT(1.4*287*288.15))-(3*(1+0.2*B138*2/(1.4*287*288.15*1.225*SQRT(3.1415*'Drag Polar'!$D$6*'Drag Polar'!$D$41*'Drag Polar'!$E$41))-1.07))/(1.5+SQRT(B138*2/(1.225*SQRT(3.1415*'Drag Polar'!$D$6*'Drag Polar'!$D$41*'Drag Polar'!$E$41)))))))*(0.024+2*(SQRT('Drag Polar'!$D$41/(3.14*'Drag Polar'!$D$6*'Drag Polar'!$E$41))))</f>
        <v>0.26730484928158499</v>
      </c>
      <c r="J138" s="15">
        <f>2*(1/(POWER(1+0.2*B138*2/(1.4*287*288.15*1.225*SQRT(3.1415*'Drag Polar'!$D$6*'Drag Polar'!$D$39*'Drag Polar'!$E$39)),3.5)*(1-0.57*SQRT(SQRT(B138*2/(1.225*SQRT(3.1415*'Drag Polar'!$D$6*'Drag Polar'!$D$39*'Drag Polar'!$E$39)))/SQRT(1.4*287*288.15))-(3*(1+0.2*B138*2/(1.4*287*288.15*1.225*SQRT(3.1415*'Drag Polar'!$D$6*'Drag Polar'!$D$39*'Drag Polar'!$E$39))-1.07))/(1.5+SQRT(B138*2/(1.225*SQRT(3.1415*'Drag Polar'!$D$6*'Drag Polar'!$D$39*'Drag Polar'!$E$39)))))))*(0.012+2*(SQRT('Drag Polar'!$D$39/(3.14*'Drag Polar'!$D$6*'Drag Polar'!$E$39))))</f>
        <v>0.18302343215464892</v>
      </c>
      <c r="K138" s="15">
        <f>2*(1/(POWER(1+0.2*B138*2/(1.4*287*288.15*1.225*SQRT(3.1415*'Drag Polar'!$D$6*'Drag Polar'!$D$43*'Drag Polar'!$E$43)),3.5)*(1-0.57*SQRT(SQRT(B138*2/(1.225*SQRT(3.1415*'Drag Polar'!$D$6*'Drag Polar'!$D$43*'Drag Polar'!$E$43)))/SQRT(1.4*287*288.15))-(3*(1+0.2*B138*2/(1.4*287*288.15*1.225*SQRT(3.1415*'Drag Polar'!$D$6*'Drag Polar'!$D$43*'Drag Polar'!$E$43))-1.07))/(1.5+SQRT(B138*2/(1.225*SQRT(3.1415*'Drag Polar'!$D$6*'Drag Polar'!$D$43*'Drag Polar'!$E$43)))))))*(0.021+2*(SQRT('Drag Polar'!$D$43/(3.14*'Drag Polar'!$D$6*'Drag Polar'!$E$43))))</f>
        <v>0.31743449978221394</v>
      </c>
      <c r="L138" s="15">
        <f>1.15*(POWER(1+0.2*B138*2/(1.4*287*298*1.11596*2.2),3.5)*(1-0.57*SQRT(SQRT(B138*2/(1.11596*2.2))/SQRT(1.4*287*298))-(3*(1+0.2*B138*2/(1.4*287*298*1.11596*2.2)-1.07))/(1.5+SQRT(B138*2/(1.11596*2.2)))))*(SQRT(B138/(1720*1.11596*9.8065*3.1415*0.85*'Drag Polar'!$E$42*'Drag Polar'!$D$6))+11*4/1720)</f>
        <v>0.11105209548482327</v>
      </c>
      <c r="M138" s="15"/>
      <c r="N138" s="15"/>
      <c r="O138" s="15"/>
      <c r="P138" s="15"/>
      <c r="Q138" s="15"/>
      <c r="R138" s="15"/>
      <c r="S138" s="15"/>
      <c r="T138" s="15"/>
      <c r="U138" s="15"/>
      <c r="V138" s="15"/>
      <c r="W138" s="15"/>
      <c r="X138" s="15"/>
      <c r="Y138" s="15"/>
      <c r="Z138" s="15"/>
      <c r="AA138" s="15"/>
      <c r="AB138" s="15"/>
      <c r="AC138" s="15"/>
      <c r="AD138" s="15"/>
    </row>
    <row r="139" spans="1:30" x14ac:dyDescent="0.3">
      <c r="A139" s="15"/>
      <c r="B139" s="15">
        <v>3900</v>
      </c>
      <c r="C139" s="15">
        <v>4300</v>
      </c>
      <c r="D139" s="15">
        <v>4100</v>
      </c>
      <c r="E139" s="15">
        <f t="shared" si="1"/>
        <v>0.2885637279994997</v>
      </c>
      <c r="F139" s="16">
        <f t="shared" si="0"/>
        <v>0.28715445370516413</v>
      </c>
      <c r="G139" s="15">
        <f>(1/(POWER(1+0.2*B139*2/(1.4*287*288.15*1.225*SQRT(3.1415*'Drag Polar'!$D$44*'Drag Polar'!$E$44*'Drag Polar'!$D$6)),3.5)*(1-0.57*SQRT(SQRT(B139*2/(1.225*SQRT(3.1415*'Drag Polar'!$D$44*'Drag Polar'!$E$44*'Drag Polar'!$D$6)))/SQRT(1.4*287*288.15))-(3*(1+0.2*B139*2/(1.4*287*288.15*1.225*SQRT(3.1415*'Drag Polar'!$D$44*'Drag Polar'!$E$44*'Drag Polar'!$D$6))-1.07))/(1.5+SQRT(B139*2/(1.225*SQRT(3.1415*'Drag Polar'!$D$44*'Drag Polar'!$E$44*'Drag Polar'!$D$6)))))))*(0.032+2*(SQRT('Drag Polar'!$D$44/(3.1415*'Drag Polar'!$D$6*'Drag Polar'!$E$44))))</f>
        <v>0.18453621153413977</v>
      </c>
      <c r="H139" s="15">
        <f>2*(1/(POWER(1+0.2*B139*2/(1.4*287*288.15*1.225*SQRT(3.1415*'Drag Polar'!$D$6*'Drag Polar'!$D$42*'Drag Polar'!$E$42)),3.5)*(1-0.57*SQRT(SQRT(B139*2/(1.225*SQRT(3.1415*'Drag Polar'!$D$6*'Drag Polar'!$D$42*'Drag Polar'!$E$42)))/SQRT(1.4*287*288.15))-(3*(1+0.2*B139*2/(1.4*287*288.15*1.225*SQRT(3.1415*'Drag Polar'!$D$6*'Drag Polar'!$D$42*'Drag Polar'!$E$42))-1.07))/(1.5+SQRT(B139*2/(1.225*SQRT(3.1415*'Drag Polar'!$D$6*'Drag Polar'!$D$42*'Drag Polar'!$E$42)))))))*(2*(SQRT('Drag Polar'!$D$42/(3.1415*'Drag Polar'!$D$6*'Drag Polar'!$E$42))))</f>
        <v>0.23902487450531432</v>
      </c>
      <c r="I139" s="15">
        <f>2*(1/(POWER(1+0.2*B139*2/(1.4*287*288.15*1.225*SQRT(3.1415*'Drag Polar'!$D$6*'Drag Polar'!$D$41*'Drag Polar'!$E$41)),3.5)*(1-0.57*SQRT(SQRT(B139*2/(1.225*SQRT(3.1415*'Drag Polar'!$D$6*'Drag Polar'!$D$41*'Drag Polar'!$E$41)))/SQRT(1.4*287*288.15))-(3*(1+0.2*B139*2/(1.4*287*288.15*1.225*SQRT(3.1415*'Drag Polar'!$D$6*'Drag Polar'!$D$41*'Drag Polar'!$E$41))-1.07))/(1.5+SQRT(B139*2/(1.225*SQRT(3.1415*'Drag Polar'!$D$6*'Drag Polar'!$D$41*'Drag Polar'!$E$41)))))))*(0.024+2*(SQRT('Drag Polar'!$D$41/(3.14*'Drag Polar'!$D$6*'Drag Polar'!$E$41))))</f>
        <v>0.26771418443756401</v>
      </c>
      <c r="J139" s="15">
        <f>2*(1/(POWER(1+0.2*B139*2/(1.4*287*288.15*1.225*SQRT(3.1415*'Drag Polar'!$D$6*'Drag Polar'!$D$39*'Drag Polar'!$E$39)),3.5)*(1-0.57*SQRT(SQRT(B139*2/(1.225*SQRT(3.1415*'Drag Polar'!$D$6*'Drag Polar'!$D$39*'Drag Polar'!$E$39)))/SQRT(1.4*287*288.15))-(3*(1+0.2*B139*2/(1.4*287*288.15*1.225*SQRT(3.1415*'Drag Polar'!$D$6*'Drag Polar'!$D$39*'Drag Polar'!$E$39))-1.07))/(1.5+SQRT(B139*2/(1.225*SQRT(3.1415*'Drag Polar'!$D$6*'Drag Polar'!$D$39*'Drag Polar'!$E$39)))))))*(0.012+2*(SQRT('Drag Polar'!$D$39/(3.14*'Drag Polar'!$D$6*'Drag Polar'!$E$39))))</f>
        <v>0.18328232618732856</v>
      </c>
      <c r="K139" s="15">
        <f>2*(1/(POWER(1+0.2*B139*2/(1.4*287*288.15*1.225*SQRT(3.1415*'Drag Polar'!$D$6*'Drag Polar'!$D$43*'Drag Polar'!$E$43)),3.5)*(1-0.57*SQRT(SQRT(B139*2/(1.225*SQRT(3.1415*'Drag Polar'!$D$6*'Drag Polar'!$D$43*'Drag Polar'!$E$43)))/SQRT(1.4*287*288.15))-(3*(1+0.2*B139*2/(1.4*287*288.15*1.225*SQRT(3.1415*'Drag Polar'!$D$6*'Drag Polar'!$D$43*'Drag Polar'!$E$43))-1.07))/(1.5+SQRT(B139*2/(1.225*SQRT(3.1415*'Drag Polar'!$D$6*'Drag Polar'!$D$43*'Drag Polar'!$E$43)))))))*(0.021+2*(SQRT('Drag Polar'!$D$43/(3.14*'Drag Polar'!$D$6*'Drag Polar'!$E$43))))</f>
        <v>0.31792574542538515</v>
      </c>
      <c r="L139" s="15">
        <f>1.15*(POWER(1+0.2*B139*2/(1.4*287*298*1.11596*2.2),3.5)*(1-0.57*SQRT(SQRT(B139*2/(1.11596*2.2))/SQRT(1.4*287*298))-(3*(1+0.2*B139*2/(1.4*287*298*1.11596*2.2)-1.07))/(1.5+SQRT(B139*2/(1.11596*2.2)))))*(SQRT(B139/(1720*1.11596*9.8065*3.1415*0.85*'Drag Polar'!$E$42*'Drag Polar'!$D$6))+11*4/1720)</f>
        <v>0.11203062866455271</v>
      </c>
      <c r="M139" s="15"/>
      <c r="N139" s="15"/>
      <c r="O139" s="15"/>
      <c r="P139" s="15"/>
      <c r="Q139" s="15"/>
      <c r="R139" s="15"/>
      <c r="S139" s="15"/>
      <c r="T139" s="15"/>
      <c r="U139" s="15"/>
      <c r="V139" s="15"/>
      <c r="W139" s="15"/>
      <c r="X139" s="15"/>
      <c r="Y139" s="15"/>
      <c r="Z139" s="15"/>
      <c r="AA139" s="15"/>
      <c r="AB139" s="15"/>
      <c r="AC139" s="15"/>
      <c r="AD139" s="15"/>
    </row>
    <row r="140" spans="1:30" x14ac:dyDescent="0.3">
      <c r="A140" s="15"/>
      <c r="B140" s="15">
        <v>4000</v>
      </c>
      <c r="C140" s="15">
        <v>4300</v>
      </c>
      <c r="D140" s="15">
        <v>4100</v>
      </c>
      <c r="E140" s="15">
        <f t="shared" si="1"/>
        <v>0.28484055568549677</v>
      </c>
      <c r="F140" s="16">
        <f t="shared" si="0"/>
        <v>0.28606014778294075</v>
      </c>
      <c r="G140" s="15">
        <f>(1/(POWER(1+0.2*B140*2/(1.4*287*288.15*1.225*SQRT(3.1415*'Drag Polar'!$D$44*'Drag Polar'!$E$44*'Drag Polar'!$D$6)),3.5)*(1-0.57*SQRT(SQRT(B140*2/(1.225*SQRT(3.1415*'Drag Polar'!$D$44*'Drag Polar'!$E$44*'Drag Polar'!$D$6)))/SQRT(1.4*287*288.15))-(3*(1+0.2*B140*2/(1.4*287*288.15*1.225*SQRT(3.1415*'Drag Polar'!$D$44*'Drag Polar'!$E$44*'Drag Polar'!$D$6))-1.07))/(1.5+SQRT(B140*2/(1.225*SQRT(3.1415*'Drag Polar'!$D$44*'Drag Polar'!$E$44*'Drag Polar'!$D$6)))))))*(0.032+2*(SQRT('Drag Polar'!$D$44/(3.1415*'Drag Polar'!$D$6*'Drag Polar'!$E$44))))</f>
        <v>0.18481385748530405</v>
      </c>
      <c r="H140" s="15">
        <f>2*(1/(POWER(1+0.2*B140*2/(1.4*287*288.15*1.225*SQRT(3.1415*'Drag Polar'!$D$6*'Drag Polar'!$D$42*'Drag Polar'!$E$42)),3.5)*(1-0.57*SQRT(SQRT(B140*2/(1.225*SQRT(3.1415*'Drag Polar'!$D$6*'Drag Polar'!$D$42*'Drag Polar'!$E$42)))/SQRT(1.4*287*288.15))-(3*(1+0.2*B140*2/(1.4*287*288.15*1.225*SQRT(3.1415*'Drag Polar'!$D$6*'Drag Polar'!$D$42*'Drag Polar'!$E$42))-1.07))/(1.5+SQRT(B140*2/(1.225*SQRT(3.1415*'Drag Polar'!$D$6*'Drag Polar'!$D$42*'Drag Polar'!$E$42)))))))*(2*(SQRT('Drag Polar'!$D$42/(3.1415*'Drag Polar'!$D$6*'Drag Polar'!$E$42))))</f>
        <v>0.23938509154819643</v>
      </c>
      <c r="I140" s="15">
        <f>2*(1/(POWER(1+0.2*B140*2/(1.4*287*288.15*1.225*SQRT(3.1415*'Drag Polar'!$D$6*'Drag Polar'!$D$41*'Drag Polar'!$E$41)),3.5)*(1-0.57*SQRT(SQRT(B140*2/(1.225*SQRT(3.1415*'Drag Polar'!$D$6*'Drag Polar'!$D$41*'Drag Polar'!$E$41)))/SQRT(1.4*287*288.15))-(3*(1+0.2*B140*2/(1.4*287*288.15*1.225*SQRT(3.1415*'Drag Polar'!$D$6*'Drag Polar'!$D$41*'Drag Polar'!$E$41))-1.07))/(1.5+SQRT(B140*2/(1.225*SQRT(3.1415*'Drag Polar'!$D$6*'Drag Polar'!$D$41*'Drag Polar'!$E$41)))))))*(0.024+2*(SQRT('Drag Polar'!$D$41/(3.14*'Drag Polar'!$D$6*'Drag Polar'!$E$41))))</f>
        <v>0.26811275154111519</v>
      </c>
      <c r="J140" s="15">
        <f>2*(1/(POWER(1+0.2*B140*2/(1.4*287*288.15*1.225*SQRT(3.1415*'Drag Polar'!$D$6*'Drag Polar'!$D$39*'Drag Polar'!$E$39)),3.5)*(1-0.57*SQRT(SQRT(B140*2/(1.225*SQRT(3.1415*'Drag Polar'!$D$6*'Drag Polar'!$D$39*'Drag Polar'!$E$39)))/SQRT(1.4*287*288.15))-(3*(1+0.2*B140*2/(1.4*287*288.15*1.225*SQRT(3.1415*'Drag Polar'!$D$6*'Drag Polar'!$D$39*'Drag Polar'!$E$39))-1.07))/(1.5+SQRT(B140*2/(1.225*SQRT(3.1415*'Drag Polar'!$D$6*'Drag Polar'!$D$39*'Drag Polar'!$E$39)))))))*(0.012+2*(SQRT('Drag Polar'!$D$39/(3.14*'Drag Polar'!$D$6*'Drag Polar'!$E$39))))</f>
        <v>0.18353290519423529</v>
      </c>
      <c r="K140" s="15">
        <f>2*(1/(POWER(1+0.2*B140*2/(1.4*287*288.15*1.225*SQRT(3.1415*'Drag Polar'!$D$6*'Drag Polar'!$D$43*'Drag Polar'!$E$43)),3.5)*(1-0.57*SQRT(SQRT(B140*2/(1.225*SQRT(3.1415*'Drag Polar'!$D$6*'Drag Polar'!$D$43*'Drag Polar'!$E$43)))/SQRT(1.4*287*288.15))-(3*(1+0.2*B140*2/(1.4*287*288.15*1.225*SQRT(3.1415*'Drag Polar'!$D$6*'Drag Polar'!$D$43*'Drag Polar'!$E$43))-1.07))/(1.5+SQRT(B140*2/(1.225*SQRT(3.1415*'Drag Polar'!$D$6*'Drag Polar'!$D$43*'Drag Polar'!$E$43)))))))*(0.021+2*(SQRT('Drag Polar'!$D$43/(3.14*'Drag Polar'!$D$6*'Drag Polar'!$E$43))))</f>
        <v>0.31840564999798554</v>
      </c>
      <c r="L140" s="15">
        <f>1.15*(POWER(1+0.2*B140*2/(1.4*287*298*1.11596*2.2),3.5)*(1-0.57*SQRT(SQRT(B140*2/(1.11596*2.2))/SQRT(1.4*287*298))-(3*(1+0.2*B140*2/(1.4*287*298*1.11596*2.2)-1.07))/(1.5+SQRT(B140*2/(1.11596*2.2)))))*(SQRT(B140/(1720*1.11596*9.8065*3.1415*0.85*'Drag Polar'!$E$42*'Drag Polar'!$D$6))+11*4/1720)</f>
        <v>0.11299531649976875</v>
      </c>
      <c r="M140" s="15"/>
      <c r="N140" s="15"/>
      <c r="O140" s="15"/>
      <c r="P140" s="15"/>
      <c r="Q140" s="15"/>
      <c r="R140" s="15"/>
      <c r="S140" s="15"/>
      <c r="T140" s="15"/>
      <c r="U140" s="15"/>
      <c r="V140" s="15"/>
      <c r="W140" s="15"/>
      <c r="X140" s="15"/>
      <c r="Y140" s="15"/>
      <c r="Z140" s="15"/>
      <c r="AA140" s="15"/>
      <c r="AB140" s="15"/>
      <c r="AC140" s="15"/>
      <c r="AD140" s="15"/>
    </row>
    <row r="141" spans="1:30" x14ac:dyDescent="0.3">
      <c r="A141" s="15"/>
      <c r="B141" s="15">
        <v>4100</v>
      </c>
      <c r="C141" s="15">
        <v>4300</v>
      </c>
      <c r="D141" s="15">
        <v>4100</v>
      </c>
      <c r="E141" s="15">
        <f t="shared" si="1"/>
        <v>0.28138522372237101</v>
      </c>
      <c r="F141" s="16">
        <f t="shared" si="0"/>
        <v>0.28499255624532904</v>
      </c>
      <c r="G141" s="15">
        <f>(1/(POWER(1+0.2*B141*2/(1.4*287*288.15*1.225*SQRT(3.1415*'Drag Polar'!$D$44*'Drag Polar'!$E$44*'Drag Polar'!$D$6)),3.5)*(1-0.57*SQRT(SQRT(B141*2/(1.225*SQRT(3.1415*'Drag Polar'!$D$44*'Drag Polar'!$E$44*'Drag Polar'!$D$6)))/SQRT(1.4*287*288.15))-(3*(1+0.2*B141*2/(1.4*287*288.15*1.225*SQRT(3.1415*'Drag Polar'!$D$44*'Drag Polar'!$E$44*'Drag Polar'!$D$6))-1.07))/(1.5+SQRT(B141*2/(1.225*SQRT(3.1415*'Drag Polar'!$D$44*'Drag Polar'!$E$44*'Drag Polar'!$D$6)))))))*(0.032+2*(SQRT('Drag Polar'!$D$44/(3.1415*'Drag Polar'!$D$6*'Drag Polar'!$E$44))))</f>
        <v>0.18508534272680041</v>
      </c>
      <c r="H141" s="15">
        <f>2*(1/(POWER(1+0.2*B141*2/(1.4*287*288.15*1.225*SQRT(3.1415*'Drag Polar'!$D$6*'Drag Polar'!$D$42*'Drag Polar'!$E$42)),3.5)*(1-0.57*SQRT(SQRT(B141*2/(1.225*SQRT(3.1415*'Drag Polar'!$D$6*'Drag Polar'!$D$42*'Drag Polar'!$E$42)))/SQRT(1.4*287*288.15))-(3*(1+0.2*B141*2/(1.4*287*288.15*1.225*SQRT(3.1415*'Drag Polar'!$D$6*'Drag Polar'!$D$42*'Drag Polar'!$E$42))-1.07))/(1.5+SQRT(B141*2/(1.225*SQRT(3.1415*'Drag Polar'!$D$6*'Drag Polar'!$D$42*'Drag Polar'!$E$42)))))))*(2*(SQRT('Drag Polar'!$D$42/(3.1415*'Drag Polar'!$D$6*'Drag Polar'!$E$42))))</f>
        <v>0.23973652048165484</v>
      </c>
      <c r="I141" s="15">
        <f>2*(1/(POWER(1+0.2*B141*2/(1.4*287*288.15*1.225*SQRT(3.1415*'Drag Polar'!$D$6*'Drag Polar'!$D$41*'Drag Polar'!$E$41)),3.5)*(1-0.57*SQRT(SQRT(B141*2/(1.225*SQRT(3.1415*'Drag Polar'!$D$6*'Drag Polar'!$D$41*'Drag Polar'!$E$41)))/SQRT(1.4*287*288.15))-(3*(1+0.2*B141*2/(1.4*287*288.15*1.225*SQRT(3.1415*'Drag Polar'!$D$6*'Drag Polar'!$D$41*'Drag Polar'!$E$41))-1.07))/(1.5+SQRT(B141*2/(1.225*SQRT(3.1415*'Drag Polar'!$D$6*'Drag Polar'!$D$41*'Drag Polar'!$E$41)))))))*(0.024+2*(SQRT('Drag Polar'!$D$41/(3.14*'Drag Polar'!$D$6*'Drag Polar'!$E$41))))</f>
        <v>0.26850099237600733</v>
      </c>
      <c r="J141" s="15">
        <f>2*(1/(POWER(1+0.2*B141*2/(1.4*287*288.15*1.225*SQRT(3.1415*'Drag Polar'!$D$6*'Drag Polar'!$D$39*'Drag Polar'!$E$39)),3.5)*(1-0.57*SQRT(SQRT(B141*2/(1.225*SQRT(3.1415*'Drag Polar'!$D$6*'Drag Polar'!$D$39*'Drag Polar'!$E$39)))/SQRT(1.4*287*288.15))-(3*(1+0.2*B141*2/(1.4*287*288.15*1.225*SQRT(3.1415*'Drag Polar'!$D$6*'Drag Polar'!$D$39*'Drag Polar'!$E$39))-1.07))/(1.5+SQRT(B141*2/(1.225*SQRT(3.1415*'Drag Polar'!$D$6*'Drag Polar'!$D$39*'Drag Polar'!$E$39)))))))*(0.012+2*(SQRT('Drag Polar'!$D$39/(3.14*'Drag Polar'!$D$6*'Drag Polar'!$E$39))))</f>
        <v>0.18377550926036856</v>
      </c>
      <c r="K141" s="15">
        <f>2*(1/(POWER(1+0.2*B141*2/(1.4*287*288.15*1.225*SQRT(3.1415*'Drag Polar'!$D$6*'Drag Polar'!$D$43*'Drag Polar'!$E$43)),3.5)*(1-0.57*SQRT(SQRT(B141*2/(1.225*SQRT(3.1415*'Drag Polar'!$D$6*'Drag Polar'!$D$43*'Drag Polar'!$E$43)))/SQRT(1.4*287*288.15))-(3*(1+0.2*B141*2/(1.4*287*288.15*1.225*SQRT(3.1415*'Drag Polar'!$D$6*'Drag Polar'!$D$43*'Drag Polar'!$E$43))-1.07))/(1.5+SQRT(B141*2/(1.225*SQRT(3.1415*'Drag Polar'!$D$6*'Drag Polar'!$D$43*'Drag Polar'!$E$43)))))))*(0.021+2*(SQRT('Drag Polar'!$D$43/(3.14*'Drag Polar'!$D$6*'Drag Polar'!$E$43))))</f>
        <v>0.31887468373822536</v>
      </c>
      <c r="L141" s="15">
        <f>1.15*(POWER(1+0.2*B141*2/(1.4*287*298*1.11596*2.2),3.5)*(1-0.57*SQRT(SQRT(B141*2/(1.11596*2.2))/SQRT(1.4*287*298))-(3*(1+0.2*B141*2/(1.4*287*298*1.11596*2.2)-1.07))/(1.5+SQRT(B141*2/(1.11596*2.2)))))*(SQRT(B141/(1720*1.11596*9.8065*3.1415*0.85*'Drag Polar'!$E$42*'Drag Polar'!$D$6))+11*4/1720)</f>
        <v>0.11394670190009977</v>
      </c>
      <c r="M141" s="15"/>
      <c r="N141" s="15"/>
      <c r="O141" s="15"/>
      <c r="P141" s="15"/>
      <c r="Q141" s="15"/>
      <c r="R141" s="15"/>
      <c r="S141" s="15"/>
      <c r="T141" s="15"/>
      <c r="U141" s="15"/>
      <c r="V141" s="15"/>
      <c r="W141" s="15"/>
      <c r="X141" s="15"/>
      <c r="Y141" s="15"/>
      <c r="Z141" s="15"/>
      <c r="AA141" s="15"/>
      <c r="AB141" s="15"/>
      <c r="AC141" s="15"/>
      <c r="AD141" s="15"/>
    </row>
    <row r="142" spans="1:30" x14ac:dyDescent="0.3">
      <c r="A142" s="15"/>
      <c r="B142" s="15">
        <v>4200</v>
      </c>
      <c r="C142" s="15">
        <v>4300</v>
      </c>
      <c r="D142" s="15">
        <v>4100</v>
      </c>
      <c r="E142" s="15">
        <f t="shared" si="1"/>
        <v>0.27817860065648842</v>
      </c>
      <c r="F142" s="16">
        <f t="shared" si="0"/>
        <v>0.28394999530241005</v>
      </c>
      <c r="G142" s="15">
        <f>(1/(POWER(1+0.2*B142*2/(1.4*287*288.15*1.225*SQRT(3.1415*'Drag Polar'!$D$44*'Drag Polar'!$E$44*'Drag Polar'!$D$6)),3.5)*(1-0.57*SQRT(SQRT(B142*2/(1.225*SQRT(3.1415*'Drag Polar'!$D$44*'Drag Polar'!$E$44*'Drag Polar'!$D$6)))/SQRT(1.4*287*288.15))-(3*(1+0.2*B142*2/(1.4*287*288.15*1.225*SQRT(3.1415*'Drag Polar'!$D$44*'Drag Polar'!$E$44*'Drag Polar'!$D$6))-1.07))/(1.5+SQRT(B142*2/(1.225*SQRT(3.1415*'Drag Polar'!$D$44*'Drag Polar'!$E$44*'Drag Polar'!$D$6)))))))*(0.032+2*(SQRT('Drag Polar'!$D$44/(3.1415*'Drag Polar'!$D$6*'Drag Polar'!$E$44))))</f>
        <v>0.18535091699341757</v>
      </c>
      <c r="H142" s="15">
        <f>2*(1/(POWER(1+0.2*B142*2/(1.4*287*288.15*1.225*SQRT(3.1415*'Drag Polar'!$D$6*'Drag Polar'!$D$42*'Drag Polar'!$E$42)),3.5)*(1-0.57*SQRT(SQRT(B142*2/(1.225*SQRT(3.1415*'Drag Polar'!$D$6*'Drag Polar'!$D$42*'Drag Polar'!$E$42)))/SQRT(1.4*287*288.15))-(3*(1+0.2*B142*2/(1.4*287*288.15*1.225*SQRT(3.1415*'Drag Polar'!$D$6*'Drag Polar'!$D$42*'Drag Polar'!$E$42))-1.07))/(1.5+SQRT(B142*2/(1.225*SQRT(3.1415*'Drag Polar'!$D$6*'Drag Polar'!$D$42*'Drag Polar'!$E$42)))))))*(2*(SQRT('Drag Polar'!$D$42/(3.1415*'Drag Polar'!$D$6*'Drag Polar'!$E$42))))</f>
        <v>0.24007951418113394</v>
      </c>
      <c r="I142" s="15">
        <f>2*(1/(POWER(1+0.2*B142*2/(1.4*287*288.15*1.225*SQRT(3.1415*'Drag Polar'!$D$6*'Drag Polar'!$D$41*'Drag Polar'!$E$41)),3.5)*(1-0.57*SQRT(SQRT(B142*2/(1.225*SQRT(3.1415*'Drag Polar'!$D$6*'Drag Polar'!$D$41*'Drag Polar'!$E$41)))/SQRT(1.4*287*288.15))-(3*(1+0.2*B142*2/(1.4*287*288.15*1.225*SQRT(3.1415*'Drag Polar'!$D$6*'Drag Polar'!$D$41*'Drag Polar'!$E$41))-1.07))/(1.5+SQRT(B142*2/(1.225*SQRT(3.1415*'Drag Polar'!$D$6*'Drag Polar'!$D$41*'Drag Polar'!$E$41)))))))*(0.024+2*(SQRT('Drag Polar'!$D$41/(3.14*'Drag Polar'!$D$6*'Drag Polar'!$E$41))))</f>
        <v>0.26887932016184934</v>
      </c>
      <c r="J142" s="15">
        <f>2*(1/(POWER(1+0.2*B142*2/(1.4*287*288.15*1.225*SQRT(3.1415*'Drag Polar'!$D$6*'Drag Polar'!$D$39*'Drag Polar'!$E$39)),3.5)*(1-0.57*SQRT(SQRT(B142*2/(1.225*SQRT(3.1415*'Drag Polar'!$D$6*'Drag Polar'!$D$39*'Drag Polar'!$E$39)))/SQRT(1.4*287*288.15))-(3*(1+0.2*B142*2/(1.4*287*288.15*1.225*SQRT(3.1415*'Drag Polar'!$D$6*'Drag Polar'!$D$39*'Drag Polar'!$E$39))-1.07))/(1.5+SQRT(B142*2/(1.225*SQRT(3.1415*'Drag Polar'!$D$6*'Drag Polar'!$D$39*'Drag Polar'!$E$39)))))))*(0.012+2*(SQRT('Drag Polar'!$D$39/(3.14*'Drag Polar'!$D$6*'Drag Polar'!$E$39))))</f>
        <v>0.18401045672597463</v>
      </c>
      <c r="K142" s="15">
        <f>2*(1/(POWER(1+0.2*B142*2/(1.4*287*288.15*1.225*SQRT(3.1415*'Drag Polar'!$D$6*'Drag Polar'!$D$43*'Drag Polar'!$E$43)),3.5)*(1-0.57*SQRT(SQRT(B142*2/(1.225*SQRT(3.1415*'Drag Polar'!$D$6*'Drag Polar'!$D$43*'Drag Polar'!$E$43)))/SQRT(1.4*287*288.15))-(3*(1+0.2*B142*2/(1.4*287*288.15*1.225*SQRT(3.1415*'Drag Polar'!$D$6*'Drag Polar'!$D$43*'Drag Polar'!$E$43))-1.07))/(1.5+SQRT(B142*2/(1.225*SQRT(3.1415*'Drag Polar'!$D$6*'Drag Polar'!$D$43*'Drag Polar'!$E$43)))))))*(0.021+2*(SQRT('Drag Polar'!$D$43/(3.14*'Drag Polar'!$D$6*'Drag Polar'!$E$43))))</f>
        <v>0.31933328616234991</v>
      </c>
      <c r="L142" s="15">
        <f>1.15*(POWER(1+0.2*B142*2/(1.4*287*298*1.11596*2.2),3.5)*(1-0.57*SQRT(SQRT(B142*2/(1.11596*2.2))/SQRT(1.4*287*298))-(3*(1+0.2*B142*2/(1.4*287*298*1.11596*2.2)-1.07))/(1.5+SQRT(B142*2/(1.11596*2.2)))))*(SQRT(B142/(1720*1.11596*9.8065*3.1415*0.85*'Drag Polar'!$E$42*'Drag Polar'!$D$6))+11*4/1720)</f>
        <v>0.11488529433631696</v>
      </c>
      <c r="M142" s="15"/>
      <c r="N142" s="15"/>
      <c r="O142" s="15"/>
      <c r="P142" s="15"/>
      <c r="Q142" s="15"/>
      <c r="R142" s="15"/>
      <c r="S142" s="15"/>
      <c r="T142" s="15"/>
      <c r="U142" s="15"/>
      <c r="V142" s="15"/>
      <c r="W142" s="15"/>
      <c r="X142" s="15"/>
      <c r="Y142" s="15"/>
      <c r="Z142" s="15"/>
      <c r="AA142" s="15"/>
      <c r="AB142" s="15"/>
      <c r="AC142" s="15"/>
      <c r="AD142" s="15"/>
    </row>
    <row r="143" spans="1:30" x14ac:dyDescent="0.3">
      <c r="A143" s="15"/>
      <c r="B143" s="15">
        <v>4300</v>
      </c>
      <c r="C143" s="15">
        <v>4300</v>
      </c>
      <c r="D143" s="15">
        <v>4100</v>
      </c>
      <c r="E143" s="15">
        <f t="shared" si="1"/>
        <v>0.27520333470432029</v>
      </c>
      <c r="F143" s="16">
        <f t="shared" si="0"/>
        <v>0.2829309259037745</v>
      </c>
      <c r="G143" s="15">
        <f>(1/(POWER(1+0.2*B143*2/(1.4*287*288.15*1.225*SQRT(3.1415*'Drag Polar'!$D$44*'Drag Polar'!$E$44*'Drag Polar'!$D$6)),3.5)*(1-0.57*SQRT(SQRT(B143*2/(1.225*SQRT(3.1415*'Drag Polar'!$D$44*'Drag Polar'!$E$44*'Drag Polar'!$D$6)))/SQRT(1.4*287*288.15))-(3*(1+0.2*B143*2/(1.4*287*288.15*1.225*SQRT(3.1415*'Drag Polar'!$D$44*'Drag Polar'!$E$44*'Drag Polar'!$D$6))-1.07))/(1.5+SQRT(B143*2/(1.225*SQRT(3.1415*'Drag Polar'!$D$44*'Drag Polar'!$E$44*'Drag Polar'!$D$6)))))))*(0.032+2*(SQRT('Drag Polar'!$D$44/(3.1415*'Drag Polar'!$D$6*'Drag Polar'!$E$44))))</f>
        <v>0.18561081406587429</v>
      </c>
      <c r="H143" s="15">
        <f>2*(1/(POWER(1+0.2*B143*2/(1.4*287*288.15*1.225*SQRT(3.1415*'Drag Polar'!$D$6*'Drag Polar'!$D$42*'Drag Polar'!$E$42)),3.5)*(1-0.57*SQRT(SQRT(B143*2/(1.225*SQRT(3.1415*'Drag Polar'!$D$6*'Drag Polar'!$D$42*'Drag Polar'!$E$42)))/SQRT(1.4*287*288.15))-(3*(1+0.2*B143*2/(1.4*287*288.15*1.225*SQRT(3.1415*'Drag Polar'!$D$6*'Drag Polar'!$D$42*'Drag Polar'!$E$42))-1.07))/(1.5+SQRT(B143*2/(1.225*SQRT(3.1415*'Drag Polar'!$D$6*'Drag Polar'!$D$42*'Drag Polar'!$E$42)))))))*(2*(SQRT('Drag Polar'!$D$42/(3.1415*'Drag Polar'!$D$6*'Drag Polar'!$E$42))))</f>
        <v>0.24041440316546844</v>
      </c>
      <c r="I143" s="15">
        <f>2*(1/(POWER(1+0.2*B143*2/(1.4*287*288.15*1.225*SQRT(3.1415*'Drag Polar'!$D$6*'Drag Polar'!$D$41*'Drag Polar'!$E$41)),3.5)*(1-0.57*SQRT(SQRT(B143*2/(1.225*SQRT(3.1415*'Drag Polar'!$D$6*'Drag Polar'!$D$41*'Drag Polar'!$E$41)))/SQRT(1.4*287*288.15))-(3*(1+0.2*B143*2/(1.4*287*288.15*1.225*SQRT(3.1415*'Drag Polar'!$D$6*'Drag Polar'!$D$41*'Drag Polar'!$E$41))-1.07))/(1.5+SQRT(B143*2/(1.225*SQRT(3.1415*'Drag Polar'!$D$6*'Drag Polar'!$D$41*'Drag Polar'!$E$41)))))))*(0.024+2*(SQRT('Drag Polar'!$D$41/(3.14*'Drag Polar'!$D$6*'Drag Polar'!$E$41))))</f>
        <v>0.26924812204880455</v>
      </c>
      <c r="J143" s="15">
        <f>2*(1/(POWER(1+0.2*B143*2/(1.4*287*288.15*1.225*SQRT(3.1415*'Drag Polar'!$D$6*'Drag Polar'!$D$39*'Drag Polar'!$E$39)),3.5)*(1-0.57*SQRT(SQRT(B143*2/(1.225*SQRT(3.1415*'Drag Polar'!$D$6*'Drag Polar'!$D$39*'Drag Polar'!$E$39)))/SQRT(1.4*287*288.15))-(3*(1+0.2*B143*2/(1.4*287*288.15*1.225*SQRT(3.1415*'Drag Polar'!$D$6*'Drag Polar'!$D$39*'Drag Polar'!$E$39))-1.07))/(1.5+SQRT(B143*2/(1.225*SQRT(3.1415*'Drag Polar'!$D$6*'Drag Polar'!$D$39*'Drag Polar'!$E$39)))))))*(0.012+2*(SQRT('Drag Polar'!$D$39/(3.14*'Drag Polar'!$D$6*'Drag Polar'!$E$39))))</f>
        <v>0.18423804607233277</v>
      </c>
      <c r="K143" s="15">
        <f>2*(1/(POWER(1+0.2*B143*2/(1.4*287*288.15*1.225*SQRT(3.1415*'Drag Polar'!$D$6*'Drag Polar'!$D$43*'Drag Polar'!$E$43)),3.5)*(1-0.57*SQRT(SQRT(B143*2/(1.225*SQRT(3.1415*'Drag Polar'!$D$6*'Drag Polar'!$D$43*'Drag Polar'!$E$43)))/SQRT(1.4*287*288.15))-(3*(1+0.2*B143*2/(1.4*287*288.15*1.225*SQRT(3.1415*'Drag Polar'!$D$6*'Drag Polar'!$D$43*'Drag Polar'!$E$43))-1.07))/(1.5+SQRT(B143*2/(1.225*SQRT(3.1415*'Drag Polar'!$D$6*'Drag Polar'!$D$43*'Drag Polar'!$E$43)))))))*(0.021+2*(SQRT('Drag Polar'!$D$43/(3.14*'Drag Polar'!$D$6*'Drag Polar'!$E$43))))</f>
        <v>0.31978186876608994</v>
      </c>
      <c r="L143" s="15">
        <f>1.15*(POWER(1+0.2*B143*2/(1.4*287*298*1.11596*2.2),3.5)*(1-0.57*SQRT(SQRT(B143*2/(1.11596*2.2))/SQRT(1.4*287*298))-(3*(1+0.2*B143*2/(1.4*287*298*1.11596*2.2)-1.07))/(1.5+SQRT(B143*2/(1.11596*2.2)))))*(SQRT(B143/(1720*1.11596*9.8065*3.1415*0.85*'Drag Polar'!$E$42*'Drag Polar'!$D$6))+11*4/1720)</f>
        <v>0.11581157263203155</v>
      </c>
      <c r="M143" s="15"/>
      <c r="N143" s="15"/>
      <c r="O143" s="15"/>
      <c r="P143" s="15"/>
      <c r="Q143" s="15"/>
      <c r="R143" s="15"/>
      <c r="S143" s="15"/>
      <c r="T143" s="15"/>
      <c r="U143" s="15"/>
      <c r="V143" s="15"/>
      <c r="W143" s="15"/>
      <c r="X143" s="15"/>
      <c r="Y143" s="15"/>
      <c r="Z143" s="15"/>
      <c r="AA143" s="15"/>
      <c r="AB143" s="15"/>
      <c r="AC143" s="15"/>
      <c r="AD143" s="15"/>
    </row>
    <row r="144" spans="1:30" x14ac:dyDescent="0.3">
      <c r="A144" s="15"/>
      <c r="B144" s="15">
        <v>4400</v>
      </c>
      <c r="C144" s="15">
        <v>4300</v>
      </c>
      <c r="D144" s="15">
        <v>4100</v>
      </c>
      <c r="E144" s="15">
        <f t="shared" si="1"/>
        <v>0.27244365151720434</v>
      </c>
      <c r="F144" s="16">
        <f t="shared" si="0"/>
        <v>0.28193393845413245</v>
      </c>
      <c r="G144" s="15">
        <f>(1/(POWER(1+0.2*B144*2/(1.4*287*288.15*1.225*SQRT(3.1415*'Drag Polar'!$D$44*'Drag Polar'!$E$44*'Drag Polar'!$D$6)),3.5)*(1-0.57*SQRT(SQRT(B144*2/(1.225*SQRT(3.1415*'Drag Polar'!$D$44*'Drag Polar'!$E$44*'Drag Polar'!$D$6)))/SQRT(1.4*287*288.15))-(3*(1+0.2*B144*2/(1.4*287*288.15*1.225*SQRT(3.1415*'Drag Polar'!$D$44*'Drag Polar'!$E$44*'Drag Polar'!$D$6))-1.07))/(1.5+SQRT(B144*2/(1.225*SQRT(3.1415*'Drag Polar'!$D$44*'Drag Polar'!$E$44*'Drag Polar'!$D$6)))))))*(0.032+2*(SQRT('Drag Polar'!$D$44/(3.1415*'Drag Polar'!$D$6*'Drag Polar'!$E$44))))</f>
        <v>0.18586525314270411</v>
      </c>
      <c r="H144" s="15">
        <f>2*(1/(POWER(1+0.2*B144*2/(1.4*287*288.15*1.225*SQRT(3.1415*'Drag Polar'!$D$6*'Drag Polar'!$D$42*'Drag Polar'!$E$42)),3.5)*(1-0.57*SQRT(SQRT(B144*2/(1.225*SQRT(3.1415*'Drag Polar'!$D$6*'Drag Polar'!$D$42*'Drag Polar'!$E$42)))/SQRT(1.4*287*288.15))-(3*(1+0.2*B144*2/(1.4*287*288.15*1.225*SQRT(3.1415*'Drag Polar'!$D$6*'Drag Polar'!$D$42*'Drag Polar'!$E$42))-1.07))/(1.5+SQRT(B144*2/(1.225*SQRT(3.1415*'Drag Polar'!$D$6*'Drag Polar'!$D$42*'Drag Polar'!$E$42)))))))*(2*(SQRT('Drag Polar'!$D$42/(3.1415*'Drag Polar'!$D$6*'Drag Polar'!$E$42))))</f>
        <v>0.2407414975087791</v>
      </c>
      <c r="I144" s="15">
        <f>2*(1/(POWER(1+0.2*B144*2/(1.4*287*288.15*1.225*SQRT(3.1415*'Drag Polar'!$D$6*'Drag Polar'!$D$41*'Drag Polar'!$E$41)),3.5)*(1-0.57*SQRT(SQRT(B144*2/(1.225*SQRT(3.1415*'Drag Polar'!$D$6*'Drag Polar'!$D$41*'Drag Polar'!$E$41)))/SQRT(1.4*287*288.15))-(3*(1+0.2*B144*2/(1.4*287*288.15*1.225*SQRT(3.1415*'Drag Polar'!$D$6*'Drag Polar'!$D$41*'Drag Polar'!$E$41))-1.07))/(1.5+SQRT(B144*2/(1.225*SQRT(3.1415*'Drag Polar'!$D$6*'Drag Polar'!$D$41*'Drag Polar'!$E$41)))))))*(0.024+2*(SQRT('Drag Polar'!$D$41/(3.14*'Drag Polar'!$D$6*'Drag Polar'!$E$41))))</f>
        <v>0.26960776134098152</v>
      </c>
      <c r="J144" s="15">
        <f>2*(1/(POWER(1+0.2*B144*2/(1.4*287*288.15*1.225*SQRT(3.1415*'Drag Polar'!$D$6*'Drag Polar'!$D$39*'Drag Polar'!$E$39)),3.5)*(1-0.57*SQRT(SQRT(B144*2/(1.225*SQRT(3.1415*'Drag Polar'!$D$6*'Drag Polar'!$D$39*'Drag Polar'!$E$39)))/SQRT(1.4*287*288.15))-(3*(1+0.2*B144*2/(1.4*287*288.15*1.225*SQRT(3.1415*'Drag Polar'!$D$6*'Drag Polar'!$D$39*'Drag Polar'!$E$39))-1.07))/(1.5+SQRT(B144*2/(1.225*SQRT(3.1415*'Drag Polar'!$D$6*'Drag Polar'!$D$39*'Drag Polar'!$E$39)))))))*(0.012+2*(SQRT('Drag Polar'!$D$39/(3.14*'Drag Polar'!$D$6*'Drag Polar'!$E$39))))</f>
        <v>0.18445855760346941</v>
      </c>
      <c r="K144" s="15">
        <f>2*(1/(POWER(1+0.2*B144*2/(1.4*287*288.15*1.225*SQRT(3.1415*'Drag Polar'!$D$6*'Drag Polar'!$D$43*'Drag Polar'!$E$43)),3.5)*(1-0.57*SQRT(SQRT(B144*2/(1.225*SQRT(3.1415*'Drag Polar'!$D$6*'Drag Polar'!$D$43*'Drag Polar'!$E$43)))/SQRT(1.4*287*288.15))-(3*(1+0.2*B144*2/(1.4*287*288.15*1.225*SQRT(3.1415*'Drag Polar'!$D$6*'Drag Polar'!$D$43*'Drag Polar'!$E$43))-1.07))/(1.5+SQRT(B144*2/(1.225*SQRT(3.1415*'Drag Polar'!$D$6*'Drag Polar'!$D$43*'Drag Polar'!$E$43)))))))*(0.021+2*(SQRT('Drag Polar'!$D$43/(3.14*'Drag Polar'!$D$6*'Drag Polar'!$E$43))))</f>
        <v>0.32022081743080444</v>
      </c>
      <c r="L144" s="15">
        <f>1.15*(POWER(1+0.2*B144*2/(1.4*287*298*1.11596*2.2),3.5)*(1-0.57*SQRT(SQRT(B144*2/(1.11596*2.2))/SQRT(1.4*287*298))-(3*(1+0.2*B144*2/(1.4*287*298*1.11596*2.2)-1.07))/(1.5+SQRT(B144*2/(1.11596*2.2)))))*(SQRT(B144/(1720*1.11596*9.8065*3.1415*0.85*'Drag Polar'!$E$42*'Drag Polar'!$D$6))+11*4/1720)</f>
        <v>0.11672598746366537</v>
      </c>
      <c r="M144" s="15"/>
      <c r="N144" s="15"/>
      <c r="O144" s="15"/>
      <c r="P144" s="15"/>
      <c r="Q144" s="15"/>
      <c r="R144" s="15"/>
      <c r="S144" s="15"/>
      <c r="T144" s="15"/>
      <c r="U144" s="15"/>
      <c r="V144" s="15"/>
      <c r="W144" s="15"/>
      <c r="X144" s="15"/>
      <c r="Y144" s="15"/>
      <c r="Z144" s="15"/>
      <c r="AA144" s="15"/>
      <c r="AB144" s="15"/>
      <c r="AC144" s="15"/>
      <c r="AD144" s="15"/>
    </row>
    <row r="145" spans="1:30" x14ac:dyDescent="0.3">
      <c r="A145" s="15"/>
      <c r="B145" s="15">
        <v>4500</v>
      </c>
      <c r="C145" s="15">
        <v>4300</v>
      </c>
      <c r="D145" s="15">
        <v>4100</v>
      </c>
      <c r="E145" s="15">
        <f t="shared" si="1"/>
        <v>0.26988517891080377</v>
      </c>
      <c r="F145" s="16">
        <f t="shared" si="0"/>
        <v>0.28095773943680097</v>
      </c>
      <c r="G145" s="15">
        <f>(1/(POWER(1+0.2*B145*2/(1.4*287*288.15*1.225*SQRT(3.1415*'Drag Polar'!$D$44*'Drag Polar'!$E$44*'Drag Polar'!$D$6)),3.5)*(1-0.57*SQRT(SQRT(B145*2/(1.225*SQRT(3.1415*'Drag Polar'!$D$44*'Drag Polar'!$E$44*'Drag Polar'!$D$6)))/SQRT(1.4*287*288.15))-(3*(1+0.2*B145*2/(1.4*287*288.15*1.225*SQRT(3.1415*'Drag Polar'!$D$44*'Drag Polar'!$E$44*'Drag Polar'!$D$6))-1.07))/(1.5+SQRT(B145*2/(1.225*SQRT(3.1415*'Drag Polar'!$D$44*'Drag Polar'!$E$44*'Drag Polar'!$D$6)))))))*(0.032+2*(SQRT('Drag Polar'!$D$44/(3.1415*'Drag Polar'!$D$6*'Drag Polar'!$E$44))))</f>
        <v>0.18611444006544214</v>
      </c>
      <c r="H145" s="15">
        <f>2*(1/(POWER(1+0.2*B145*2/(1.4*287*288.15*1.225*SQRT(3.1415*'Drag Polar'!$D$6*'Drag Polar'!$D$42*'Drag Polar'!$E$42)),3.5)*(1-0.57*SQRT(SQRT(B145*2/(1.225*SQRT(3.1415*'Drag Polar'!$D$6*'Drag Polar'!$D$42*'Drag Polar'!$E$42)))/SQRT(1.4*287*288.15))-(3*(1+0.2*B145*2/(1.4*287*288.15*1.225*SQRT(3.1415*'Drag Polar'!$D$6*'Drag Polar'!$D$42*'Drag Polar'!$E$42))-1.07))/(1.5+SQRT(B145*2/(1.225*SQRT(3.1415*'Drag Polar'!$D$6*'Drag Polar'!$D$42*'Drag Polar'!$E$42)))))))*(2*(SQRT('Drag Polar'!$D$42/(3.1415*'Drag Polar'!$D$6*'Drag Polar'!$E$42))))</f>
        <v>0.24106108854878183</v>
      </c>
      <c r="I145" s="15">
        <f>2*(1/(POWER(1+0.2*B145*2/(1.4*287*288.15*1.225*SQRT(3.1415*'Drag Polar'!$D$6*'Drag Polar'!$D$41*'Drag Polar'!$E$41)),3.5)*(1-0.57*SQRT(SQRT(B145*2/(1.225*SQRT(3.1415*'Drag Polar'!$D$6*'Drag Polar'!$D$41*'Drag Polar'!$E$41)))/SQRT(1.4*287*288.15))-(3*(1+0.2*B145*2/(1.4*287*288.15*1.225*SQRT(3.1415*'Drag Polar'!$D$6*'Drag Polar'!$D$41*'Drag Polar'!$E$41))-1.07))/(1.5+SQRT(B145*2/(1.225*SQRT(3.1415*'Drag Polar'!$D$6*'Drag Polar'!$D$41*'Drag Polar'!$E$41)))))))*(0.024+2*(SQRT('Drag Polar'!$D$41/(3.14*'Drag Polar'!$D$6*'Drag Polar'!$E$41))))</f>
        <v>0.26995857948354246</v>
      </c>
      <c r="J145" s="15">
        <f>2*(1/(POWER(1+0.2*B145*2/(1.4*287*288.15*1.225*SQRT(3.1415*'Drag Polar'!$D$6*'Drag Polar'!$D$39*'Drag Polar'!$E$39)),3.5)*(1-0.57*SQRT(SQRT(B145*2/(1.225*SQRT(3.1415*'Drag Polar'!$D$6*'Drag Polar'!$D$39*'Drag Polar'!$E$39)))/SQRT(1.4*287*288.15))-(3*(1+0.2*B145*2/(1.4*287*288.15*1.225*SQRT(3.1415*'Drag Polar'!$D$6*'Drag Polar'!$D$39*'Drag Polar'!$E$39))-1.07))/(1.5+SQRT(B145*2/(1.225*SQRT(3.1415*'Drag Polar'!$D$6*'Drag Polar'!$D$39*'Drag Polar'!$E$39)))))))*(0.012+2*(SQRT('Drag Polar'!$D$39/(3.14*'Drag Polar'!$D$6*'Drag Polar'!$E$39))))</f>
        <v>0.18467225495004866</v>
      </c>
      <c r="K145" s="15">
        <f>2*(1/(POWER(1+0.2*B145*2/(1.4*287*288.15*1.225*SQRT(3.1415*'Drag Polar'!$D$6*'Drag Polar'!$D$43*'Drag Polar'!$E$43)),3.5)*(1-0.57*SQRT(SQRT(B145*2/(1.225*SQRT(3.1415*'Drag Polar'!$D$6*'Drag Polar'!$D$43*'Drag Polar'!$E$43)))/SQRT(1.4*287*288.15))-(3*(1+0.2*B145*2/(1.4*287*288.15*1.225*SQRT(3.1415*'Drag Polar'!$D$6*'Drag Polar'!$D$43*'Drag Polar'!$E$43))-1.07))/(1.5+SQRT(B145*2/(1.225*SQRT(3.1415*'Drag Polar'!$D$6*'Drag Polar'!$D$43*'Drag Polar'!$E$43)))))))*(0.021+2*(SQRT('Drag Polar'!$D$43/(3.14*'Drag Polar'!$D$6*'Drag Polar'!$E$43))))</f>
        <v>0.32065049457260464</v>
      </c>
      <c r="L145" s="15">
        <f>1.15*(POWER(1+0.2*B145*2/(1.4*287*298*1.11596*2.2),3.5)*(1-0.57*SQRT(SQRT(B145*2/(1.11596*2.2))/SQRT(1.4*287*298))-(3*(1+0.2*B145*2/(1.4*287*298*1.11596*2.2)-1.07))/(1.5+SQRT(B145*2/(1.11596*2.2)))))*(SQRT(B145/(1720*1.11596*9.8065*3.1415*0.85*'Drag Polar'!$E$42*'Drag Polar'!$D$6))+11*4/1720)</f>
        <v>0.11762896360504851</v>
      </c>
      <c r="M145" s="15"/>
      <c r="N145" s="15"/>
      <c r="O145" s="15"/>
      <c r="P145" s="15"/>
      <c r="Q145" s="15"/>
      <c r="R145" s="15"/>
      <c r="S145" s="15"/>
      <c r="T145" s="15"/>
      <c r="U145" s="15"/>
      <c r="V145" s="15"/>
      <c r="W145" s="15"/>
      <c r="X145" s="15"/>
      <c r="Y145" s="15"/>
      <c r="Z145" s="15"/>
      <c r="AA145" s="15"/>
      <c r="AB145" s="15"/>
      <c r="AC145" s="15"/>
      <c r="AD145" s="15"/>
    </row>
    <row r="146" spans="1:30" x14ac:dyDescent="0.3">
      <c r="A146" s="15"/>
      <c r="B146" s="15">
        <v>4600</v>
      </c>
      <c r="C146" s="15">
        <v>4300</v>
      </c>
      <c r="D146" s="15">
        <v>4100</v>
      </c>
      <c r="E146" s="15">
        <f t="shared" si="1"/>
        <v>0.26751479445594145</v>
      </c>
      <c r="F146" s="16">
        <f t="shared" si="0"/>
        <v>0.28000113967124368</v>
      </c>
      <c r="G146" s="15">
        <f>(1/(POWER(1+0.2*B146*2/(1.4*287*288.15*1.225*SQRT(3.1415*'Drag Polar'!$D$44*'Drag Polar'!$E$44*'Drag Polar'!$D$6)),3.5)*(1-0.57*SQRT(SQRT(B146*2/(1.225*SQRT(3.1415*'Drag Polar'!$D$44*'Drag Polar'!$E$44*'Drag Polar'!$D$6)))/SQRT(1.4*287*288.15))-(3*(1+0.2*B146*2/(1.4*287*288.15*1.225*SQRT(3.1415*'Drag Polar'!$D$44*'Drag Polar'!$E$44*'Drag Polar'!$D$6))-1.07))/(1.5+SQRT(B146*2/(1.225*SQRT(3.1415*'Drag Polar'!$D$44*'Drag Polar'!$E$44*'Drag Polar'!$D$6)))))))*(0.032+2*(SQRT('Drag Polar'!$D$44/(3.1415*'Drag Polar'!$D$6*'Drag Polar'!$E$44))))</f>
        <v>0.18635856841572329</v>
      </c>
      <c r="H146" s="15">
        <f>2*(1/(POWER(1+0.2*B146*2/(1.4*287*288.15*1.225*SQRT(3.1415*'Drag Polar'!$D$6*'Drag Polar'!$D$42*'Drag Polar'!$E$42)),3.5)*(1-0.57*SQRT(SQRT(B146*2/(1.225*SQRT(3.1415*'Drag Polar'!$D$6*'Drag Polar'!$D$42*'Drag Polar'!$E$42)))/SQRT(1.4*287*288.15))-(3*(1+0.2*B146*2/(1.4*287*288.15*1.225*SQRT(3.1415*'Drag Polar'!$D$6*'Drag Polar'!$D$42*'Drag Polar'!$E$42))-1.07))/(1.5+SQRT(B146*2/(1.225*SQRT(3.1415*'Drag Polar'!$D$6*'Drag Polar'!$D$42*'Drag Polar'!$E$42)))))))*(2*(SQRT('Drag Polar'!$D$42/(3.1415*'Drag Polar'!$D$6*'Drag Polar'!$E$42))))</f>
        <v>0.24137345041724534</v>
      </c>
      <c r="I146" s="15">
        <f>2*(1/(POWER(1+0.2*B146*2/(1.4*287*288.15*1.225*SQRT(3.1415*'Drag Polar'!$D$6*'Drag Polar'!$D$41*'Drag Polar'!$E$41)),3.5)*(1-0.57*SQRT(SQRT(B146*2/(1.225*SQRT(3.1415*'Drag Polar'!$D$6*'Drag Polar'!$D$41*'Drag Polar'!$E$41)))/SQRT(1.4*287*288.15))-(3*(1+0.2*B146*2/(1.4*287*288.15*1.225*SQRT(3.1415*'Drag Polar'!$D$6*'Drag Polar'!$D$41*'Drag Polar'!$E$41))-1.07))/(1.5+SQRT(B146*2/(1.225*SQRT(3.1415*'Drag Polar'!$D$6*'Drag Polar'!$D$41*'Drag Polar'!$E$41)))))))*(0.024+2*(SQRT('Drag Polar'!$D$41/(3.14*'Drag Polar'!$D$6*'Drag Polar'!$E$41))))</f>
        <v>0.2703008978433491</v>
      </c>
      <c r="J146" s="15">
        <f>2*(1/(POWER(1+0.2*B146*2/(1.4*287*288.15*1.225*SQRT(3.1415*'Drag Polar'!$D$6*'Drag Polar'!$D$39*'Drag Polar'!$E$39)),3.5)*(1-0.57*SQRT(SQRT(B146*2/(1.225*SQRT(3.1415*'Drag Polar'!$D$6*'Drag Polar'!$D$39*'Drag Polar'!$E$39)))/SQRT(1.4*287*288.15))-(3*(1+0.2*B146*2/(1.4*287*288.15*1.225*SQRT(3.1415*'Drag Polar'!$D$6*'Drag Polar'!$D$39*'Drag Polar'!$E$39))-1.07))/(1.5+SQRT(B146*2/(1.225*SQRT(3.1415*'Drag Polar'!$D$6*'Drag Polar'!$D$39*'Drag Polar'!$E$39)))))))*(0.012+2*(SQRT('Drag Polar'!$D$39/(3.14*'Drag Polar'!$D$6*'Drag Polar'!$E$39))))</f>
        <v>0.18487938641779736</v>
      </c>
      <c r="K146" s="15">
        <f>2*(1/(POWER(1+0.2*B146*2/(1.4*287*288.15*1.225*SQRT(3.1415*'Drag Polar'!$D$6*'Drag Polar'!$D$43*'Drag Polar'!$E$43)),3.5)*(1-0.57*SQRT(SQRT(B146*2/(1.225*SQRT(3.1415*'Drag Polar'!$D$6*'Drag Polar'!$D$43*'Drag Polar'!$E$43)))/SQRT(1.4*287*288.15))-(3*(1+0.2*B146*2/(1.4*287*288.15*1.225*SQRT(3.1415*'Drag Polar'!$D$6*'Drag Polar'!$D$43*'Drag Polar'!$E$43))-1.07))/(1.5+SQRT(B146*2/(1.225*SQRT(3.1415*'Drag Polar'!$D$6*'Drag Polar'!$D$43*'Drag Polar'!$E$43)))))))*(0.021+2*(SQRT('Drag Polar'!$D$43/(3.14*'Drag Polar'!$D$6*'Drag Polar'!$E$43))))</f>
        <v>0.32107124106703344</v>
      </c>
      <c r="L146" s="15">
        <f>1.15*(POWER(1+0.2*B146*2/(1.4*287*298*1.11596*2.2),3.5)*(1-0.57*SQRT(SQRT(B146*2/(1.11596*2.2))/SQRT(1.4*287*298))-(3*(1+0.2*B146*2/(1.4*287*298*1.11596*2.2)-1.07))/(1.5+SQRT(B146*2/(1.11596*2.2)))))*(SQRT(B146/(1720*1.11596*9.8065*3.1415*0.85*'Drag Polar'!$E$42*'Drag Polar'!$D$6))+11*4/1720)</f>
        <v>0.11852090194776758</v>
      </c>
      <c r="M146" s="15"/>
      <c r="N146" s="15"/>
      <c r="O146" s="15"/>
      <c r="P146" s="15"/>
      <c r="Q146" s="15"/>
      <c r="R146" s="15"/>
      <c r="S146" s="15"/>
      <c r="T146" s="15"/>
      <c r="U146" s="15"/>
      <c r="V146" s="15"/>
      <c r="W146" s="15"/>
      <c r="X146" s="15"/>
      <c r="Y146" s="15"/>
      <c r="Z146" s="15"/>
      <c r="AA146" s="15"/>
      <c r="AB146" s="15"/>
      <c r="AC146" s="15"/>
      <c r="AD146" s="15"/>
    </row>
    <row r="147" spans="1:30" x14ac:dyDescent="0.3">
      <c r="A147" s="15"/>
      <c r="B147" s="15">
        <v>4700</v>
      </c>
      <c r="C147" s="15">
        <v>4300</v>
      </c>
      <c r="D147" s="15">
        <v>4100</v>
      </c>
      <c r="E147" s="15">
        <f t="shared" si="1"/>
        <v>0.26532049252592343</v>
      </c>
      <c r="F147" s="16">
        <f t="shared" si="0"/>
        <v>0.27906304397507375</v>
      </c>
      <c r="G147" s="15">
        <f>(1/(POWER(1+0.2*B147*2/(1.4*287*288.15*1.225*SQRT(3.1415*'Drag Polar'!$D$44*'Drag Polar'!$E$44*'Drag Polar'!$D$6)),3.5)*(1-0.57*SQRT(SQRT(B147*2/(1.225*SQRT(3.1415*'Drag Polar'!$D$44*'Drag Polar'!$E$44*'Drag Polar'!$D$6)))/SQRT(1.4*287*288.15))-(3*(1+0.2*B147*2/(1.4*287*288.15*1.225*SQRT(3.1415*'Drag Polar'!$D$44*'Drag Polar'!$E$44*'Drag Polar'!$D$6))-1.07))/(1.5+SQRT(B147*2/(1.225*SQRT(3.1415*'Drag Polar'!$D$44*'Drag Polar'!$E$44*'Drag Polar'!$D$6)))))))*(0.032+2*(SQRT('Drag Polar'!$D$44/(3.1415*'Drag Polar'!$D$6*'Drag Polar'!$E$44))))</f>
        <v>0.18659782050019147</v>
      </c>
      <c r="H147" s="15">
        <f>2*(1/(POWER(1+0.2*B147*2/(1.4*287*288.15*1.225*SQRT(3.1415*'Drag Polar'!$D$6*'Drag Polar'!$D$42*'Drag Polar'!$E$42)),3.5)*(1-0.57*SQRT(SQRT(B147*2/(1.225*SQRT(3.1415*'Drag Polar'!$D$6*'Drag Polar'!$D$42*'Drag Polar'!$E$42)))/SQRT(1.4*287*288.15))-(3*(1+0.2*B147*2/(1.4*287*288.15*1.225*SQRT(3.1415*'Drag Polar'!$D$6*'Drag Polar'!$D$42*'Drag Polar'!$E$42))-1.07))/(1.5+SQRT(B147*2/(1.225*SQRT(3.1415*'Drag Polar'!$D$6*'Drag Polar'!$D$42*'Drag Polar'!$E$42)))))))*(2*(SQRT('Drag Polar'!$D$42/(3.1415*'Drag Polar'!$D$6*'Drag Polar'!$E$42))))</f>
        <v>0.2416788414146013</v>
      </c>
      <c r="I147" s="15">
        <f>2*(1/(POWER(1+0.2*B147*2/(1.4*287*288.15*1.225*SQRT(3.1415*'Drag Polar'!$D$6*'Drag Polar'!$D$41*'Drag Polar'!$E$41)),3.5)*(1-0.57*SQRT(SQRT(B147*2/(1.225*SQRT(3.1415*'Drag Polar'!$D$6*'Drag Polar'!$D$41*'Drag Polar'!$E$41)))/SQRT(1.4*287*288.15))-(3*(1+0.2*B147*2/(1.4*287*288.15*1.225*SQRT(3.1415*'Drag Polar'!$D$6*'Drag Polar'!$D$41*'Drag Polar'!$E$41))-1.07))/(1.5+SQRT(B147*2/(1.225*SQRT(3.1415*'Drag Polar'!$D$6*'Drag Polar'!$D$41*'Drag Polar'!$E$41)))))))*(0.024+2*(SQRT('Drag Polar'!$D$41/(3.14*'Drag Polar'!$D$6*'Drag Polar'!$E$41))))</f>
        <v>0.2706350193086442</v>
      </c>
      <c r="J147" s="15">
        <f>2*(1/(POWER(1+0.2*B147*2/(1.4*287*288.15*1.225*SQRT(3.1415*'Drag Polar'!$D$6*'Drag Polar'!$D$39*'Drag Polar'!$E$39)),3.5)*(1-0.57*SQRT(SQRT(B147*2/(1.225*SQRT(3.1415*'Drag Polar'!$D$6*'Drag Polar'!$D$39*'Drag Polar'!$E$39)))/SQRT(1.4*287*288.15))-(3*(1+0.2*B147*2/(1.4*287*288.15*1.225*SQRT(3.1415*'Drag Polar'!$D$6*'Drag Polar'!$D$39*'Drag Polar'!$E$39))-1.07))/(1.5+SQRT(B147*2/(1.225*SQRT(3.1415*'Drag Polar'!$D$6*'Drag Polar'!$D$39*'Drag Polar'!$E$39)))))))*(0.012+2*(SQRT('Drag Polar'!$D$39/(3.14*'Drag Polar'!$D$6*'Drag Polar'!$E$39))))</f>
        <v>0.18508018619958583</v>
      </c>
      <c r="K147" s="15">
        <f>2*(1/(POWER(1+0.2*B147*2/(1.4*287*288.15*1.225*SQRT(3.1415*'Drag Polar'!$D$6*'Drag Polar'!$D$43*'Drag Polar'!$E$43)),3.5)*(1-0.57*SQRT(SQRT(B147*2/(1.225*SQRT(3.1415*'Drag Polar'!$D$6*'Drag Polar'!$D$43*'Drag Polar'!$E$43)))/SQRT(1.4*287*288.15))-(3*(1+0.2*B147*2/(1.4*287*288.15*1.225*SQRT(3.1415*'Drag Polar'!$D$6*'Drag Polar'!$D$43*'Drag Polar'!$E$43))-1.07))/(1.5+SQRT(B147*2/(1.225*SQRT(3.1415*'Drag Polar'!$D$6*'Drag Polar'!$D$43*'Drag Polar'!$E$43)))))))*(0.021+2*(SQRT('Drag Polar'!$D$43/(3.14*'Drag Polar'!$D$6*'Drag Polar'!$E$43))))</f>
        <v>0.3214833779771411</v>
      </c>
      <c r="L147" s="15">
        <f>1.15*(POWER(1+0.2*B147*2/(1.4*287*298*1.11596*2.2),3.5)*(1-0.57*SQRT(SQRT(B147*2/(1.11596*2.2))/SQRT(1.4*287*298))-(3*(1+0.2*B147*2/(1.4*287*298*1.11596*2.2)-1.07))/(1.5+SQRT(B147*2/(1.11596*2.2)))))*(SQRT(B147/(1720*1.11596*9.8065*3.1415*0.85*'Drag Polar'!$E$42*'Drag Polar'!$D$6))+11*4/1720)</f>
        <v>0.11940218132400612</v>
      </c>
      <c r="M147" s="15"/>
      <c r="N147" s="15"/>
      <c r="O147" s="15"/>
      <c r="P147" s="15"/>
      <c r="Q147" s="15"/>
      <c r="R147" s="15"/>
      <c r="S147" s="15"/>
      <c r="T147" s="15"/>
      <c r="U147" s="15"/>
      <c r="V147" s="15"/>
      <c r="W147" s="15"/>
      <c r="X147" s="15"/>
      <c r="Y147" s="15"/>
      <c r="Z147" s="15"/>
      <c r="AA147" s="15"/>
      <c r="AB147" s="15"/>
      <c r="AC147" s="15"/>
      <c r="AD147" s="15"/>
    </row>
    <row r="148" spans="1:30" x14ac:dyDescent="0.3">
      <c r="A148" s="15"/>
      <c r="B148" s="15">
        <v>4800</v>
      </c>
      <c r="C148" s="15">
        <v>4300</v>
      </c>
      <c r="D148" s="15">
        <v>4100</v>
      </c>
      <c r="E148" s="15">
        <f t="shared" si="1"/>
        <v>0.26329126796294705</v>
      </c>
      <c r="F148" s="16">
        <f t="shared" si="0"/>
        <v>0.27814244203727151</v>
      </c>
      <c r="G148" s="15">
        <f>(1/(POWER(1+0.2*B148*2/(1.4*287*288.15*1.225*SQRT(3.1415*'Drag Polar'!$D$44*'Drag Polar'!$E$44*'Drag Polar'!$D$6)),3.5)*(1-0.57*SQRT(SQRT(B148*2/(1.225*SQRT(3.1415*'Drag Polar'!$D$44*'Drag Polar'!$E$44*'Drag Polar'!$D$6)))/SQRT(1.4*287*288.15))-(3*(1+0.2*B148*2/(1.4*287*288.15*1.225*SQRT(3.1415*'Drag Polar'!$D$44*'Drag Polar'!$E$44*'Drag Polar'!$D$6))-1.07))/(1.5+SQRT(B148*2/(1.225*SQRT(3.1415*'Drag Polar'!$D$44*'Drag Polar'!$E$44*'Drag Polar'!$D$6)))))))*(0.032+2*(SQRT('Drag Polar'!$D$44/(3.1415*'Drag Polar'!$D$6*'Drag Polar'!$E$44))))</f>
        <v>0.18683236823684457</v>
      </c>
      <c r="H148" s="15">
        <f>2*(1/(POWER(1+0.2*B148*2/(1.4*287*288.15*1.225*SQRT(3.1415*'Drag Polar'!$D$6*'Drag Polar'!$D$42*'Drag Polar'!$E$42)),3.5)*(1-0.57*SQRT(SQRT(B148*2/(1.225*SQRT(3.1415*'Drag Polar'!$D$6*'Drag Polar'!$D$42*'Drag Polar'!$E$42)))/SQRT(1.4*287*288.15))-(3*(1+0.2*B148*2/(1.4*287*288.15*1.225*SQRT(3.1415*'Drag Polar'!$D$6*'Drag Polar'!$D$42*'Drag Polar'!$E$42))-1.07))/(1.5+SQRT(B148*2/(1.225*SQRT(3.1415*'Drag Polar'!$D$6*'Drag Polar'!$D$42*'Drag Polar'!$E$42)))))))*(2*(SQRT('Drag Polar'!$D$42/(3.1415*'Drag Polar'!$D$6*'Drag Polar'!$E$42))))</f>
        <v>0.24197750524756514</v>
      </c>
      <c r="I148" s="15">
        <f>2*(1/(POWER(1+0.2*B148*2/(1.4*287*288.15*1.225*SQRT(3.1415*'Drag Polar'!$D$6*'Drag Polar'!$D$41*'Drag Polar'!$E$41)),3.5)*(1-0.57*SQRT(SQRT(B148*2/(1.225*SQRT(3.1415*'Drag Polar'!$D$6*'Drag Polar'!$D$41*'Drag Polar'!$E$41)))/SQRT(1.4*287*288.15))-(3*(1+0.2*B148*2/(1.4*287*288.15*1.225*SQRT(3.1415*'Drag Polar'!$D$6*'Drag Polar'!$D$41*'Drag Polar'!$E$41))-1.07))/(1.5+SQRT(B148*2/(1.225*SQRT(3.1415*'Drag Polar'!$D$6*'Drag Polar'!$D$41*'Drag Polar'!$E$41)))))))*(0.024+2*(SQRT('Drag Polar'!$D$41/(3.14*'Drag Polar'!$D$6*'Drag Polar'!$E$41))))</f>
        <v>0.27096122972963993</v>
      </c>
      <c r="J148" s="15">
        <f>2*(1/(POWER(1+0.2*B148*2/(1.4*287*288.15*1.225*SQRT(3.1415*'Drag Polar'!$D$6*'Drag Polar'!$D$39*'Drag Polar'!$E$39)),3.5)*(1-0.57*SQRT(SQRT(B148*2/(1.225*SQRT(3.1415*'Drag Polar'!$D$6*'Drag Polar'!$D$39*'Drag Polar'!$E$39)))/SQRT(1.4*287*288.15))-(3*(1+0.2*B148*2/(1.4*287*288.15*1.225*SQRT(3.1415*'Drag Polar'!$D$6*'Drag Polar'!$D$39*'Drag Polar'!$E$39))-1.07))/(1.5+SQRT(B148*2/(1.225*SQRT(3.1415*'Drag Polar'!$D$6*'Drag Polar'!$D$39*'Drag Polar'!$E$39)))))))*(0.012+2*(SQRT('Drag Polar'!$D$39/(3.14*'Drag Polar'!$D$6*'Drag Polar'!$E$39))))</f>
        <v>0.18527487546757798</v>
      </c>
      <c r="K148" s="15">
        <f>2*(1/(POWER(1+0.2*B148*2/(1.4*287*288.15*1.225*SQRT(3.1415*'Drag Polar'!$D$6*'Drag Polar'!$D$43*'Drag Polar'!$E$43)),3.5)*(1-0.57*SQRT(SQRT(B148*2/(1.225*SQRT(3.1415*'Drag Polar'!$D$6*'Drag Polar'!$D$43*'Drag Polar'!$E$43)))/SQRT(1.4*287*288.15))-(3*(1+0.2*B148*2/(1.4*287*288.15*1.225*SQRT(3.1415*'Drag Polar'!$D$6*'Drag Polar'!$D$43*'Drag Polar'!$E$43))-1.07))/(1.5+SQRT(B148*2/(1.225*SQRT(3.1415*'Drag Polar'!$D$6*'Drag Polar'!$D$43*'Drag Polar'!$E$43)))))))*(0.021+2*(SQRT('Drag Polar'!$D$43/(3.14*'Drag Polar'!$D$6*'Drag Polar'!$E$43))))</f>
        <v>0.32188720810880744</v>
      </c>
      <c r="L148" s="15">
        <f>1.15*(POWER(1+0.2*B148*2/(1.4*287*298*1.11596*2.2),3.5)*(1-0.57*SQRT(SQRT(B148*2/(1.11596*2.2))/SQRT(1.4*287*298))-(3*(1+0.2*B148*2/(1.4*287*298*1.11596*2.2)-1.07))/(1.5+SQRT(B148*2/(1.11596*2.2)))))*(SQRT(B148/(1720*1.11596*9.8065*3.1415*0.85*'Drag Polar'!$E$42*'Drag Polar'!$D$6))+11*4/1720)</f>
        <v>0.12027316015493424</v>
      </c>
      <c r="M148" s="15"/>
      <c r="N148" s="15"/>
      <c r="O148" s="15"/>
      <c r="P148" s="15"/>
      <c r="Q148" s="15"/>
      <c r="R148" s="15"/>
      <c r="S148" s="15"/>
      <c r="T148" s="15"/>
      <c r="U148" s="15"/>
      <c r="V148" s="15"/>
      <c r="W148" s="15"/>
      <c r="X148" s="15"/>
      <c r="Y148" s="15"/>
      <c r="Z148" s="15"/>
      <c r="AA148" s="15"/>
      <c r="AB148" s="15"/>
      <c r="AC148" s="15"/>
      <c r="AD148" s="15"/>
    </row>
    <row r="149" spans="1:30" x14ac:dyDescent="0.3">
      <c r="A149" s="15"/>
      <c r="B149" s="15">
        <v>4900</v>
      </c>
      <c r="C149" s="15">
        <v>4300</v>
      </c>
      <c r="D149" s="15">
        <v>4100</v>
      </c>
      <c r="E149" s="15">
        <f t="shared" si="1"/>
        <v>0.26141701398943817</v>
      </c>
      <c r="F149" s="16">
        <f t="shared" si="0"/>
        <v>0.27723840033931318</v>
      </c>
      <c r="G149" s="15">
        <f>(1/(POWER(1+0.2*B149*2/(1.4*287*288.15*1.225*SQRT(3.1415*'Drag Polar'!$D$44*'Drag Polar'!$E$44*'Drag Polar'!$D$6)),3.5)*(1-0.57*SQRT(SQRT(B149*2/(1.225*SQRT(3.1415*'Drag Polar'!$D$44*'Drag Polar'!$E$44*'Drag Polar'!$D$6)))/SQRT(1.4*287*288.15))-(3*(1+0.2*B149*2/(1.4*287*288.15*1.225*SQRT(3.1415*'Drag Polar'!$D$44*'Drag Polar'!$E$44*'Drag Polar'!$D$6))-1.07))/(1.5+SQRT(B149*2/(1.225*SQRT(3.1415*'Drag Polar'!$D$44*'Drag Polar'!$E$44*'Drag Polar'!$D$6)))))))*(0.032+2*(SQRT('Drag Polar'!$D$44/(3.1415*'Drag Polar'!$D$6*'Drag Polar'!$E$44))))</f>
        <v>0.18706237395453787</v>
      </c>
      <c r="H149" s="15">
        <f>2*(1/(POWER(1+0.2*B149*2/(1.4*287*288.15*1.225*SQRT(3.1415*'Drag Polar'!$D$6*'Drag Polar'!$D$42*'Drag Polar'!$E$42)),3.5)*(1-0.57*SQRT(SQRT(B149*2/(1.225*SQRT(3.1415*'Drag Polar'!$D$6*'Drag Polar'!$D$42*'Drag Polar'!$E$42)))/SQRT(1.4*287*288.15))-(3*(1+0.2*B149*2/(1.4*287*288.15*1.225*SQRT(3.1415*'Drag Polar'!$D$6*'Drag Polar'!$D$42*'Drag Polar'!$E$42))-1.07))/(1.5+SQRT(B149*2/(1.225*SQRT(3.1415*'Drag Polar'!$D$6*'Drag Polar'!$D$42*'Drag Polar'!$E$42)))))))*(2*(SQRT('Drag Polar'!$D$42/(3.1415*'Drag Polar'!$D$6*'Drag Polar'!$E$42))))</f>
        <v>0.24226967214600847</v>
      </c>
      <c r="I149" s="15">
        <f>2*(1/(POWER(1+0.2*B149*2/(1.4*287*288.15*1.225*SQRT(3.1415*'Drag Polar'!$D$6*'Drag Polar'!$D$41*'Drag Polar'!$E$41)),3.5)*(1-0.57*SQRT(SQRT(B149*2/(1.225*SQRT(3.1415*'Drag Polar'!$D$6*'Drag Polar'!$D$41*'Drag Polar'!$E$41)))/SQRT(1.4*287*288.15))-(3*(1+0.2*B149*2/(1.4*287*288.15*1.225*SQRT(3.1415*'Drag Polar'!$D$6*'Drag Polar'!$D$41*'Drag Polar'!$E$41))-1.07))/(1.5+SQRT(B149*2/(1.225*SQRT(3.1415*'Drag Polar'!$D$6*'Drag Polar'!$D$41*'Drag Polar'!$E$41)))))))*(0.024+2*(SQRT('Drag Polar'!$D$41/(3.14*'Drag Polar'!$D$6*'Drag Polar'!$E$41))))</f>
        <v>0.271279799218832</v>
      </c>
      <c r="J149" s="15">
        <f>2*(1/(POWER(1+0.2*B149*2/(1.4*287*288.15*1.225*SQRT(3.1415*'Drag Polar'!$D$6*'Drag Polar'!$D$39*'Drag Polar'!$E$39)),3.5)*(1-0.57*SQRT(SQRT(B149*2/(1.225*SQRT(3.1415*'Drag Polar'!$D$6*'Drag Polar'!$D$39*'Drag Polar'!$E$39)))/SQRT(1.4*287*288.15))-(3*(1+0.2*B149*2/(1.4*287*288.15*1.225*SQRT(3.1415*'Drag Polar'!$D$6*'Drag Polar'!$D$39*'Drag Polar'!$E$39))-1.07))/(1.5+SQRT(B149*2/(1.225*SQRT(3.1415*'Drag Polar'!$D$6*'Drag Polar'!$D$39*'Drag Polar'!$E$39)))))))*(0.012+2*(SQRT('Drag Polar'!$D$39/(3.14*'Drag Polar'!$D$6*'Drag Polar'!$E$39))))</f>
        <v>0.185463663359582</v>
      </c>
      <c r="K149" s="15">
        <f>2*(1/(POWER(1+0.2*B149*2/(1.4*287*288.15*1.225*SQRT(3.1415*'Drag Polar'!$D$6*'Drag Polar'!$D$43*'Drag Polar'!$E$43)),3.5)*(1-0.57*SQRT(SQRT(B149*2/(1.225*SQRT(3.1415*'Drag Polar'!$D$6*'Drag Polar'!$D$43*'Drag Polar'!$E$43)))/SQRT(1.4*287*288.15))-(3*(1+0.2*B149*2/(1.4*287*288.15*1.225*SQRT(3.1415*'Drag Polar'!$D$6*'Drag Polar'!$D$43*'Drag Polar'!$E$43))-1.07))/(1.5+SQRT(B149*2/(1.225*SQRT(3.1415*'Drag Polar'!$D$6*'Drag Polar'!$D$43*'Drag Polar'!$E$43)))))))*(0.021+2*(SQRT('Drag Polar'!$D$43/(3.14*'Drag Polar'!$D$6*'Drag Polar'!$E$43))))</f>
        <v>0.32228301741383952</v>
      </c>
      <c r="L149" s="15">
        <f>1.15*(POWER(1+0.2*B149*2/(1.4*287*298*1.11596*2.2),3.5)*(1-0.57*SQRT(SQRT(B149*2/(1.11596*2.2))/SQRT(1.4*287*298))-(3*(1+0.2*B149*2/(1.4*287*298*1.11596*2.2)-1.07))/(1.5+SQRT(B149*2/(1.11596*2.2)))))*(SQRT(B149/(1720*1.11596*9.8065*3.1415*0.85*'Drag Polar'!$E$42*'Drag Polar'!$D$6))+11*4/1720)</f>
        <v>0.12113417794459257</v>
      </c>
      <c r="M149" s="15"/>
      <c r="N149" s="15"/>
      <c r="O149" s="15"/>
      <c r="P149" s="15"/>
      <c r="Q149" s="15"/>
      <c r="R149" s="15"/>
      <c r="S149" s="15"/>
      <c r="T149" s="15"/>
      <c r="U149" s="15"/>
      <c r="V149" s="15"/>
      <c r="W149" s="15"/>
      <c r="X149" s="15"/>
      <c r="Y149" s="15"/>
      <c r="Z149" s="15"/>
      <c r="AA149" s="15"/>
      <c r="AB149" s="15"/>
      <c r="AC149" s="15"/>
      <c r="AD149" s="15"/>
    </row>
    <row r="150" spans="1:30" x14ac:dyDescent="0.3">
      <c r="A150" s="15"/>
      <c r="B150" s="15">
        <v>5000</v>
      </c>
      <c r="C150" s="15">
        <v>4300</v>
      </c>
      <c r="D150" s="15">
        <v>4100</v>
      </c>
      <c r="E150" s="15">
        <f t="shared" si="1"/>
        <v>0.25968843237002892</v>
      </c>
      <c r="F150" s="16">
        <f t="shared" si="0"/>
        <v>0.2763500549857234</v>
      </c>
      <c r="G150" s="15">
        <f>(1/(POWER(1+0.2*B150*2/(1.4*287*288.15*1.225*SQRT(3.1415*'Drag Polar'!$D$44*'Drag Polar'!$E$44*'Drag Polar'!$D$6)),3.5)*(1-0.57*SQRT(SQRT(B150*2/(1.225*SQRT(3.1415*'Drag Polar'!$D$44*'Drag Polar'!$E$44*'Drag Polar'!$D$6)))/SQRT(1.4*287*288.15))-(3*(1+0.2*B150*2/(1.4*287*288.15*1.225*SQRT(3.1415*'Drag Polar'!$D$44*'Drag Polar'!$E$44*'Drag Polar'!$D$6))-1.07))/(1.5+SQRT(B150*2/(1.225*SQRT(3.1415*'Drag Polar'!$D$44*'Drag Polar'!$E$44*'Drag Polar'!$D$6)))))))*(0.032+2*(SQRT('Drag Polar'!$D$44/(3.1415*'Drag Polar'!$D$6*'Drag Polar'!$E$44))))</f>
        <v>0.18728799111576031</v>
      </c>
      <c r="H150" s="15">
        <f>2*(1/(POWER(1+0.2*B150*2/(1.4*287*288.15*1.225*SQRT(3.1415*'Drag Polar'!$D$6*'Drag Polar'!$D$42*'Drag Polar'!$E$42)),3.5)*(1-0.57*SQRT(SQRT(B150*2/(1.225*SQRT(3.1415*'Drag Polar'!$D$6*'Drag Polar'!$D$42*'Drag Polar'!$E$42)))/SQRT(1.4*287*288.15))-(3*(1+0.2*B150*2/(1.4*287*288.15*1.225*SQRT(3.1415*'Drag Polar'!$D$6*'Drag Polar'!$D$42*'Drag Polar'!$E$42))-1.07))/(1.5+SQRT(B150*2/(1.225*SQRT(3.1415*'Drag Polar'!$D$6*'Drag Polar'!$D$42*'Drag Polar'!$E$42)))))))*(2*(SQRT('Drag Polar'!$D$42/(3.1415*'Drag Polar'!$D$6*'Drag Polar'!$E$42))))</f>
        <v>0.24255555987309566</v>
      </c>
      <c r="I150" s="15">
        <f>2*(1/(POWER(1+0.2*B150*2/(1.4*287*288.15*1.225*SQRT(3.1415*'Drag Polar'!$D$6*'Drag Polar'!$D$41*'Drag Polar'!$E$41)),3.5)*(1-0.57*SQRT(SQRT(B150*2/(1.225*SQRT(3.1415*'Drag Polar'!$D$6*'Drag Polar'!$D$41*'Drag Polar'!$E$41)))/SQRT(1.4*287*288.15))-(3*(1+0.2*B150*2/(1.4*287*288.15*1.225*SQRT(3.1415*'Drag Polar'!$D$6*'Drag Polar'!$D$41*'Drag Polar'!$E$41))-1.07))/(1.5+SQRT(B150*2/(1.225*SQRT(3.1415*'Drag Polar'!$D$6*'Drag Polar'!$D$41*'Drag Polar'!$E$41)))))))*(0.024+2*(SQRT('Drag Polar'!$D$41/(3.14*'Drag Polar'!$D$6*'Drag Polar'!$E$41))))</f>
        <v>0.27159098332730303</v>
      </c>
      <c r="J150" s="15">
        <f>2*(1/(POWER(1+0.2*B150*2/(1.4*287*288.15*1.225*SQRT(3.1415*'Drag Polar'!$D$6*'Drag Polar'!$D$39*'Drag Polar'!$E$39)),3.5)*(1-0.57*SQRT(SQRT(B150*2/(1.225*SQRT(3.1415*'Drag Polar'!$D$6*'Drag Polar'!$D$39*'Drag Polar'!$E$39)))/SQRT(1.4*287*288.15))-(3*(1+0.2*B150*2/(1.4*287*288.15*1.225*SQRT(3.1415*'Drag Polar'!$D$6*'Drag Polar'!$D$39*'Drag Polar'!$E$39))-1.07))/(1.5+SQRT(B150*2/(1.225*SQRT(3.1415*'Drag Polar'!$D$6*'Drag Polar'!$D$39*'Drag Polar'!$E$39)))))))*(0.012+2*(SQRT('Drag Polar'!$D$39/(3.14*'Drag Polar'!$D$6*'Drag Polar'!$E$39))))</f>
        <v>0.18564674787181751</v>
      </c>
      <c r="K150" s="15">
        <f>2*(1/(POWER(1+0.2*B150*2/(1.4*287*288.15*1.225*SQRT(3.1415*'Drag Polar'!$D$6*'Drag Polar'!$D$43*'Drag Polar'!$E$43)),3.5)*(1-0.57*SQRT(SQRT(B150*2/(1.225*SQRT(3.1415*'Drag Polar'!$D$6*'Drag Polar'!$D$43*'Drag Polar'!$E$43)))/SQRT(1.4*287*288.15))-(3*(1+0.2*B150*2/(1.4*287*288.15*1.225*SQRT(3.1415*'Drag Polar'!$D$6*'Drag Polar'!$D$43*'Drag Polar'!$E$43))-1.07))/(1.5+SQRT(B150*2/(1.225*SQRT(3.1415*'Drag Polar'!$D$6*'Drag Polar'!$D$43*'Drag Polar'!$E$43)))))))*(0.021+2*(SQRT('Drag Polar'!$D$43/(3.14*'Drag Polar'!$D$6*'Drag Polar'!$E$43))))</f>
        <v>0.32267107625856334</v>
      </c>
      <c r="L150" s="15">
        <f>1.15*(POWER(1+0.2*B150*2/(1.4*287*298*1.11596*2.2),3.5)*(1-0.57*SQRT(SQRT(B150*2/(1.11596*2.2))/SQRT(1.4*287*298))-(3*(1+0.2*B150*2/(1.4*287*298*1.11596*2.2)-1.07))/(1.5+SQRT(B150*2/(1.11596*2.2)))))*(SQRT(B150/(1720*1.11596*9.8065*3.1415*0.85*'Drag Polar'!$E$42*'Drag Polar'!$D$6))+11*4/1720)</f>
        <v>0.12198555663657816</v>
      </c>
      <c r="M150" s="15"/>
      <c r="N150" s="15"/>
      <c r="O150" s="15"/>
      <c r="P150" s="15"/>
      <c r="Q150" s="15"/>
      <c r="R150" s="15"/>
      <c r="S150" s="15"/>
      <c r="T150" s="15"/>
      <c r="U150" s="15"/>
      <c r="V150" s="15"/>
      <c r="W150" s="15"/>
      <c r="X150" s="15"/>
      <c r="Y150" s="15"/>
      <c r="Z150" s="15"/>
      <c r="AA150" s="15"/>
      <c r="AB150" s="15"/>
      <c r="AC150" s="15"/>
      <c r="AD150" s="15"/>
    </row>
    <row r="151" spans="1:30" x14ac:dyDescent="0.3">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spans="1:30" x14ac:dyDescent="0.3">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spans="1:30" x14ac:dyDescent="0.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spans="1:30" x14ac:dyDescent="0.3">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spans="1:30" x14ac:dyDescent="0.3">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spans="1:30" x14ac:dyDescent="0.3">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spans="1:30" x14ac:dyDescent="0.3">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spans="1:30" x14ac:dyDescent="0.3">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spans="1:30" x14ac:dyDescent="0.3">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spans="1:30" x14ac:dyDescent="0.3">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spans="1:30" x14ac:dyDescent="0.3">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spans="1:30" x14ac:dyDescent="0.3">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spans="1:30" x14ac:dyDescent="0.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spans="1:30" x14ac:dyDescent="0.3">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spans="1:30" x14ac:dyDescent="0.3">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spans="1:30" x14ac:dyDescent="0.3">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spans="1:30" x14ac:dyDescent="0.3">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spans="1:30" x14ac:dyDescent="0.3">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spans="1:30" x14ac:dyDescent="0.3">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spans="1:30" x14ac:dyDescent="0.3">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spans="1:30" x14ac:dyDescent="0.3">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spans="1:30" x14ac:dyDescent="0.3">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spans="1:30" x14ac:dyDescent="0.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spans="1:30" x14ac:dyDescent="0.3">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spans="1:30" x14ac:dyDescent="0.3">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spans="1:30" x14ac:dyDescent="0.3">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spans="1:30" x14ac:dyDescent="0.3">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spans="1:30" x14ac:dyDescent="0.3">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spans="1:30" x14ac:dyDescent="0.3">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spans="1:30" x14ac:dyDescent="0.3">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spans="1:30" x14ac:dyDescent="0.3">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spans="1:30" x14ac:dyDescent="0.3">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spans="1:30" x14ac:dyDescent="0.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spans="1:30" x14ac:dyDescent="0.3">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spans="1:30" x14ac:dyDescent="0.3">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spans="1:30" x14ac:dyDescent="0.3">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spans="1:30" x14ac:dyDescent="0.3">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spans="1:30" x14ac:dyDescent="0.3">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spans="1:30" x14ac:dyDescent="0.3">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spans="1:30" x14ac:dyDescent="0.3">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spans="1:30" x14ac:dyDescent="0.3">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sheetData>
  <sheetProtection algorithmName="SHA-512" hashValue="1QY2PGF3fq51w24dRMJ+G2PCkQWMLhAQJFMJ5JTTu+4hU4UsYhX6SX1C1Kt0N+ijxwom2abPKoAAOii5Y8MoOQ==" saltValue="UL8d4EEUYRLjQJKB0b3bVA==" spinCount="100000" sheet="1" scenarios="1" formatCells="0"/>
  <dataConsolidate/>
  <mergeCells count="9">
    <mergeCell ref="A8:G8"/>
    <mergeCell ref="A9:G9"/>
    <mergeCell ref="A68:C68"/>
    <mergeCell ref="A1:G1"/>
    <mergeCell ref="A2:G2"/>
    <mergeCell ref="A4:G4"/>
    <mergeCell ref="A5:G5"/>
    <mergeCell ref="A6:G6"/>
    <mergeCell ref="A7:G7"/>
  </mergeCell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3" id="{248C1E93-81F1-465E-A0F9-5136EA0DFA9E}">
            <xm:f>'Configuration Selection'!$B$10="propeller"</xm:f>
            <x14:dxf>
              <numFmt numFmtId="164" formatCode=";;;"/>
            </x14:dxf>
          </x14:cfRule>
          <xm:sqref>E10 E56:E57 G58 G62 G64:G69 H66:H67 E70:E97</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8E15CC2E-AFD6-4E60-9A2A-D2843BF2FC6C}">
          <x14:formula1>
            <xm:f>Sheet2!$A$29:$A$30</xm:f>
          </x14:formula1>
          <xm:sqref>D76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8421A-332B-4464-B94C-1DD572F0C6C5}">
  <dimension ref="A1:F47"/>
  <sheetViews>
    <sheetView topLeftCell="A16" zoomScale="83" workbookViewId="0">
      <selection activeCell="A43" sqref="A43:C43"/>
    </sheetView>
  </sheetViews>
  <sheetFormatPr defaultRowHeight="14.4" x14ac:dyDescent="0.3"/>
  <cols>
    <col min="1" max="1" width="39.109375" customWidth="1"/>
    <col min="2" max="2" width="42.88671875" customWidth="1"/>
  </cols>
  <sheetData>
    <row r="1" spans="1:6" x14ac:dyDescent="0.3">
      <c r="A1" s="7" t="s">
        <v>254</v>
      </c>
      <c r="B1" s="2"/>
      <c r="C1" s="7" t="s">
        <v>19</v>
      </c>
      <c r="D1" s="2"/>
      <c r="E1" s="2"/>
      <c r="F1" s="2"/>
    </row>
    <row r="2" spans="1:6" x14ac:dyDescent="0.3">
      <c r="A2" s="2" t="s">
        <v>255</v>
      </c>
      <c r="B2" s="2" t="str">
        <f>TLAR!B18</f>
        <v>0.7 M</v>
      </c>
      <c r="C2" s="2"/>
      <c r="D2" s="2" t="s">
        <v>256</v>
      </c>
      <c r="E2" s="2"/>
      <c r="F2" s="2"/>
    </row>
    <row r="3" spans="1:6" x14ac:dyDescent="0.3">
      <c r="A3" s="2" t="s">
        <v>257</v>
      </c>
      <c r="B3" s="1">
        <v>15</v>
      </c>
      <c r="C3" s="2" t="s">
        <v>479</v>
      </c>
      <c r="D3" s="2"/>
      <c r="E3" s="2"/>
      <c r="F3" s="2"/>
    </row>
    <row r="4" spans="1:6" ht="90" customHeight="1" x14ac:dyDescent="0.3">
      <c r="A4" s="36" t="s">
        <v>258</v>
      </c>
      <c r="B4" s="33" t="s">
        <v>680</v>
      </c>
      <c r="C4" s="2"/>
      <c r="D4" s="2"/>
      <c r="E4" s="2"/>
      <c r="F4" s="2"/>
    </row>
    <row r="5" spans="1:6" x14ac:dyDescent="0.3">
      <c r="A5" s="2"/>
      <c r="B5" s="2"/>
      <c r="C5" s="2"/>
      <c r="D5" s="2"/>
      <c r="E5" s="2"/>
      <c r="F5" s="2"/>
    </row>
    <row r="6" spans="1:6" x14ac:dyDescent="0.3">
      <c r="A6" s="7" t="s">
        <v>259</v>
      </c>
      <c r="B6" s="2"/>
      <c r="C6" s="2"/>
      <c r="D6" s="2"/>
      <c r="E6" s="2"/>
      <c r="F6" s="2"/>
    </row>
    <row r="7" spans="1:6" x14ac:dyDescent="0.3">
      <c r="A7" s="2" t="s">
        <v>260</v>
      </c>
      <c r="B7" s="1">
        <v>0.35</v>
      </c>
      <c r="C7" s="2" t="s">
        <v>20</v>
      </c>
      <c r="D7" s="2"/>
      <c r="E7" s="2"/>
      <c r="F7" s="2"/>
    </row>
    <row r="8" spans="1:6" ht="90" customHeight="1" x14ac:dyDescent="0.3">
      <c r="A8" s="32" t="s">
        <v>261</v>
      </c>
      <c r="B8" s="33" t="s">
        <v>681</v>
      </c>
      <c r="C8" s="2"/>
      <c r="D8" s="2"/>
      <c r="E8" s="2"/>
      <c r="F8" s="2"/>
    </row>
    <row r="9" spans="1:6" x14ac:dyDescent="0.3">
      <c r="A9" s="2"/>
      <c r="B9" s="2"/>
      <c r="C9" s="2"/>
      <c r="D9" s="2"/>
      <c r="E9" s="2"/>
      <c r="F9" s="2"/>
    </row>
    <row r="10" spans="1:6" x14ac:dyDescent="0.3">
      <c r="A10" s="7" t="s">
        <v>262</v>
      </c>
      <c r="B10" s="2"/>
      <c r="C10" s="2"/>
      <c r="D10" s="2"/>
      <c r="E10" s="2"/>
      <c r="F10" s="2"/>
    </row>
    <row r="11" spans="1:6" x14ac:dyDescent="0.3">
      <c r="A11" s="2" t="s">
        <v>266</v>
      </c>
      <c r="B11" s="2">
        <f>'Drag Polar'!D6</f>
        <v>9.5</v>
      </c>
      <c r="C11" s="2"/>
      <c r="D11" s="2" t="s">
        <v>267</v>
      </c>
      <c r="E11" s="2"/>
      <c r="F11" s="2"/>
    </row>
    <row r="12" spans="1:6" x14ac:dyDescent="0.3">
      <c r="A12" s="2" t="s">
        <v>263</v>
      </c>
      <c r="B12" s="1">
        <v>25.95</v>
      </c>
      <c r="C12" s="2" t="s">
        <v>24</v>
      </c>
      <c r="D12" s="2"/>
      <c r="E12" s="2"/>
      <c r="F12" s="2"/>
    </row>
    <row r="13" spans="1:6" x14ac:dyDescent="0.3">
      <c r="A13" s="2" t="s">
        <v>264</v>
      </c>
      <c r="B13" s="1">
        <v>4.05</v>
      </c>
      <c r="C13" s="2" t="s">
        <v>24</v>
      </c>
      <c r="D13" s="2"/>
      <c r="E13" s="2"/>
      <c r="F13" s="2"/>
    </row>
    <row r="14" spans="1:6" x14ac:dyDescent="0.3">
      <c r="A14" s="2" t="s">
        <v>265</v>
      </c>
      <c r="B14" s="1">
        <v>1.4175</v>
      </c>
      <c r="C14" s="2" t="s">
        <v>24</v>
      </c>
      <c r="D14" s="2"/>
      <c r="E14" s="2"/>
      <c r="F14" s="2"/>
    </row>
    <row r="15" spans="1:6" ht="30" customHeight="1" x14ac:dyDescent="0.3">
      <c r="A15" s="130" t="s">
        <v>408</v>
      </c>
      <c r="B15" s="130"/>
      <c r="C15" s="130"/>
      <c r="D15" s="2"/>
      <c r="E15" s="2"/>
      <c r="F15" s="2"/>
    </row>
    <row r="16" spans="1:6" x14ac:dyDescent="0.3">
      <c r="A16" s="2"/>
      <c r="B16" s="2"/>
      <c r="C16" s="2"/>
      <c r="D16" s="2"/>
      <c r="E16" s="2"/>
      <c r="F16" s="2"/>
    </row>
    <row r="17" spans="1:6" x14ac:dyDescent="0.3">
      <c r="A17" s="7" t="s">
        <v>273</v>
      </c>
      <c r="B17" s="2"/>
      <c r="C17" s="2"/>
      <c r="D17" s="2"/>
      <c r="E17" s="2"/>
      <c r="F17" s="2"/>
    </row>
    <row r="18" spans="1:6" ht="30" customHeight="1" x14ac:dyDescent="0.3">
      <c r="A18" s="130" t="s">
        <v>274</v>
      </c>
      <c r="B18" s="130"/>
      <c r="C18" s="130"/>
      <c r="D18" s="2"/>
      <c r="E18" s="2"/>
      <c r="F18" s="2"/>
    </row>
    <row r="19" spans="1:6" x14ac:dyDescent="0.3">
      <c r="A19" s="2" t="s">
        <v>409</v>
      </c>
      <c r="B19" s="1">
        <v>2.8</v>
      </c>
      <c r="C19" s="2" t="s">
        <v>24</v>
      </c>
      <c r="D19" s="2"/>
      <c r="E19" s="2"/>
      <c r="F19" s="2"/>
    </row>
    <row r="20" spans="1:6" x14ac:dyDescent="0.3">
      <c r="A20" s="2"/>
      <c r="B20" s="2"/>
      <c r="C20" s="2"/>
      <c r="D20" s="2"/>
      <c r="E20" s="2"/>
      <c r="F20" s="2"/>
    </row>
    <row r="21" spans="1:6" x14ac:dyDescent="0.3">
      <c r="A21" s="7" t="s">
        <v>275</v>
      </c>
      <c r="B21" s="2"/>
      <c r="C21" s="2"/>
      <c r="D21" s="2"/>
      <c r="E21" s="2"/>
      <c r="F21" s="2"/>
    </row>
    <row r="22" spans="1:6" ht="43.2" x14ac:dyDescent="0.3">
      <c r="A22" s="31" t="s">
        <v>277</v>
      </c>
      <c r="B22" s="1">
        <v>5.9500000000000004E-3</v>
      </c>
      <c r="C22" s="2" t="s">
        <v>20</v>
      </c>
      <c r="D22" s="2"/>
      <c r="E22" s="2"/>
      <c r="F22" s="2"/>
    </row>
    <row r="23" spans="1:6" ht="28.8" x14ac:dyDescent="0.3">
      <c r="A23" s="31" t="s">
        <v>278</v>
      </c>
      <c r="B23" s="1">
        <v>0.13600000000000001</v>
      </c>
      <c r="C23" s="2" t="s">
        <v>20</v>
      </c>
      <c r="D23" s="2"/>
      <c r="E23" s="2"/>
      <c r="F23" s="2"/>
    </row>
    <row r="24" spans="1:6" ht="43.2" x14ac:dyDescent="0.3">
      <c r="A24" s="31" t="s">
        <v>276</v>
      </c>
      <c r="B24" s="1">
        <v>1.9</v>
      </c>
      <c r="C24" s="2" t="s">
        <v>20</v>
      </c>
      <c r="D24" s="2"/>
      <c r="E24" s="2"/>
      <c r="F24" s="2"/>
    </row>
    <row r="25" spans="1:6" ht="28.8" x14ac:dyDescent="0.3">
      <c r="A25" s="31" t="s">
        <v>279</v>
      </c>
      <c r="B25" s="1">
        <v>0.11</v>
      </c>
      <c r="C25" s="2" t="s">
        <v>20</v>
      </c>
      <c r="D25" s="2"/>
      <c r="E25" s="2"/>
      <c r="F25" s="2"/>
    </row>
    <row r="26" spans="1:6" ht="28.8" x14ac:dyDescent="0.3">
      <c r="A26" s="31" t="s">
        <v>278</v>
      </c>
      <c r="B26" s="1">
        <v>0.22</v>
      </c>
      <c r="C26" s="2" t="s">
        <v>20</v>
      </c>
      <c r="D26" s="2"/>
      <c r="E26" s="2"/>
      <c r="F26" s="2"/>
    </row>
    <row r="27" spans="1:6" ht="43.2" x14ac:dyDescent="0.3">
      <c r="A27" s="31" t="s">
        <v>280</v>
      </c>
      <c r="B27" s="1">
        <v>0.17699999999999999</v>
      </c>
      <c r="C27" s="2" t="s">
        <v>20</v>
      </c>
      <c r="D27" s="2"/>
      <c r="E27" s="2"/>
      <c r="F27" s="2"/>
    </row>
    <row r="28" spans="1:6" ht="43.2" x14ac:dyDescent="0.3">
      <c r="A28" s="31" t="s">
        <v>281</v>
      </c>
      <c r="B28" s="1">
        <v>0.11</v>
      </c>
      <c r="C28" s="2" t="s">
        <v>20</v>
      </c>
      <c r="D28" s="2"/>
      <c r="E28" s="2"/>
      <c r="F28" s="2"/>
    </row>
    <row r="29" spans="1:6" ht="28.8" x14ac:dyDescent="0.3">
      <c r="A29" s="31" t="s">
        <v>282</v>
      </c>
      <c r="B29" s="1">
        <v>0.13600000000000001</v>
      </c>
      <c r="C29" s="2" t="s">
        <v>20</v>
      </c>
      <c r="D29" s="2"/>
      <c r="E29" s="2"/>
      <c r="F29" s="2"/>
    </row>
    <row r="30" spans="1:6" ht="28.8" x14ac:dyDescent="0.3">
      <c r="A30" s="31" t="s">
        <v>283</v>
      </c>
      <c r="B30" s="1">
        <v>0.13600000000000001</v>
      </c>
      <c r="C30" s="2" t="s">
        <v>20</v>
      </c>
      <c r="D30" s="2"/>
      <c r="E30" s="2"/>
      <c r="F30" s="2"/>
    </row>
    <row r="31" spans="1:6" ht="44.4" x14ac:dyDescent="0.3">
      <c r="A31" s="31" t="s">
        <v>284</v>
      </c>
      <c r="B31" s="33" t="s">
        <v>686</v>
      </c>
      <c r="C31" s="2"/>
      <c r="D31" s="2"/>
      <c r="E31" s="2"/>
      <c r="F31" s="2"/>
    </row>
    <row r="32" spans="1:6" ht="45" customHeight="1" x14ac:dyDescent="0.3">
      <c r="A32" s="130" t="s">
        <v>285</v>
      </c>
      <c r="B32" s="130"/>
      <c r="C32" s="2"/>
      <c r="D32" s="2"/>
      <c r="E32" s="2"/>
      <c r="F32" s="2"/>
    </row>
    <row r="33" spans="1:6" ht="30" customHeight="1" x14ac:dyDescent="0.3">
      <c r="A33" s="130" t="s">
        <v>286</v>
      </c>
      <c r="B33" s="130"/>
      <c r="C33" s="2"/>
      <c r="D33" s="2"/>
      <c r="E33" s="2"/>
      <c r="F33" s="2"/>
    </row>
    <row r="34" spans="1:6" x14ac:dyDescent="0.3">
      <c r="A34" s="2"/>
      <c r="B34" s="2"/>
      <c r="C34" s="2"/>
      <c r="D34" s="2"/>
      <c r="E34" s="2"/>
      <c r="F34" s="2"/>
    </row>
    <row r="35" spans="1:6" x14ac:dyDescent="0.3">
      <c r="A35" s="7" t="s">
        <v>287</v>
      </c>
      <c r="B35" s="2"/>
      <c r="C35" s="2"/>
      <c r="D35" s="2"/>
      <c r="E35" s="2"/>
      <c r="F35" s="2"/>
    </row>
    <row r="36" spans="1:6" x14ac:dyDescent="0.3">
      <c r="A36" s="2" t="s">
        <v>288</v>
      </c>
      <c r="B36" s="1">
        <v>3.5</v>
      </c>
      <c r="C36" s="2" t="s">
        <v>479</v>
      </c>
      <c r="D36" s="2"/>
      <c r="E36" s="2"/>
      <c r="F36" s="2"/>
    </row>
    <row r="37" spans="1:6" ht="28.8" x14ac:dyDescent="0.3">
      <c r="A37" s="24" t="s">
        <v>289</v>
      </c>
      <c r="B37" s="33" t="s">
        <v>674</v>
      </c>
      <c r="C37" s="2"/>
      <c r="D37" s="2"/>
      <c r="E37" s="2"/>
      <c r="F37" s="2"/>
    </row>
    <row r="38" spans="1:6" ht="90" customHeight="1" x14ac:dyDescent="0.3">
      <c r="A38" s="32" t="s">
        <v>290</v>
      </c>
      <c r="B38" s="33" t="s">
        <v>687</v>
      </c>
      <c r="C38" s="2"/>
      <c r="D38" s="2"/>
      <c r="E38" s="2"/>
      <c r="F38" s="2"/>
    </row>
    <row r="39" spans="1:6" x14ac:dyDescent="0.3">
      <c r="A39" s="2" t="s">
        <v>291</v>
      </c>
      <c r="B39" s="1">
        <v>6</v>
      </c>
      <c r="C39" s="2" t="s">
        <v>479</v>
      </c>
      <c r="D39" s="2"/>
      <c r="E39" s="2"/>
      <c r="F39" s="2"/>
    </row>
    <row r="40" spans="1:6" x14ac:dyDescent="0.3">
      <c r="A40" s="2"/>
      <c r="B40" s="2"/>
      <c r="C40" s="2"/>
      <c r="D40" s="2"/>
      <c r="E40" s="2"/>
      <c r="F40" s="2"/>
    </row>
    <row r="41" spans="1:6" x14ac:dyDescent="0.3">
      <c r="A41" s="7" t="s">
        <v>292</v>
      </c>
      <c r="B41" s="2"/>
      <c r="C41" s="2"/>
      <c r="D41" s="2"/>
      <c r="E41" s="2"/>
      <c r="F41" s="2"/>
    </row>
    <row r="42" spans="1:6" ht="30" customHeight="1" x14ac:dyDescent="0.3">
      <c r="A42" s="130" t="s">
        <v>515</v>
      </c>
      <c r="B42" s="130"/>
      <c r="C42" s="130"/>
      <c r="D42" s="2"/>
      <c r="E42" s="2"/>
      <c r="F42" s="2"/>
    </row>
    <row r="43" spans="1:6" ht="30" customHeight="1" x14ac:dyDescent="0.3">
      <c r="A43" s="130" t="s">
        <v>517</v>
      </c>
      <c r="B43" s="130"/>
      <c r="C43" s="130"/>
      <c r="D43" s="2"/>
      <c r="E43" s="2"/>
      <c r="F43" s="2"/>
    </row>
    <row r="44" spans="1:6" x14ac:dyDescent="0.3">
      <c r="A44" s="38" t="s">
        <v>516</v>
      </c>
      <c r="B44" s="2"/>
      <c r="C44" s="2"/>
      <c r="D44" s="2"/>
      <c r="E44" s="2"/>
      <c r="F44" s="2"/>
    </row>
    <row r="45" spans="1:6" x14ac:dyDescent="0.3">
      <c r="A45" s="2"/>
      <c r="B45" s="2"/>
      <c r="C45" s="2"/>
      <c r="D45" s="2"/>
      <c r="E45" s="2"/>
      <c r="F45" s="2"/>
    </row>
    <row r="46" spans="1:6" x14ac:dyDescent="0.3">
      <c r="A46" s="7" t="s">
        <v>407</v>
      </c>
      <c r="B46" s="2"/>
      <c r="C46" s="2"/>
      <c r="D46" s="2"/>
      <c r="E46" s="2"/>
      <c r="F46" s="2"/>
    </row>
    <row r="47" spans="1:6" x14ac:dyDescent="0.3">
      <c r="A47" s="7"/>
      <c r="B47" s="2"/>
      <c r="C47" s="2"/>
      <c r="D47" s="2"/>
      <c r="E47" s="2"/>
      <c r="F47" s="2"/>
    </row>
  </sheetData>
  <sheetProtection algorithmName="SHA-512" hashValue="In33eAX8DEpVnoXMadmQj4mk0CfCRBJSAMM8/xswpjBUK++x9jfUturqKuqDK8OFMn3WLXzyr0pMxrqQp59WKg==" saltValue="6GH4S11XFkDInN3f8gLOZA==" spinCount="100000" sheet="1" objects="1" scenarios="1" formatCells="0"/>
  <mergeCells count="6">
    <mergeCell ref="A32:B32"/>
    <mergeCell ref="A33:B33"/>
    <mergeCell ref="A42:C42"/>
    <mergeCell ref="A43:C43"/>
    <mergeCell ref="A15:C15"/>
    <mergeCell ref="A18:C1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B35A4F73E5FB46B06133D49831EB02" ma:contentTypeVersion="4" ma:contentTypeDescription="Een nieuw document maken." ma:contentTypeScope="" ma:versionID="963094af03acbe8bbdbdb5b78098b6c0">
  <xsd:schema xmlns:xsd="http://www.w3.org/2001/XMLSchema" xmlns:xs="http://www.w3.org/2001/XMLSchema" xmlns:p="http://schemas.microsoft.com/office/2006/metadata/properties" xmlns:ns2="57737f91-50a7-4bcd-be1e-7a40d09a4546" targetNamespace="http://schemas.microsoft.com/office/2006/metadata/properties" ma:root="true" ma:fieldsID="97d626fed2f10e20cb731189a2ebb807" ns2:_="">
    <xsd:import namespace="57737f91-50a7-4bcd-be1e-7a40d09a454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737f91-50a7-4bcd-be1e-7a40d09a45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4C5F6B-9CE6-4980-93EC-E038CC0A98DD}">
  <ds:schemaRefs>
    <ds:schemaRef ds:uri="http://schemas.microsoft.com/sharepoint/v3/contenttype/forms"/>
  </ds:schemaRefs>
</ds:datastoreItem>
</file>

<file path=customXml/itemProps2.xml><?xml version="1.0" encoding="utf-8"?>
<ds:datastoreItem xmlns:ds="http://schemas.openxmlformats.org/officeDocument/2006/customXml" ds:itemID="{15DCABB9-91A6-47D0-BC99-7AE8850BD3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737f91-50a7-4bcd-be1e-7a40d09a45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 sheet</vt:lpstr>
      <vt:lpstr>TLAR</vt:lpstr>
      <vt:lpstr>Reference Aircraft</vt:lpstr>
      <vt:lpstr>Configuration Selection</vt:lpstr>
      <vt:lpstr>Fuselage</vt:lpstr>
      <vt:lpstr>Drag Polar</vt:lpstr>
      <vt:lpstr>Mass Estimation</vt:lpstr>
      <vt:lpstr>Matching Diagram</vt:lpstr>
      <vt:lpstr>Wing</vt:lpstr>
      <vt:lpstr>Propulsion System</vt:lpstr>
      <vt:lpstr>Propulsion System 2</vt:lpstr>
      <vt:lpstr>CG and Loading Diagram</vt:lpstr>
      <vt:lpstr>Landing Gear</vt:lpstr>
      <vt:lpstr>Landing Gear 2</vt:lpstr>
      <vt:lpstr>Tail</vt:lpstr>
      <vt:lpstr>Design Log Book</vt:lpstr>
      <vt:lpstr>Sheet2</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Hoogreef - LR</dc:creator>
  <cp:lastModifiedBy>Alexandru Prohnitchi</cp:lastModifiedBy>
  <dcterms:created xsi:type="dcterms:W3CDTF">2023-09-15T08:37:40Z</dcterms:created>
  <dcterms:modified xsi:type="dcterms:W3CDTF">2024-04-03T12:24:36Z</dcterms:modified>
</cp:coreProperties>
</file>