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alex\OneDrive\Рабочий стол\Учёба\8_sem\экономика\"/>
    </mc:Choice>
  </mc:AlternateContent>
  <xr:revisionPtr revIDLastSave="0" documentId="13_ncr:1_{35063D86-102F-49B1-8CF3-71379211B88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РК1" sheetId="1" r:id="rId1"/>
    <sheet name="РК2" sheetId="2" r:id="rId2"/>
    <sheet name="РК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3" l="1"/>
  <c r="D56" i="3"/>
  <c r="E55" i="3"/>
  <c r="D55" i="3"/>
  <c r="E54" i="3"/>
  <c r="D54" i="3"/>
  <c r="E48" i="3"/>
  <c r="D48" i="3"/>
  <c r="E52" i="3"/>
  <c r="D52" i="3"/>
  <c r="E47" i="3"/>
  <c r="D47" i="3"/>
  <c r="E46" i="3"/>
  <c r="D46" i="3"/>
  <c r="E45" i="3"/>
  <c r="D45" i="3"/>
  <c r="E42" i="3"/>
  <c r="D42" i="3"/>
  <c r="E41" i="3"/>
  <c r="D41" i="3"/>
  <c r="E37" i="3"/>
  <c r="D37" i="3"/>
  <c r="E36" i="3"/>
  <c r="D36" i="3"/>
  <c r="E35" i="3"/>
  <c r="D35" i="3"/>
  <c r="E34" i="3"/>
  <c r="D34" i="3"/>
  <c r="E33" i="3"/>
  <c r="D33" i="3"/>
  <c r="E27" i="3"/>
  <c r="D27" i="3"/>
  <c r="E26" i="3"/>
  <c r="D26" i="3"/>
  <c r="E25" i="3"/>
  <c r="D25" i="3"/>
  <c r="K11" i="3"/>
  <c r="L11" i="3"/>
  <c r="K3" i="3"/>
  <c r="K5" i="3"/>
  <c r="K4" i="3"/>
  <c r="L3" i="3"/>
  <c r="E14" i="3"/>
  <c r="L6" i="3" s="1"/>
  <c r="D14" i="3"/>
  <c r="D15" i="3" s="1"/>
  <c r="E13" i="3"/>
  <c r="E18" i="3" s="1"/>
  <c r="D13" i="3"/>
  <c r="D18" i="3" s="1"/>
  <c r="E12" i="3"/>
  <c r="L4" i="3" s="1"/>
  <c r="D12" i="3"/>
  <c r="E11" i="3"/>
  <c r="D11" i="3"/>
  <c r="E10" i="3"/>
  <c r="D10" i="3"/>
  <c r="C3" i="2"/>
  <c r="C12" i="2" s="1"/>
  <c r="D3" i="2"/>
  <c r="D12" i="2" s="1"/>
  <c r="B3" i="2"/>
  <c r="B11" i="2" s="1"/>
  <c r="C11" i="2"/>
  <c r="B5" i="2"/>
  <c r="C17" i="2"/>
  <c r="D17" i="2"/>
  <c r="B17" i="2"/>
  <c r="C16" i="2"/>
  <c r="D16" i="2"/>
  <c r="B16" i="2"/>
  <c r="C15" i="2"/>
  <c r="D15" i="2"/>
  <c r="B15" i="2"/>
  <c r="C2" i="2"/>
  <c r="D2" i="2"/>
  <c r="B2" i="2"/>
  <c r="C10" i="2"/>
  <c r="D10" i="2"/>
  <c r="B10" i="2"/>
  <c r="C9" i="2"/>
  <c r="D9" i="2"/>
  <c r="B9" i="2"/>
  <c r="C6" i="2"/>
  <c r="D6" i="2"/>
  <c r="B6" i="2"/>
  <c r="D4" i="2"/>
  <c r="C4" i="2"/>
  <c r="B4" i="2"/>
  <c r="C13" i="1"/>
  <c r="D13" i="1"/>
  <c r="B13" i="1"/>
  <c r="C12" i="1"/>
  <c r="D12" i="1"/>
  <c r="B12" i="1"/>
  <c r="C11" i="1"/>
  <c r="D11" i="1"/>
  <c r="B11" i="1"/>
  <c r="C7" i="1"/>
  <c r="D7" i="1"/>
  <c r="B7" i="1"/>
  <c r="C6" i="1"/>
  <c r="D6" i="1"/>
  <c r="B6" i="1"/>
  <c r="C5" i="1"/>
  <c r="D5" i="1"/>
  <c r="B5" i="1"/>
  <c r="C2" i="1"/>
  <c r="D2" i="1"/>
  <c r="B2" i="1"/>
  <c r="E17" i="3" l="1"/>
  <c r="E15" i="3"/>
  <c r="E16" i="3"/>
  <c r="K6" i="3"/>
  <c r="L5" i="3"/>
  <c r="D16" i="3"/>
  <c r="D17" i="3"/>
  <c r="D11" i="2"/>
  <c r="B12" i="2"/>
  <c r="C5" i="2"/>
  <c r="D5" i="2"/>
</calcChain>
</file>

<file path=xl/sharedStrings.xml><?xml version="1.0" encoding="utf-8"?>
<sst xmlns="http://schemas.openxmlformats.org/spreadsheetml/2006/main" count="85" uniqueCount="78">
  <si>
    <t>А</t>
  </si>
  <si>
    <t>ВА</t>
  </si>
  <si>
    <t>ОА</t>
  </si>
  <si>
    <t>ВА%</t>
  </si>
  <si>
    <t>ОА%</t>
  </si>
  <si>
    <t>КСА</t>
  </si>
  <si>
    <t>СК</t>
  </si>
  <si>
    <t>ДО</t>
  </si>
  <si>
    <t>КО</t>
  </si>
  <si>
    <t>СК%</t>
  </si>
  <si>
    <t>ДО%</t>
  </si>
  <si>
    <t>КО%</t>
  </si>
  <si>
    <t>ЧА</t>
  </si>
  <si>
    <t>СОК</t>
  </si>
  <si>
    <t>РА</t>
  </si>
  <si>
    <t>К-РА</t>
  </si>
  <si>
    <t>М-СК</t>
  </si>
  <si>
    <t>К-АВТ</t>
  </si>
  <si>
    <t>К-ФИН</t>
  </si>
  <si>
    <t>К-МАН</t>
  </si>
  <si>
    <t>К-СОК</t>
  </si>
  <si>
    <t>Л-АБС</t>
  </si>
  <si>
    <t>Л-СРОЧ</t>
  </si>
  <si>
    <t>Л-ТЕК</t>
  </si>
  <si>
    <t>ДЗ</t>
  </si>
  <si>
    <t>ДС</t>
  </si>
  <si>
    <t>Материальные затраты</t>
  </si>
  <si>
    <t>Расходы на оплату труда</t>
  </si>
  <si>
    <t>Отчисления на соц. Нужды</t>
  </si>
  <si>
    <t>Амортизация</t>
  </si>
  <si>
    <t>Прочие произв. Затраты</t>
  </si>
  <si>
    <t>Итого по элементам</t>
  </si>
  <si>
    <t>МЗ</t>
  </si>
  <si>
    <t>З</t>
  </si>
  <si>
    <t>ЗП</t>
  </si>
  <si>
    <t>АМ</t>
  </si>
  <si>
    <t>ПЗ</t>
  </si>
  <si>
    <t>МЗ%</t>
  </si>
  <si>
    <t>ЗП%</t>
  </si>
  <si>
    <t>АМ%</t>
  </si>
  <si>
    <t>ПЗ%</t>
  </si>
  <si>
    <t>Выручка</t>
  </si>
  <si>
    <t>В</t>
  </si>
  <si>
    <t>Материалоемкость</t>
  </si>
  <si>
    <t>Зарплатоемкость</t>
  </si>
  <si>
    <t>Амортизациоекость</t>
  </si>
  <si>
    <t>Емкость прочих затрат</t>
  </si>
  <si>
    <t>Затратоемкость</t>
  </si>
  <si>
    <t>МЗ-ЕМ</t>
  </si>
  <si>
    <t>ЗП-ЕМ</t>
  </si>
  <si>
    <t>АМ-ЕМ</t>
  </si>
  <si>
    <t>ПЗ-ЕМ</t>
  </si>
  <si>
    <t>З-ЕМ</t>
  </si>
  <si>
    <t>КР</t>
  </si>
  <si>
    <t>УР</t>
  </si>
  <si>
    <t>РС</t>
  </si>
  <si>
    <t>ТС</t>
  </si>
  <si>
    <t>ОР</t>
  </si>
  <si>
    <t xml:space="preserve"> </t>
  </si>
  <si>
    <t>Запасы</t>
  </si>
  <si>
    <t>ОБ-А</t>
  </si>
  <si>
    <t>ОБ-ОА</t>
  </si>
  <si>
    <t>ОБ-ЗАП</t>
  </si>
  <si>
    <t>ЗАП</t>
  </si>
  <si>
    <t>ДЕБ</t>
  </si>
  <si>
    <t>КРЕД</t>
  </si>
  <si>
    <t>Т</t>
  </si>
  <si>
    <t>Д-ЗАП</t>
  </si>
  <si>
    <t>Д-ДЕБ</t>
  </si>
  <si>
    <t>Д-КРЕД</t>
  </si>
  <si>
    <t>Ц-ОПЕР</t>
  </si>
  <si>
    <t>Ц-ФИН</t>
  </si>
  <si>
    <t>П-ЧИСТ</t>
  </si>
  <si>
    <t>ROS</t>
  </si>
  <si>
    <t>ROA</t>
  </si>
  <si>
    <t>ROE</t>
  </si>
  <si>
    <t>ROI</t>
  </si>
  <si>
    <t>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</si>
</sst>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B10" sqref="B10"/>
    </sheetView>
  </sheetViews>
  <sheetFormatPr defaultRowHeight="14.4" x14ac:dyDescent="0.3"/>
  <cols>
    <col min="2" max="2" width="17.5546875" customWidth="1"/>
    <col min="3" max="3" width="20.33203125" customWidth="1"/>
    <col min="4" max="4" width="21" customWidth="1"/>
  </cols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0</v>
      </c>
      <c r="B2">
        <f>B3+B4</f>
        <v>817387627</v>
      </c>
      <c r="C2">
        <f t="shared" ref="C2:D2" si="0">C3+C4</f>
        <v>752250293</v>
      </c>
      <c r="D2">
        <f t="shared" si="0"/>
        <v>661065485</v>
      </c>
    </row>
    <row r="3" spans="1:4" x14ac:dyDescent="0.3">
      <c r="A3" t="s">
        <v>1</v>
      </c>
      <c r="B3">
        <v>427674050</v>
      </c>
      <c r="C3">
        <v>417579038</v>
      </c>
      <c r="D3">
        <v>349717889</v>
      </c>
    </row>
    <row r="4" spans="1:4" x14ac:dyDescent="0.3">
      <c r="A4" t="s">
        <v>2</v>
      </c>
      <c r="B4">
        <v>389713577</v>
      </c>
      <c r="C4">
        <v>334671255</v>
      </c>
      <c r="D4">
        <v>311347596</v>
      </c>
    </row>
    <row r="5" spans="1:4" x14ac:dyDescent="0.3">
      <c r="A5" t="s">
        <v>3</v>
      </c>
      <c r="B5">
        <f>B3/B2*100</f>
        <v>52.322060656785553</v>
      </c>
      <c r="C5">
        <f t="shared" ref="C5:D5" si="1">C3/C2*100</f>
        <v>55.510651426226829</v>
      </c>
      <c r="D5">
        <f t="shared" si="1"/>
        <v>52.902155222942845</v>
      </c>
    </row>
    <row r="6" spans="1:4" x14ac:dyDescent="0.3">
      <c r="A6" t="s">
        <v>4</v>
      </c>
      <c r="B6">
        <f>B4/B2*100</f>
        <v>47.677939343214454</v>
      </c>
      <c r="C6">
        <f t="shared" ref="C6:D6" si="2">C4/C2*100</f>
        <v>44.489348573773171</v>
      </c>
      <c r="D6">
        <f t="shared" si="2"/>
        <v>47.097844777057148</v>
      </c>
    </row>
    <row r="7" spans="1:4" x14ac:dyDescent="0.3">
      <c r="A7" t="s">
        <v>5</v>
      </c>
      <c r="B7">
        <f>B4/B3</f>
        <v>0.91123970930665543</v>
      </c>
      <c r="C7">
        <f t="shared" ref="C7:D7" si="3">C4/C3</f>
        <v>0.80145607069481295</v>
      </c>
      <c r="D7">
        <f t="shared" si="3"/>
        <v>0.89028215539754674</v>
      </c>
    </row>
    <row r="8" spans="1:4" x14ac:dyDescent="0.3">
      <c r="A8" t="s">
        <v>6</v>
      </c>
      <c r="B8">
        <v>138590171</v>
      </c>
      <c r="C8">
        <v>118400241</v>
      </c>
      <c r="D8">
        <v>107135015</v>
      </c>
    </row>
    <row r="9" spans="1:4" x14ac:dyDescent="0.3">
      <c r="A9" t="s">
        <v>7</v>
      </c>
      <c r="B9">
        <v>595382021</v>
      </c>
      <c r="C9">
        <v>549280677</v>
      </c>
      <c r="D9">
        <v>461242065</v>
      </c>
    </row>
    <row r="10" spans="1:4" x14ac:dyDescent="0.3">
      <c r="A10" t="s">
        <v>8</v>
      </c>
      <c r="B10">
        <v>83415435</v>
      </c>
      <c r="C10">
        <v>84569375</v>
      </c>
      <c r="D10">
        <v>92688405</v>
      </c>
    </row>
    <row r="11" spans="1:4" x14ac:dyDescent="0.3">
      <c r="A11" t="s">
        <v>9</v>
      </c>
      <c r="B11">
        <f>B8/B2*100</f>
        <v>16.955256774396954</v>
      </c>
      <c r="C11">
        <f t="shared" ref="C11:D11" si="4">C8/C2*100</f>
        <v>15.73947422842679</v>
      </c>
      <c r="D11">
        <f t="shared" si="4"/>
        <v>16.206414860700221</v>
      </c>
    </row>
    <row r="12" spans="1:4" x14ac:dyDescent="0.3">
      <c r="A12" t="s">
        <v>10</v>
      </c>
      <c r="B12">
        <f>B9/B2*100</f>
        <v>72.83961750010684</v>
      </c>
      <c r="C12">
        <f t="shared" ref="C12:D12" si="5">C9/C2*100</f>
        <v>73.018340054006472</v>
      </c>
      <c r="D12">
        <f t="shared" si="5"/>
        <v>69.7725226117349</v>
      </c>
    </row>
    <row r="13" spans="1:4" x14ac:dyDescent="0.3">
      <c r="A13" t="s">
        <v>11</v>
      </c>
      <c r="B13">
        <f>B10/B2*100</f>
        <v>10.20512572549621</v>
      </c>
      <c r="C13">
        <f t="shared" ref="C13:D13" si="6">C10/C2*100</f>
        <v>11.242185717566747</v>
      </c>
      <c r="D13">
        <f t="shared" si="6"/>
        <v>14.021062527564876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ECAF9-A6FC-4350-A325-0513ECCB4562}">
  <dimension ref="A1:N17"/>
  <sheetViews>
    <sheetView workbookViewId="0">
      <selection activeCell="B3" sqref="B3"/>
    </sheetView>
  </sheetViews>
  <sheetFormatPr defaultRowHeight="14.4" x14ac:dyDescent="0.3"/>
  <cols>
    <col min="2" max="2" width="17.6640625" customWidth="1"/>
    <col min="3" max="3" width="19.109375" customWidth="1"/>
    <col min="4" max="4" width="16.5546875" customWidth="1"/>
    <col min="12" max="13" width="15.109375" customWidth="1"/>
    <col min="14" max="14" width="13.6640625" customWidth="1"/>
  </cols>
  <sheetData>
    <row r="1" spans="1:14" x14ac:dyDescent="0.3">
      <c r="B1">
        <v>1</v>
      </c>
      <c r="C1">
        <v>2</v>
      </c>
      <c r="D1">
        <v>3</v>
      </c>
      <c r="L1">
        <v>1</v>
      </c>
      <c r="M1">
        <v>2</v>
      </c>
      <c r="N1">
        <v>3</v>
      </c>
    </row>
    <row r="2" spans="1:14" x14ac:dyDescent="0.3">
      <c r="A2" t="s">
        <v>12</v>
      </c>
      <c r="B2">
        <f>РК1!B2-РК1!B9-РК1!B10</f>
        <v>138590171</v>
      </c>
      <c r="C2">
        <f>РК1!C2-РК1!C9-РК1!C10</f>
        <v>118400241</v>
      </c>
      <c r="D2">
        <f>РК1!D2-РК1!D9-РК1!D10</f>
        <v>107135015</v>
      </c>
      <c r="K2" t="s">
        <v>24</v>
      </c>
      <c r="L2">
        <v>316416517</v>
      </c>
      <c r="M2">
        <v>280789547</v>
      </c>
      <c r="N2">
        <v>289735235</v>
      </c>
    </row>
    <row r="3" spans="1:14" x14ac:dyDescent="0.3">
      <c r="A3" t="s">
        <v>13</v>
      </c>
      <c r="B3">
        <f>РК1!B4-РК1!B10</f>
        <v>306298142</v>
      </c>
      <c r="C3">
        <f>РК1!C4-РК1!C10</f>
        <v>250101880</v>
      </c>
      <c r="D3">
        <f>РК1!D4-РК1!D10</f>
        <v>218659191</v>
      </c>
      <c r="K3" t="s">
        <v>25</v>
      </c>
      <c r="L3">
        <v>45130188</v>
      </c>
      <c r="M3">
        <v>29164705</v>
      </c>
      <c r="N3">
        <v>7037827</v>
      </c>
    </row>
    <row r="4" spans="1:14" x14ac:dyDescent="0.3">
      <c r="A4" t="s">
        <v>14</v>
      </c>
      <c r="B4">
        <f>48053+0+0+320520</f>
        <v>368573</v>
      </c>
      <c r="C4">
        <f>42752+86097</f>
        <v>128849</v>
      </c>
      <c r="D4">
        <f>45107+40831</f>
        <v>85938</v>
      </c>
    </row>
    <row r="5" spans="1:14" x14ac:dyDescent="0.3">
      <c r="A5" t="s">
        <v>15</v>
      </c>
      <c r="B5">
        <f>B4/РК2!B2</f>
        <v>2.6594454523041176E-3</v>
      </c>
      <c r="C5">
        <f>C4/РК2!C2</f>
        <v>1.0882494740867968E-3</v>
      </c>
      <c r="D5">
        <f>D4/РК2!D2</f>
        <v>8.0214671179165838E-4</v>
      </c>
    </row>
    <row r="6" spans="1:14" x14ac:dyDescent="0.3">
      <c r="A6" t="s">
        <v>16</v>
      </c>
      <c r="B6">
        <f>(РК1!B3+РК1!B4)/РК1!B8</f>
        <v>5.8978758818329187</v>
      </c>
      <c r="C6">
        <f>(РК1!C3+РК1!C4)/РК1!C8</f>
        <v>6.3534523802193954</v>
      </c>
      <c r="D6">
        <f>(РК1!D3+РК1!D4)/РК1!D8</f>
        <v>6.1703961585294964</v>
      </c>
    </row>
    <row r="8" spans="1:14" x14ac:dyDescent="0.3">
      <c r="B8">
        <v>1</v>
      </c>
      <c r="C8">
        <v>2</v>
      </c>
      <c r="D8">
        <v>3</v>
      </c>
    </row>
    <row r="9" spans="1:14" x14ac:dyDescent="0.3">
      <c r="A9" t="s">
        <v>17</v>
      </c>
      <c r="B9">
        <f>РК1!B8/РК1!B2</f>
        <v>0.16955256774396954</v>
      </c>
      <c r="C9">
        <f>РК1!C8/РК1!C2</f>
        <v>0.15739474228426789</v>
      </c>
      <c r="D9">
        <f>РК1!D8/РК1!D2</f>
        <v>0.16206414860700222</v>
      </c>
    </row>
    <row r="10" spans="1:14" x14ac:dyDescent="0.3">
      <c r="A10" t="s">
        <v>18</v>
      </c>
      <c r="B10">
        <f>(РК1!B9+РК1!B10)/РК1!B2</f>
        <v>0.83044743225603046</v>
      </c>
      <c r="C10">
        <f>(РК1!C9+РК1!C10)/РК1!C2</f>
        <v>0.84260525771573214</v>
      </c>
      <c r="D10">
        <f>(РК1!D9+РК1!D10)/РК1!D2</f>
        <v>0.83793585139299775</v>
      </c>
    </row>
    <row r="11" spans="1:14" x14ac:dyDescent="0.3">
      <c r="A11" t="s">
        <v>19</v>
      </c>
      <c r="B11">
        <f>B3/РК1!B8</f>
        <v>2.2101000366036061</v>
      </c>
      <c r="C11">
        <f>C3/РК1!C8</f>
        <v>2.1123426598430659</v>
      </c>
      <c r="D11">
        <f>D3/РК1!D8</f>
        <v>2.0409685012878378</v>
      </c>
    </row>
    <row r="12" spans="1:14" x14ac:dyDescent="0.3">
      <c r="A12" t="s">
        <v>20</v>
      </c>
      <c r="B12">
        <f>B3/РК1!B4</f>
        <v>0.78595707226284295</v>
      </c>
      <c r="C12">
        <f>C3/РК1!C4</f>
        <v>0.74730612881587333</v>
      </c>
      <c r="D12">
        <f>D3/РК1!D4</f>
        <v>0.70229927518052848</v>
      </c>
    </row>
    <row r="14" spans="1:14" x14ac:dyDescent="0.3">
      <c r="B14">
        <v>1</v>
      </c>
      <c r="C14">
        <v>2</v>
      </c>
      <c r="D14">
        <v>3</v>
      </c>
    </row>
    <row r="15" spans="1:14" x14ac:dyDescent="0.3">
      <c r="A15" t="s">
        <v>21</v>
      </c>
      <c r="B15">
        <f>L3/РК2!B10</f>
        <v>54344424.760754958</v>
      </c>
      <c r="C15">
        <f>M3/РК2!C10</f>
        <v>34612536.217806548</v>
      </c>
      <c r="D15">
        <f>N3/РК2!D10</f>
        <v>8399004.5160380788</v>
      </c>
    </row>
    <row r="16" spans="1:14" x14ac:dyDescent="0.3">
      <c r="A16" t="s">
        <v>22</v>
      </c>
      <c r="B16">
        <f>(L3+L2)/РК1!B10</f>
        <v>4.334290230579029</v>
      </c>
      <c r="C16">
        <f>(M3+M2)/РК1!C10</f>
        <v>3.6650885973793703</v>
      </c>
      <c r="D16">
        <f>(N3+N2)/РК1!D10</f>
        <v>3.201835893065589</v>
      </c>
    </row>
    <row r="17" spans="1:4" x14ac:dyDescent="0.3">
      <c r="A17" t="s">
        <v>23</v>
      </c>
      <c r="B17">
        <f>РК1!B4/РК1!B10</f>
        <v>4.6719600155534762</v>
      </c>
      <c r="C17">
        <f>РК1!C4/РК1!C10</f>
        <v>3.9573575540791213</v>
      </c>
      <c r="D17">
        <f>РК1!D4/РК1!D10</f>
        <v>3.3590781500663431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BDE7-3465-42E4-A8C5-094B5D3796F7}">
  <dimension ref="A1:M56"/>
  <sheetViews>
    <sheetView tabSelected="1" topLeftCell="A32" workbookViewId="0">
      <selection activeCell="E56" sqref="D56:E56"/>
    </sheetView>
  </sheetViews>
  <sheetFormatPr defaultRowHeight="14.4" x14ac:dyDescent="0.3"/>
  <cols>
    <col min="4" max="6" width="10.88671875" bestFit="1" customWidth="1"/>
    <col min="9" max="9" width="21.44140625" customWidth="1"/>
    <col min="11" max="11" width="10.5546875" customWidth="1"/>
    <col min="12" max="12" width="11.5546875" customWidth="1"/>
  </cols>
  <sheetData>
    <row r="1" spans="1:13" x14ac:dyDescent="0.3">
      <c r="D1">
        <v>1</v>
      </c>
      <c r="E1">
        <v>2</v>
      </c>
      <c r="F1">
        <v>3</v>
      </c>
      <c r="K1">
        <v>1</v>
      </c>
      <c r="L1">
        <v>2</v>
      </c>
      <c r="M1">
        <v>3</v>
      </c>
    </row>
    <row r="2" spans="1:13" x14ac:dyDescent="0.3">
      <c r="A2" s="2" t="s">
        <v>26</v>
      </c>
      <c r="B2" s="2"/>
      <c r="C2" s="2"/>
      <c r="D2">
        <v>0</v>
      </c>
      <c r="E2">
        <v>0</v>
      </c>
      <c r="I2" t="s">
        <v>43</v>
      </c>
      <c r="J2" t="s">
        <v>48</v>
      </c>
      <c r="K2">
        <v>0</v>
      </c>
      <c r="L2">
        <v>0</v>
      </c>
    </row>
    <row r="3" spans="1:13" x14ac:dyDescent="0.3">
      <c r="A3" s="2" t="s">
        <v>27</v>
      </c>
      <c r="B3" s="2"/>
      <c r="C3" s="2"/>
      <c r="D3" s="1">
        <v>1987394</v>
      </c>
      <c r="E3" s="1">
        <v>1681961</v>
      </c>
      <c r="I3" t="s">
        <v>44</v>
      </c>
      <c r="J3" t="s">
        <v>49</v>
      </c>
      <c r="K3">
        <f>D11/D21</f>
        <v>3.1211575413520515E-2</v>
      </c>
      <c r="L3">
        <f>E11/E21</f>
        <v>2.9900988860316276E-2</v>
      </c>
    </row>
    <row r="4" spans="1:13" x14ac:dyDescent="0.3">
      <c r="A4" s="2" t="s">
        <v>28</v>
      </c>
      <c r="B4" s="2"/>
      <c r="C4" s="2"/>
      <c r="D4" s="1">
        <v>378477</v>
      </c>
      <c r="E4" s="1">
        <v>330430</v>
      </c>
      <c r="I4" t="s">
        <v>45</v>
      </c>
      <c r="J4" t="s">
        <v>50</v>
      </c>
      <c r="K4">
        <f>D12/D21</f>
        <v>0.44540089378150782</v>
      </c>
      <c r="L4">
        <f>E12/E21</f>
        <v>0.40804254018624547</v>
      </c>
    </row>
    <row r="5" spans="1:13" x14ac:dyDescent="0.3">
      <c r="A5" s="2" t="s">
        <v>29</v>
      </c>
      <c r="B5" s="2"/>
      <c r="C5" s="2"/>
      <c r="D5" s="1">
        <v>33761867</v>
      </c>
      <c r="E5" s="1">
        <v>27462006</v>
      </c>
      <c r="I5" t="s">
        <v>46</v>
      </c>
      <c r="J5" t="s">
        <v>51</v>
      </c>
      <c r="K5">
        <f>D13/D21</f>
        <v>2.7939471466077868E-2</v>
      </c>
      <c r="L5">
        <f>E13/E21</f>
        <v>2.7898739916710425E-2</v>
      </c>
    </row>
    <row r="6" spans="1:13" x14ac:dyDescent="0.3">
      <c r="A6" s="2" t="s">
        <v>30</v>
      </c>
      <c r="B6" s="2"/>
      <c r="C6" s="2"/>
      <c r="D6" s="1">
        <v>2117842</v>
      </c>
      <c r="E6" s="1">
        <v>1877636</v>
      </c>
      <c r="I6" t="s">
        <v>47</v>
      </c>
      <c r="J6" t="s">
        <v>52</v>
      </c>
      <c r="K6">
        <f>D14/D21</f>
        <v>0.56928282917778106</v>
      </c>
      <c r="L6">
        <f>E14/E21</f>
        <v>0.59193310683228018</v>
      </c>
    </row>
    <row r="7" spans="1:13" x14ac:dyDescent="0.3">
      <c r="A7" s="2" t="s">
        <v>31</v>
      </c>
      <c r="B7" s="2"/>
      <c r="C7" s="2"/>
      <c r="D7" s="1">
        <v>43152251</v>
      </c>
      <c r="E7" s="1">
        <v>39838176</v>
      </c>
    </row>
    <row r="8" spans="1:13" x14ac:dyDescent="0.3">
      <c r="J8" t="s">
        <v>53</v>
      </c>
      <c r="K8" s="1">
        <v>102249</v>
      </c>
      <c r="L8" s="1">
        <v>48848</v>
      </c>
    </row>
    <row r="9" spans="1:13" x14ac:dyDescent="0.3">
      <c r="D9">
        <v>1</v>
      </c>
      <c r="E9">
        <v>2</v>
      </c>
      <c r="F9">
        <v>3</v>
      </c>
      <c r="J9" t="s">
        <v>54</v>
      </c>
      <c r="K9" s="1">
        <v>2613340</v>
      </c>
      <c r="L9" s="1">
        <v>2457987</v>
      </c>
    </row>
    <row r="10" spans="1:13" x14ac:dyDescent="0.3">
      <c r="C10" t="s">
        <v>32</v>
      </c>
      <c r="D10">
        <f>D2</f>
        <v>0</v>
      </c>
      <c r="E10">
        <f>E2</f>
        <v>0</v>
      </c>
    </row>
    <row r="11" spans="1:13" x14ac:dyDescent="0.3">
      <c r="C11" t="s">
        <v>34</v>
      </c>
      <c r="D11" s="1">
        <f>D3+D4</f>
        <v>2365871</v>
      </c>
      <c r="E11" s="1">
        <f>E3+E4</f>
        <v>2012391</v>
      </c>
      <c r="J11" t="s">
        <v>55</v>
      </c>
      <c r="K11" s="1">
        <f>D10+D3+D4+D5+D6</f>
        <v>38245580</v>
      </c>
      <c r="L11" s="1">
        <f>E10+E3+E4+E5+E6</f>
        <v>31352033</v>
      </c>
    </row>
    <row r="12" spans="1:13" x14ac:dyDescent="0.3">
      <c r="C12" t="s">
        <v>35</v>
      </c>
      <c r="D12" s="1">
        <f t="shared" ref="D12:E14" si="0">D5</f>
        <v>33761867</v>
      </c>
      <c r="E12" s="1">
        <f t="shared" si="0"/>
        <v>27462006</v>
      </c>
      <c r="J12" t="s">
        <v>56</v>
      </c>
    </row>
    <row r="13" spans="1:13" x14ac:dyDescent="0.3">
      <c r="C13" t="s">
        <v>36</v>
      </c>
      <c r="D13" s="1">
        <f t="shared" si="0"/>
        <v>2117842</v>
      </c>
      <c r="E13" s="1">
        <f t="shared" si="0"/>
        <v>1877636</v>
      </c>
      <c r="J13" t="s">
        <v>57</v>
      </c>
    </row>
    <row r="14" spans="1:13" x14ac:dyDescent="0.3">
      <c r="C14" t="s">
        <v>33</v>
      </c>
      <c r="D14" s="1">
        <f t="shared" si="0"/>
        <v>43152251</v>
      </c>
      <c r="E14" s="1">
        <f t="shared" si="0"/>
        <v>39838176</v>
      </c>
      <c r="J14" t="s">
        <v>58</v>
      </c>
    </row>
    <row r="15" spans="1:13" x14ac:dyDescent="0.3">
      <c r="C15" t="s">
        <v>37</v>
      </c>
      <c r="D15">
        <f>(D10/D14)*100</f>
        <v>0</v>
      </c>
      <c r="E15">
        <f>(E10/E14)*100</f>
        <v>0</v>
      </c>
    </row>
    <row r="16" spans="1:13" x14ac:dyDescent="0.3">
      <c r="C16" t="s">
        <v>38</v>
      </c>
      <c r="D16">
        <f>(D11/D14)*100</f>
        <v>5.4826131781630583</v>
      </c>
      <c r="E16">
        <f>(E11/E14)*100</f>
        <v>5.0514134984493264</v>
      </c>
    </row>
    <row r="17" spans="2:6" x14ac:dyDescent="0.3">
      <c r="C17" t="s">
        <v>39</v>
      </c>
      <c r="D17">
        <f>(D12/D14)*100</f>
        <v>78.238947488509922</v>
      </c>
      <c r="E17">
        <f>(E12/E14)*100</f>
        <v>68.933893961410291</v>
      </c>
    </row>
    <row r="18" spans="2:6" x14ac:dyDescent="0.3">
      <c r="C18" t="s">
        <v>40</v>
      </c>
      <c r="D18">
        <f>(D13/D14)*100</f>
        <v>4.9078366734565018</v>
      </c>
      <c r="E18">
        <f>(E13/E14)*100</f>
        <v>4.7131575501850289</v>
      </c>
    </row>
    <row r="20" spans="2:6" x14ac:dyDescent="0.3">
      <c r="D20">
        <v>1</v>
      </c>
      <c r="E20">
        <v>2</v>
      </c>
      <c r="F20">
        <v>3</v>
      </c>
    </row>
    <row r="21" spans="2:6" x14ac:dyDescent="0.3">
      <c r="B21" t="s">
        <v>41</v>
      </c>
      <c r="C21" t="s">
        <v>42</v>
      </c>
      <c r="D21" s="1">
        <v>75801076</v>
      </c>
      <c r="E21" s="1">
        <v>67301821</v>
      </c>
    </row>
    <row r="22" spans="2:6" x14ac:dyDescent="0.3">
      <c r="B22" t="s">
        <v>59</v>
      </c>
      <c r="C22" t="s">
        <v>63</v>
      </c>
      <c r="D22" s="1">
        <v>320520</v>
      </c>
      <c r="E22" s="1">
        <v>86097</v>
      </c>
      <c r="F22" s="1">
        <v>40831</v>
      </c>
    </row>
    <row r="23" spans="2:6" x14ac:dyDescent="0.3">
      <c r="C23" t="s">
        <v>2</v>
      </c>
      <c r="D23" s="1">
        <v>389713577</v>
      </c>
      <c r="E23" s="1">
        <v>334671255</v>
      </c>
      <c r="F23" s="1">
        <v>311347596</v>
      </c>
    </row>
    <row r="24" spans="2:6" x14ac:dyDescent="0.3">
      <c r="C24" t="s">
        <v>0</v>
      </c>
      <c r="D24" s="1">
        <v>817387627</v>
      </c>
      <c r="E24" s="1">
        <v>752250293</v>
      </c>
      <c r="F24" s="1">
        <v>661065485</v>
      </c>
    </row>
    <row r="25" spans="2:6" x14ac:dyDescent="0.3">
      <c r="C25" t="s">
        <v>60</v>
      </c>
      <c r="D25">
        <f>D21/D24</f>
        <v>9.2735776143575019E-2</v>
      </c>
      <c r="E25">
        <f>E21/E24</f>
        <v>8.9467324408207316E-2</v>
      </c>
    </row>
    <row r="26" spans="2:6" x14ac:dyDescent="0.3">
      <c r="C26" t="s">
        <v>61</v>
      </c>
      <c r="D26">
        <f>D21/D23</f>
        <v>0.19450458098871931</v>
      </c>
      <c r="E26">
        <f>E21/E23</f>
        <v>0.20109830167517673</v>
      </c>
    </row>
    <row r="27" spans="2:6" x14ac:dyDescent="0.3">
      <c r="C27" t="s">
        <v>62</v>
      </c>
      <c r="D27">
        <f>D21/D22</f>
        <v>236.49405965306377</v>
      </c>
      <c r="E27">
        <f>E21/E22</f>
        <v>781.69763174094339</v>
      </c>
    </row>
    <row r="29" spans="2:6" x14ac:dyDescent="0.3">
      <c r="D29">
        <v>1</v>
      </c>
      <c r="E29">
        <v>2</v>
      </c>
      <c r="F29">
        <v>3</v>
      </c>
    </row>
    <row r="30" spans="2:6" x14ac:dyDescent="0.3">
      <c r="C30" t="s">
        <v>64</v>
      </c>
      <c r="D30" s="1">
        <v>316416517</v>
      </c>
      <c r="E30" s="1">
        <v>280789547</v>
      </c>
      <c r="F30" s="1">
        <v>289735235</v>
      </c>
    </row>
    <row r="31" spans="2:6" x14ac:dyDescent="0.3">
      <c r="C31" t="s">
        <v>65</v>
      </c>
      <c r="D31" s="1">
        <v>6145052</v>
      </c>
      <c r="E31" s="1">
        <v>2881548</v>
      </c>
      <c r="F31" s="1">
        <v>19114812</v>
      </c>
    </row>
    <row r="32" spans="2:6" x14ac:dyDescent="0.3">
      <c r="C32" t="s">
        <v>66</v>
      </c>
      <c r="D32">
        <v>360</v>
      </c>
      <c r="E32">
        <v>360</v>
      </c>
      <c r="F32">
        <v>360</v>
      </c>
    </row>
    <row r="33" spans="3:6" x14ac:dyDescent="0.3">
      <c r="C33" t="s">
        <v>67</v>
      </c>
      <c r="D33">
        <f>(D32*D22)/D21</f>
        <v>1.5222369666625841</v>
      </c>
      <c r="E33">
        <f>(E32*E22)/E21</f>
        <v>0.46053612724683929</v>
      </c>
    </row>
    <row r="34" spans="3:6" x14ac:dyDescent="0.3">
      <c r="C34" t="s">
        <v>68</v>
      </c>
      <c r="D34">
        <f>(D32*D30)/D21</f>
        <v>1502.7484058405714</v>
      </c>
      <c r="E34">
        <f>(E32*E30)/E21</f>
        <v>1501.9539652574929</v>
      </c>
    </row>
    <row r="35" spans="3:6" x14ac:dyDescent="0.3">
      <c r="C35" t="s">
        <v>69</v>
      </c>
      <c r="D35">
        <f>(D32*D31)/D21</f>
        <v>29.184529253911911</v>
      </c>
      <c r="E35">
        <f>(E32*E31)/E21</f>
        <v>15.413509836531764</v>
      </c>
    </row>
    <row r="36" spans="3:6" x14ac:dyDescent="0.3">
      <c r="C36" t="s">
        <v>70</v>
      </c>
      <c r="D36">
        <f>D33+D34</f>
        <v>1504.270642807234</v>
      </c>
      <c r="E36">
        <f>E33+E34</f>
        <v>1502.4145013847397</v>
      </c>
    </row>
    <row r="37" spans="3:6" x14ac:dyDescent="0.3">
      <c r="C37" t="s">
        <v>71</v>
      </c>
      <c r="D37">
        <f>D36-D35</f>
        <v>1475.0861135533221</v>
      </c>
      <c r="E37">
        <f>E36-E35</f>
        <v>1487.0009915482078</v>
      </c>
    </row>
    <row r="39" spans="3:6" x14ac:dyDescent="0.3">
      <c r="D39">
        <v>1</v>
      </c>
      <c r="E39">
        <v>2</v>
      </c>
      <c r="F39">
        <v>3</v>
      </c>
    </row>
    <row r="40" spans="3:6" x14ac:dyDescent="0.3">
      <c r="C40" t="s">
        <v>72</v>
      </c>
      <c r="D40" s="1">
        <v>760138</v>
      </c>
      <c r="E40" s="1">
        <v>301977</v>
      </c>
    </row>
    <row r="41" spans="3:6" x14ac:dyDescent="0.3">
      <c r="C41" t="s">
        <v>0</v>
      </c>
      <c r="D41" s="1">
        <f>D24</f>
        <v>817387627</v>
      </c>
      <c r="E41" s="1">
        <f>E24</f>
        <v>752250293</v>
      </c>
    </row>
    <row r="42" spans="3:6" x14ac:dyDescent="0.3">
      <c r="C42" t="s">
        <v>42</v>
      </c>
      <c r="D42" s="1">
        <f>D21</f>
        <v>75801076</v>
      </c>
      <c r="E42" s="1">
        <f>E21</f>
        <v>67301821</v>
      </c>
    </row>
    <row r="45" spans="3:6" x14ac:dyDescent="0.3">
      <c r="C45" t="s">
        <v>73</v>
      </c>
      <c r="D45">
        <f>D40/D42</f>
        <v>1.0028063453874981E-2</v>
      </c>
      <c r="E45">
        <f>E40/E42</f>
        <v>4.4869068252997198E-3</v>
      </c>
    </row>
    <row r="46" spans="3:6" x14ac:dyDescent="0.3">
      <c r="C46" t="s">
        <v>74</v>
      </c>
      <c r="D46">
        <f>D40/D41</f>
        <v>9.2996024761211611E-4</v>
      </c>
      <c r="E46">
        <f>E40/E41</f>
        <v>4.0143154852848956E-4</v>
      </c>
    </row>
    <row r="47" spans="3:6" x14ac:dyDescent="0.3">
      <c r="C47" t="s">
        <v>75</v>
      </c>
      <c r="D47">
        <f>D40/РК1!B8</f>
        <v>5.4847901154548686E-3</v>
      </c>
      <c r="E47">
        <f>E40/РК1!C8</f>
        <v>2.5504762274934896E-3</v>
      </c>
    </row>
    <row r="48" spans="3:6" x14ac:dyDescent="0.3">
      <c r="C48" t="s">
        <v>76</v>
      </c>
      <c r="D48">
        <f>D40/D52</f>
        <v>1.0356495903866615E-3</v>
      </c>
      <c r="E48">
        <f>E40/E52</f>
        <v>4.5227741554237439E-4</v>
      </c>
    </row>
    <row r="52" spans="3:5" x14ac:dyDescent="0.3">
      <c r="C52" t="s">
        <v>77</v>
      </c>
      <c r="D52">
        <f>РК1!B8+РК1!B9</f>
        <v>733972192</v>
      </c>
      <c r="E52">
        <f>РК1!C8+РК1!C9</f>
        <v>667680918</v>
      </c>
    </row>
    <row r="54" spans="3:5" x14ac:dyDescent="0.3">
      <c r="C54" t="s">
        <v>55</v>
      </c>
      <c r="D54" s="1">
        <f>D10+D3+D4+D12+D13</f>
        <v>38245580</v>
      </c>
      <c r="E54" s="1">
        <f>E10+E3+E4+E12+E13</f>
        <v>31352033</v>
      </c>
    </row>
    <row r="55" spans="3:5" x14ac:dyDescent="0.3">
      <c r="C55" t="s">
        <v>56</v>
      </c>
      <c r="D55" s="1">
        <f>D54+K8+K9</f>
        <v>40961169</v>
      </c>
      <c r="E55" s="1">
        <f>E54+L8+L9</f>
        <v>33858868</v>
      </c>
    </row>
    <row r="56" spans="3:5" x14ac:dyDescent="0.3">
      <c r="C56" t="s">
        <v>57</v>
      </c>
      <c r="D56">
        <f>D55*1.2*1.15</f>
        <v>56526413.219999991</v>
      </c>
      <c r="E56">
        <f>E55*1.2*1.15</f>
        <v>46725237.839999996</v>
      </c>
    </row>
  </sheetData>
  <mergeCells count="6">
    <mergeCell ref="A2:C2"/>
    <mergeCell ref="A7:C7"/>
    <mergeCell ref="A6:C6"/>
    <mergeCell ref="A5:C5"/>
    <mergeCell ref="A4:C4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РК1</vt:lpstr>
      <vt:lpstr>РК2</vt:lpstr>
      <vt:lpstr>РК3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Александр Алёшин</cp:lastModifiedBy>
  <dcterms:created xsi:type="dcterms:W3CDTF">2015-06-05T18:17:20Z</dcterms:created>
  <dcterms:modified xsi:type="dcterms:W3CDTF">2023-04-06T10:51:42Z</dcterms:modified>
</cp:coreProperties>
</file>