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\Desktop\MASTER\AN1\SEM2\Ingineria sistemelor informatice\"/>
    </mc:Choice>
  </mc:AlternateContent>
  <xr:revisionPtr revIDLastSave="0" documentId="13_ncr:1_{74287F01-BDB7-4834-A84C-D9B418C1A3A9}" xr6:coauthVersionLast="47" xr6:coauthVersionMax="47" xr10:uidLastSave="{00000000-0000-0000-0000-000000000000}"/>
  <bookViews>
    <workbookView xWindow="-110" yWindow="-110" windowWidth="19420" windowHeight="10300" tabRatio="799" firstSheet="20" activeTab="24" xr2:uid="{43B1FACA-7B91-4C0F-83AC-BDBE3B4DA170}"/>
  </bookViews>
  <sheets>
    <sheet name="Aplicatia 1" sheetId="1" r:id="rId1"/>
    <sheet name="Aplicatia 2" sheetId="2" r:id="rId2"/>
    <sheet name="Aplicatia 3-Functii de text" sheetId="3" r:id="rId3"/>
    <sheet name="Aplicatia 3-Functii logice" sheetId="5" r:id="rId4"/>
    <sheet name="Aplicatia 4" sheetId="7" r:id="rId5"/>
    <sheet name="Aplicatia 5" sheetId="8" r:id="rId6"/>
    <sheet name="Aplicatia 6-Rate fixe" sheetId="9" r:id="rId7"/>
    <sheet name="Grafic1A- grafic procentual" sheetId="11" r:id="rId8"/>
    <sheet name="Grafic1B- grafic valororic" sheetId="13" r:id="rId9"/>
    <sheet name="Aplicatia 6-Ramburs fix" sheetId="14" r:id="rId10"/>
    <sheet name="Grafic2A-grafic procentual" sheetId="15" r:id="rId11"/>
    <sheet name="Grafic2B- grafic valoric" sheetId="17" r:id="rId12"/>
    <sheet name="Aplicatia 7" sheetId="18" r:id="rId13"/>
    <sheet name="Aplicatia 8" sheetId="19" r:id="rId14"/>
    <sheet name="Aplicatia 10" sheetId="20" r:id="rId15"/>
    <sheet name="Aplicatia10- GraficProfit" sheetId="21" r:id="rId16"/>
    <sheet name="App10-Grafic Profit-Nr.angajati" sheetId="22" r:id="rId17"/>
    <sheet name="Aplicatia 10-Centralizari" sheetId="23" r:id="rId18"/>
    <sheet name="Aplicatia 11-LUNI" sheetId="24" r:id="rId19"/>
    <sheet name="Aplicatia 11-MARTI" sheetId="26" r:id="rId20"/>
    <sheet name="Aplicatia 11-MIERCURI" sheetId="27" r:id="rId21"/>
    <sheet name="Aplicatia 11-JOI" sheetId="28" r:id="rId22"/>
    <sheet name="Aplicatia 11-VINERI" sheetId="29" r:id="rId23"/>
    <sheet name="Aplicatia 11-Curs mediu la banc" sheetId="31" r:id="rId24"/>
    <sheet name="Aplicatia 11-Curs mediu pe zile" sheetId="32" r:id="rId25"/>
  </sheets>
  <definedNames>
    <definedName name="DCJoi" comment="USD la Cumparare in ziua de Joi">'Aplicatia 11-JOI'!$C$7:$C$10</definedName>
    <definedName name="DCLuni" comment="USD la Cumparare in ziua de luni">'Aplicatia 11-LUNI'!$C$7:$C$10</definedName>
    <definedName name="DCMarti" comment="USD la Cumparare in ziua de Marti">'Aplicatia 11-MARTI'!$C$7:$C$10</definedName>
    <definedName name="DCMiercuri" comment="USD la Cumparare in ziua de Miercuri">'Aplicatia 11-MIERCURI'!$C$7:$C$10</definedName>
    <definedName name="DCVineri" comment="USD la Cumparare in ziua de Vineri">'Aplicatia 11-VINERI'!$C$7:$C$10</definedName>
    <definedName name="DVJoi" comment="USD la Vanzare in ziua de Joi">'Aplicatia 11-JOI'!$B$7:$B$10</definedName>
    <definedName name="DVLuni" comment="USD la Vanzare in ziua de Luni">'Aplicatia 11-LUNI'!$B$7:$B$10</definedName>
    <definedName name="DVMarti" comment="USD la Vanzare in ziua de Marti">'Aplicatia 11-MARTI'!$B$7:$B$10</definedName>
    <definedName name="DVMiercuri" comment="USD la Vanzare in ziua de Miercuri">'Aplicatia 11-MIERCURI'!$B$7:$B$10</definedName>
    <definedName name="DVVineri" comment="USD la Vanzare in ziua de Vineri">'Aplicatia 11-VINERI'!$B$7:$B$10</definedName>
    <definedName name="ECJoi" comment="Euro la Cumparare in ziua de Joi">'Aplicatia 11-JOI'!$E$7:$E$10</definedName>
    <definedName name="ECLuni" comment="Euro la Cumparare in ziua de Luni">'Aplicatia 11-LUNI'!$E$7:$E$10</definedName>
    <definedName name="ECMarti" comment="Euro la Cumparare in ziua de Marti">'Aplicatia 11-MARTI'!$E$7:$E$10</definedName>
    <definedName name="ECMiercuri" comment="Euro la Cumparare in ziua de Miercuri">'Aplicatia 11-MIERCURI'!$E$7:$E$10</definedName>
    <definedName name="ECVineri" comment="Euro la Cumparare in ziua de Vineri">'Aplicatia 11-VINERI'!$E$7:$E$10</definedName>
    <definedName name="EVJoi" comment="Euro la Vanzare in ziua de Joi">'Aplicatia 11-JOI'!$D$7:$D$10</definedName>
    <definedName name="EVLuni" comment="Euro la Vanzare in ziua de Luni">'Aplicatia 11-LUNI'!$D$7:$D$10</definedName>
    <definedName name="EVMarti" comment="Euro la Vanzare in ziua de Marti">'Aplicatia 11-MARTI'!$D$7:$D$10</definedName>
    <definedName name="EVMiercuri" comment="Euro la Vanzare in ziua de Miercuri">'Aplicatia 11-MIERCURI'!$D$7:$D$10</definedName>
    <definedName name="EVVineri" comment="Euro la Vanzare in ziua de Vineri">'Aplicatia 11-VINERI'!$D$7:$D$10</definedName>
    <definedName name="_xlnm.Print_Area" localSheetId="3">'Aplicatia 3-Functii logice'!$A$39:$M$51</definedName>
    <definedName name="Query_from_MS_Access_Database" localSheetId="12" hidden="1">'Aplicatia 7'!$A$3:$F$17</definedName>
    <definedName name="solver_adj" localSheetId="13" hidden="1">'Aplicatia 8'!$C$15:$G$17,'Aplicatia 8'!$I$15:$I$17</definedName>
    <definedName name="solver_cvg" localSheetId="13" hidden="1">0.0001</definedName>
    <definedName name="solver_drv" localSheetId="13" hidden="1">1</definedName>
    <definedName name="solver_eng" localSheetId="13" hidden="1">1</definedName>
    <definedName name="solver_est" localSheetId="13" hidden="1">1</definedName>
    <definedName name="solver_itr" localSheetId="13" hidden="1">2147483647</definedName>
    <definedName name="solver_lhs1" localSheetId="13" hidden="1">'Aplicatia 8'!$B$15</definedName>
    <definedName name="solver_lhs2" localSheetId="13" hidden="1">'Aplicatia 8'!$B$16</definedName>
    <definedName name="solver_lhs3" localSheetId="13" hidden="1">'Aplicatia 8'!$B$17</definedName>
    <definedName name="solver_lhs4" localSheetId="13" hidden="1">'Aplicatia 8'!$C$15:$C$17</definedName>
    <definedName name="solver_lhs5" localSheetId="13" hidden="1">'Aplicatia 8'!$C$18</definedName>
    <definedName name="solver_lhs6" localSheetId="13" hidden="1">'Aplicatia 8'!$D$18</definedName>
    <definedName name="solver_lhs7" localSheetId="13" hidden="1">'Aplicatia 8'!$E$18</definedName>
    <definedName name="solver_lhs8" localSheetId="13" hidden="1">'Aplicatia 8'!$F$18</definedName>
    <definedName name="solver_lhs9" localSheetId="13" hidden="1">'Aplicatia 8'!$G$18</definedName>
    <definedName name="solver_mip" localSheetId="13" hidden="1">2147483647</definedName>
    <definedName name="solver_mni" localSheetId="13" hidden="1">30</definedName>
    <definedName name="solver_mrt" localSheetId="13" hidden="1">0.075</definedName>
    <definedName name="solver_msl" localSheetId="13" hidden="1">2</definedName>
    <definedName name="solver_neg" localSheetId="13" hidden="1">1</definedName>
    <definedName name="solver_nod" localSheetId="13" hidden="1">2147483647</definedName>
    <definedName name="solver_num" localSheetId="13" hidden="1">9</definedName>
    <definedName name="solver_nwt" localSheetId="13" hidden="1">1</definedName>
    <definedName name="solver_opt" localSheetId="13" hidden="1">'Aplicatia 8'!$B$24</definedName>
    <definedName name="solver_pre" localSheetId="13" hidden="1">0.000001</definedName>
    <definedName name="solver_rbv" localSheetId="13" hidden="1">1</definedName>
    <definedName name="solver_rel1" localSheetId="13" hidden="1">2</definedName>
    <definedName name="solver_rel2" localSheetId="13" hidden="1">2</definedName>
    <definedName name="solver_rel3" localSheetId="13" hidden="1">2</definedName>
    <definedName name="solver_rel4" localSheetId="13" hidden="1">3</definedName>
    <definedName name="solver_rel5" localSheetId="13" hidden="1">2</definedName>
    <definedName name="solver_rel6" localSheetId="13" hidden="1">2</definedName>
    <definedName name="solver_rel7" localSheetId="13" hidden="1">2</definedName>
    <definedName name="solver_rel8" localSheetId="13" hidden="1">2</definedName>
    <definedName name="solver_rel9" localSheetId="13" hidden="1">2</definedName>
    <definedName name="solver_rhs1" localSheetId="13" hidden="1">'Aplicatia 8'!$B$8</definedName>
    <definedName name="solver_rhs2" localSheetId="13" hidden="1">'Aplicatia 8'!$B$9</definedName>
    <definedName name="solver_rhs3" localSheetId="13" hidden="1">'Aplicatia 8'!$B$10</definedName>
    <definedName name="solver_rhs4" localSheetId="13" hidden="1">0</definedName>
    <definedName name="solver_rhs5" localSheetId="13" hidden="1">'Aplicatia 8'!$C$5</definedName>
    <definedName name="solver_rhs6" localSheetId="13" hidden="1">'Aplicatia 8'!$D$5</definedName>
    <definedName name="solver_rhs7" localSheetId="13" hidden="1">'Aplicatia 8'!$E$5</definedName>
    <definedName name="solver_rhs8" localSheetId="13" hidden="1">'Aplicatia 8'!$F$5</definedName>
    <definedName name="solver_rhs9" localSheetId="13" hidden="1">'Aplicatia 8'!$G$5</definedName>
    <definedName name="solver_rlx" localSheetId="13" hidden="1">2</definedName>
    <definedName name="solver_rsd" localSheetId="13" hidden="1">0</definedName>
    <definedName name="solver_scl" localSheetId="13" hidden="1">1</definedName>
    <definedName name="solver_sho" localSheetId="13" hidden="1">2</definedName>
    <definedName name="solver_ssz" localSheetId="13" hidden="1">100</definedName>
    <definedName name="solver_tim" localSheetId="13" hidden="1">2147483647</definedName>
    <definedName name="solver_tol" localSheetId="13" hidden="1">0.01</definedName>
    <definedName name="solver_typ" localSheetId="13" hidden="1">2</definedName>
    <definedName name="solver_val" localSheetId="13" hidden="1">0</definedName>
    <definedName name="solver_ver" localSheetId="1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3" l="1"/>
  <c r="E20" i="23"/>
  <c r="E17" i="23"/>
  <c r="E15" i="23"/>
  <c r="E12" i="23"/>
  <c r="E10" i="23"/>
  <c r="E13" i="23" s="1"/>
  <c r="E7" i="23"/>
  <c r="E5" i="23"/>
  <c r="E8" i="23" s="1"/>
  <c r="C8" i="32"/>
  <c r="D8" i="32"/>
  <c r="E8" i="32"/>
  <c r="B8" i="32"/>
  <c r="E7" i="32"/>
  <c r="E6" i="32"/>
  <c r="E5" i="32"/>
  <c r="E4" i="32"/>
  <c r="E3" i="32"/>
  <c r="D3" i="32"/>
  <c r="D7" i="32"/>
  <c r="D6" i="32"/>
  <c r="D5" i="32"/>
  <c r="D4" i="32"/>
  <c r="C7" i="32"/>
  <c r="C6" i="32"/>
  <c r="C5" i="32"/>
  <c r="C4" i="32"/>
  <c r="C3" i="32"/>
  <c r="B7" i="32"/>
  <c r="B6" i="32"/>
  <c r="B5" i="32"/>
  <c r="B4" i="32"/>
  <c r="B3" i="32"/>
  <c r="C27" i="20"/>
  <c r="F29" i="20" s="1"/>
  <c r="D27" i="20" s="1"/>
  <c r="C23" i="20"/>
  <c r="C19" i="20"/>
  <c r="D19" i="20" s="1"/>
  <c r="D15" i="20"/>
  <c r="C15" i="20"/>
  <c r="D22" i="19"/>
  <c r="E22" i="19"/>
  <c r="F22" i="19"/>
  <c r="G22" i="19"/>
  <c r="D23" i="19"/>
  <c r="E23" i="19"/>
  <c r="F23" i="19"/>
  <c r="G23" i="19"/>
  <c r="E21" i="19"/>
  <c r="F21" i="19"/>
  <c r="G21" i="19"/>
  <c r="D21" i="19"/>
  <c r="C22" i="19"/>
  <c r="C23" i="19"/>
  <c r="C21" i="19"/>
  <c r="E18" i="19"/>
  <c r="F18" i="19"/>
  <c r="G18" i="19"/>
  <c r="D18" i="19"/>
  <c r="C18" i="19"/>
  <c r="B16" i="19"/>
  <c r="B17" i="19"/>
  <c r="B15" i="19"/>
  <c r="B11" i="19"/>
  <c r="D15" i="14"/>
  <c r="D16" i="14"/>
  <c r="D17" i="14"/>
  <c r="D18" i="14"/>
  <c r="D19" i="14"/>
  <c r="D20" i="14"/>
  <c r="D21" i="14"/>
  <c r="D22" i="14"/>
  <c r="D23" i="14"/>
  <c r="D24" i="14"/>
  <c r="D14" i="14"/>
  <c r="C15" i="14"/>
  <c r="C16" i="14"/>
  <c r="C17" i="14"/>
  <c r="C18" i="14"/>
  <c r="C19" i="14"/>
  <c r="C20" i="14"/>
  <c r="C21" i="14"/>
  <c r="C22" i="14"/>
  <c r="C23" i="14"/>
  <c r="C24" i="14"/>
  <c r="C14" i="14"/>
  <c r="D13" i="14"/>
  <c r="C13" i="14"/>
  <c r="C9" i="14"/>
  <c r="A24" i="14"/>
  <c r="A23" i="14"/>
  <c r="A22" i="14"/>
  <c r="A21" i="14"/>
  <c r="A20" i="14"/>
  <c r="A19" i="14"/>
  <c r="A18" i="14"/>
  <c r="A17" i="14"/>
  <c r="A16" i="14"/>
  <c r="A15" i="14"/>
  <c r="A14" i="14"/>
  <c r="B13" i="14"/>
  <c r="A24" i="9"/>
  <c r="A15" i="9"/>
  <c r="D15" i="9" s="1"/>
  <c r="A16" i="9"/>
  <c r="D16" i="9" s="1"/>
  <c r="A17" i="9"/>
  <c r="A18" i="9"/>
  <c r="A19" i="9"/>
  <c r="A20" i="9"/>
  <c r="D20" i="9" s="1"/>
  <c r="A21" i="9"/>
  <c r="A22" i="9"/>
  <c r="A23" i="9"/>
  <c r="D23" i="9" s="1"/>
  <c r="A14" i="9"/>
  <c r="B13" i="9"/>
  <c r="C9" i="9"/>
  <c r="D13" i="9" s="1"/>
  <c r="C13" i="9" s="1"/>
  <c r="E13" i="9" s="1"/>
  <c r="B52" i="8"/>
  <c r="B51" i="8"/>
  <c r="B50" i="8"/>
  <c r="B49" i="8"/>
  <c r="B48" i="8"/>
  <c r="G25" i="8"/>
  <c r="F25" i="8"/>
  <c r="G28" i="8"/>
  <c r="F28" i="8"/>
  <c r="G29" i="8"/>
  <c r="F29" i="8"/>
  <c r="G30" i="8"/>
  <c r="F30" i="8"/>
  <c r="G27" i="8"/>
  <c r="F27" i="8"/>
  <c r="G26" i="8"/>
  <c r="F26" i="8"/>
  <c r="G14" i="8"/>
  <c r="F14" i="8"/>
  <c r="G18" i="8"/>
  <c r="F18" i="8"/>
  <c r="G17" i="8"/>
  <c r="F17" i="8"/>
  <c r="G15" i="8"/>
  <c r="F15" i="8"/>
  <c r="G19" i="8"/>
  <c r="F19" i="8"/>
  <c r="G16" i="8"/>
  <c r="F16" i="8"/>
  <c r="G4" i="8"/>
  <c r="G5" i="8"/>
  <c r="G6" i="8"/>
  <c r="G7" i="8"/>
  <c r="G8" i="8"/>
  <c r="G3" i="8"/>
  <c r="F4" i="8"/>
  <c r="F5" i="8"/>
  <c r="F6" i="8"/>
  <c r="F7" i="8"/>
  <c r="F8" i="8"/>
  <c r="F3" i="8"/>
  <c r="G7" i="7"/>
  <c r="H7" i="7"/>
  <c r="A28" i="7"/>
  <c r="A29" i="7"/>
  <c r="A30" i="7"/>
  <c r="A31" i="7"/>
  <c r="A32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9" i="7"/>
  <c r="D7" i="7"/>
  <c r="E7" i="7"/>
  <c r="F7" i="7"/>
  <c r="C7" i="7"/>
  <c r="M42" i="5"/>
  <c r="M43" i="5"/>
  <c r="M44" i="5"/>
  <c r="M45" i="5"/>
  <c r="M46" i="5"/>
  <c r="M47" i="5"/>
  <c r="M48" i="5"/>
  <c r="M49" i="5"/>
  <c r="M50" i="5"/>
  <c r="M51" i="5"/>
  <c r="M41" i="5"/>
  <c r="L42" i="5"/>
  <c r="L43" i="5"/>
  <c r="L44" i="5"/>
  <c r="L45" i="5"/>
  <c r="L46" i="5"/>
  <c r="L47" i="5"/>
  <c r="L48" i="5"/>
  <c r="L49" i="5"/>
  <c r="L50" i="5"/>
  <c r="L51" i="5"/>
  <c r="L41" i="5"/>
  <c r="K51" i="5"/>
  <c r="K50" i="5"/>
  <c r="K49" i="5"/>
  <c r="K48" i="5"/>
  <c r="K47" i="5"/>
  <c r="K46" i="5"/>
  <c r="K45" i="5"/>
  <c r="K44" i="5"/>
  <c r="K43" i="5"/>
  <c r="K42" i="5"/>
  <c r="K41" i="5"/>
  <c r="L24" i="5"/>
  <c r="L25" i="5"/>
  <c r="L26" i="5"/>
  <c r="L27" i="5"/>
  <c r="L28" i="5"/>
  <c r="L29" i="5"/>
  <c r="L30" i="5"/>
  <c r="L31" i="5"/>
  <c r="L32" i="5"/>
  <c r="L33" i="5"/>
  <c r="L23" i="5"/>
  <c r="K33" i="5"/>
  <c r="K32" i="5"/>
  <c r="K31" i="5"/>
  <c r="K30" i="5"/>
  <c r="K29" i="5"/>
  <c r="K28" i="5"/>
  <c r="K27" i="5"/>
  <c r="K26" i="5"/>
  <c r="K25" i="5"/>
  <c r="K24" i="5"/>
  <c r="K23" i="5"/>
  <c r="A52" i="3"/>
  <c r="A53" i="3"/>
  <c r="A54" i="3"/>
  <c r="A55" i="3"/>
  <c r="A56" i="3"/>
  <c r="A57" i="3"/>
  <c r="A58" i="3"/>
  <c r="A59" i="3"/>
  <c r="A60" i="3"/>
  <c r="A61" i="3"/>
  <c r="A51" i="3"/>
  <c r="B40" i="3"/>
  <c r="B41" i="3"/>
  <c r="B42" i="3"/>
  <c r="B43" i="3"/>
  <c r="B44" i="3"/>
  <c r="B45" i="3"/>
  <c r="B46" i="3"/>
  <c r="B47" i="3"/>
  <c r="B48" i="3"/>
  <c r="B49" i="3"/>
  <c r="B39" i="3"/>
  <c r="K49" i="3"/>
  <c r="K48" i="3"/>
  <c r="K47" i="3"/>
  <c r="K46" i="3"/>
  <c r="K45" i="3"/>
  <c r="K44" i="3"/>
  <c r="K43" i="3"/>
  <c r="K42" i="3"/>
  <c r="K41" i="3"/>
  <c r="K40" i="3"/>
  <c r="K39" i="3"/>
  <c r="B24" i="3"/>
  <c r="B25" i="3"/>
  <c r="B26" i="3"/>
  <c r="B27" i="3"/>
  <c r="B28" i="3"/>
  <c r="B29" i="3"/>
  <c r="B30" i="3"/>
  <c r="B31" i="3"/>
  <c r="B32" i="3"/>
  <c r="B33" i="3"/>
  <c r="B23" i="3"/>
  <c r="K33" i="3"/>
  <c r="K32" i="3"/>
  <c r="K31" i="3"/>
  <c r="K30" i="3"/>
  <c r="K29" i="3"/>
  <c r="K28" i="3"/>
  <c r="K27" i="3"/>
  <c r="K26" i="3"/>
  <c r="K25" i="3"/>
  <c r="K24" i="3"/>
  <c r="K23" i="3"/>
  <c r="K7" i="3"/>
  <c r="K8" i="3"/>
  <c r="K9" i="3"/>
  <c r="K10" i="3"/>
  <c r="K11" i="3"/>
  <c r="K12" i="3"/>
  <c r="K13" i="3"/>
  <c r="K14" i="3"/>
  <c r="K15" i="3"/>
  <c r="K16" i="3"/>
  <c r="K6" i="3"/>
  <c r="C33" i="2"/>
  <c r="C32" i="2"/>
  <c r="C31" i="2"/>
  <c r="F26" i="2"/>
  <c r="F27" i="2"/>
  <c r="F25" i="2"/>
  <c r="F24" i="2"/>
  <c r="F8" i="2"/>
  <c r="F5" i="2"/>
  <c r="F6" i="2"/>
  <c r="F7" i="2"/>
  <c r="F4" i="2"/>
  <c r="F11" i="1"/>
  <c r="F5" i="1"/>
  <c r="F6" i="1"/>
  <c r="F7" i="1"/>
  <c r="F8" i="1"/>
  <c r="F9" i="1"/>
  <c r="F10" i="1"/>
  <c r="F4" i="1"/>
  <c r="C11" i="1"/>
  <c r="D11" i="1"/>
  <c r="E11" i="1"/>
  <c r="B11" i="1"/>
  <c r="E5" i="1"/>
  <c r="E6" i="1"/>
  <c r="E7" i="1"/>
  <c r="E8" i="1"/>
  <c r="E9" i="1"/>
  <c r="E10" i="1"/>
  <c r="C10" i="1"/>
  <c r="D10" i="1"/>
  <c r="B10" i="1"/>
  <c r="E4" i="1"/>
  <c r="E24" i="23" l="1"/>
  <c r="E25" i="23"/>
  <c r="B23" i="19"/>
  <c r="E24" i="19"/>
  <c r="C24" i="19"/>
  <c r="D24" i="19"/>
  <c r="G24" i="19"/>
  <c r="F24" i="19"/>
  <c r="B21" i="19"/>
  <c r="B22" i="19"/>
  <c r="B18" i="19"/>
  <c r="E13" i="14"/>
  <c r="B14" i="14" s="1"/>
  <c r="D22" i="9"/>
  <c r="D24" i="9"/>
  <c r="D21" i="9"/>
  <c r="D17" i="9"/>
  <c r="D19" i="9"/>
  <c r="D18" i="9"/>
  <c r="B14" i="9"/>
  <c r="D14" i="9"/>
  <c r="B24" i="19" l="1"/>
  <c r="E14" i="14"/>
  <c r="C14" i="9"/>
  <c r="E14" i="9" s="1"/>
  <c r="B15" i="9" s="1"/>
  <c r="C15" i="9" s="1"/>
  <c r="E15" i="9" s="1"/>
  <c r="B15" i="14" l="1"/>
  <c r="E15" i="14" s="1"/>
  <c r="B16" i="9"/>
  <c r="C16" i="9" s="1"/>
  <c r="E16" i="9" s="1"/>
  <c r="B17" i="9" s="1"/>
  <c r="C17" i="9" s="1"/>
  <c r="E17" i="9" s="1"/>
  <c r="B16" i="14" l="1"/>
  <c r="E16" i="14" s="1"/>
  <c r="B18" i="9"/>
  <c r="C18" i="9" s="1"/>
  <c r="E18" i="9" s="1"/>
  <c r="B19" i="9" s="1"/>
  <c r="C19" i="9" s="1"/>
  <c r="E19" i="9" s="1"/>
  <c r="B17" i="14" l="1"/>
  <c r="E17" i="14" s="1"/>
  <c r="B20" i="9"/>
  <c r="C20" i="9" s="1"/>
  <c r="E20" i="9" s="1"/>
  <c r="B18" i="14" l="1"/>
  <c r="E18" i="14" s="1"/>
  <c r="B21" i="9"/>
  <c r="C21" i="9" s="1"/>
  <c r="E21" i="9" s="1"/>
  <c r="B19" i="14" l="1"/>
  <c r="E19" i="14" s="1"/>
  <c r="B22" i="9"/>
  <c r="C22" i="9" s="1"/>
  <c r="E22" i="9" s="1"/>
  <c r="B20" i="14" l="1"/>
  <c r="E20" i="14" s="1"/>
  <c r="B23" i="9"/>
  <c r="C23" i="9" s="1"/>
  <c r="E23" i="9" s="1"/>
  <c r="B21" i="14" l="1"/>
  <c r="E21" i="14" s="1"/>
  <c r="B24" i="9"/>
  <c r="C24" i="9" s="1"/>
  <c r="E24" i="9" s="1"/>
  <c r="B22" i="14" l="1"/>
  <c r="E22" i="14" s="1"/>
  <c r="B23" i="14" l="1"/>
  <c r="E23" i="14" s="1"/>
  <c r="B24" i="14" l="1"/>
  <c r="E2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 alexandra</author>
  </authors>
  <commentList>
    <comment ref="B3" authorId="0" shapeId="0" xr:uid="{D005151D-509B-4A39-8B59-727546EE781A}">
      <text>
        <r>
          <rPr>
            <b/>
            <sz val="9"/>
            <color indexed="81"/>
            <rFont val="Tahoma"/>
            <family val="2"/>
          </rPr>
          <t xml:space="preserve">Aici se introduc datele variabile:
</t>
        </r>
        <r>
          <rPr>
            <sz val="9"/>
            <color indexed="81"/>
            <rFont val="Tahoma"/>
            <family val="2"/>
          </rPr>
          <t xml:space="preserve">-suma imprumutata
-nr de ani
-nr de rate pe an
-procentul dobanzii pe an
</t>
        </r>
      </text>
    </comment>
    <comment ref="C9" authorId="0" shapeId="0" xr:uid="{AA020807-3559-43C0-808D-E9CB9A01A96B}">
      <text>
        <r>
          <rPr>
            <b/>
            <sz val="9"/>
            <color indexed="81"/>
            <rFont val="Tahoma"/>
            <family val="2"/>
          </rPr>
          <t>Se calculeaza folosind formula:
=-PMT(C7/C6;C5*C6;C4;0)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 alexandra</author>
  </authors>
  <commentList>
    <comment ref="B3" authorId="0" shapeId="0" xr:uid="{E174ADAB-0ACD-40C7-8805-94A58E1EE73B}">
      <text>
        <r>
          <rPr>
            <b/>
            <sz val="9"/>
            <color indexed="81"/>
            <rFont val="Tahoma"/>
            <family val="2"/>
          </rPr>
          <t>Aici se introduc datele variabile:
-</t>
        </r>
        <r>
          <rPr>
            <sz val="9"/>
            <color indexed="81"/>
            <rFont val="Tahoma"/>
            <family val="2"/>
          </rPr>
          <t xml:space="preserve">suma imprumutata
-nr de ani
-nr de rate pe an
-procentul dobanzii pe an
</t>
        </r>
      </text>
    </comment>
    <comment ref="C9" authorId="0" shapeId="0" xr:uid="{D82AD683-920A-4858-8B94-8E91AC2A42BC}">
      <text>
        <r>
          <rPr>
            <b/>
            <sz val="9"/>
            <color indexed="81"/>
            <rFont val="Tahoma"/>
            <family val="2"/>
          </rPr>
          <t xml:space="preserve">Se calculeaza automat folosind formula:
</t>
        </r>
        <r>
          <rPr>
            <sz val="9"/>
            <color indexed="81"/>
            <rFont val="Tahoma"/>
            <family val="2"/>
          </rPr>
          <t xml:space="preserve">=$C$4/($C$5*$C$6)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 alexandra</author>
  </authors>
  <commentList>
    <comment ref="C15" authorId="0" shapeId="0" xr:uid="{783D33E5-BEF5-4DFC-AFF2-0B7BBD24D329}">
      <text>
        <r>
          <rPr>
            <sz val="9"/>
            <color indexed="81"/>
            <rFont val="Tahoma"/>
            <family val="2"/>
          </rPr>
          <t>Determinarea profitului mediu pe anul 2006 pentru societatile de tip SRL din judetul Timis</t>
        </r>
      </text>
    </comment>
    <comment ref="D15" authorId="0" shapeId="0" xr:uid="{30ABBD2F-4133-4ADE-A309-866635BE9FA6}">
      <text>
        <r>
          <rPr>
            <sz val="9"/>
            <color indexed="81"/>
            <rFont val="Tahoma"/>
            <family val="2"/>
          </rPr>
          <t>Determinarea profitului mediu pe anul 2007 pentru societatile de tip SRL din judetul Timis</t>
        </r>
      </text>
    </comment>
    <comment ref="C19" authorId="0" shapeId="0" xr:uid="{2724C2AE-3A36-45DE-BE78-96354C614F13}">
      <text>
        <r>
          <rPr>
            <sz val="9"/>
            <color indexed="81"/>
            <rFont val="Tahoma"/>
            <family val="2"/>
          </rPr>
          <t>Firme din judetul Timis ce au minim 10 angajati</t>
        </r>
      </text>
    </comment>
    <comment ref="D19" authorId="0" shapeId="0" xr:uid="{37B510C0-086C-4FFD-8097-149C0985BEE6}">
      <text>
        <r>
          <rPr>
            <sz val="9"/>
            <color indexed="81"/>
            <rFont val="Tahoma"/>
            <family val="2"/>
          </rPr>
          <t>Ponderea firmelor din jud. Timis ce au min. 10 angajati ( ponderea in total firme din Timis)</t>
        </r>
      </text>
    </comment>
    <comment ref="C23" authorId="0" shapeId="0" xr:uid="{AF04F3A4-3D10-4C14-8058-5A4452AAD125}">
      <text>
        <r>
          <rPr>
            <sz val="9"/>
            <color indexed="81"/>
            <rFont val="Tahoma"/>
            <family val="2"/>
          </rPr>
          <t>SRL-uri din jud. Timis ce au obtinut in 2007 profit de maxim 28000 lei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20F34B-95C7-4049-849D-628198C69FD3}" name="Query from MS Access Database" type="1" refreshedVersion="8" background="1" saveData="1">
    <dbPr connection="DSN=MS Access Database;DBQ=C:\Users\maria\OneDrive\Documente\ciorapi.accdb;DefaultDir=C:\Users\maria\OneDrive\Documente;DriverId=25;FIL=MS Access;MaxBufferSize=2048;PageTimeout=5;" command="SELECT caracteristici.Produs, caracteristici.Categorie, caracteristici.Nume, caracteristici.Grosime, caracteristici.Elastan, caracteristici.Poliamida, caracteristici.Ambalaj_x000d__x000a_FROM `C:\Users\maria\OneDrive\Documente\ciorapi.accdb`.caracteristici caracteristici_x000d__x000a_WHERE (caracteristici.Produs='MARYGOLD') AND (caracteristici.Grosime&lt;=60)_x000d__x000a_ORDER BY caracteristici.Grosime, caracteristici.Elastan, caracteristici.Poliamida"/>
  </connection>
</connections>
</file>

<file path=xl/sharedStrings.xml><?xml version="1.0" encoding="utf-8"?>
<sst xmlns="http://schemas.openxmlformats.org/spreadsheetml/2006/main" count="700" uniqueCount="251">
  <si>
    <t>SITUATIA LIVRARILOR MEDII</t>
  </si>
  <si>
    <t>ZIUA</t>
  </si>
  <si>
    <t>MAG.1</t>
  </si>
  <si>
    <t>MAG.2</t>
  </si>
  <si>
    <t>MAG.3</t>
  </si>
  <si>
    <t>TOTAL</t>
  </si>
  <si>
    <t>MEDIA ZILEI</t>
  </si>
  <si>
    <t>Luni</t>
  </si>
  <si>
    <t>Marți</t>
  </si>
  <si>
    <t>Miercuri</t>
  </si>
  <si>
    <t>Joi</t>
  </si>
  <si>
    <t>Vineri</t>
  </si>
  <si>
    <t>Sâmbătă</t>
  </si>
  <si>
    <t>TOTAL MAG.</t>
  </si>
  <si>
    <t>MEDIA SAPT.</t>
  </si>
  <si>
    <t>Nr. Crt.</t>
  </si>
  <si>
    <t>Denumire produs</t>
  </si>
  <si>
    <t>UM</t>
  </si>
  <si>
    <t xml:space="preserve">Cantitate </t>
  </si>
  <si>
    <t>Valoare</t>
  </si>
  <si>
    <t>Pret</t>
  </si>
  <si>
    <t>Buc.</t>
  </si>
  <si>
    <t>Calculator Pentium</t>
  </si>
  <si>
    <t>Imprimanta laser</t>
  </si>
  <si>
    <t>Scanner</t>
  </si>
  <si>
    <t>Retroproiector</t>
  </si>
  <si>
    <t>Lista alfabetica</t>
  </si>
  <si>
    <t>Pret:</t>
  </si>
  <si>
    <t>Denumire produs:</t>
  </si>
  <si>
    <t>Cantitate:</t>
  </si>
  <si>
    <t>Valoare:</t>
  </si>
  <si>
    <t>Situatia studentilor anului I dupa sesiunea de iarna</t>
  </si>
  <si>
    <t>Date despre studenti</t>
  </si>
  <si>
    <t>Materii studiate</t>
  </si>
  <si>
    <t>Nr.Matricol</t>
  </si>
  <si>
    <t>Nume</t>
  </si>
  <si>
    <t>Prenume</t>
  </si>
  <si>
    <t>Seria</t>
  </si>
  <si>
    <t>Grupa</t>
  </si>
  <si>
    <t>Microeconomie</t>
  </si>
  <si>
    <t>Matematica</t>
  </si>
  <si>
    <t>Drept</t>
  </si>
  <si>
    <t>Etica</t>
  </si>
  <si>
    <t>Limba straina</t>
  </si>
  <si>
    <t>Media</t>
  </si>
  <si>
    <t>Ionescu</t>
  </si>
  <si>
    <t>Popescu</t>
  </si>
  <si>
    <t>Popa</t>
  </si>
  <si>
    <t>Pop</t>
  </si>
  <si>
    <t>Mihailescu</t>
  </si>
  <si>
    <t>Mateescu</t>
  </si>
  <si>
    <t>Georgescu</t>
  </si>
  <si>
    <t>Adam</t>
  </si>
  <si>
    <t>Stefan</t>
  </si>
  <si>
    <t>Mihalcea</t>
  </si>
  <si>
    <t>Bianca</t>
  </si>
  <si>
    <t>Sergiu</t>
  </si>
  <si>
    <t>Vlad</t>
  </si>
  <si>
    <t>Petru</t>
  </si>
  <si>
    <t>Mirabela</t>
  </si>
  <si>
    <t>Alina</t>
  </si>
  <si>
    <t>Paul</t>
  </si>
  <si>
    <t>Andrei</t>
  </si>
  <si>
    <t>Mihai</t>
  </si>
  <si>
    <t>Maria</t>
  </si>
  <si>
    <t>Ion</t>
  </si>
  <si>
    <t>Functia Upper()- folosita pt. a scrie cu litere mari numele de familie</t>
  </si>
  <si>
    <t>Functia Proper()- folosita pt. a scrie cun cuvant asa cum se cuvine- prima litera fiind majuscula si restul litere mici</t>
  </si>
  <si>
    <t>Functia If()- folosita pentru a determina studentii bursieri</t>
  </si>
  <si>
    <t>Bursieri</t>
  </si>
  <si>
    <t>Functia AND()-folosita pentru a determina studentii restantieri</t>
  </si>
  <si>
    <t>Restantieri</t>
  </si>
  <si>
    <t>Test logic</t>
  </si>
  <si>
    <t>Test afisat</t>
  </si>
  <si>
    <t>Nr.
Matri
col</t>
  </si>
  <si>
    <t>VALORI PENTRU DIMENSIONARE:</t>
  </si>
  <si>
    <t>Nr. de studenti:</t>
  </si>
  <si>
    <t>Nr. de examene:</t>
  </si>
  <si>
    <t>Nota 1</t>
  </si>
  <si>
    <t>Marca</t>
  </si>
  <si>
    <t>Data nasterii</t>
  </si>
  <si>
    <t>Data angajarii</t>
  </si>
  <si>
    <t>Varsta</t>
  </si>
  <si>
    <t>Vechime</t>
  </si>
  <si>
    <t xml:space="preserve">Functie </t>
  </si>
  <si>
    <t>Salariu</t>
  </si>
  <si>
    <t>Avram</t>
  </si>
  <si>
    <t>Adrian</t>
  </si>
  <si>
    <t>Dan</t>
  </si>
  <si>
    <t>Ana</t>
  </si>
  <si>
    <t>Elena</t>
  </si>
  <si>
    <t>economist</t>
  </si>
  <si>
    <t>operator</t>
  </si>
  <si>
    <t>sef</t>
  </si>
  <si>
    <t>contabil</t>
  </si>
  <si>
    <t>Lista angajatilor</t>
  </si>
  <si>
    <t>Lista angajatilor care au functia economist</t>
  </si>
  <si>
    <t>Lista angajatilor cu varsta intre 50 si 60 de ani</t>
  </si>
  <si>
    <t>Macheta de cautare</t>
  </si>
  <si>
    <t xml:space="preserve">Functia </t>
  </si>
  <si>
    <t>SITUATIA UNUI IMPRUMUT- RATE FIXE</t>
  </si>
  <si>
    <t>Conditii initiale</t>
  </si>
  <si>
    <t>Suma imprumutata</t>
  </si>
  <si>
    <t>Nr. de ani</t>
  </si>
  <si>
    <t>Nr. rate pe an</t>
  </si>
  <si>
    <t>Proc. dobanda pe an</t>
  </si>
  <si>
    <t>Rata de plata fixa</t>
  </si>
  <si>
    <t>Nr. Rata</t>
  </si>
  <si>
    <t>Dobanda</t>
  </si>
  <si>
    <t>Ramburs</t>
  </si>
  <si>
    <t>Rata de plata</t>
  </si>
  <si>
    <t>Sold ramas</t>
  </si>
  <si>
    <t>Ramburs constant</t>
  </si>
  <si>
    <t>SITUATIA UNUI IMPRUMUT- RAMBURS FIX</t>
  </si>
  <si>
    <t>Categorie</t>
  </si>
  <si>
    <t>Elastan</t>
  </si>
  <si>
    <t>Poliamida</t>
  </si>
  <si>
    <t>Ambalaj</t>
  </si>
  <si>
    <t>sosete</t>
  </si>
  <si>
    <t>cutiuta cu doua perechi</t>
  </si>
  <si>
    <t>LOVE</t>
  </si>
  <si>
    <t>ciorapi fini cu LYCRA</t>
  </si>
  <si>
    <t>SAMBA</t>
  </si>
  <si>
    <t>plic</t>
  </si>
  <si>
    <t>ciorapi diversi</t>
  </si>
  <si>
    <t>PERFECT LINE</t>
  </si>
  <si>
    <t>FEELING</t>
  </si>
  <si>
    <t>DYNAMIC LIFT</t>
  </si>
  <si>
    <t>DIVA</t>
  </si>
  <si>
    <t>cutiuta</t>
  </si>
  <si>
    <t>CRISTAL</t>
  </si>
  <si>
    <t>ciorapi subtiri</t>
  </si>
  <si>
    <t>LADY 20 DEN</t>
  </si>
  <si>
    <t>LADY</t>
  </si>
  <si>
    <t>ciorapi grosi</t>
  </si>
  <si>
    <t>REPOSE</t>
  </si>
  <si>
    <t>CONFORT</t>
  </si>
  <si>
    <t>SOFT</t>
  </si>
  <si>
    <t>CARESSE</t>
  </si>
  <si>
    <t>Caracteristici ale produselor MARYGOLD</t>
  </si>
  <si>
    <t>Grosime (DEN)</t>
  </si>
  <si>
    <t>CLUB 15 LUCIDO</t>
  </si>
  <si>
    <t>Problema de transport</t>
  </si>
  <si>
    <t>Centre de desfacere</t>
  </si>
  <si>
    <t>C1</t>
  </si>
  <si>
    <t>C2</t>
  </si>
  <si>
    <t>C3</t>
  </si>
  <si>
    <t>C4</t>
  </si>
  <si>
    <t>C5</t>
  </si>
  <si>
    <t>Total</t>
  </si>
  <si>
    <t>Necesar</t>
  </si>
  <si>
    <t>Baza de aprovizionare</t>
  </si>
  <si>
    <t>Disponibil</t>
  </si>
  <si>
    <t>Cheltuieli de transport</t>
  </si>
  <si>
    <t>B1</t>
  </si>
  <si>
    <t>B2</t>
  </si>
  <si>
    <t>B3</t>
  </si>
  <si>
    <t>Total disponibil</t>
  </si>
  <si>
    <t>Plan de transport</t>
  </si>
  <si>
    <t>Cantitati de transportat</t>
  </si>
  <si>
    <t>Cheltuieli</t>
  </si>
  <si>
    <t>Situatia microintreprinderilor si a intreprinderilor mici</t>
  </si>
  <si>
    <t>Nr.
Crt.</t>
  </si>
  <si>
    <t>CUI</t>
  </si>
  <si>
    <t>Denumire</t>
  </si>
  <si>
    <t>Tip societate</t>
  </si>
  <si>
    <t>Adresa</t>
  </si>
  <si>
    <t>Localitate</t>
  </si>
  <si>
    <t>Judet</t>
  </si>
  <si>
    <t>Numar de angajati</t>
  </si>
  <si>
    <t>Profit 2006</t>
  </si>
  <si>
    <t>Profit 2007</t>
  </si>
  <si>
    <t>RO456789</t>
  </si>
  <si>
    <t>RO765543</t>
  </si>
  <si>
    <t>RO987322</t>
  </si>
  <si>
    <t>RO543278</t>
  </si>
  <si>
    <t>RO654323</t>
  </si>
  <si>
    <t>RO145665</t>
  </si>
  <si>
    <t>RO124533</t>
  </si>
  <si>
    <t>RO098764</t>
  </si>
  <si>
    <t>RO886432</t>
  </si>
  <si>
    <t>RO764245</t>
  </si>
  <si>
    <t>Alfa</t>
  </si>
  <si>
    <t>Beta</t>
  </si>
  <si>
    <t>Omega</t>
  </si>
  <si>
    <t>Crinul</t>
  </si>
  <si>
    <t>Trandafirul</t>
  </si>
  <si>
    <t>Ionas&amp;Fii</t>
  </si>
  <si>
    <t>BitComet</t>
  </si>
  <si>
    <t>MixedBites</t>
  </si>
  <si>
    <t>TouchMints</t>
  </si>
  <si>
    <t>SRL</t>
  </si>
  <si>
    <t>SA</t>
  </si>
  <si>
    <t>SCA</t>
  </si>
  <si>
    <t>SNC</t>
  </si>
  <si>
    <t>str. Plopilor nr.5</t>
  </si>
  <si>
    <t>str. V.Parvan nr.26</t>
  </si>
  <si>
    <t>str. Lalelelor nr.15</t>
  </si>
  <si>
    <t>str. Mare nr.8</t>
  </si>
  <si>
    <t>str. Veseliei nr. 34</t>
  </si>
  <si>
    <t>str. Principala nr.11</t>
  </si>
  <si>
    <t>str. Tineretii nr.10</t>
  </si>
  <si>
    <t>str. Soarelui nr.13</t>
  </si>
  <si>
    <t>str. Cetinei nr.86</t>
  </si>
  <si>
    <t>str. Socului nr.120</t>
  </si>
  <si>
    <t>Timisoara</t>
  </si>
  <si>
    <t>Arad</t>
  </si>
  <si>
    <t>Jimbolia</t>
  </si>
  <si>
    <t>Resita</t>
  </si>
  <si>
    <t>Sannicolaul Mare</t>
  </si>
  <si>
    <t>Caransebes</t>
  </si>
  <si>
    <t>Timis</t>
  </si>
  <si>
    <t>Caras-Severin</t>
  </si>
  <si>
    <t>1.</t>
  </si>
  <si>
    <t>2.</t>
  </si>
  <si>
    <t>&gt;=10</t>
  </si>
  <si>
    <t>3.</t>
  </si>
  <si>
    <t>&lt;=28000</t>
  </si>
  <si>
    <t>4.</t>
  </si>
  <si>
    <t>&gt;=20</t>
  </si>
  <si>
    <t>BURSA BANCARA</t>
  </si>
  <si>
    <t>Luni, 1.12.2008</t>
  </si>
  <si>
    <t>USD(Dolar SUA)</t>
  </si>
  <si>
    <t>USD Vanzare</t>
  </si>
  <si>
    <t>USD Cumparare</t>
  </si>
  <si>
    <t>EUR(Euro)</t>
  </si>
  <si>
    <t>EUR Vanzare</t>
  </si>
  <si>
    <t>EUR Cumparare</t>
  </si>
  <si>
    <t>BANCA</t>
  </si>
  <si>
    <t>Bancpost</t>
  </si>
  <si>
    <t>BCR- Banca Comerciala Romana</t>
  </si>
  <si>
    <t>BRD-Groupe Societate Generale</t>
  </si>
  <si>
    <t>Raiffeisen Bank</t>
  </si>
  <si>
    <t>Marti, 2.12.2008</t>
  </si>
  <si>
    <t>Miercuri, 3.12.2008</t>
  </si>
  <si>
    <t>Vineri,5.12.2008</t>
  </si>
  <si>
    <t>Joi, 4.12.2008</t>
  </si>
  <si>
    <t>Saptamana 1.12.2008-5.12.2008</t>
  </si>
  <si>
    <t>CURS BANCAR MEDIU</t>
  </si>
  <si>
    <t>Ziua</t>
  </si>
  <si>
    <t>EURO Vanzare</t>
  </si>
  <si>
    <t>EURO Cumparare</t>
  </si>
  <si>
    <t>Media sapt.</t>
  </si>
  <si>
    <t>Arad Count</t>
  </si>
  <si>
    <t>Caras-Severin Count</t>
  </si>
  <si>
    <t>Timis Count</t>
  </si>
  <si>
    <t>Grand Count</t>
  </si>
  <si>
    <t>SA Count</t>
  </si>
  <si>
    <t>SRL Count</t>
  </si>
  <si>
    <t>SCA Count</t>
  </si>
  <si>
    <t>SNC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</si>
</sst>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lei&quot;;[Red]\-#,##0\ &quot;lei&quot;"/>
    <numFmt numFmtId="164" formatCode="#,##0\ &quot;lei&quot;"/>
    <numFmt numFmtId="165" formatCode="dd/mm/yy;@"/>
    <numFmt numFmtId="166" formatCode="0.0000"/>
    <numFmt numFmtId="167" formatCode="#,##0.0000\ &quot;lei&quot;"/>
    <numFmt numFmtId="168" formatCode="[$-418]d\-mmm\-yy;@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4" xfId="0" applyBorder="1"/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textRotation="90"/>
    </xf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vertical="center" textRotation="90"/>
    </xf>
    <xf numFmtId="0" fontId="8" fillId="0" borderId="4" xfId="0" applyFont="1" applyBorder="1"/>
    <xf numFmtId="0" fontId="6" fillId="6" borderId="4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 textRotation="90"/>
    </xf>
    <xf numFmtId="0" fontId="6" fillId="6" borderId="4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5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 vertical="center"/>
    </xf>
    <xf numFmtId="0" fontId="0" fillId="8" borderId="4" xfId="0" applyFill="1" applyBorder="1"/>
    <xf numFmtId="165" fontId="0" fillId="0" borderId="4" xfId="0" applyNumberFormat="1" applyBorder="1"/>
    <xf numFmtId="9" fontId="0" fillId="0" borderId="0" xfId="0" applyNumberFormat="1"/>
    <xf numFmtId="0" fontId="6" fillId="10" borderId="0" xfId="0" applyFont="1" applyFill="1"/>
    <xf numFmtId="0" fontId="6" fillId="7" borderId="0" xfId="0" applyFont="1" applyFill="1"/>
    <xf numFmtId="6" fontId="6" fillId="7" borderId="0" xfId="0" applyNumberFormat="1" applyFont="1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6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0" fillId="11" borderId="12" xfId="0" applyFill="1" applyBorder="1"/>
    <xf numFmtId="0" fontId="0" fillId="11" borderId="6" xfId="0" applyFill="1" applyBorder="1"/>
    <xf numFmtId="0" fontId="0" fillId="11" borderId="13" xfId="0" applyFill="1" applyBorder="1"/>
    <xf numFmtId="0" fontId="0" fillId="12" borderId="0" xfId="0" applyFill="1"/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/>
    </xf>
    <xf numFmtId="0" fontId="3" fillId="11" borderId="0" xfId="0" applyFont="1" applyFill="1"/>
    <xf numFmtId="9" fontId="0" fillId="11" borderId="0" xfId="0" applyNumberFormat="1" applyFill="1"/>
    <xf numFmtId="0" fontId="3" fillId="12" borderId="0" xfId="0" applyFont="1" applyFill="1"/>
    <xf numFmtId="0" fontId="3" fillId="0" borderId="4" xfId="0" applyFont="1" applyBorder="1"/>
    <xf numFmtId="166" fontId="0" fillId="0" borderId="4" xfId="0" applyNumberFormat="1" applyBorder="1"/>
    <xf numFmtId="167" fontId="0" fillId="0" borderId="4" xfId="0" applyNumberFormat="1" applyBorder="1"/>
    <xf numFmtId="168" fontId="0" fillId="0" borderId="0" xfId="0" applyNumberFormat="1"/>
    <xf numFmtId="167" fontId="0" fillId="0" borderId="0" xfId="0" applyNumberFormat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3" borderId="17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164" fontId="0" fillId="3" borderId="19" xfId="0" applyNumberFormat="1" applyFill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0" fontId="15" fillId="0" borderId="18" xfId="0" applyFont="1" applyBorder="1"/>
    <xf numFmtId="0" fontId="15" fillId="0" borderId="0" xfId="0" applyFont="1"/>
    <xf numFmtId="0" fontId="15" fillId="3" borderId="18" xfId="0" applyFont="1" applyFill="1" applyBorder="1"/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#,##0\ &quot;lei&quot;"/>
    </dxf>
    <dxf>
      <numFmt numFmtId="164" formatCode="#,##0\ &quot;lei&quot;"/>
    </dxf>
    <dxf>
      <alignment horizontal="center" vertical="center" textRotation="0" wrapText="1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 vertical="center" textRotation="0" wrapText="0" indent="0" justifyLastLine="0" shrinkToFit="0" readingOrder="0"/>
    </dxf>
    <dxf>
      <numFmt numFmtId="10" formatCode="#,##0\ &quot;lei&quot;;[Red]\-#,##0\ &quot;lei&quot;"/>
    </dxf>
    <dxf>
      <numFmt numFmtId="0" formatCode="General"/>
    </dxf>
    <dxf>
      <numFmt numFmtId="0" formatCode="General"/>
    </dxf>
    <dxf>
      <numFmt numFmtId="165" formatCode="dd/mm/yy;@"/>
    </dxf>
    <dxf>
      <numFmt numFmtId="165" formatCode="dd/mm/yy;@"/>
    </dxf>
    <dxf>
      <numFmt numFmtId="10" formatCode="#,##0\ &quot;lei&quot;;[Red]\-#,##0\ &quot;lei&quot;"/>
    </dxf>
    <dxf>
      <numFmt numFmtId="0" formatCode="General"/>
    </dxf>
    <dxf>
      <numFmt numFmtId="0" formatCode="General"/>
    </dxf>
    <dxf>
      <numFmt numFmtId="165" formatCode="dd/mm/yy;@"/>
    </dxf>
    <dxf>
      <numFmt numFmtId="165" formatCode="dd/mm/yy;@"/>
    </dxf>
    <dxf>
      <numFmt numFmtId="10" formatCode="#,##0\ &quot;lei&quot;;[Red]\-#,##0\ &quot;lei&quot;"/>
    </dxf>
    <dxf>
      <numFmt numFmtId="0" formatCode="General"/>
    </dxf>
    <dxf>
      <numFmt numFmtId="0" formatCode="General"/>
    </dxf>
    <dxf>
      <numFmt numFmtId="165" formatCode="dd/mm/yy;@"/>
    </dxf>
    <dxf>
      <numFmt numFmtId="165" formatCode="dd/mm/yy;@"/>
    </dxf>
    <dxf>
      <numFmt numFmtId="10" formatCode="#,##0\ &quot;lei&quot;;[Red]\-#,##0\ &quot;lei&quot;"/>
    </dxf>
    <dxf>
      <numFmt numFmtId="0" formatCode="General"/>
    </dxf>
    <dxf>
      <numFmt numFmtId="0" formatCode="General"/>
    </dxf>
    <dxf>
      <numFmt numFmtId="165" formatCode="dd/mm/yy;@"/>
    </dxf>
    <dxf>
      <numFmt numFmtId="165" formatCode="dd/mm/yy;@"/>
    </dxf>
    <dxf>
      <numFmt numFmtId="10" formatCode="#,##0\ &quot;lei&quot;;[Red]\-#,##0\ &quot;lei&quot;"/>
    </dxf>
    <dxf>
      <numFmt numFmtId="0" formatCode="General"/>
    </dxf>
    <dxf>
      <numFmt numFmtId="0" formatCode="General"/>
    </dxf>
    <dxf>
      <numFmt numFmtId="165" formatCode="dd/mm/yy;@"/>
    </dxf>
    <dxf>
      <numFmt numFmtId="165" formatCode="dd/mm/yy;@"/>
    </dxf>
    <dxf>
      <numFmt numFmtId="164" formatCode="#,##0\ &quot;lei&quot;"/>
    </dxf>
    <dxf>
      <numFmt numFmtId="164" formatCode="#,##0\ &quot;lei&quot;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4.xml"/><Relationship Id="rId17" Type="http://schemas.openxmlformats.org/officeDocument/2006/relationships/chartsheet" Target="chartsheets/sheet6.xml"/><Relationship Id="rId25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24" Type="http://schemas.openxmlformats.org/officeDocument/2006/relationships/worksheet" Target="worksheets/sheet1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7.xml"/><Relationship Id="rId28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'Aplicatia 1'!$A$1:$F$1</c:f>
          <c:strCache>
            <c:ptCount val="6"/>
            <c:pt idx="0">
              <c:v>SITUATIA LIVRARILOR MEDII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'Aplicatia 1'!$B$3</c:f>
              <c:strCache>
                <c:ptCount val="1"/>
                <c:pt idx="0">
                  <c:v>MAG.1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'Aplicatia 1'!$A$4:$A$9</c:f>
              <c:strCache>
                <c:ptCount val="6"/>
                <c:pt idx="0">
                  <c:v>Luni</c:v>
                </c:pt>
                <c:pt idx="1">
                  <c:v>Marți</c:v>
                </c:pt>
                <c:pt idx="2">
                  <c:v>Miercuri</c:v>
                </c:pt>
                <c:pt idx="3">
                  <c:v>Joi</c:v>
                </c:pt>
                <c:pt idx="4">
                  <c:v>Vineri</c:v>
                </c:pt>
                <c:pt idx="5">
                  <c:v>Sâmbătă</c:v>
                </c:pt>
              </c:strCache>
            </c:strRef>
          </c:cat>
          <c:val>
            <c:numRef>
              <c:f>'Aplicatia 1'!$B$4:$B$9</c:f>
              <c:numCache>
                <c:formatCode>General</c:formatCode>
                <c:ptCount val="6"/>
                <c:pt idx="0">
                  <c:v>50</c:v>
                </c:pt>
                <c:pt idx="1">
                  <c:v>20</c:v>
                </c:pt>
                <c:pt idx="2">
                  <c:v>10</c:v>
                </c:pt>
                <c:pt idx="3">
                  <c:v>40</c:v>
                </c:pt>
                <c:pt idx="4">
                  <c:v>60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F-4415-A69C-60D961EB9B92}"/>
            </c:ext>
          </c:extLst>
        </c:ser>
        <c:ser>
          <c:idx val="1"/>
          <c:order val="1"/>
          <c:tx>
            <c:strRef>
              <c:f>'Aplicatia 1'!$C$3</c:f>
              <c:strCache>
                <c:ptCount val="1"/>
                <c:pt idx="0">
                  <c:v>MAG.2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'Aplicatia 1'!$A$4:$A$9</c:f>
              <c:strCache>
                <c:ptCount val="6"/>
                <c:pt idx="0">
                  <c:v>Luni</c:v>
                </c:pt>
                <c:pt idx="1">
                  <c:v>Marți</c:v>
                </c:pt>
                <c:pt idx="2">
                  <c:v>Miercuri</c:v>
                </c:pt>
                <c:pt idx="3">
                  <c:v>Joi</c:v>
                </c:pt>
                <c:pt idx="4">
                  <c:v>Vineri</c:v>
                </c:pt>
                <c:pt idx="5">
                  <c:v>Sâmbătă</c:v>
                </c:pt>
              </c:strCache>
            </c:strRef>
          </c:cat>
          <c:val>
            <c:numRef>
              <c:f>'Aplicatia 1'!$C$4:$C$9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50</c:v>
                </c:pt>
                <c:pt idx="4">
                  <c:v>90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F-4415-A69C-60D961EB9B92}"/>
            </c:ext>
          </c:extLst>
        </c:ser>
        <c:ser>
          <c:idx val="2"/>
          <c:order val="2"/>
          <c:tx>
            <c:strRef>
              <c:f>'Aplicatia 1'!$D$3</c:f>
              <c:strCache>
                <c:ptCount val="1"/>
                <c:pt idx="0">
                  <c:v>MAG.3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'Aplicatia 1'!$A$4:$A$9</c:f>
              <c:strCache>
                <c:ptCount val="6"/>
                <c:pt idx="0">
                  <c:v>Luni</c:v>
                </c:pt>
                <c:pt idx="1">
                  <c:v>Marți</c:v>
                </c:pt>
                <c:pt idx="2">
                  <c:v>Miercuri</c:v>
                </c:pt>
                <c:pt idx="3">
                  <c:v>Joi</c:v>
                </c:pt>
                <c:pt idx="4">
                  <c:v>Vineri</c:v>
                </c:pt>
                <c:pt idx="5">
                  <c:v>Sâmbătă</c:v>
                </c:pt>
              </c:strCache>
            </c:strRef>
          </c:cat>
          <c:val>
            <c:numRef>
              <c:f>'Aplicatia 1'!$D$4:$D$9</c:f>
              <c:numCache>
                <c:formatCode>General</c:formatCode>
                <c:ptCount val="6"/>
                <c:pt idx="0">
                  <c:v>20</c:v>
                </c:pt>
                <c:pt idx="1">
                  <c:v>100</c:v>
                </c:pt>
                <c:pt idx="2">
                  <c:v>110</c:v>
                </c:pt>
                <c:pt idx="3">
                  <c:v>80</c:v>
                </c:pt>
                <c:pt idx="4">
                  <c:v>70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AF-4415-A69C-60D961EB9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8312168"/>
        <c:axId val="598311088"/>
      </c:barChart>
      <c:catAx>
        <c:axId val="59831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Zilele</a:t>
                </a:r>
                <a:r>
                  <a:rPr lang="ro-RO" baseline="0"/>
                  <a:t> saptamanii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1088"/>
        <c:crosses val="autoZero"/>
        <c:auto val="1"/>
        <c:lblAlgn val="ctr"/>
        <c:lblOffset val="100"/>
        <c:noMultiLvlLbl val="0"/>
      </c:catAx>
      <c:valAx>
        <c:axId val="5983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Cantitati livrate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3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Cursul mediu al USD in saptamana 1.12-5.12.2008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'Aplicatia 11-Curs mediu la banc'!$B$6</c:f>
              <c:strCache>
                <c:ptCount val="1"/>
                <c:pt idx="0">
                  <c:v>USD Vanzare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'Aplicatia 11-Curs mediu la banc'!$A$7:$A$10</c:f>
              <c:strCache>
                <c:ptCount val="4"/>
                <c:pt idx="0">
                  <c:v>Bancpost</c:v>
                </c:pt>
                <c:pt idx="1">
                  <c:v>BCR- Banca Comerciala Romana</c:v>
                </c:pt>
                <c:pt idx="2">
                  <c:v>BRD-Groupe Societate Generale</c:v>
                </c:pt>
                <c:pt idx="3">
                  <c:v>Raiffeisen Bank</c:v>
                </c:pt>
              </c:strCache>
            </c:strRef>
          </c:cat>
          <c:val>
            <c:numRef>
              <c:f>'Aplicatia 11-Curs mediu la banc'!$B$7:$B$10</c:f>
              <c:numCache>
                <c:formatCode>#,##0.0000\ "lei"</c:formatCode>
                <c:ptCount val="4"/>
                <c:pt idx="0">
                  <c:v>3.1055999999999999</c:v>
                </c:pt>
                <c:pt idx="1">
                  <c:v>3.0771999999999999</c:v>
                </c:pt>
                <c:pt idx="2">
                  <c:v>3.0324</c:v>
                </c:pt>
                <c:pt idx="3">
                  <c:v>3.0271999999999997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5-405C-A38B-0C935991C820}"/>
            </c:ext>
          </c:extLst>
        </c:ser>
        <c:ser>
          <c:idx val="1"/>
          <c:order val="1"/>
          <c:tx>
            <c:strRef>
              <c:f>'Aplicatia 11-Curs mediu la banc'!$C$6</c:f>
              <c:strCache>
                <c:ptCount val="1"/>
                <c:pt idx="0">
                  <c:v>USD Cumparare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'Aplicatia 11-Curs mediu la banc'!$A$7:$A$10</c:f>
              <c:strCache>
                <c:ptCount val="4"/>
                <c:pt idx="0">
                  <c:v>Bancpost</c:v>
                </c:pt>
                <c:pt idx="1">
                  <c:v>BCR- Banca Comerciala Romana</c:v>
                </c:pt>
                <c:pt idx="2">
                  <c:v>BRD-Groupe Societate Generale</c:v>
                </c:pt>
                <c:pt idx="3">
                  <c:v>Raiffeisen Bank</c:v>
                </c:pt>
              </c:strCache>
            </c:strRef>
          </c:cat>
          <c:val>
            <c:numRef>
              <c:f>'Aplicatia 11-Curs mediu la banc'!$C$7:$C$10</c:f>
              <c:numCache>
                <c:formatCode>#,##0.0000\ "lei"</c:formatCode>
                <c:ptCount val="4"/>
                <c:pt idx="0">
                  <c:v>2.9843999999999999</c:v>
                </c:pt>
                <c:pt idx="1">
                  <c:v>2.968</c:v>
                </c:pt>
                <c:pt idx="2">
                  <c:v>2.9466000000000001</c:v>
                </c:pt>
                <c:pt idx="3">
                  <c:v>2.9432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5-405C-A38B-0C935991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6284688"/>
        <c:axId val="556285768"/>
      </c:barChart>
      <c:catAx>
        <c:axId val="5562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5768"/>
        <c:crosses val="autoZero"/>
        <c:auto val="1"/>
        <c:lblAlgn val="ctr"/>
        <c:lblOffset val="100"/>
        <c:noMultiLvlLbl val="0"/>
      </c:catAx>
      <c:valAx>
        <c:axId val="5562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\ &quot;le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o-RO" sz="1800" b="1" i="0" baseline="0">
                <a:effectLst/>
              </a:rPr>
              <a:t>Cursul mediu al EURO in saptamana 1.12-5.12.2008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'Aplicatia 11-Curs mediu la banc'!$D$6</c:f>
              <c:strCache>
                <c:ptCount val="1"/>
                <c:pt idx="0">
                  <c:v>EUR Vanzare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'Aplicatia 11-Curs mediu la banc'!$A$7:$A$10</c:f>
              <c:strCache>
                <c:ptCount val="4"/>
                <c:pt idx="0">
                  <c:v>Bancpost</c:v>
                </c:pt>
                <c:pt idx="1">
                  <c:v>BCR- Banca Comerciala Romana</c:v>
                </c:pt>
                <c:pt idx="2">
                  <c:v>BRD-Groupe Societate Generale</c:v>
                </c:pt>
                <c:pt idx="3">
                  <c:v>Raiffeisen Bank</c:v>
                </c:pt>
              </c:strCache>
            </c:strRef>
          </c:cat>
          <c:val>
            <c:numRef>
              <c:f>'Aplicatia 11-Curs mediu la banc'!$D$7:$D$10</c:f>
              <c:numCache>
                <c:formatCode>#,##0.0000\ "lei"</c:formatCode>
                <c:ptCount val="4"/>
                <c:pt idx="0">
                  <c:v>3.9289999999999998</c:v>
                </c:pt>
                <c:pt idx="1">
                  <c:v>3.8882000000000003</c:v>
                </c:pt>
                <c:pt idx="2">
                  <c:v>3.9180000000000001</c:v>
                </c:pt>
                <c:pt idx="3">
                  <c:v>3.8862999999999999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D-48A4-8E8E-8436FBCFDB8F}"/>
            </c:ext>
          </c:extLst>
        </c:ser>
        <c:ser>
          <c:idx val="1"/>
          <c:order val="1"/>
          <c:tx>
            <c:strRef>
              <c:f>'Aplicatia 11-Curs mediu la banc'!$E$6</c:f>
              <c:strCache>
                <c:ptCount val="1"/>
                <c:pt idx="0">
                  <c:v>EUR Cumparare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'Aplicatia 11-Curs mediu la banc'!$A$7:$A$10</c:f>
              <c:strCache>
                <c:ptCount val="4"/>
                <c:pt idx="0">
                  <c:v>Bancpost</c:v>
                </c:pt>
                <c:pt idx="1">
                  <c:v>BCR- Banca Comerciala Romana</c:v>
                </c:pt>
                <c:pt idx="2">
                  <c:v>BRD-Groupe Societate Generale</c:v>
                </c:pt>
                <c:pt idx="3">
                  <c:v>Raiffeisen Bank</c:v>
                </c:pt>
              </c:strCache>
            </c:strRef>
          </c:cat>
          <c:val>
            <c:numRef>
              <c:f>'Aplicatia 11-Curs mediu la banc'!$E$7:$E$10</c:f>
              <c:numCache>
                <c:formatCode>#,##0.0000\ "lei"</c:formatCode>
                <c:ptCount val="4"/>
                <c:pt idx="0">
                  <c:v>3.8129999999999997</c:v>
                </c:pt>
                <c:pt idx="1">
                  <c:v>3.8186</c:v>
                </c:pt>
                <c:pt idx="2">
                  <c:v>3.7917999999999998</c:v>
                </c:pt>
                <c:pt idx="3">
                  <c:v>3.7749999999999999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D-48A4-8E8E-8436FBCF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83088768"/>
        <c:axId val="583090208"/>
      </c:barChart>
      <c:catAx>
        <c:axId val="58308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90208"/>
        <c:crosses val="autoZero"/>
        <c:auto val="1"/>
        <c:lblAlgn val="ctr"/>
        <c:lblOffset val="100"/>
        <c:noMultiLvlLbl val="0"/>
      </c:catAx>
      <c:valAx>
        <c:axId val="5830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.0000\ &quot;le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8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Evolutia cursului mediu al principalelor valute in saptamana 1.12.2008-5.12.2008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'Aplicatia 11-Curs mediu pe zile'!$B$2</c:f>
              <c:strCache>
                <c:ptCount val="1"/>
                <c:pt idx="0">
                  <c:v>USD Vanzare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'Aplicatia 11-Curs mediu pe zile'!$A$3:$A$7</c:f>
              <c:numCache>
                <c:formatCode>[$-418]d\-mmm\-yy;@</c:formatCode>
                <c:ptCount val="5"/>
                <c:pt idx="0">
                  <c:v>39783</c:v>
                </c:pt>
                <c:pt idx="1">
                  <c:v>39784</c:v>
                </c:pt>
                <c:pt idx="2">
                  <c:v>39785</c:v>
                </c:pt>
                <c:pt idx="3">
                  <c:v>39786</c:v>
                </c:pt>
                <c:pt idx="4">
                  <c:v>39787</c:v>
                </c:pt>
              </c:numCache>
            </c:numRef>
          </c:cat>
          <c:val>
            <c:numRef>
              <c:f>'Aplicatia 11-Curs mediu pe zile'!$B$3:$B$7</c:f>
              <c:numCache>
                <c:formatCode>#,##0.0000\ "lei"</c:formatCode>
                <c:ptCount val="5"/>
                <c:pt idx="0">
                  <c:v>3.0542499999999997</c:v>
                </c:pt>
                <c:pt idx="1">
                  <c:v>3.0567499999999996</c:v>
                </c:pt>
                <c:pt idx="2">
                  <c:v>3.0772500000000003</c:v>
                </c:pt>
                <c:pt idx="3">
                  <c:v>3.0347499999999998</c:v>
                </c:pt>
                <c:pt idx="4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9-4CAF-B024-18C46C575430}"/>
            </c:ext>
          </c:extLst>
        </c:ser>
        <c:ser>
          <c:idx val="1"/>
          <c:order val="1"/>
          <c:tx>
            <c:strRef>
              <c:f>'Aplicatia 11-Curs mediu pe zile'!$C$2</c:f>
              <c:strCache>
                <c:ptCount val="1"/>
                <c:pt idx="0">
                  <c:v>EURO Vanzare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'Aplicatia 11-Curs mediu pe zile'!$A$3:$A$7</c:f>
              <c:numCache>
                <c:formatCode>[$-418]d\-mmm\-yy;@</c:formatCode>
                <c:ptCount val="5"/>
                <c:pt idx="0">
                  <c:v>39783</c:v>
                </c:pt>
                <c:pt idx="1">
                  <c:v>39784</c:v>
                </c:pt>
                <c:pt idx="2">
                  <c:v>39785</c:v>
                </c:pt>
                <c:pt idx="3">
                  <c:v>39786</c:v>
                </c:pt>
                <c:pt idx="4">
                  <c:v>39787</c:v>
                </c:pt>
              </c:numCache>
            </c:numRef>
          </c:cat>
          <c:val>
            <c:numRef>
              <c:f>'Aplicatia 11-Curs mediu pe zile'!$C$3:$C$7</c:f>
              <c:numCache>
                <c:formatCode>#,##0.0000\ "lei"</c:formatCode>
                <c:ptCount val="5"/>
                <c:pt idx="0">
                  <c:v>3.9012500000000001</c:v>
                </c:pt>
                <c:pt idx="1">
                  <c:v>3.8987500000000002</c:v>
                </c:pt>
                <c:pt idx="2">
                  <c:v>3.9037500000000001</c:v>
                </c:pt>
                <c:pt idx="3">
                  <c:v>3.9075000000000002</c:v>
                </c:pt>
                <c:pt idx="4">
                  <c:v>3.9156249999999999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9-4CAF-B024-18C46C575430}"/>
            </c:ext>
          </c:extLst>
        </c:ser>
        <c:ser>
          <c:idx val="2"/>
          <c:order val="2"/>
          <c:tx>
            <c:strRef>
              <c:f>'Aplicatia 11-Curs mediu pe zile'!$D$2</c:f>
              <c:strCache>
                <c:ptCount val="1"/>
                <c:pt idx="0">
                  <c:v>USD Cumparare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'Aplicatia 11-Curs mediu pe zile'!$A$3:$A$7</c:f>
              <c:numCache>
                <c:formatCode>[$-418]d\-mmm\-yy;@</c:formatCode>
                <c:ptCount val="5"/>
                <c:pt idx="0">
                  <c:v>39783</c:v>
                </c:pt>
                <c:pt idx="1">
                  <c:v>39784</c:v>
                </c:pt>
                <c:pt idx="2">
                  <c:v>39785</c:v>
                </c:pt>
                <c:pt idx="3">
                  <c:v>39786</c:v>
                </c:pt>
                <c:pt idx="4">
                  <c:v>39787</c:v>
                </c:pt>
              </c:numCache>
            </c:numRef>
          </c:cat>
          <c:val>
            <c:numRef>
              <c:f>'Aplicatia 11-Curs mediu pe zile'!$D$3:$D$7</c:f>
              <c:numCache>
                <c:formatCode>#,##0.0000\ "lei"</c:formatCode>
                <c:ptCount val="5"/>
                <c:pt idx="0">
                  <c:v>2.9669999999999996</c:v>
                </c:pt>
                <c:pt idx="1">
                  <c:v>2.95</c:v>
                </c:pt>
                <c:pt idx="2">
                  <c:v>2.9477500000000001</c:v>
                </c:pt>
                <c:pt idx="3">
                  <c:v>2.96875</c:v>
                </c:pt>
                <c:pt idx="4">
                  <c:v>2.9692500000000002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9-4CAF-B024-18C46C575430}"/>
            </c:ext>
          </c:extLst>
        </c:ser>
        <c:ser>
          <c:idx val="3"/>
          <c:order val="3"/>
          <c:tx>
            <c:strRef>
              <c:f>'Aplicatia 11-Curs mediu pe zile'!$E$2</c:f>
              <c:strCache>
                <c:ptCount val="1"/>
                <c:pt idx="0">
                  <c:v>EURO Cumparare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'Aplicatia 11-Curs mediu pe zile'!$A$3:$A$7</c:f>
              <c:numCache>
                <c:formatCode>[$-418]d\-mmm\-yy;@</c:formatCode>
                <c:ptCount val="5"/>
                <c:pt idx="0">
                  <c:v>39783</c:v>
                </c:pt>
                <c:pt idx="1">
                  <c:v>39784</c:v>
                </c:pt>
                <c:pt idx="2">
                  <c:v>39785</c:v>
                </c:pt>
                <c:pt idx="3">
                  <c:v>39786</c:v>
                </c:pt>
                <c:pt idx="4">
                  <c:v>39787</c:v>
                </c:pt>
              </c:numCache>
            </c:numRef>
          </c:cat>
          <c:val>
            <c:numRef>
              <c:f>'Aplicatia 11-Curs mediu pe zile'!$E$3:$E$7</c:f>
              <c:numCache>
                <c:formatCode>#,##0.0000\ "lei"</c:formatCode>
                <c:ptCount val="5"/>
                <c:pt idx="0">
                  <c:v>3.7937499999999997</c:v>
                </c:pt>
                <c:pt idx="1">
                  <c:v>3.7775000000000003</c:v>
                </c:pt>
                <c:pt idx="2">
                  <c:v>3.8092499999999996</c:v>
                </c:pt>
                <c:pt idx="3">
                  <c:v>3.8162500000000001</c:v>
                </c:pt>
                <c:pt idx="4">
                  <c:v>3.80125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9-4CAF-B024-18C46C57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829368"/>
        <c:axId val="588834768"/>
      </c:lineChart>
      <c:dateAx>
        <c:axId val="588829368"/>
        <c:scaling>
          <c:orientation val="minMax"/>
        </c:scaling>
        <c:delete val="0"/>
        <c:axPos val="b"/>
        <c:numFmt formatCode="[$-418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34768"/>
        <c:crosses val="autoZero"/>
        <c:auto val="1"/>
        <c:lblOffset val="100"/>
        <c:baseTimeUnit val="days"/>
      </c:dateAx>
      <c:valAx>
        <c:axId val="588834768"/>
        <c:scaling>
          <c:orientation val="minMax"/>
        </c:scaling>
        <c:delete val="0"/>
        <c:axPos val="l"/>
        <c:numFmt formatCode="#,##0.0000\ &quot;lei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'Aplicatia 1'!$E$3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EC-4BAC-AE6B-659E54C82C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7EC-4BAC-AE6B-659E54C82C5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7EC-4BAC-AE6B-659E54C82C5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7EC-4BAC-AE6B-659E54C82C5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7EC-4BAC-AE6B-659E54C82C55}"/>
              </c:ext>
            </c:extLst>
          </c:dPt>
          <c:dPt>
            <c:idx val="5"/>
            <c:bubble3D val="0"/>
            <c:explosion val="64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151-4538-8EB7-3F8DDEA16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'Aplicatia 1'!$A$4:$A$9</c:f>
              <c:strCache>
                <c:ptCount val="6"/>
                <c:pt idx="0">
                  <c:v>Luni</c:v>
                </c:pt>
                <c:pt idx="1">
                  <c:v>Marți</c:v>
                </c:pt>
                <c:pt idx="2">
                  <c:v>Miercuri</c:v>
                </c:pt>
                <c:pt idx="3">
                  <c:v>Joi</c:v>
                </c:pt>
                <c:pt idx="4">
                  <c:v>Vineri</c:v>
                </c:pt>
                <c:pt idx="5">
                  <c:v>Sâmbătă</c:v>
                </c:pt>
              </c:strCache>
            </c:strRef>
          </c:cat>
          <c:val>
            <c:numRef>
              <c:f>'Aplicatia 1'!$E$4:$E$9</c:f>
              <c:numCache>
                <c:formatCode>General</c:formatCode>
                <c:ptCount val="6"/>
                <c:pt idx="0">
                  <c:v>170</c:v>
                </c:pt>
                <c:pt idx="1">
                  <c:v>210</c:v>
                </c:pt>
                <c:pt idx="2">
                  <c:v>200</c:v>
                </c:pt>
                <c:pt idx="3">
                  <c:v>170</c:v>
                </c:pt>
                <c:pt idx="4">
                  <c:v>220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538-8EB7-3F8DDEA16F08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'Aplicatia 2'!$F$3</c:f>
              <c:strCache>
                <c:ptCount val="1"/>
                <c:pt idx="0">
                  <c:v>Valoare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5D7-4B5E-B256-1168DCD175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5D7-4B5E-B256-1168DCD175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5D7-4B5E-B256-1168DCD175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55-41DE-9DEE-82BA4948AE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'Aplicatia 2'!$B$4:$B$7</c:f>
              <c:strCache>
                <c:ptCount val="4"/>
                <c:pt idx="0">
                  <c:v>Calculator Pentium</c:v>
                </c:pt>
                <c:pt idx="1">
                  <c:v>Imprimanta laser</c:v>
                </c:pt>
                <c:pt idx="2">
                  <c:v>Scanner</c:v>
                </c:pt>
                <c:pt idx="3">
                  <c:v>Retroproiector</c:v>
                </c:pt>
              </c:strCache>
            </c:strRef>
          </c:cat>
          <c:val>
            <c:numRef>
              <c:f>'Aplicatia 2'!$F$4:$F$7</c:f>
              <c:numCache>
                <c:formatCode>#,##0\ "lei"</c:formatCode>
                <c:ptCount val="4"/>
                <c:pt idx="0">
                  <c:v>9000</c:v>
                </c:pt>
                <c:pt idx="1">
                  <c:v>4000</c:v>
                </c:pt>
                <c:pt idx="2">
                  <c:v>700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5-41DE-9DEE-82BA4948A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Evolutia</a:t>
            </a:r>
            <a:r>
              <a:rPr lang="en-US" baseline="0"/>
              <a:t> unui imprumut cu rate fixe [in %]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'Aplicatia 6-Rate fixe'!$B$12</c:f>
              <c:strCache>
                <c:ptCount val="1"/>
                <c:pt idx="0">
                  <c:v>Dobanda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'Aplicatia 6-Rate fixe'!$B$13:$B$24</c:f>
              <c:numCache>
                <c:formatCode>#,##0\ "lei"</c:formatCode>
                <c:ptCount val="12"/>
                <c:pt idx="0" formatCode="&quot;lei&quot;#,##0_);[Red]\(&quot;lei&quot;#,##0\)">
                  <c:v>5625</c:v>
                </c:pt>
                <c:pt idx="1">
                  <c:v>5381.0648578797773</c:v>
                </c:pt>
                <c:pt idx="2">
                  <c:v>5109.6870122710288</c:v>
                </c:pt>
                <c:pt idx="3">
                  <c:v>4807.7791590312963</c:v>
                </c:pt>
                <c:pt idx="4">
                  <c:v>4471.9066723020933</c:v>
                </c:pt>
                <c:pt idx="5">
                  <c:v>4098.2485308158557</c:v>
                </c:pt>
                <c:pt idx="6">
                  <c:v>3682.5538484124163</c:v>
                </c:pt>
                <c:pt idx="7">
                  <c:v>3220.0935142385897</c:v>
                </c:pt>
                <c:pt idx="8">
                  <c:v>2705.6063924702075</c:v>
                </c:pt>
                <c:pt idx="9">
                  <c:v>2133.2394695028829</c:v>
                </c:pt>
                <c:pt idx="10">
                  <c:v>1496.4812677017339</c:v>
                </c:pt>
                <c:pt idx="11">
                  <c:v>788.08776819795571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A-4169-958C-993D6B67193B}"/>
            </c:ext>
          </c:extLst>
        </c:ser>
        <c:ser>
          <c:idx val="1"/>
          <c:order val="1"/>
          <c:tx>
            <c:strRef>
              <c:f>'Aplicatia 6-Rate fixe'!$C$12</c:f>
              <c:strCache>
                <c:ptCount val="1"/>
                <c:pt idx="0">
                  <c:v>Ramburs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'Aplicatia 6-Rate fixe'!$C$13:$C$24</c:f>
              <c:numCache>
                <c:formatCode>#,##0\ "lei"</c:formatCode>
                <c:ptCount val="12"/>
                <c:pt idx="0" formatCode="&quot;lei&quot;#,##0_);[Red]\(&quot;lei&quot;#,##0\)">
                  <c:v>2168.3123744019849</c:v>
                </c:pt>
                <c:pt idx="1">
                  <c:v>2412.2475165222077</c:v>
                </c:pt>
                <c:pt idx="2">
                  <c:v>2683.6253621309561</c:v>
                </c:pt>
                <c:pt idx="3">
                  <c:v>2985.5332153706886</c:v>
                </c:pt>
                <c:pt idx="4">
                  <c:v>3321.4057020998916</c:v>
                </c:pt>
                <c:pt idx="5">
                  <c:v>3695.0638435861292</c:v>
                </c:pt>
                <c:pt idx="6">
                  <c:v>4110.7585259895686</c:v>
                </c:pt>
                <c:pt idx="7">
                  <c:v>4573.2188601633952</c:v>
                </c:pt>
                <c:pt idx="8">
                  <c:v>5087.7059819317774</c:v>
                </c:pt>
                <c:pt idx="9">
                  <c:v>5660.0729048991016</c:v>
                </c:pt>
                <c:pt idx="10">
                  <c:v>6296.8311067002505</c:v>
                </c:pt>
                <c:pt idx="11">
                  <c:v>7005.2246062040294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4A-4169-958C-993D6B67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862520"/>
        <c:axId val="530867920"/>
      </c:barChart>
      <c:catAx>
        <c:axId val="53086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7920"/>
        <c:crosses val="autoZero"/>
        <c:auto val="1"/>
        <c:lblAlgn val="ctr"/>
        <c:lblOffset val="100"/>
        <c:noMultiLvlLbl val="0"/>
      </c:catAx>
      <c:valAx>
        <c:axId val="5308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Ponderea dobanzii/rambursului in rata fixa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Evolutia unui imprumut cu rate fixe[in lei]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'Aplicatia 6-Rate fixe'!$B$12</c:f>
              <c:strCache>
                <c:ptCount val="1"/>
                <c:pt idx="0">
                  <c:v>Dobanda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'Aplicatia 6-Rate fixe'!$B$13:$B$24</c:f>
              <c:numCache>
                <c:formatCode>#,##0\ "lei"</c:formatCode>
                <c:ptCount val="12"/>
                <c:pt idx="0" formatCode="&quot;lei&quot;#,##0_);[Red]\(&quot;lei&quot;#,##0\)">
                  <c:v>5625</c:v>
                </c:pt>
                <c:pt idx="1">
                  <c:v>5381.0648578797773</c:v>
                </c:pt>
                <c:pt idx="2">
                  <c:v>5109.6870122710288</c:v>
                </c:pt>
                <c:pt idx="3">
                  <c:v>4807.7791590312963</c:v>
                </c:pt>
                <c:pt idx="4">
                  <c:v>4471.9066723020933</c:v>
                </c:pt>
                <c:pt idx="5">
                  <c:v>4098.2485308158557</c:v>
                </c:pt>
                <c:pt idx="6">
                  <c:v>3682.5538484124163</c:v>
                </c:pt>
                <c:pt idx="7">
                  <c:v>3220.0935142385897</c:v>
                </c:pt>
                <c:pt idx="8">
                  <c:v>2705.6063924702075</c:v>
                </c:pt>
                <c:pt idx="9">
                  <c:v>2133.2394695028829</c:v>
                </c:pt>
                <c:pt idx="10">
                  <c:v>1496.4812677017339</c:v>
                </c:pt>
                <c:pt idx="11">
                  <c:v>788.08776819795571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7-4ED9-9DEC-B55FDDC04215}"/>
            </c:ext>
          </c:extLst>
        </c:ser>
        <c:ser>
          <c:idx val="1"/>
          <c:order val="1"/>
          <c:tx>
            <c:strRef>
              <c:f>'Aplicatia 6-Rate fixe'!$C$12</c:f>
              <c:strCache>
                <c:ptCount val="1"/>
                <c:pt idx="0">
                  <c:v>Ramburs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'Aplicatia 6-Rate fixe'!$C$13:$C$24</c:f>
              <c:numCache>
                <c:formatCode>#,##0\ "lei"</c:formatCode>
                <c:ptCount val="12"/>
                <c:pt idx="0" formatCode="&quot;lei&quot;#,##0_);[Red]\(&quot;lei&quot;#,##0\)">
                  <c:v>2168.3123744019849</c:v>
                </c:pt>
                <c:pt idx="1">
                  <c:v>2412.2475165222077</c:v>
                </c:pt>
                <c:pt idx="2">
                  <c:v>2683.6253621309561</c:v>
                </c:pt>
                <c:pt idx="3">
                  <c:v>2985.5332153706886</c:v>
                </c:pt>
                <c:pt idx="4">
                  <c:v>3321.4057020998916</c:v>
                </c:pt>
                <c:pt idx="5">
                  <c:v>3695.0638435861292</c:v>
                </c:pt>
                <c:pt idx="6">
                  <c:v>4110.7585259895686</c:v>
                </c:pt>
                <c:pt idx="7">
                  <c:v>4573.2188601633952</c:v>
                </c:pt>
                <c:pt idx="8">
                  <c:v>5087.7059819317774</c:v>
                </c:pt>
                <c:pt idx="9">
                  <c:v>5660.0729048991016</c:v>
                </c:pt>
                <c:pt idx="10">
                  <c:v>6296.8311067002505</c:v>
                </c:pt>
                <c:pt idx="11">
                  <c:v>7005.2246062040294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7-4ED9-9DEC-B55FDDC04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899464"/>
        <c:axId val="537902344"/>
      </c:barChart>
      <c:catAx>
        <c:axId val="53789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02344"/>
        <c:crosses val="autoZero"/>
        <c:auto val="1"/>
        <c:lblAlgn val="ctr"/>
        <c:lblOffset val="100"/>
        <c:noMultiLvlLbl val="0"/>
      </c:catAx>
      <c:valAx>
        <c:axId val="5379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Ponderea dobanzii/ rambursului in rata fixa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lei&quot;#,##0_);[Red]\(&quot;lei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Evolutia unui imprumut cu ramburs fix </a:t>
            </a:r>
            <a:r>
              <a:rPr lang="en-US"/>
              <a:t>[in</a:t>
            </a:r>
            <a:r>
              <a:rPr lang="en-US" baseline="0"/>
              <a:t> %]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'Aplicatia 6-Ramburs fix'!$B$12</c:f>
              <c:strCache>
                <c:ptCount val="1"/>
                <c:pt idx="0">
                  <c:v>Dobanda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'Aplicatia 6-Ramburs fix'!$B$13:$B$24</c:f>
              <c:numCache>
                <c:formatCode>#,##0\ "lei"</c:formatCode>
                <c:ptCount val="12"/>
                <c:pt idx="0" formatCode="&quot;lei&quot;#,##0_);[Red]\(&quot;lei&quot;#,##0\)">
                  <c:v>5625</c:v>
                </c:pt>
                <c:pt idx="1">
                  <c:v>5156.25</c:v>
                </c:pt>
                <c:pt idx="2">
                  <c:v>4687.5000000000009</c:v>
                </c:pt>
                <c:pt idx="3">
                  <c:v>4218.7500000000009</c:v>
                </c:pt>
                <c:pt idx="4">
                  <c:v>3750.0000000000014</c:v>
                </c:pt>
                <c:pt idx="5">
                  <c:v>3281.2500000000009</c:v>
                </c:pt>
                <c:pt idx="6">
                  <c:v>2812.5000000000009</c:v>
                </c:pt>
                <c:pt idx="7">
                  <c:v>2343.7500000000009</c:v>
                </c:pt>
                <c:pt idx="8">
                  <c:v>1875.0000000000007</c:v>
                </c:pt>
                <c:pt idx="9">
                  <c:v>1406.2500000000005</c:v>
                </c:pt>
                <c:pt idx="10">
                  <c:v>937.50000000000034</c:v>
                </c:pt>
                <c:pt idx="11">
                  <c:v>468.75000000000023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B-4DA2-933F-576F76F01F80}"/>
            </c:ext>
          </c:extLst>
        </c:ser>
        <c:ser>
          <c:idx val="1"/>
          <c:order val="1"/>
          <c:tx>
            <c:strRef>
              <c:f>'Aplicatia 6-Ramburs fix'!$C$12</c:f>
              <c:strCache>
                <c:ptCount val="1"/>
                <c:pt idx="0">
                  <c:v>Ramburs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'Aplicatia 6-Ramburs fix'!$C$13:$C$24</c:f>
              <c:numCache>
                <c:formatCode>#,##0\ "lei"</c:formatCode>
                <c:ptCount val="12"/>
                <c:pt idx="0" formatCode="&quot;lei&quot;#,##0_);[Red]\(&quot;lei&quot;#,##0\)">
                  <c:v>4166.666666666667</c:v>
                </c:pt>
                <c:pt idx="1">
                  <c:v>4166.666666666667</c:v>
                </c:pt>
                <c:pt idx="2">
                  <c:v>4166.666666666667</c:v>
                </c:pt>
                <c:pt idx="3">
                  <c:v>4166.666666666667</c:v>
                </c:pt>
                <c:pt idx="4">
                  <c:v>4166.666666666667</c:v>
                </c:pt>
                <c:pt idx="5">
                  <c:v>4166.666666666667</c:v>
                </c:pt>
                <c:pt idx="6">
                  <c:v>4166.666666666667</c:v>
                </c:pt>
                <c:pt idx="7">
                  <c:v>4166.666666666667</c:v>
                </c:pt>
                <c:pt idx="8">
                  <c:v>4166.666666666667</c:v>
                </c:pt>
                <c:pt idx="9">
                  <c:v>4166.666666666667</c:v>
                </c:pt>
                <c:pt idx="10">
                  <c:v>4166.666666666667</c:v>
                </c:pt>
                <c:pt idx="11">
                  <c:v>4166.666666666667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B-4DA2-933F-576F76F0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270400"/>
        <c:axId val="420270760"/>
      </c:barChart>
      <c:catAx>
        <c:axId val="4202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760"/>
        <c:crosses val="autoZero"/>
        <c:auto val="1"/>
        <c:lblAlgn val="ctr"/>
        <c:lblOffset val="100"/>
        <c:noMultiLvlLbl val="0"/>
      </c:catAx>
      <c:valAx>
        <c:axId val="4202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Ratele de plata (ramburs + dobanda)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Evolutia unui imprumut cu ramburs fix [ in lei]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'Aplicatia 6-Ramburs fix'!$B$12</c:f>
              <c:strCache>
                <c:ptCount val="1"/>
                <c:pt idx="0">
                  <c:v>Dobanda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'Aplicatia 6-Ramburs fix'!$B$13:$B$24</c:f>
              <c:numCache>
                <c:formatCode>#,##0\ "lei"</c:formatCode>
                <c:ptCount val="12"/>
                <c:pt idx="0" formatCode="&quot;lei&quot;#,##0_);[Red]\(&quot;lei&quot;#,##0\)">
                  <c:v>5625</c:v>
                </c:pt>
                <c:pt idx="1">
                  <c:v>5156.25</c:v>
                </c:pt>
                <c:pt idx="2">
                  <c:v>4687.5000000000009</c:v>
                </c:pt>
                <c:pt idx="3">
                  <c:v>4218.7500000000009</c:v>
                </c:pt>
                <c:pt idx="4">
                  <c:v>3750.0000000000014</c:v>
                </c:pt>
                <c:pt idx="5">
                  <c:v>3281.2500000000009</c:v>
                </c:pt>
                <c:pt idx="6">
                  <c:v>2812.5000000000009</c:v>
                </c:pt>
                <c:pt idx="7">
                  <c:v>2343.7500000000009</c:v>
                </c:pt>
                <c:pt idx="8">
                  <c:v>1875.0000000000007</c:v>
                </c:pt>
                <c:pt idx="9">
                  <c:v>1406.2500000000005</c:v>
                </c:pt>
                <c:pt idx="10">
                  <c:v>937.50000000000034</c:v>
                </c:pt>
                <c:pt idx="11">
                  <c:v>468.75000000000023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5-4632-A197-266C9D66B51A}"/>
            </c:ext>
          </c:extLst>
        </c:ser>
        <c:ser>
          <c:idx val="1"/>
          <c:order val="1"/>
          <c:tx>
            <c:strRef>
              <c:f>'Aplicatia 6-Ramburs fix'!$C$12</c:f>
              <c:strCache>
                <c:ptCount val="1"/>
                <c:pt idx="0">
                  <c:v>Ramburs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'Aplicatia 6-Ramburs fix'!$C$13:$C$24</c:f>
              <c:numCache>
                <c:formatCode>#,##0\ "lei"</c:formatCode>
                <c:ptCount val="12"/>
                <c:pt idx="0" formatCode="&quot;lei&quot;#,##0_);[Red]\(&quot;lei&quot;#,##0\)">
                  <c:v>4166.666666666667</c:v>
                </c:pt>
                <c:pt idx="1">
                  <c:v>4166.666666666667</c:v>
                </c:pt>
                <c:pt idx="2">
                  <c:v>4166.666666666667</c:v>
                </c:pt>
                <c:pt idx="3">
                  <c:v>4166.666666666667</c:v>
                </c:pt>
                <c:pt idx="4">
                  <c:v>4166.666666666667</c:v>
                </c:pt>
                <c:pt idx="5">
                  <c:v>4166.666666666667</c:v>
                </c:pt>
                <c:pt idx="6">
                  <c:v>4166.666666666667</c:v>
                </c:pt>
                <c:pt idx="7">
                  <c:v>4166.666666666667</c:v>
                </c:pt>
                <c:pt idx="8">
                  <c:v>4166.666666666667</c:v>
                </c:pt>
                <c:pt idx="9">
                  <c:v>4166.666666666667</c:v>
                </c:pt>
                <c:pt idx="10">
                  <c:v>4166.666666666667</c:v>
                </c:pt>
                <c:pt idx="11">
                  <c:v>4166.666666666667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5-4632-A197-266C9D66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435768"/>
        <c:axId val="539426768"/>
      </c:barChart>
      <c:catAx>
        <c:axId val="53943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26768"/>
        <c:crosses val="autoZero"/>
        <c:auto val="1"/>
        <c:lblAlgn val="ctr"/>
        <c:lblOffset val="100"/>
        <c:noMultiLvlLbl val="0"/>
      </c:catAx>
      <c:valAx>
        <c:axId val="5394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de plata (ramburs + dobanda)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lei&quot;#,##0_);[Red]\(&quot;lei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Variatia</a:t>
            </a:r>
            <a:r>
              <a:rPr lang="en-US" baseline="0"/>
              <a:t> profirului pentru microintreprinderi si intreprinderi mici(perioada 2006-2007)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'Aplicatia 10'!$J$3</c:f>
              <c:strCache>
                <c:ptCount val="1"/>
                <c:pt idx="0">
                  <c:v>Profit 2006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'Aplicatia 10'!$D$4:$D$13</c:f>
              <c:strCache>
                <c:ptCount val="10"/>
                <c:pt idx="0">
                  <c:v>Alfa</c:v>
                </c:pt>
                <c:pt idx="1">
                  <c:v>Beta</c:v>
                </c:pt>
                <c:pt idx="2">
                  <c:v>Omega</c:v>
                </c:pt>
                <c:pt idx="3">
                  <c:v>Crinul</c:v>
                </c:pt>
                <c:pt idx="4">
                  <c:v>Trandafirul</c:v>
                </c:pt>
                <c:pt idx="5">
                  <c:v>Ionas&amp;Fii</c:v>
                </c:pt>
                <c:pt idx="6">
                  <c:v>BitComet</c:v>
                </c:pt>
                <c:pt idx="7">
                  <c:v>MixedBites</c:v>
                </c:pt>
                <c:pt idx="8">
                  <c:v>Popescu</c:v>
                </c:pt>
                <c:pt idx="9">
                  <c:v>TouchMints</c:v>
                </c:pt>
              </c:strCache>
            </c:strRef>
          </c:cat>
          <c:val>
            <c:numRef>
              <c:f>'Aplicatia 10'!$J$4:$J$13</c:f>
              <c:numCache>
                <c:formatCode>#,##0\ "lei"</c:formatCode>
                <c:ptCount val="10"/>
                <c:pt idx="0">
                  <c:v>25000</c:v>
                </c:pt>
                <c:pt idx="1">
                  <c:v>30000</c:v>
                </c:pt>
                <c:pt idx="2">
                  <c:v>15000</c:v>
                </c:pt>
                <c:pt idx="3">
                  <c:v>17000</c:v>
                </c:pt>
                <c:pt idx="4">
                  <c:v>9000</c:v>
                </c:pt>
                <c:pt idx="5">
                  <c:v>2000</c:v>
                </c:pt>
                <c:pt idx="6">
                  <c:v>19500</c:v>
                </c:pt>
                <c:pt idx="7">
                  <c:v>45000</c:v>
                </c:pt>
                <c:pt idx="8">
                  <c:v>2500</c:v>
                </c:pt>
                <c:pt idx="9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5-4F19-BABF-CD08DA342F05}"/>
            </c:ext>
          </c:extLst>
        </c:ser>
        <c:ser>
          <c:idx val="1"/>
          <c:order val="1"/>
          <c:tx>
            <c:strRef>
              <c:f>'Aplicatia 10'!$K$3</c:f>
              <c:strCache>
                <c:ptCount val="1"/>
                <c:pt idx="0">
                  <c:v>Profit 2007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'Aplicatia 10'!$D$4:$D$13</c:f>
              <c:strCache>
                <c:ptCount val="10"/>
                <c:pt idx="0">
                  <c:v>Alfa</c:v>
                </c:pt>
                <c:pt idx="1">
                  <c:v>Beta</c:v>
                </c:pt>
                <c:pt idx="2">
                  <c:v>Omega</c:v>
                </c:pt>
                <c:pt idx="3">
                  <c:v>Crinul</c:v>
                </c:pt>
                <c:pt idx="4">
                  <c:v>Trandafirul</c:v>
                </c:pt>
                <c:pt idx="5">
                  <c:v>Ionas&amp;Fii</c:v>
                </c:pt>
                <c:pt idx="6">
                  <c:v>BitComet</c:v>
                </c:pt>
                <c:pt idx="7">
                  <c:v>MixedBites</c:v>
                </c:pt>
                <c:pt idx="8">
                  <c:v>Popescu</c:v>
                </c:pt>
                <c:pt idx="9">
                  <c:v>TouchMints</c:v>
                </c:pt>
              </c:strCache>
            </c:strRef>
          </c:cat>
          <c:val>
            <c:numRef>
              <c:f>'Aplicatia 10'!$K$4:$K$13</c:f>
              <c:numCache>
                <c:formatCode>#,##0\ "lei"</c:formatCode>
                <c:ptCount val="10"/>
                <c:pt idx="0">
                  <c:v>28000</c:v>
                </c:pt>
                <c:pt idx="1">
                  <c:v>28500</c:v>
                </c:pt>
                <c:pt idx="2">
                  <c:v>16700</c:v>
                </c:pt>
                <c:pt idx="3">
                  <c:v>15000</c:v>
                </c:pt>
                <c:pt idx="4">
                  <c:v>10000</c:v>
                </c:pt>
                <c:pt idx="5">
                  <c:v>3000</c:v>
                </c:pt>
                <c:pt idx="6">
                  <c:v>18000</c:v>
                </c:pt>
                <c:pt idx="7">
                  <c:v>50000</c:v>
                </c:pt>
                <c:pt idx="8">
                  <c:v>3000</c:v>
                </c:pt>
                <c:pt idx="9">
                  <c:v>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5-4F19-BABF-CD08DA342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0952"/>
        <c:axId val="676462032"/>
      </c:lineChart>
      <c:catAx>
        <c:axId val="67646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Denumirea intrerpinderii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2032"/>
        <c:crosses val="autoZero"/>
        <c:auto val="1"/>
        <c:lblAlgn val="ctr"/>
        <c:lblOffset val="100"/>
        <c:noMultiLvlLbl val="0"/>
      </c:catAx>
      <c:valAx>
        <c:axId val="6764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Valoarea profitului inregistrat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le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4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5545543548368"/>
          <c:y val="0.17634259259259263"/>
          <c:w val="0.7426447175756713"/>
          <c:h val="0.487737678623505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'Aplicatia 10'!$I$3</c:f>
              <c:strCache>
                <c:ptCount val="1"/>
                <c:pt idx="0">
                  <c:v>Numar de angajati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'Aplicatia 10'!$D$4:$D$13</c:f>
              <c:strCache>
                <c:ptCount val="10"/>
                <c:pt idx="0">
                  <c:v>Alfa</c:v>
                </c:pt>
                <c:pt idx="1">
                  <c:v>Beta</c:v>
                </c:pt>
                <c:pt idx="2">
                  <c:v>Omega</c:v>
                </c:pt>
                <c:pt idx="3">
                  <c:v>Crinul</c:v>
                </c:pt>
                <c:pt idx="4">
                  <c:v>Trandafirul</c:v>
                </c:pt>
                <c:pt idx="5">
                  <c:v>Ionas&amp;Fii</c:v>
                </c:pt>
                <c:pt idx="6">
                  <c:v>BitComet</c:v>
                </c:pt>
                <c:pt idx="7">
                  <c:v>MixedBites</c:v>
                </c:pt>
                <c:pt idx="8">
                  <c:v>Popescu</c:v>
                </c:pt>
                <c:pt idx="9">
                  <c:v>TouchMints</c:v>
                </c:pt>
              </c:strCache>
            </c:strRef>
          </c:cat>
          <c:val>
            <c:numRef>
              <c:f>'Aplicatia 10'!$I$4:$I$13</c:f>
              <c:numCache>
                <c:formatCode>General</c:formatCode>
                <c:ptCount val="10"/>
                <c:pt idx="0">
                  <c:v>45</c:v>
                </c:pt>
                <c:pt idx="1">
                  <c:v>38</c:v>
                </c:pt>
                <c:pt idx="2">
                  <c:v>25</c:v>
                </c:pt>
                <c:pt idx="3">
                  <c:v>10</c:v>
                </c:pt>
                <c:pt idx="4">
                  <c:v>9</c:v>
                </c:pt>
                <c:pt idx="5">
                  <c:v>5</c:v>
                </c:pt>
                <c:pt idx="6">
                  <c:v>18</c:v>
                </c:pt>
                <c:pt idx="7">
                  <c:v>42</c:v>
                </c:pt>
                <c:pt idx="8">
                  <c:v>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4671-A95B-D1695CE4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2824568"/>
        <c:axId val="752825288"/>
      </c:barChart>
      <c:lineChart>
        <c:grouping val="standard"/>
        <c:varyColors val="0"/>
        <c:ser>
          <c:idx val="1"/>
          <c:order val="1"/>
          <c:tx>
            <c:strRef>
              <c:f>'Aplicatia 10'!$J$3</c:f>
              <c:strCache>
                <c:ptCount val="1"/>
                <c:pt idx="0">
                  <c:v>Profit 2006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'Aplicatia 10'!$D$4:$D$13</c:f>
              <c:strCache>
                <c:ptCount val="10"/>
                <c:pt idx="0">
                  <c:v>Alfa</c:v>
                </c:pt>
                <c:pt idx="1">
                  <c:v>Beta</c:v>
                </c:pt>
                <c:pt idx="2">
                  <c:v>Omega</c:v>
                </c:pt>
                <c:pt idx="3">
                  <c:v>Crinul</c:v>
                </c:pt>
                <c:pt idx="4">
                  <c:v>Trandafirul</c:v>
                </c:pt>
                <c:pt idx="5">
                  <c:v>Ionas&amp;Fii</c:v>
                </c:pt>
                <c:pt idx="6">
                  <c:v>BitComet</c:v>
                </c:pt>
                <c:pt idx="7">
                  <c:v>MixedBites</c:v>
                </c:pt>
                <c:pt idx="8">
                  <c:v>Popescu</c:v>
                </c:pt>
                <c:pt idx="9">
                  <c:v>TouchMints</c:v>
                </c:pt>
              </c:strCache>
            </c:strRef>
          </c:cat>
          <c:val>
            <c:numRef>
              <c:f>'Aplicatia 10'!$J$4:$J$13</c:f>
              <c:numCache>
                <c:formatCode>#,##0\ "lei"</c:formatCode>
                <c:ptCount val="10"/>
                <c:pt idx="0">
                  <c:v>25000</c:v>
                </c:pt>
                <c:pt idx="1">
                  <c:v>30000</c:v>
                </c:pt>
                <c:pt idx="2">
                  <c:v>15000</c:v>
                </c:pt>
                <c:pt idx="3">
                  <c:v>17000</c:v>
                </c:pt>
                <c:pt idx="4">
                  <c:v>9000</c:v>
                </c:pt>
                <c:pt idx="5">
                  <c:v>2000</c:v>
                </c:pt>
                <c:pt idx="6">
                  <c:v>19500</c:v>
                </c:pt>
                <c:pt idx="7">
                  <c:v>45000</c:v>
                </c:pt>
                <c:pt idx="8">
                  <c:v>2500</c:v>
                </c:pt>
                <c:pt idx="9">
                  <c:v>23400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2-4671-A95B-D1695CE4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35408"/>
        <c:axId val="554038384"/>
      </c:lineChart>
      <c:catAx>
        <c:axId val="5394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8384"/>
        <c:crosses val="autoZero"/>
        <c:auto val="1"/>
        <c:lblAlgn val="ctr"/>
        <c:lblOffset val="100"/>
        <c:noMultiLvlLbl val="0"/>
      </c:catAx>
      <c:valAx>
        <c:axId val="5540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&quot;lei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35408"/>
        <c:crosses val="autoZero"/>
        <c:crossBetween val="between"/>
      </c:valAx>
      <c:valAx>
        <c:axId val="752825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Nr. De angajati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24568"/>
        <c:crosses val="max"/>
        <c:crossBetween val="between"/>
      </c:valAx>
      <c:catAx>
        <c:axId val="75282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2825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4246510079129"/>
          <c:y val="2.407911601204335E-2"/>
          <c:w val="0.43227975724247319"/>
          <c:h val="6.7722987782218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840405-5BF5-4E67-A6F5-A622EF8FF5D3}">
  <sheetPr/>
  <sheetViews>
    <sheetView zoomScale="5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6F0092-E67E-4C51-827D-2D7440D67959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9CCC4A-C6B8-4B69-AE65-4A7EA4676249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210624-69D7-44E3-A906-90859D6837A7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7F906E-2ED7-4A15-8DE3-EE5FB592DCD2}">
  <sheetPr/>
  <sheetViews>
    <sheetView zoomScale="59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F3F18D-395E-4141-98D2-ED09EE1FA30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23479</xdr:colOff>
      <xdr:row>2</xdr:row>
      <xdr:rowOff>7475</xdr:rowOff>
    </xdr:from>
    <xdr:to>
      <xdr:col>14</xdr:col>
      <xdr:colOff>326571</xdr:colOff>
      <xdr:row>16</xdr:row>
      <xdr:rowOff>159875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C1204-D1EF-F254-F14B-0AA4A6CF8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22413</xdr:colOff>
      <xdr:row>18</xdr:row>
      <xdr:rowOff>17929</xdr:rowOff>
    </xdr:from>
    <xdr:to>
      <xdr:col>14</xdr:col>
      <xdr:colOff>306295</xdr:colOff>
      <xdr:row>32</xdr:row>
      <xdr:rowOff>146423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909C0-CDA1-F00E-87B5-0E1A3EAD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9</xdr:row>
      <xdr:rowOff>73024</xdr:rowOff>
    </xdr:from>
    <xdr:to>
      <xdr:col>7</xdr:col>
      <xdr:colOff>114300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5C13A-6C26-EE40-46B6-96688D1E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607391</xdr:colOff>
      <xdr:row>29</xdr:row>
      <xdr:rowOff>44726</xdr:rowOff>
    </xdr:from>
    <xdr:to>
      <xdr:col>10</xdr:col>
      <xdr:colOff>11044</xdr:colOff>
      <xdr:row>39</xdr:row>
      <xdr:rowOff>55218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CCEC1-EC16-01E7-AF52-D16CA5A21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636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AF5BD-35FC-18DD-F6C8-F43FB81B6B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D0C64-5D5E-879C-0708-66E941C686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0CE93-3E72-97E3-32C3-F6146897BC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CF05C-7218-964D-E9EB-BEC4D02480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991A8-28B2-99E9-1AC9-569196604E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730BD-A3B7-9654-14A3-680077F6D4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12</xdr:row>
      <xdr:rowOff>53975</xdr:rowOff>
    </xdr:from>
    <xdr:to>
      <xdr:col>4</xdr:col>
      <xdr:colOff>806450</xdr:colOff>
      <xdr:row>27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039021-4F7F-9667-DFD6-D7FC020D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771071</xdr:colOff>
      <xdr:row>30</xdr:row>
      <xdr:rowOff>43543</xdr:rowOff>
    </xdr:from>
    <xdr:to>
      <xdr:col>4</xdr:col>
      <xdr:colOff>816428</xdr:colOff>
      <xdr:row>45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608034-E26A-5008-D65E-B4EEB0079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7AF600C6-CC93-4BFE-9242-77D04506C395}" autoFormatId="16" applyNumberFormats="0" applyBorderFormats="0" applyFontFormats="0" applyPatternFormats="0" applyAlignmentFormats="0" applyWidthHeightFormats="0">
  <queryTableRefresh nextId="8">
    <queryTableFields count="6">
      <queryTableField id="2" name="Categorie" tableColumnId="2"/>
      <queryTableField id="3" name="Nume" tableColumnId="3"/>
      <queryTableField id="4" name="Grosime" tableColumnId="4"/>
      <queryTableField id="5" name="Elastan" tableColumnId="5"/>
      <queryTableField id="6" name="Poliamida" tableColumnId="6"/>
      <queryTableField id="7" name="Ambalaj" tableColumnId="7"/>
    </queryTableFields>
    <queryTableDeletedFields count="1">
      <deletedField name="Produs"/>
    </queryTableDeleted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79FC7-F617-4F97-8E76-E68E3CBFBEC2}" name="Table1" displayName="Table1" ref="A3:F11" totalsRowShown="0">
  <autoFilter ref="A3:F11" xr:uid="{E9E79FC7-F617-4F97-8E76-E68E3CBFBEC2}"/>
  <tableColumns count="6">
    <tableColumn id="1" xr3:uid="{3F7ED485-9FFC-4879-B015-088C5EA651FF}" name="ZIUA"/>
    <tableColumn id="2" xr3:uid="{F0323C16-D751-4524-9C37-8A72F24F0A81}" name="MAG.1"/>
    <tableColumn id="3" xr3:uid="{A73CE35E-E674-442E-A704-21F58B2FDD26}" name="MAG.2"/>
    <tableColumn id="4" xr3:uid="{D0CC2A02-E054-4716-91EE-FD7EBE1AF8E8}" name="MAG.3"/>
    <tableColumn id="5" xr3:uid="{A0F65D55-0208-4CEB-BB24-44CA4CFC3A19}" name="TOTAL"/>
    <tableColumn id="6" xr3:uid="{C9BD4FAC-2FE4-43B0-A414-71BDEECC49E0}" name="MEDIA ZILEI" dataDxfId="40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6FF087-4101-4DAE-84D1-9A35AE64BBE7}" name="Table10" displayName="Table10" ref="B3:K13" totalsRowShown="0" headerRowDxfId="4">
  <autoFilter ref="B3:K13" xr:uid="{D86FF087-4101-4DAE-84D1-9A35AE64BBE7}"/>
  <tableColumns count="10">
    <tableColumn id="1" xr3:uid="{C8658E9B-5C42-429D-86AE-B7C422D62B7E}" name="Nr._x000a_Crt."/>
    <tableColumn id="2" xr3:uid="{19A60A4B-04EA-4EB4-838B-B4D64D5B4FE0}" name="CUI"/>
    <tableColumn id="3" xr3:uid="{5FE78549-1080-443F-B760-3ABF62B7CB52}" name="Denumire"/>
    <tableColumn id="4" xr3:uid="{941D5A81-7995-4A3D-93E6-7880AD78A300}" name="Tip societate"/>
    <tableColumn id="5" xr3:uid="{7CA95E2F-FB29-45C8-B9EE-2E5959FAE9EF}" name="Adresa"/>
    <tableColumn id="6" xr3:uid="{A5CEB83B-5FBB-4967-8080-8C512CF6DBCB}" name="Localitate"/>
    <tableColumn id="7" xr3:uid="{6C2D5214-3269-44E5-B9EB-8CFE3196CDF8}" name="Judet"/>
    <tableColumn id="8" xr3:uid="{B7039634-12F3-437A-8398-429404FA65FA}" name="Numar de angajati"/>
    <tableColumn id="9" xr3:uid="{84BD5D99-147E-4FF6-94CC-8835245AF904}" name="Profit 2006" dataDxfId="3"/>
    <tableColumn id="10" xr3:uid="{82A17D86-4F86-4FF4-958B-9943CC31B56B}" name="Profit 2007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F030D-5167-4EA9-911A-67A72DC6302F}" name="Table2" displayName="Table2" ref="A3:F8" totalsRowShown="0">
  <autoFilter ref="A3:F8" xr:uid="{F48F030D-5167-4EA9-911A-67A72DC6302F}"/>
  <tableColumns count="6">
    <tableColumn id="1" xr3:uid="{89D6EFDA-A991-44BE-9A48-AB9E55952BB5}" name="Nr. Crt."/>
    <tableColumn id="2" xr3:uid="{FCB82878-80A5-4DBC-9F41-1375821FAFB4}" name="Denumire produs"/>
    <tableColumn id="3" xr3:uid="{EB714E2E-D284-46C4-9370-8E9F2B7C5444}" name="UM"/>
    <tableColumn id="4" xr3:uid="{C8B13F9B-127B-417E-85EB-219B240AF582}" name="Cantitate "/>
    <tableColumn id="5" xr3:uid="{395DFD4B-40E7-4C30-B22E-ADC4FE9AEB1C}" name="Pret" dataDxfId="39"/>
    <tableColumn id="6" xr3:uid="{E8DA0FFA-DE66-4C12-94D6-22BD77CB7E72}" name="Valoare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A4BA36-732F-4377-8A7E-33C1C36130BB}" name="Table3" displayName="Table3" ref="B30:C33" totalsRowShown="0">
  <autoFilter ref="B30:C33" xr:uid="{73A4BA36-732F-4377-8A7E-33C1C36130BB}"/>
  <tableColumns count="2">
    <tableColumn id="1" xr3:uid="{6FD64A53-391D-43FB-9715-04ECED2C31B3}" name="Denumire produs:"/>
    <tableColumn id="2" xr3:uid="{70AC82A8-1267-49F1-AB0C-F606C0F0F046}" name="Scann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D91252-282C-4129-82E1-302D3F383C8F}" name="Table5" displayName="Table5" ref="A2:I8" totalsRowShown="0">
  <autoFilter ref="A2:I8" xr:uid="{39D91252-282C-4129-82E1-302D3F383C8F}"/>
  <tableColumns count="9">
    <tableColumn id="1" xr3:uid="{44A877A8-A219-4BDA-9D99-94D99A203D7E}" name="Marca"/>
    <tableColumn id="2" xr3:uid="{4E4DEE78-1B64-4328-9850-C2758F89A3E1}" name="Nume"/>
    <tableColumn id="3" xr3:uid="{AF52F7D9-4E4D-492E-BFCA-FD931A30C664}" name="Prenume"/>
    <tableColumn id="4" xr3:uid="{5C2BC85D-B160-4CE1-BFEF-FAAB3ACB7E94}" name="Data nasterii" dataDxfId="37"/>
    <tableColumn id="5" xr3:uid="{35B755CA-8881-4375-9CB6-445BCD437CA9}" name="Data angajarii" dataDxfId="36"/>
    <tableColumn id="6" xr3:uid="{0BC68FC4-337C-4903-8443-374A44440F26}" name="Varsta" dataDxfId="35">
      <calculatedColumnFormula>YEAR(NOW())-YEAR(D3)</calculatedColumnFormula>
    </tableColumn>
    <tableColumn id="7" xr3:uid="{7904D7CE-521A-4B9F-A612-E6B6E57994E3}" name="Vechime" dataDxfId="34">
      <calculatedColumnFormula>YEAR(NOW())-YEAR(E3)</calculatedColumnFormula>
    </tableColumn>
    <tableColumn id="8" xr3:uid="{436F8D0C-699D-463A-BA3A-57CD44F84566}" name="Functie "/>
    <tableColumn id="9" xr3:uid="{49DB130F-7151-4ADB-BBCB-D7B4242A49FE}" name="Salariu" dataDxfId="33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E2AFF8-E63C-4F7D-BCDB-24F08B54E0A7}" name="Table57" displayName="Table57" ref="A13:I19" totalsRowShown="0">
  <autoFilter ref="A13:I19" xr:uid="{E0E2AFF8-E63C-4F7D-BCDB-24F08B54E0A7}"/>
  <sortState xmlns:xlrd2="http://schemas.microsoft.com/office/spreadsheetml/2017/richdata2" ref="A14:I19">
    <sortCondition descending="1" ref="G14:G19"/>
  </sortState>
  <tableColumns count="9">
    <tableColumn id="1" xr3:uid="{0137A3D6-6571-45BE-958C-FBD6C6087757}" name="Marca"/>
    <tableColumn id="2" xr3:uid="{C3E409F8-B10D-4A0E-99EA-99D781710646}" name="Nume"/>
    <tableColumn id="3" xr3:uid="{17290811-016B-4DFF-9161-5D7367491483}" name="Prenume"/>
    <tableColumn id="4" xr3:uid="{9DED1074-521C-467A-A119-72FD42565CFF}" name="Data nasterii" dataDxfId="32"/>
    <tableColumn id="5" xr3:uid="{D27D8E1C-ABDF-4B10-91C2-6341479827CC}" name="Data angajarii" dataDxfId="31"/>
    <tableColumn id="6" xr3:uid="{DA067DBB-EB4C-443D-8356-43D9C3441B32}" name="Varsta" dataDxfId="30">
      <calculatedColumnFormula>YEAR(NOW())-YEAR(D14)</calculatedColumnFormula>
    </tableColumn>
    <tableColumn id="7" xr3:uid="{E0EAF3E8-C107-4BDF-BB4F-78C7862B6FC9}" name="Vechime" dataDxfId="29">
      <calculatedColumnFormula>YEAR(NOW())-YEAR(E14)</calculatedColumnFormula>
    </tableColumn>
    <tableColumn id="8" xr3:uid="{F0F6A76E-3CDF-4752-8E69-D87B8B91964D}" name="Functie "/>
    <tableColumn id="9" xr3:uid="{6F5D0539-A3DD-4606-82DB-6E7DBFF6A11E}" name="Salariu" dataDxfId="28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E24400-EACC-43E5-8801-0A52A0FF0D65}" name="Table578" displayName="Table578" ref="A24:I30" totalsRowShown="0">
  <autoFilter ref="A24:I30" xr:uid="{7FE24400-EACC-43E5-8801-0A52A0FF0D65}"/>
  <sortState xmlns:xlrd2="http://schemas.microsoft.com/office/spreadsheetml/2017/richdata2" ref="A25:I30">
    <sortCondition ref="B25:B30"/>
    <sortCondition ref="C25:C30"/>
  </sortState>
  <tableColumns count="9">
    <tableColumn id="1" xr3:uid="{5F00CCAA-EEF7-4E85-82C0-1ACE3933BAB8}" name="Marca"/>
    <tableColumn id="2" xr3:uid="{35E16586-9011-4139-A52F-60CAFBAF4C01}" name="Nume"/>
    <tableColumn id="3" xr3:uid="{7E8087CA-DA2D-4641-837F-B68A61C59195}" name="Prenume"/>
    <tableColumn id="4" xr3:uid="{1194CB62-26A9-44AD-8997-189AEF435FC4}" name="Data nasterii" dataDxfId="27"/>
    <tableColumn id="5" xr3:uid="{EE7EB8A7-B1A1-4315-BFA2-9B1DB823CD45}" name="Data angajarii" dataDxfId="26"/>
    <tableColumn id="6" xr3:uid="{8C64DADC-17A9-41E7-B68D-469D1E5CF9A6}" name="Varsta" dataDxfId="25">
      <calculatedColumnFormula>YEAR(NOW())-YEAR(D25)</calculatedColumnFormula>
    </tableColumn>
    <tableColumn id="7" xr3:uid="{3771616F-EC68-471B-AA22-E0705189E3A2}" name="Vechime" dataDxfId="24">
      <calculatedColumnFormula>YEAR(NOW())-YEAR(E25)</calculatedColumnFormula>
    </tableColumn>
    <tableColumn id="8" xr3:uid="{53FA3D0E-E6ED-4D0D-97CD-3AA88782313E}" name="Functie "/>
    <tableColumn id="9" xr3:uid="{A54BA5F8-D1B0-4DB7-B546-B3835065ECBB}" name="Salariu" dataDxfId="2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A0C56A-BDDF-4A15-A985-E0582C3277E6}" name="Table8" displayName="Table8" ref="A34:I36" totalsRowShown="0">
  <autoFilter ref="A34:I36" xr:uid="{65A0C56A-BDDF-4A15-A985-E0582C3277E6}"/>
  <tableColumns count="9">
    <tableColumn id="1" xr3:uid="{65039442-E875-40C5-9843-975C2AD9F2E1}" name="Marca"/>
    <tableColumn id="2" xr3:uid="{17289A80-7A58-4789-843A-C0D6EEE7195A}" name="Nume"/>
    <tableColumn id="3" xr3:uid="{095BB584-4816-4111-BC95-3287F201CCC3}" name="Prenume"/>
    <tableColumn id="4" xr3:uid="{A3F3175A-9855-4832-B9E5-3B0BEB553915}" name="Data nasterii" dataDxfId="22"/>
    <tableColumn id="5" xr3:uid="{8588B0C7-3FF5-47BC-9E29-5E17EA900DF0}" name="Data angajarii" dataDxfId="21"/>
    <tableColumn id="6" xr3:uid="{99E1A64A-410B-423D-AD9F-8F1BE7174AF4}" name="Varsta" dataDxfId="20"/>
    <tableColumn id="7" xr3:uid="{BA36F290-4E88-40DA-80F4-C4CECDC8C6B3}" name="Vechime" dataDxfId="19"/>
    <tableColumn id="8" xr3:uid="{C8B0F001-8B98-41B3-B6D6-345915B9C8AC}" name="Functie "/>
    <tableColumn id="9" xr3:uid="{68D948E6-349A-4360-BFDE-A9384769FCF0}" name="Salariu" dataDxfId="18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9DCEF5-32EB-4FFD-8146-76AD4ED042C3}" name="Table9" displayName="Table9" ref="A40:I43" totalsRowShown="0">
  <autoFilter ref="A40:I43" xr:uid="{D99DCEF5-32EB-4FFD-8146-76AD4ED042C3}"/>
  <tableColumns count="9">
    <tableColumn id="1" xr3:uid="{E6EA9AEB-A274-4DD3-88FC-AACA7D616772}" name="Marca"/>
    <tableColumn id="2" xr3:uid="{FC0665D2-492D-4725-A4EE-A7C25CAEC72F}" name="Nume"/>
    <tableColumn id="3" xr3:uid="{ADFA0629-AA41-4FEE-A6CE-5B7B5235F875}" name="Prenume"/>
    <tableColumn id="4" xr3:uid="{587E7C42-7C4A-48BE-AEF7-9015875C5154}" name="Data nasterii" dataDxfId="17"/>
    <tableColumn id="5" xr3:uid="{CB5A576D-FEA8-4C04-8EC0-5BB093F127A6}" name="Data angajarii" dataDxfId="16"/>
    <tableColumn id="6" xr3:uid="{4FDF63A1-185F-4CBD-B435-A0C99B9A4DE5}" name="Varsta" dataDxfId="15"/>
    <tableColumn id="7" xr3:uid="{5924A1D5-A8A2-494A-A211-F1E30FE582A3}" name="Vechime" dataDxfId="14"/>
    <tableColumn id="8" xr3:uid="{AF2B6225-7A1C-49F0-9CF1-1413A5FD1F18}" name="Functie "/>
    <tableColumn id="9" xr3:uid="{EEC68524-B254-47B5-A063-0E7E16434F6D}" name="Salariu" dataDxfId="13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6D809E-EC33-49F5-8DE7-671C8A4521AF}" name="Table_Query_from_MS_Access_Database" displayName="Table_Query_from_MS_Access_Database" ref="A3:F17" tableType="queryTable" totalsRowShown="0" headerRowDxfId="12" dataDxfId="11">
  <autoFilter ref="A3:F17" xr:uid="{106D809E-EC33-49F5-8DE7-671C8A4521AF}"/>
  <tableColumns count="6">
    <tableColumn id="2" xr3:uid="{A7D4EA01-43D7-400D-8E2A-136C64F78167}" uniqueName="2" name="Categorie" queryTableFieldId="2" dataDxfId="10"/>
    <tableColumn id="3" xr3:uid="{4F537680-4365-4964-ADCC-68B7BC2EB92A}" uniqueName="3" name="Nume" queryTableFieldId="3" dataDxfId="9"/>
    <tableColumn id="4" xr3:uid="{3EFC59A7-7D91-4270-92B1-C3B3A42B19AB}" uniqueName="4" name="Grosime (DEN)" queryTableFieldId="4" dataDxfId="8"/>
    <tableColumn id="5" xr3:uid="{962B311E-23AA-4D32-9399-23D0F995E8FC}" uniqueName="5" name="Elastan" queryTableFieldId="5" dataDxfId="7"/>
    <tableColumn id="6" xr3:uid="{BFEA82A2-F012-49DD-9E72-D66E65A91C70}" uniqueName="6" name="Poliamida" queryTableFieldId="6" dataDxfId="6"/>
    <tableColumn id="7" xr3:uid="{A6C69E8B-7639-44C9-B0D2-4EDD214BA1BF}" uniqueName="7" name="Ambalaj" queryTableFieldId="7" dataDxfId="5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5A3FA-1656-4C63-A59C-79EB3DB07634}">
  <dimension ref="A1:F11"/>
  <sheetViews>
    <sheetView zoomScale="85" zoomScaleNormal="85" workbookViewId="0">
      <selection activeCell="G37" sqref="G37"/>
    </sheetView>
  </sheetViews>
  <sheetFormatPr defaultRowHeight="14.5" x14ac:dyDescent="0.35"/>
  <cols>
    <col min="1" max="1" width="11.36328125" bestFit="1" customWidth="1"/>
    <col min="2" max="4" width="9.6328125" bestFit="1" customWidth="1"/>
    <col min="5" max="5" width="9.08984375" bestFit="1" customWidth="1"/>
    <col min="6" max="6" width="13.81640625" bestFit="1" customWidth="1"/>
  </cols>
  <sheetData>
    <row r="1" spans="1:6" x14ac:dyDescent="0.35">
      <c r="A1" s="74" t="s">
        <v>0</v>
      </c>
      <c r="B1" s="74"/>
      <c r="C1" s="74"/>
      <c r="D1" s="74"/>
      <c r="E1" s="74"/>
      <c r="F1" s="74"/>
    </row>
    <row r="3" spans="1:6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5">
      <c r="A4" t="s">
        <v>7</v>
      </c>
      <c r="B4">
        <v>50</v>
      </c>
      <c r="C4">
        <v>100</v>
      </c>
      <c r="D4">
        <v>20</v>
      </c>
      <c r="E4">
        <f>SUM(B4:D4)</f>
        <v>170</v>
      </c>
      <c r="F4" s="1">
        <f>AVERAGE(B4:D4)</f>
        <v>56.666666666666664</v>
      </c>
    </row>
    <row r="5" spans="1:6" x14ac:dyDescent="0.35">
      <c r="A5" t="s">
        <v>8</v>
      </c>
      <c r="B5">
        <v>20</v>
      </c>
      <c r="C5">
        <v>90</v>
      </c>
      <c r="D5">
        <v>100</v>
      </c>
      <c r="E5">
        <f t="shared" ref="E5:E9" si="0">SUM(B5:D5)</f>
        <v>210</v>
      </c>
      <c r="F5" s="1">
        <f t="shared" ref="F5:F11" si="1">AVERAGE(B5:D5)</f>
        <v>70</v>
      </c>
    </row>
    <row r="6" spans="1:6" x14ac:dyDescent="0.35">
      <c r="A6" t="s">
        <v>9</v>
      </c>
      <c r="B6">
        <v>10</v>
      </c>
      <c r="C6">
        <v>80</v>
      </c>
      <c r="D6">
        <v>110</v>
      </c>
      <c r="E6">
        <f t="shared" si="0"/>
        <v>200</v>
      </c>
      <c r="F6" s="1">
        <f t="shared" si="1"/>
        <v>66.666666666666671</v>
      </c>
    </row>
    <row r="7" spans="1:6" x14ac:dyDescent="0.35">
      <c r="A7" t="s">
        <v>10</v>
      </c>
      <c r="B7">
        <v>40</v>
      </c>
      <c r="C7">
        <v>50</v>
      </c>
      <c r="D7">
        <v>80</v>
      </c>
      <c r="E7">
        <f t="shared" si="0"/>
        <v>170</v>
      </c>
      <c r="F7" s="1">
        <f t="shared" si="1"/>
        <v>56.666666666666664</v>
      </c>
    </row>
    <row r="8" spans="1:6" x14ac:dyDescent="0.35">
      <c r="A8" t="s">
        <v>11</v>
      </c>
      <c r="B8">
        <v>60</v>
      </c>
      <c r="C8">
        <v>90</v>
      </c>
      <c r="D8">
        <v>70</v>
      </c>
      <c r="E8">
        <f t="shared" si="0"/>
        <v>220</v>
      </c>
      <c r="F8" s="1">
        <f t="shared" si="1"/>
        <v>73.333333333333329</v>
      </c>
    </row>
    <row r="9" spans="1:6" x14ac:dyDescent="0.35">
      <c r="A9" t="s">
        <v>12</v>
      </c>
      <c r="B9">
        <v>20</v>
      </c>
      <c r="C9">
        <v>10</v>
      </c>
      <c r="D9">
        <v>30</v>
      </c>
      <c r="E9">
        <f t="shared" si="0"/>
        <v>60</v>
      </c>
      <c r="F9" s="1">
        <f t="shared" si="1"/>
        <v>20</v>
      </c>
    </row>
    <row r="10" spans="1:6" x14ac:dyDescent="0.35">
      <c r="A10" t="s">
        <v>13</v>
      </c>
      <c r="B10">
        <f>SUM(B4:B9)</f>
        <v>200</v>
      </c>
      <c r="C10">
        <f t="shared" ref="C10:D10" si="2">SUM(C4:C9)</f>
        <v>420</v>
      </c>
      <c r="D10">
        <f t="shared" si="2"/>
        <v>410</v>
      </c>
      <c r="E10">
        <f>SUM(E4:E9)</f>
        <v>1030</v>
      </c>
      <c r="F10" s="1">
        <f t="shared" si="1"/>
        <v>343.33333333333331</v>
      </c>
    </row>
    <row r="11" spans="1:6" x14ac:dyDescent="0.35">
      <c r="A11" t="s">
        <v>14</v>
      </c>
      <c r="B11" s="1">
        <f>AVERAGE(B4:B9)</f>
        <v>33.333333333333336</v>
      </c>
      <c r="C11" s="1">
        <f t="shared" ref="C11:E11" si="3">AVERAGE(C4:C9)</f>
        <v>70</v>
      </c>
      <c r="D11" s="1">
        <f t="shared" si="3"/>
        <v>68.333333333333329</v>
      </c>
      <c r="E11" s="1">
        <f t="shared" si="3"/>
        <v>171.66666666666666</v>
      </c>
      <c r="F11" s="1">
        <f t="shared" si="1"/>
        <v>57.222222222222229</v>
      </c>
    </row>
  </sheetData>
  <mergeCells count="1">
    <mergeCell ref="A1:F1"/>
  </mergeCells>
  <phoneticPr fontId="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1FFD-71F5-48C8-AF09-2EDADE99CC91}">
  <dimension ref="A1:I24"/>
  <sheetViews>
    <sheetView topLeftCell="B7" workbookViewId="0">
      <selection activeCell="H21" sqref="H21"/>
    </sheetView>
  </sheetViews>
  <sheetFormatPr defaultRowHeight="14.5" x14ac:dyDescent="0.35"/>
  <cols>
    <col min="1" max="1" width="19.36328125" bestFit="1" customWidth="1"/>
    <col min="2" max="2" width="9.08984375" bestFit="1" customWidth="1"/>
    <col min="3" max="3" width="9.26953125" customWidth="1"/>
  </cols>
  <sheetData>
    <row r="1" spans="1:9" ht="15" thickBot="1" x14ac:dyDescent="0.4">
      <c r="A1" s="88" t="s">
        <v>142</v>
      </c>
      <c r="B1" s="89"/>
      <c r="C1" s="89"/>
      <c r="D1" s="89"/>
      <c r="E1" s="89"/>
      <c r="F1" s="89"/>
      <c r="G1" s="89"/>
      <c r="H1" s="89"/>
    </row>
    <row r="4" spans="1:9" ht="32.5" customHeight="1" x14ac:dyDescent="0.35">
      <c r="B4" s="33" t="s">
        <v>143</v>
      </c>
      <c r="C4" s="22" t="s">
        <v>144</v>
      </c>
      <c r="D4" s="22" t="s">
        <v>145</v>
      </c>
      <c r="E4" s="22" t="s">
        <v>146</v>
      </c>
      <c r="F4" s="22" t="s">
        <v>147</v>
      </c>
      <c r="G4" s="22" t="s">
        <v>148</v>
      </c>
      <c r="H4" s="22" t="s">
        <v>149</v>
      </c>
    </row>
    <row r="5" spans="1:9" x14ac:dyDescent="0.35">
      <c r="B5" t="s">
        <v>150</v>
      </c>
      <c r="C5" s="34">
        <v>40</v>
      </c>
      <c r="D5" s="34">
        <v>50</v>
      </c>
      <c r="E5" s="34">
        <v>70</v>
      </c>
      <c r="F5" s="34">
        <v>90</v>
      </c>
      <c r="G5" s="34">
        <v>130</v>
      </c>
      <c r="H5">
        <v>380</v>
      </c>
    </row>
    <row r="7" spans="1:9" x14ac:dyDescent="0.35">
      <c r="A7" t="s">
        <v>151</v>
      </c>
      <c r="B7" t="s">
        <v>152</v>
      </c>
      <c r="C7" s="90" t="s">
        <v>153</v>
      </c>
      <c r="D7" s="90"/>
      <c r="E7" s="90"/>
      <c r="F7" s="90"/>
      <c r="G7" s="90"/>
    </row>
    <row r="8" spans="1:9" x14ac:dyDescent="0.35">
      <c r="A8" t="s">
        <v>154</v>
      </c>
      <c r="B8">
        <v>100</v>
      </c>
      <c r="C8" s="11">
        <v>40</v>
      </c>
      <c r="D8" s="11">
        <v>10</v>
      </c>
      <c r="E8" s="11">
        <v>20</v>
      </c>
      <c r="F8" s="11">
        <v>60</v>
      </c>
      <c r="G8" s="11">
        <v>90</v>
      </c>
    </row>
    <row r="9" spans="1:9" x14ac:dyDescent="0.35">
      <c r="A9" t="s">
        <v>155</v>
      </c>
      <c r="B9">
        <v>120</v>
      </c>
      <c r="C9" s="11">
        <v>60</v>
      </c>
      <c r="D9" s="11">
        <v>40</v>
      </c>
      <c r="E9" s="11">
        <v>30</v>
      </c>
      <c r="F9" s="11">
        <v>50</v>
      </c>
      <c r="G9" s="11">
        <v>70</v>
      </c>
    </row>
    <row r="10" spans="1:9" x14ac:dyDescent="0.35">
      <c r="A10" t="s">
        <v>156</v>
      </c>
      <c r="B10">
        <v>160</v>
      </c>
      <c r="C10" s="11">
        <v>50</v>
      </c>
      <c r="D10" s="11">
        <v>20</v>
      </c>
      <c r="E10" s="11">
        <v>60</v>
      </c>
      <c r="F10" s="11">
        <v>40</v>
      </c>
      <c r="G10" s="11">
        <v>100</v>
      </c>
    </row>
    <row r="11" spans="1:9" x14ac:dyDescent="0.35">
      <c r="A11" t="s">
        <v>157</v>
      </c>
      <c r="B11">
        <f>SUM(B8:B10)</f>
        <v>380</v>
      </c>
    </row>
    <row r="13" spans="1:9" x14ac:dyDescent="0.35">
      <c r="A13" s="22"/>
      <c r="B13" s="80" t="s">
        <v>158</v>
      </c>
      <c r="C13" s="80"/>
      <c r="D13" s="80"/>
      <c r="E13" s="80"/>
      <c r="F13" s="80"/>
      <c r="G13" s="80"/>
    </row>
    <row r="14" spans="1:9" ht="15" thickBot="1" x14ac:dyDescent="0.4">
      <c r="C14" s="89" t="s">
        <v>159</v>
      </c>
      <c r="D14" s="89"/>
      <c r="E14" s="89"/>
      <c r="F14" s="89"/>
      <c r="G14" s="89"/>
    </row>
    <row r="15" spans="1:9" x14ac:dyDescent="0.35">
      <c r="B15">
        <f>SUM(C15:G15)</f>
        <v>100.00000000000006</v>
      </c>
      <c r="C15" s="35">
        <v>0</v>
      </c>
      <c r="D15" s="36">
        <v>30.000000000000057</v>
      </c>
      <c r="E15" s="36">
        <v>70</v>
      </c>
      <c r="F15" s="36">
        <v>0</v>
      </c>
      <c r="G15" s="37">
        <v>0</v>
      </c>
      <c r="I15">
        <v>0</v>
      </c>
    </row>
    <row r="16" spans="1:9" x14ac:dyDescent="0.35">
      <c r="B16">
        <f t="shared" ref="B16:B18" si="0">SUM(C16:G16)</f>
        <v>120.00000000000001</v>
      </c>
      <c r="C16" s="38">
        <v>0</v>
      </c>
      <c r="D16" s="39">
        <v>0</v>
      </c>
      <c r="E16" s="39">
        <v>0</v>
      </c>
      <c r="F16" s="39">
        <v>0</v>
      </c>
      <c r="G16" s="40">
        <v>120.00000000000001</v>
      </c>
      <c r="I16">
        <v>0</v>
      </c>
    </row>
    <row r="17" spans="1:9" ht="15" thickBot="1" x14ac:dyDescent="0.4">
      <c r="B17">
        <f t="shared" si="0"/>
        <v>160</v>
      </c>
      <c r="C17" s="41">
        <v>40.000000000000014</v>
      </c>
      <c r="D17" s="42">
        <v>19.99999999999994</v>
      </c>
      <c r="E17" s="42">
        <v>0</v>
      </c>
      <c r="F17" s="42">
        <v>90</v>
      </c>
      <c r="G17" s="43">
        <v>10.000000000000064</v>
      </c>
      <c r="I17">
        <v>0</v>
      </c>
    </row>
    <row r="18" spans="1:9" x14ac:dyDescent="0.35">
      <c r="B18" s="39">
        <f t="shared" si="0"/>
        <v>380.00000000000011</v>
      </c>
      <c r="C18">
        <f>SUM(C15:C17)</f>
        <v>40.000000000000014</v>
      </c>
      <c r="D18">
        <f>SUM(D15:D17)</f>
        <v>50</v>
      </c>
      <c r="E18">
        <f t="shared" ref="E18:G18" si="1">SUM(E15:E17)</f>
        <v>70</v>
      </c>
      <c r="F18">
        <f t="shared" si="1"/>
        <v>90</v>
      </c>
      <c r="G18">
        <f t="shared" si="1"/>
        <v>130.00000000000009</v>
      </c>
    </row>
    <row r="20" spans="1:9" x14ac:dyDescent="0.35">
      <c r="B20" s="76" t="s">
        <v>160</v>
      </c>
      <c r="C20" s="76"/>
      <c r="D20" s="76"/>
      <c r="E20" s="76"/>
      <c r="F20" s="76"/>
      <c r="G20" s="76"/>
    </row>
    <row r="21" spans="1:9" x14ac:dyDescent="0.35">
      <c r="B21">
        <f>SUM(C21:G21)</f>
        <v>1700.0000000000005</v>
      </c>
      <c r="C21">
        <f>C15*C8</f>
        <v>0</v>
      </c>
      <c r="D21">
        <f>D15*D8</f>
        <v>300.00000000000057</v>
      </c>
      <c r="E21">
        <f t="shared" ref="E21:G21" si="2">E15*E8</f>
        <v>1400</v>
      </c>
      <c r="F21">
        <f t="shared" si="2"/>
        <v>0</v>
      </c>
      <c r="G21">
        <f t="shared" si="2"/>
        <v>0</v>
      </c>
    </row>
    <row r="22" spans="1:9" x14ac:dyDescent="0.35">
      <c r="B22">
        <f t="shared" ref="B22:B24" si="3">SUM(C22:G22)</f>
        <v>8400.0000000000018</v>
      </c>
      <c r="C22">
        <f t="shared" ref="C22:G23" si="4">C16*C9</f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8400.0000000000018</v>
      </c>
    </row>
    <row r="23" spans="1:9" x14ac:dyDescent="0.35">
      <c r="B23">
        <f t="shared" si="3"/>
        <v>7000.0000000000064</v>
      </c>
      <c r="C23">
        <f t="shared" si="4"/>
        <v>2000.0000000000007</v>
      </c>
      <c r="D23">
        <f t="shared" si="4"/>
        <v>399.99999999999881</v>
      </c>
      <c r="E23">
        <f t="shared" si="4"/>
        <v>0</v>
      </c>
      <c r="F23">
        <f t="shared" si="4"/>
        <v>3600</v>
      </c>
      <c r="G23">
        <f t="shared" si="4"/>
        <v>1000.0000000000064</v>
      </c>
    </row>
    <row r="24" spans="1:9" x14ac:dyDescent="0.35">
      <c r="A24" t="s">
        <v>149</v>
      </c>
      <c r="B24" s="44">
        <f t="shared" si="3"/>
        <v>17100.000000000007</v>
      </c>
      <c r="C24">
        <f>SUM(C21:C23)</f>
        <v>2000.0000000000007</v>
      </c>
      <c r="D24">
        <f t="shared" ref="D24:G24" si="5">SUM(D21:D23)</f>
        <v>699.99999999999932</v>
      </c>
      <c r="E24">
        <f t="shared" si="5"/>
        <v>1400</v>
      </c>
      <c r="F24">
        <f t="shared" si="5"/>
        <v>3600</v>
      </c>
      <c r="G24">
        <f t="shared" si="5"/>
        <v>9400.0000000000073</v>
      </c>
    </row>
  </sheetData>
  <mergeCells count="5">
    <mergeCell ref="B20:G20"/>
    <mergeCell ref="A1:H1"/>
    <mergeCell ref="C7:G7"/>
    <mergeCell ref="C14:G14"/>
    <mergeCell ref="B13:G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4CFC-C63F-4299-83AE-AFA0567B05E1}">
  <dimension ref="A1:K30"/>
  <sheetViews>
    <sheetView topLeftCell="B9" zoomScale="70" zoomScaleNormal="70" workbookViewId="0">
      <selection activeCell="G22" sqref="G22"/>
    </sheetView>
  </sheetViews>
  <sheetFormatPr defaultRowHeight="14.5" x14ac:dyDescent="0.35"/>
  <cols>
    <col min="3" max="3" width="9.26953125" bestFit="1" customWidth="1"/>
    <col min="4" max="4" width="11.08984375" customWidth="1"/>
    <col min="5" max="5" width="13.26953125" customWidth="1"/>
    <col min="6" max="6" width="17.08984375" bestFit="1" customWidth="1"/>
    <col min="7" max="7" width="15.26953125" bestFit="1" customWidth="1"/>
    <col min="8" max="8" width="12.1796875" bestFit="1" customWidth="1"/>
    <col min="9" max="9" width="18.08984375" customWidth="1"/>
    <col min="10" max="11" width="11.81640625" customWidth="1"/>
  </cols>
  <sheetData>
    <row r="1" spans="1:11" ht="21" x14ac:dyDescent="0.5">
      <c r="A1" s="86" t="s">
        <v>161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3" spans="1:11" ht="29" x14ac:dyDescent="0.35">
      <c r="B3" s="32" t="s">
        <v>162</v>
      </c>
      <c r="C3" s="25" t="s">
        <v>163</v>
      </c>
      <c r="D3" s="25" t="s">
        <v>164</v>
      </c>
      <c r="E3" s="32" t="s">
        <v>165</v>
      </c>
      <c r="F3" s="25" t="s">
        <v>166</v>
      </c>
      <c r="G3" s="25" t="s">
        <v>167</v>
      </c>
      <c r="H3" s="25" t="s">
        <v>168</v>
      </c>
      <c r="I3" s="32" t="s">
        <v>169</v>
      </c>
      <c r="J3" s="32" t="s">
        <v>170</v>
      </c>
      <c r="K3" s="32" t="s">
        <v>171</v>
      </c>
    </row>
    <row r="4" spans="1:11" x14ac:dyDescent="0.35">
      <c r="B4">
        <v>1</v>
      </c>
      <c r="C4" t="s">
        <v>172</v>
      </c>
      <c r="D4" t="s">
        <v>182</v>
      </c>
      <c r="E4" t="s">
        <v>191</v>
      </c>
      <c r="F4" t="s">
        <v>195</v>
      </c>
      <c r="G4" t="s">
        <v>205</v>
      </c>
      <c r="H4" t="s">
        <v>211</v>
      </c>
      <c r="I4">
        <v>45</v>
      </c>
      <c r="J4" s="2">
        <v>25000</v>
      </c>
      <c r="K4" s="2">
        <v>28000</v>
      </c>
    </row>
    <row r="5" spans="1:11" x14ac:dyDescent="0.35">
      <c r="B5">
        <v>2</v>
      </c>
      <c r="C5" t="s">
        <v>173</v>
      </c>
      <c r="D5" t="s">
        <v>183</v>
      </c>
      <c r="E5" t="s">
        <v>192</v>
      </c>
      <c r="F5" t="s">
        <v>196</v>
      </c>
      <c r="G5" t="s">
        <v>206</v>
      </c>
      <c r="H5" t="s">
        <v>206</v>
      </c>
      <c r="I5">
        <v>38</v>
      </c>
      <c r="J5" s="2">
        <v>30000</v>
      </c>
      <c r="K5" s="2">
        <v>28500</v>
      </c>
    </row>
    <row r="6" spans="1:11" x14ac:dyDescent="0.35">
      <c r="B6">
        <v>3</v>
      </c>
      <c r="C6" t="s">
        <v>174</v>
      </c>
      <c r="D6" t="s">
        <v>184</v>
      </c>
      <c r="E6" t="s">
        <v>193</v>
      </c>
      <c r="F6" t="s">
        <v>197</v>
      </c>
      <c r="G6" t="s">
        <v>207</v>
      </c>
      <c r="H6" t="s">
        <v>211</v>
      </c>
      <c r="I6">
        <v>25</v>
      </c>
      <c r="J6" s="2">
        <v>15000</v>
      </c>
      <c r="K6" s="2">
        <v>16700</v>
      </c>
    </row>
    <row r="7" spans="1:11" x14ac:dyDescent="0.35">
      <c r="B7">
        <v>4</v>
      </c>
      <c r="C7" t="s">
        <v>175</v>
      </c>
      <c r="D7" t="s">
        <v>185</v>
      </c>
      <c r="E7" t="s">
        <v>192</v>
      </c>
      <c r="F7" t="s">
        <v>198</v>
      </c>
      <c r="G7" t="s">
        <v>208</v>
      </c>
      <c r="H7" t="s">
        <v>212</v>
      </c>
      <c r="I7">
        <v>10</v>
      </c>
      <c r="J7" s="2">
        <v>17000</v>
      </c>
      <c r="K7" s="2">
        <v>15000</v>
      </c>
    </row>
    <row r="8" spans="1:11" x14ac:dyDescent="0.35">
      <c r="B8">
        <v>5</v>
      </c>
      <c r="C8" t="s">
        <v>176</v>
      </c>
      <c r="D8" t="s">
        <v>186</v>
      </c>
      <c r="E8" t="s">
        <v>191</v>
      </c>
      <c r="F8" t="s">
        <v>199</v>
      </c>
      <c r="G8" t="s">
        <v>206</v>
      </c>
      <c r="H8" t="s">
        <v>206</v>
      </c>
      <c r="I8">
        <v>9</v>
      </c>
      <c r="J8" s="2">
        <v>9000</v>
      </c>
      <c r="K8" s="2">
        <v>10000</v>
      </c>
    </row>
    <row r="9" spans="1:11" x14ac:dyDescent="0.35">
      <c r="B9">
        <v>6</v>
      </c>
      <c r="C9" t="s">
        <v>177</v>
      </c>
      <c r="D9" t="s">
        <v>187</v>
      </c>
      <c r="E9" t="s">
        <v>194</v>
      </c>
      <c r="F9" t="s">
        <v>201</v>
      </c>
      <c r="G9" t="s">
        <v>209</v>
      </c>
      <c r="H9" t="s">
        <v>211</v>
      </c>
      <c r="I9">
        <v>5</v>
      </c>
      <c r="J9" s="2">
        <v>2000</v>
      </c>
      <c r="K9" s="2">
        <v>3000</v>
      </c>
    </row>
    <row r="10" spans="1:11" x14ac:dyDescent="0.35">
      <c r="B10">
        <v>7</v>
      </c>
      <c r="C10" t="s">
        <v>178</v>
      </c>
      <c r="D10" t="s">
        <v>188</v>
      </c>
      <c r="E10" t="s">
        <v>192</v>
      </c>
      <c r="F10" t="s">
        <v>200</v>
      </c>
      <c r="G10" t="s">
        <v>205</v>
      </c>
      <c r="H10" t="s">
        <v>211</v>
      </c>
      <c r="I10">
        <v>18</v>
      </c>
      <c r="J10" s="2">
        <v>19500</v>
      </c>
      <c r="K10" s="2">
        <v>18000</v>
      </c>
    </row>
    <row r="11" spans="1:11" x14ac:dyDescent="0.35">
      <c r="B11">
        <v>8</v>
      </c>
      <c r="C11" t="s">
        <v>179</v>
      </c>
      <c r="D11" t="s">
        <v>189</v>
      </c>
      <c r="E11" t="s">
        <v>193</v>
      </c>
      <c r="F11" t="s">
        <v>204</v>
      </c>
      <c r="G11" t="s">
        <v>210</v>
      </c>
      <c r="H11" t="s">
        <v>212</v>
      </c>
      <c r="I11">
        <v>42</v>
      </c>
      <c r="J11" s="2">
        <v>45000</v>
      </c>
      <c r="K11" s="2">
        <v>50000</v>
      </c>
    </row>
    <row r="12" spans="1:11" x14ac:dyDescent="0.35">
      <c r="B12">
        <v>9</v>
      </c>
      <c r="C12" t="s">
        <v>180</v>
      </c>
      <c r="D12" t="s">
        <v>46</v>
      </c>
      <c r="E12" t="s">
        <v>194</v>
      </c>
      <c r="F12" t="s">
        <v>202</v>
      </c>
      <c r="G12" t="s">
        <v>205</v>
      </c>
      <c r="H12" t="s">
        <v>211</v>
      </c>
      <c r="I12">
        <v>4</v>
      </c>
      <c r="J12" s="2">
        <v>2500</v>
      </c>
      <c r="K12" s="2">
        <v>3000</v>
      </c>
    </row>
    <row r="13" spans="1:11" x14ac:dyDescent="0.35">
      <c r="B13">
        <v>10</v>
      </c>
      <c r="C13" t="s">
        <v>181</v>
      </c>
      <c r="D13" t="s">
        <v>190</v>
      </c>
      <c r="E13" t="s">
        <v>191</v>
      </c>
      <c r="F13" t="s">
        <v>203</v>
      </c>
      <c r="G13" t="s">
        <v>205</v>
      </c>
      <c r="H13" t="s">
        <v>211</v>
      </c>
      <c r="I13">
        <v>15</v>
      </c>
      <c r="J13" s="2">
        <v>23400</v>
      </c>
      <c r="K13" s="2">
        <v>26000</v>
      </c>
    </row>
    <row r="14" spans="1:11" ht="62.5" customHeight="1" x14ac:dyDescent="0.35"/>
    <row r="15" spans="1:11" x14ac:dyDescent="0.35">
      <c r="A15" s="47" t="s">
        <v>213</v>
      </c>
      <c r="B15" s="39"/>
      <c r="C15" s="39">
        <f>DAVERAGE(Table10[#All],9,C16:D17)</f>
        <v>24200</v>
      </c>
      <c r="D15" s="39">
        <f>DAVERAGE(Table10[#All],10,C16:D17)</f>
        <v>27000</v>
      </c>
    </row>
    <row r="16" spans="1:11" ht="29" x14ac:dyDescent="0.35">
      <c r="C16" s="45" t="s">
        <v>165</v>
      </c>
      <c r="D16" s="46" t="s">
        <v>168</v>
      </c>
    </row>
    <row r="17" spans="1:6" x14ac:dyDescent="0.35">
      <c r="C17" t="s">
        <v>191</v>
      </c>
      <c r="D17" t="s">
        <v>211</v>
      </c>
    </row>
    <row r="18" spans="1:6" ht="33.5" customHeight="1" x14ac:dyDescent="0.35"/>
    <row r="19" spans="1:6" x14ac:dyDescent="0.35">
      <c r="A19" s="47" t="s">
        <v>214</v>
      </c>
      <c r="B19" s="39"/>
      <c r="C19" s="39">
        <f>DCOUNT(Table10[#All],1,C20:D21)</f>
        <v>4</v>
      </c>
      <c r="D19" s="48">
        <f>( C19*100/DCOUNT(Table10[#All],1,C20:C21))/100</f>
        <v>0.66666666666666674</v>
      </c>
    </row>
    <row r="20" spans="1:6" ht="29" x14ac:dyDescent="0.35">
      <c r="C20" s="45" t="s">
        <v>168</v>
      </c>
      <c r="D20" s="45" t="s">
        <v>169</v>
      </c>
    </row>
    <row r="21" spans="1:6" x14ac:dyDescent="0.35">
      <c r="C21" t="s">
        <v>211</v>
      </c>
      <c r="D21" t="s">
        <v>215</v>
      </c>
    </row>
    <row r="22" spans="1:6" ht="35" customHeight="1" x14ac:dyDescent="0.35"/>
    <row r="23" spans="1:6" x14ac:dyDescent="0.35">
      <c r="A23" s="49" t="s">
        <v>216</v>
      </c>
      <c r="B23" s="44"/>
      <c r="C23" s="44">
        <f>DCOUNTA(Table10[#All],3,C24:E25)</f>
        <v>2</v>
      </c>
    </row>
    <row r="24" spans="1:6" ht="29" x14ac:dyDescent="0.35">
      <c r="C24" s="45" t="s">
        <v>165</v>
      </c>
      <c r="D24" s="45" t="s">
        <v>168</v>
      </c>
      <c r="E24" s="45" t="s">
        <v>171</v>
      </c>
    </row>
    <row r="25" spans="1:6" x14ac:dyDescent="0.35">
      <c r="C25" t="s">
        <v>191</v>
      </c>
      <c r="D25" t="s">
        <v>211</v>
      </c>
      <c r="E25" t="s">
        <v>217</v>
      </c>
    </row>
    <row r="27" spans="1:6" x14ac:dyDescent="0.35">
      <c r="A27" s="49" t="s">
        <v>218</v>
      </c>
      <c r="B27" s="44"/>
      <c r="C27" s="44">
        <f>DMIN(Table10[#All],9,C28:E30)</f>
        <v>25000</v>
      </c>
      <c r="D27" s="44" t="str">
        <f>DGET(Table10[#All],6,F28:F29)</f>
        <v>Timisoara</v>
      </c>
    </row>
    <row r="28" spans="1:6" ht="29" x14ac:dyDescent="0.35">
      <c r="C28" s="45" t="s">
        <v>168</v>
      </c>
      <c r="D28" s="45" t="s">
        <v>165</v>
      </c>
      <c r="E28" s="45" t="s">
        <v>169</v>
      </c>
      <c r="F28" s="45" t="s">
        <v>170</v>
      </c>
    </row>
    <row r="29" spans="1:6" x14ac:dyDescent="0.35">
      <c r="C29" t="s">
        <v>211</v>
      </c>
      <c r="D29" t="s">
        <v>191</v>
      </c>
      <c r="E29" t="s">
        <v>219</v>
      </c>
      <c r="F29" s="2">
        <f>C27</f>
        <v>25000</v>
      </c>
    </row>
    <row r="30" spans="1:6" x14ac:dyDescent="0.35">
      <c r="C30" t="s">
        <v>206</v>
      </c>
      <c r="D30" t="s">
        <v>192</v>
      </c>
      <c r="E30" t="s">
        <v>219</v>
      </c>
    </row>
  </sheetData>
  <mergeCells count="1">
    <mergeCell ref="A1:K1"/>
  </mergeCell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CC6B-7278-400A-8678-F60BFCE075DF}">
  <dimension ref="A1:K25"/>
  <sheetViews>
    <sheetView zoomScale="70" zoomScaleNormal="70" workbookViewId="0">
      <selection activeCell="A29" sqref="A29:A30"/>
    </sheetView>
  </sheetViews>
  <sheetFormatPr defaultRowHeight="14.5" outlineLevelRow="3" x14ac:dyDescent="0.35"/>
  <cols>
    <col min="3" max="3" width="9.26953125" bestFit="1" customWidth="1"/>
    <col min="4" max="4" width="13.6328125" bestFit="1" customWidth="1"/>
    <col min="5" max="5" width="13" bestFit="1" customWidth="1"/>
    <col min="6" max="6" width="17.08984375" bestFit="1" customWidth="1"/>
    <col min="7" max="7" width="15.26953125" bestFit="1" customWidth="1"/>
    <col min="8" max="8" width="12.1796875" bestFit="1" customWidth="1"/>
  </cols>
  <sheetData>
    <row r="1" spans="1:11" ht="21" x14ac:dyDescent="0.5">
      <c r="A1" s="86" t="s">
        <v>161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5" thickBot="1" x14ac:dyDescent="0.4"/>
    <row r="3" spans="1:11" ht="43.5" x14ac:dyDescent="0.35">
      <c r="B3" s="55" t="s">
        <v>162</v>
      </c>
      <c r="C3" s="56" t="s">
        <v>163</v>
      </c>
      <c r="D3" s="56" t="s">
        <v>164</v>
      </c>
      <c r="E3" s="57" t="s">
        <v>165</v>
      </c>
      <c r="F3" s="56" t="s">
        <v>166</v>
      </c>
      <c r="G3" s="56" t="s">
        <v>167</v>
      </c>
      <c r="H3" s="56" t="s">
        <v>168</v>
      </c>
      <c r="I3" s="57" t="s">
        <v>169</v>
      </c>
      <c r="J3" s="57" t="s">
        <v>170</v>
      </c>
      <c r="K3" s="58" t="s">
        <v>171</v>
      </c>
    </row>
    <row r="4" spans="1:11" hidden="1" outlineLevel="3" x14ac:dyDescent="0.35">
      <c r="B4" s="59">
        <v>2</v>
      </c>
      <c r="C4" s="60" t="s">
        <v>173</v>
      </c>
      <c r="D4" s="60" t="s">
        <v>183</v>
      </c>
      <c r="E4" s="60" t="s">
        <v>192</v>
      </c>
      <c r="F4" s="60" t="s">
        <v>196</v>
      </c>
      <c r="G4" s="60" t="s">
        <v>206</v>
      </c>
      <c r="H4" s="60" t="s">
        <v>206</v>
      </c>
      <c r="I4" s="60">
        <v>38</v>
      </c>
      <c r="J4" s="61">
        <v>30000</v>
      </c>
      <c r="K4" s="62">
        <v>28500</v>
      </c>
    </row>
    <row r="5" spans="1:11" outlineLevel="2" collapsed="1" x14ac:dyDescent="0.35">
      <c r="B5" s="59"/>
      <c r="C5" s="60"/>
      <c r="D5" s="73" t="s">
        <v>247</v>
      </c>
      <c r="E5" s="60">
        <f>SUBTOTAL(3,E4:E4)</f>
        <v>1</v>
      </c>
      <c r="F5" s="60"/>
      <c r="G5" s="60"/>
      <c r="H5" s="60"/>
      <c r="I5" s="60"/>
      <c r="J5" s="61"/>
      <c r="K5" s="62"/>
    </row>
    <row r="6" spans="1:11" hidden="1" outlineLevel="3" x14ac:dyDescent="0.35">
      <c r="B6" s="63">
        <v>5</v>
      </c>
      <c r="C6" s="64" t="s">
        <v>176</v>
      </c>
      <c r="D6" s="64" t="s">
        <v>186</v>
      </c>
      <c r="E6" s="64" t="s">
        <v>191</v>
      </c>
      <c r="F6" s="64" t="s">
        <v>199</v>
      </c>
      <c r="G6" s="64" t="s">
        <v>206</v>
      </c>
      <c r="H6" s="64" t="s">
        <v>206</v>
      </c>
      <c r="I6" s="64">
        <v>9</v>
      </c>
      <c r="J6" s="65">
        <v>9000</v>
      </c>
      <c r="K6" s="66">
        <v>10000</v>
      </c>
    </row>
    <row r="7" spans="1:11" outlineLevel="2" collapsed="1" x14ac:dyDescent="0.35">
      <c r="B7" s="63"/>
      <c r="C7" s="64"/>
      <c r="D7" s="71" t="s">
        <v>248</v>
      </c>
      <c r="E7" s="64">
        <f>SUBTOTAL(3,E6:E6)</f>
        <v>1</v>
      </c>
      <c r="F7" s="64"/>
      <c r="G7" s="64"/>
      <c r="H7" s="64"/>
      <c r="I7" s="64"/>
      <c r="J7" s="65"/>
      <c r="K7" s="66"/>
    </row>
    <row r="8" spans="1:11" outlineLevel="1" x14ac:dyDescent="0.35">
      <c r="B8" s="63"/>
      <c r="C8" s="64"/>
      <c r="D8" s="64"/>
      <c r="E8" s="64">
        <f>SUBTOTAL(3,E4:E6)</f>
        <v>2</v>
      </c>
      <c r="F8" s="64"/>
      <c r="G8" s="64"/>
      <c r="H8" s="71" t="s">
        <v>243</v>
      </c>
      <c r="I8" s="64"/>
      <c r="J8" s="65"/>
      <c r="K8" s="66"/>
    </row>
    <row r="9" spans="1:11" hidden="1" outlineLevel="3" x14ac:dyDescent="0.35">
      <c r="B9" s="59">
        <v>4</v>
      </c>
      <c r="C9" s="60" t="s">
        <v>175</v>
      </c>
      <c r="D9" s="60" t="s">
        <v>185</v>
      </c>
      <c r="E9" s="60" t="s">
        <v>192</v>
      </c>
      <c r="F9" s="60" t="s">
        <v>198</v>
      </c>
      <c r="G9" s="60" t="s">
        <v>208</v>
      </c>
      <c r="H9" s="60" t="s">
        <v>212</v>
      </c>
      <c r="I9" s="60">
        <v>10</v>
      </c>
      <c r="J9" s="61">
        <v>17000</v>
      </c>
      <c r="K9" s="62">
        <v>15000</v>
      </c>
    </row>
    <row r="10" spans="1:11" outlineLevel="2" collapsed="1" x14ac:dyDescent="0.35">
      <c r="B10" s="59"/>
      <c r="C10" s="60"/>
      <c r="D10" s="73" t="s">
        <v>247</v>
      </c>
      <c r="E10" s="60">
        <f>SUBTOTAL(3,E9:E9)</f>
        <v>1</v>
      </c>
      <c r="F10" s="60"/>
      <c r="G10" s="60"/>
      <c r="H10" s="60"/>
      <c r="I10" s="60"/>
      <c r="J10" s="61"/>
      <c r="K10" s="62"/>
    </row>
    <row r="11" spans="1:11" hidden="1" outlineLevel="3" x14ac:dyDescent="0.35">
      <c r="B11" s="63">
        <v>8</v>
      </c>
      <c r="C11" s="64" t="s">
        <v>179</v>
      </c>
      <c r="D11" s="64" t="s">
        <v>189</v>
      </c>
      <c r="E11" s="64" t="s">
        <v>193</v>
      </c>
      <c r="F11" s="64" t="s">
        <v>204</v>
      </c>
      <c r="G11" s="64" t="s">
        <v>210</v>
      </c>
      <c r="H11" s="64" t="s">
        <v>212</v>
      </c>
      <c r="I11" s="64">
        <v>42</v>
      </c>
      <c r="J11" s="65">
        <v>45000</v>
      </c>
      <c r="K11" s="66">
        <v>50000</v>
      </c>
    </row>
    <row r="12" spans="1:11" outlineLevel="2" collapsed="1" x14ac:dyDescent="0.35">
      <c r="B12" s="63"/>
      <c r="C12" s="64"/>
      <c r="D12" s="71" t="s">
        <v>249</v>
      </c>
      <c r="E12" s="64">
        <f>SUBTOTAL(3,E11:E11)</f>
        <v>1</v>
      </c>
      <c r="F12" s="64"/>
      <c r="G12" s="64"/>
      <c r="H12" s="64"/>
      <c r="I12" s="64"/>
      <c r="J12" s="65"/>
      <c r="K12" s="66"/>
    </row>
    <row r="13" spans="1:11" outlineLevel="1" x14ac:dyDescent="0.35">
      <c r="B13" s="63"/>
      <c r="C13" s="64"/>
      <c r="D13" s="64"/>
      <c r="E13" s="64">
        <f>SUBTOTAL(3,E9:E11)</f>
        <v>2</v>
      </c>
      <c r="F13" s="64"/>
      <c r="G13" s="64"/>
      <c r="H13" s="71" t="s">
        <v>244</v>
      </c>
      <c r="I13" s="64"/>
      <c r="J13" s="65"/>
      <c r="K13" s="66"/>
    </row>
    <row r="14" spans="1:11" hidden="1" outlineLevel="3" x14ac:dyDescent="0.35">
      <c r="B14" s="59">
        <v>7</v>
      </c>
      <c r="C14" s="60" t="s">
        <v>178</v>
      </c>
      <c r="D14" s="60" t="s">
        <v>188</v>
      </c>
      <c r="E14" s="60" t="s">
        <v>192</v>
      </c>
      <c r="F14" s="60" t="s">
        <v>200</v>
      </c>
      <c r="G14" s="60" t="s">
        <v>205</v>
      </c>
      <c r="H14" s="60" t="s">
        <v>211</v>
      </c>
      <c r="I14" s="60">
        <v>18</v>
      </c>
      <c r="J14" s="61">
        <v>19500</v>
      </c>
      <c r="K14" s="62">
        <v>18000</v>
      </c>
    </row>
    <row r="15" spans="1:11" outlineLevel="2" collapsed="1" x14ac:dyDescent="0.35">
      <c r="B15" s="59"/>
      <c r="C15" s="60"/>
      <c r="D15" s="73" t="s">
        <v>247</v>
      </c>
      <c r="E15" s="60">
        <f>SUBTOTAL(3,E14:E14)</f>
        <v>1</v>
      </c>
      <c r="F15" s="60"/>
      <c r="G15" s="60"/>
      <c r="H15" s="60"/>
      <c r="I15" s="60"/>
      <c r="J15" s="61"/>
      <c r="K15" s="62"/>
    </row>
    <row r="16" spans="1:11" hidden="1" outlineLevel="3" x14ac:dyDescent="0.35">
      <c r="B16" s="63">
        <v>3</v>
      </c>
      <c r="C16" s="64" t="s">
        <v>174</v>
      </c>
      <c r="D16" s="64" t="s">
        <v>184</v>
      </c>
      <c r="E16" s="64" t="s">
        <v>193</v>
      </c>
      <c r="F16" s="64" t="s">
        <v>197</v>
      </c>
      <c r="G16" s="64" t="s">
        <v>207</v>
      </c>
      <c r="H16" s="64" t="s">
        <v>211</v>
      </c>
      <c r="I16" s="64">
        <v>25</v>
      </c>
      <c r="J16" s="65">
        <v>15000</v>
      </c>
      <c r="K16" s="66">
        <v>16700</v>
      </c>
    </row>
    <row r="17" spans="2:11" outlineLevel="2" collapsed="1" x14ac:dyDescent="0.35">
      <c r="B17" s="63"/>
      <c r="C17" s="64"/>
      <c r="D17" s="71" t="s">
        <v>249</v>
      </c>
      <c r="E17" s="64">
        <f>SUBTOTAL(3,E16:E16)</f>
        <v>1</v>
      </c>
      <c r="F17" s="64"/>
      <c r="G17" s="64"/>
      <c r="H17" s="64"/>
      <c r="I17" s="64"/>
      <c r="J17" s="65"/>
      <c r="K17" s="66"/>
    </row>
    <row r="18" spans="2:11" hidden="1" outlineLevel="3" x14ac:dyDescent="0.35">
      <c r="B18" s="59">
        <v>6</v>
      </c>
      <c r="C18" s="60" t="s">
        <v>177</v>
      </c>
      <c r="D18" s="60" t="s">
        <v>187</v>
      </c>
      <c r="E18" s="60" t="s">
        <v>194</v>
      </c>
      <c r="F18" s="60" t="s">
        <v>201</v>
      </c>
      <c r="G18" s="60" t="s">
        <v>209</v>
      </c>
      <c r="H18" s="60" t="s">
        <v>211</v>
      </c>
      <c r="I18" s="60">
        <v>5</v>
      </c>
      <c r="J18" s="61">
        <v>2000</v>
      </c>
      <c r="K18" s="62">
        <v>3000</v>
      </c>
    </row>
    <row r="19" spans="2:11" hidden="1" outlineLevel="3" x14ac:dyDescent="0.35">
      <c r="B19" s="63">
        <v>9</v>
      </c>
      <c r="C19" s="64" t="s">
        <v>180</v>
      </c>
      <c r="D19" s="64" t="s">
        <v>46</v>
      </c>
      <c r="E19" s="64" t="s">
        <v>194</v>
      </c>
      <c r="F19" s="64" t="s">
        <v>202</v>
      </c>
      <c r="G19" s="64" t="s">
        <v>205</v>
      </c>
      <c r="H19" s="64" t="s">
        <v>211</v>
      </c>
      <c r="I19" s="64">
        <v>4</v>
      </c>
      <c r="J19" s="65">
        <v>2500</v>
      </c>
      <c r="K19" s="66">
        <v>3000</v>
      </c>
    </row>
    <row r="20" spans="2:11" outlineLevel="2" collapsed="1" x14ac:dyDescent="0.35">
      <c r="B20" s="63"/>
      <c r="C20" s="64"/>
      <c r="D20" s="71" t="s">
        <v>250</v>
      </c>
      <c r="E20" s="64">
        <f>SUBTOTAL(3,E18:E19)</f>
        <v>2</v>
      </c>
      <c r="F20" s="64"/>
      <c r="G20" s="64"/>
      <c r="H20" s="64"/>
      <c r="I20" s="64"/>
      <c r="J20" s="65"/>
      <c r="K20" s="66"/>
    </row>
    <row r="21" spans="2:11" hidden="1" outlineLevel="3" x14ac:dyDescent="0.35">
      <c r="B21" s="59">
        <v>1</v>
      </c>
      <c r="C21" s="60" t="s">
        <v>172</v>
      </c>
      <c r="D21" s="60" t="s">
        <v>182</v>
      </c>
      <c r="E21" s="60" t="s">
        <v>191</v>
      </c>
      <c r="F21" s="60" t="s">
        <v>195</v>
      </c>
      <c r="G21" s="60" t="s">
        <v>205</v>
      </c>
      <c r="H21" s="60" t="s">
        <v>211</v>
      </c>
      <c r="I21" s="60">
        <v>45</v>
      </c>
      <c r="J21" s="61">
        <v>25000</v>
      </c>
      <c r="K21" s="62">
        <v>28000</v>
      </c>
    </row>
    <row r="22" spans="2:11" ht="15" hidden="1" outlineLevel="3" thickBot="1" x14ac:dyDescent="0.4">
      <c r="B22" s="67">
        <v>10</v>
      </c>
      <c r="C22" s="68" t="s">
        <v>181</v>
      </c>
      <c r="D22" s="68" t="s">
        <v>190</v>
      </c>
      <c r="E22" s="68" t="s">
        <v>191</v>
      </c>
      <c r="F22" s="68" t="s">
        <v>203</v>
      </c>
      <c r="G22" s="68" t="s">
        <v>205</v>
      </c>
      <c r="H22" s="68" t="s">
        <v>211</v>
      </c>
      <c r="I22" s="68">
        <v>15</v>
      </c>
      <c r="J22" s="69">
        <v>23400</v>
      </c>
      <c r="K22" s="70">
        <v>26000</v>
      </c>
    </row>
    <row r="23" spans="2:11" outlineLevel="2" collapsed="1" x14ac:dyDescent="0.35">
      <c r="D23" s="72" t="s">
        <v>248</v>
      </c>
      <c r="E23">
        <f>SUBTOTAL(3,E21:E22)</f>
        <v>2</v>
      </c>
      <c r="J23" s="2"/>
      <c r="K23" s="2"/>
    </row>
    <row r="24" spans="2:11" outlineLevel="1" x14ac:dyDescent="0.35">
      <c r="E24">
        <f>SUBTOTAL(3,E14:E22)</f>
        <v>6</v>
      </c>
      <c r="H24" s="72" t="s">
        <v>245</v>
      </c>
      <c r="J24" s="2"/>
      <c r="K24" s="2"/>
    </row>
    <row r="25" spans="2:11" x14ac:dyDescent="0.35">
      <c r="E25">
        <f>SUBTOTAL(3,E4:E22)</f>
        <v>10</v>
      </c>
      <c r="H25" s="72" t="s">
        <v>246</v>
      </c>
      <c r="J25" s="2"/>
      <c r="K25" s="2"/>
    </row>
  </sheetData>
  <mergeCells count="1"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3DD7-3AAC-406F-929D-16B9ADE5994C}">
  <dimension ref="A1:E10"/>
  <sheetViews>
    <sheetView workbookViewId="0">
      <selection activeCell="E10" sqref="A1:E10"/>
    </sheetView>
  </sheetViews>
  <sheetFormatPr defaultRowHeight="14.5" x14ac:dyDescent="0.35"/>
  <cols>
    <col min="1" max="1" width="27.6328125" bestFit="1" customWidth="1"/>
    <col min="2" max="2" width="11.453125" bestFit="1" customWidth="1"/>
    <col min="3" max="3" width="14.1796875" bestFit="1" customWidth="1"/>
    <col min="4" max="4" width="11.36328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221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1">
        <v>3.105</v>
      </c>
      <c r="C7" s="51">
        <v>2.9849999999999999</v>
      </c>
      <c r="D7" s="51">
        <v>3.92</v>
      </c>
      <c r="E7" s="51">
        <v>3.8</v>
      </c>
    </row>
    <row r="8" spans="1:5" x14ac:dyDescent="0.35">
      <c r="A8" s="11" t="s">
        <v>230</v>
      </c>
      <c r="B8" s="51">
        <v>3.1</v>
      </c>
      <c r="C8" s="51">
        <v>2.99</v>
      </c>
      <c r="D8" s="51">
        <v>3.89</v>
      </c>
      <c r="E8" s="51">
        <v>3.82</v>
      </c>
    </row>
    <row r="9" spans="1:5" x14ac:dyDescent="0.35">
      <c r="A9" s="11" t="s">
        <v>231</v>
      </c>
      <c r="B9" s="51">
        <v>3.0070000000000001</v>
      </c>
      <c r="C9" s="51">
        <v>2.9529999999999998</v>
      </c>
      <c r="D9" s="51">
        <v>3.915</v>
      </c>
      <c r="E9" s="51">
        <v>3.7850000000000001</v>
      </c>
    </row>
    <row r="10" spans="1:5" x14ac:dyDescent="0.35">
      <c r="A10" s="11" t="s">
        <v>232</v>
      </c>
      <c r="B10" s="51">
        <v>3.0049999999999999</v>
      </c>
      <c r="C10" s="51">
        <v>2.94</v>
      </c>
      <c r="D10" s="51">
        <v>3.88</v>
      </c>
      <c r="E10" s="51">
        <v>3.77</v>
      </c>
    </row>
  </sheetData>
  <mergeCells count="4">
    <mergeCell ref="A1:E1"/>
    <mergeCell ref="A3:E3"/>
    <mergeCell ref="B5:C5"/>
    <mergeCell ref="D5:E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EF0C-585F-4FA3-B357-BCA4187429B6}">
  <dimension ref="A1:E10"/>
  <sheetViews>
    <sheetView topLeftCell="B1" zoomScale="145" zoomScaleNormal="145" workbookViewId="0">
      <selection activeCell="A3" sqref="A3:E3"/>
    </sheetView>
  </sheetViews>
  <sheetFormatPr defaultRowHeight="14.5" x14ac:dyDescent="0.35"/>
  <cols>
    <col min="1" max="1" width="27.6328125" bestFit="1" customWidth="1"/>
    <col min="2" max="2" width="11.54296875" bestFit="1" customWidth="1"/>
    <col min="3" max="3" width="14.1796875" bestFit="1" customWidth="1"/>
    <col min="4" max="4" width="11.453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233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1">
        <v>3.11</v>
      </c>
      <c r="C7" s="51">
        <v>2.9830000000000001</v>
      </c>
      <c r="D7" s="51">
        <v>3.91</v>
      </c>
      <c r="E7" s="51">
        <v>3.75</v>
      </c>
    </row>
    <row r="8" spans="1:5" x14ac:dyDescent="0.35">
      <c r="A8" s="11" t="s">
        <v>230</v>
      </c>
      <c r="B8" s="51">
        <v>3.0070000000000001</v>
      </c>
      <c r="C8" s="51">
        <v>2.96</v>
      </c>
      <c r="D8" s="51">
        <v>3.87</v>
      </c>
      <c r="E8" s="51">
        <v>3.81</v>
      </c>
    </row>
    <row r="9" spans="1:5" x14ac:dyDescent="0.35">
      <c r="A9" s="11" t="s">
        <v>231</v>
      </c>
      <c r="B9" s="51">
        <v>3.01</v>
      </c>
      <c r="C9" s="51">
        <v>2.923</v>
      </c>
      <c r="D9" s="51">
        <v>3.9249999999999998</v>
      </c>
      <c r="E9" s="51">
        <v>3.79</v>
      </c>
    </row>
    <row r="10" spans="1:5" x14ac:dyDescent="0.35">
      <c r="A10" s="11" t="s">
        <v>232</v>
      </c>
      <c r="B10" s="51">
        <v>3.1</v>
      </c>
      <c r="C10" s="51">
        <v>2.9340000000000002</v>
      </c>
      <c r="D10" s="51">
        <v>3.89</v>
      </c>
      <c r="E10" s="51">
        <v>3.76</v>
      </c>
    </row>
  </sheetData>
  <mergeCells count="4">
    <mergeCell ref="A1:E1"/>
    <mergeCell ref="A3:E3"/>
    <mergeCell ref="B5:C5"/>
    <mergeCell ref="D5:E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783-C8EC-424D-9ECA-B525311C52B1}">
  <dimension ref="A1:E10"/>
  <sheetViews>
    <sheetView topLeftCell="B1" zoomScale="145" zoomScaleNormal="145" workbookViewId="0">
      <selection activeCell="A12" sqref="A12"/>
    </sheetView>
  </sheetViews>
  <sheetFormatPr defaultRowHeight="14.5" x14ac:dyDescent="0.35"/>
  <cols>
    <col min="1" max="1" width="27.6328125" bestFit="1" customWidth="1"/>
    <col min="2" max="2" width="11.54296875" bestFit="1" customWidth="1"/>
    <col min="3" max="3" width="14.1796875" bestFit="1" customWidth="1"/>
    <col min="4" max="4" width="11.453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234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1">
        <v>3.1</v>
      </c>
      <c r="C7" s="51">
        <v>2.9889999999999999</v>
      </c>
      <c r="D7" s="51">
        <v>3.915</v>
      </c>
      <c r="E7" s="51">
        <v>3.8149999999999999</v>
      </c>
    </row>
    <row r="8" spans="1:5" x14ac:dyDescent="0.35">
      <c r="A8" s="11" t="s">
        <v>230</v>
      </c>
      <c r="B8" s="51">
        <v>3.15</v>
      </c>
      <c r="C8" s="51">
        <v>2.93</v>
      </c>
      <c r="D8" s="51">
        <v>3.887</v>
      </c>
      <c r="E8" s="51">
        <v>3.823</v>
      </c>
    </row>
    <row r="9" spans="1:5" x14ac:dyDescent="0.35">
      <c r="A9" s="11" t="s">
        <v>231</v>
      </c>
      <c r="B9" s="51">
        <v>3.05</v>
      </c>
      <c r="C9" s="51">
        <v>2.9449999999999998</v>
      </c>
      <c r="D9" s="51">
        <v>3.923</v>
      </c>
      <c r="E9" s="51">
        <v>3.7989999999999999</v>
      </c>
    </row>
    <row r="10" spans="1:5" x14ac:dyDescent="0.35">
      <c r="A10" s="11" t="s">
        <v>232</v>
      </c>
      <c r="B10" s="51">
        <v>3.0089999999999999</v>
      </c>
      <c r="C10" s="51">
        <v>2.927</v>
      </c>
      <c r="D10" s="51">
        <v>3.89</v>
      </c>
      <c r="E10" s="51">
        <v>3.8</v>
      </c>
    </row>
  </sheetData>
  <mergeCells count="4">
    <mergeCell ref="A1:E1"/>
    <mergeCell ref="A3:E3"/>
    <mergeCell ref="B5:C5"/>
    <mergeCell ref="D5:E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6048-77C9-4944-9FB5-B96B30BC754B}">
  <dimension ref="A1:E10"/>
  <sheetViews>
    <sheetView zoomScale="130" zoomScaleNormal="130" workbookViewId="0">
      <selection activeCell="B13" sqref="B13"/>
    </sheetView>
  </sheetViews>
  <sheetFormatPr defaultRowHeight="14.5" x14ac:dyDescent="0.35"/>
  <cols>
    <col min="1" max="1" width="27.6328125" bestFit="1" customWidth="1"/>
    <col min="2" max="2" width="11.54296875" bestFit="1" customWidth="1"/>
    <col min="3" max="3" width="14.1796875" bestFit="1" customWidth="1"/>
    <col min="4" max="4" width="11.453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236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1">
        <v>3.11</v>
      </c>
      <c r="C7" s="51">
        <v>2.99</v>
      </c>
      <c r="D7" s="51">
        <v>3.95</v>
      </c>
      <c r="E7" s="51">
        <v>3.87</v>
      </c>
    </row>
    <row r="8" spans="1:5" x14ac:dyDescent="0.35">
      <c r="A8" s="11" t="s">
        <v>230</v>
      </c>
      <c r="B8" s="51">
        <v>3.0089999999999999</v>
      </c>
      <c r="C8" s="51">
        <v>2.98</v>
      </c>
      <c r="D8" s="51">
        <v>3.895</v>
      </c>
      <c r="E8" s="51">
        <v>3.84</v>
      </c>
    </row>
    <row r="9" spans="1:5" x14ac:dyDescent="0.35">
      <c r="A9" s="11" t="s">
        <v>231</v>
      </c>
      <c r="B9" s="51">
        <v>3.0049999999999999</v>
      </c>
      <c r="C9" s="51">
        <v>2.9449999999999998</v>
      </c>
      <c r="D9" s="51">
        <v>3.9</v>
      </c>
      <c r="E9" s="51">
        <v>3.79</v>
      </c>
    </row>
    <row r="10" spans="1:5" x14ac:dyDescent="0.35">
      <c r="A10" s="11" t="s">
        <v>232</v>
      </c>
      <c r="B10" s="51">
        <v>3.0150000000000001</v>
      </c>
      <c r="C10" s="51">
        <v>2.96</v>
      </c>
      <c r="D10" s="51">
        <v>3.8849999999999998</v>
      </c>
      <c r="E10" s="51">
        <v>3.7650000000000001</v>
      </c>
    </row>
  </sheetData>
  <mergeCells count="4">
    <mergeCell ref="A1:E1"/>
    <mergeCell ref="A3:E3"/>
    <mergeCell ref="B5:C5"/>
    <mergeCell ref="D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0BA0-AD38-4BD8-813F-A6B4A7D2FE99}">
  <dimension ref="A1:E10"/>
  <sheetViews>
    <sheetView workbookViewId="0">
      <selection activeCell="A20" sqref="A20"/>
    </sheetView>
  </sheetViews>
  <sheetFormatPr defaultRowHeight="14.5" x14ac:dyDescent="0.35"/>
  <cols>
    <col min="1" max="1" width="27.6328125" bestFit="1" customWidth="1"/>
    <col min="2" max="2" width="11.54296875" bestFit="1" customWidth="1"/>
    <col min="3" max="3" width="14.1796875" bestFit="1" customWidth="1"/>
    <col min="4" max="4" width="11.453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235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1">
        <v>3.1030000000000002</v>
      </c>
      <c r="C7" s="51">
        <v>2.9750000000000001</v>
      </c>
      <c r="D7" s="51">
        <v>3.95</v>
      </c>
      <c r="E7" s="51">
        <v>3.83</v>
      </c>
    </row>
    <row r="8" spans="1:5" x14ac:dyDescent="0.35">
      <c r="A8" s="11" t="s">
        <v>230</v>
      </c>
      <c r="B8" s="51">
        <v>3.12</v>
      </c>
      <c r="C8" s="51">
        <v>2.98</v>
      </c>
      <c r="D8" s="51">
        <v>3.899</v>
      </c>
      <c r="E8" s="51">
        <v>3.8</v>
      </c>
    </row>
    <row r="9" spans="1:5" x14ac:dyDescent="0.35">
      <c r="A9" s="11" t="s">
        <v>231</v>
      </c>
      <c r="B9" s="51">
        <v>3.09</v>
      </c>
      <c r="C9" s="51">
        <v>2.9670000000000001</v>
      </c>
      <c r="D9" s="51">
        <v>3.927</v>
      </c>
      <c r="E9" s="51">
        <v>3.7949999999999999</v>
      </c>
    </row>
    <row r="10" spans="1:5" x14ac:dyDescent="0.35">
      <c r="A10" s="11" t="s">
        <v>232</v>
      </c>
      <c r="B10" s="51">
        <v>3.0070000000000001</v>
      </c>
      <c r="C10" s="51">
        <v>2.9550000000000001</v>
      </c>
      <c r="D10" s="51">
        <v>3.8864999999999998</v>
      </c>
      <c r="E10" s="51">
        <v>3.78</v>
      </c>
    </row>
  </sheetData>
  <mergeCells count="4">
    <mergeCell ref="A1:E1"/>
    <mergeCell ref="A3:E3"/>
    <mergeCell ref="B5:C5"/>
    <mergeCell ref="D5:E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41E8-245A-4937-86A3-50EE89D4950B}">
  <dimension ref="A1:E10"/>
  <sheetViews>
    <sheetView topLeftCell="A19" zoomScale="70" zoomScaleNormal="70" workbookViewId="0">
      <selection activeCell="H36" sqref="H36"/>
    </sheetView>
  </sheetViews>
  <sheetFormatPr defaultRowHeight="14.5" x14ac:dyDescent="0.35"/>
  <cols>
    <col min="1" max="1" width="27.6328125" bestFit="1" customWidth="1"/>
    <col min="2" max="2" width="11.54296875" bestFit="1" customWidth="1"/>
    <col min="3" max="3" width="14.1796875" bestFit="1" customWidth="1"/>
    <col min="4" max="4" width="11.453125" bestFit="1" customWidth="1"/>
    <col min="5" max="5" width="14.08984375" bestFit="1" customWidth="1"/>
  </cols>
  <sheetData>
    <row r="1" spans="1:5" ht="18.5" x14ac:dyDescent="0.45">
      <c r="A1" s="77" t="s">
        <v>220</v>
      </c>
      <c r="B1" s="77"/>
      <c r="C1" s="77"/>
      <c r="D1" s="77"/>
      <c r="E1" s="77"/>
    </row>
    <row r="3" spans="1:5" x14ac:dyDescent="0.35">
      <c r="A3" s="80" t="s">
        <v>237</v>
      </c>
      <c r="B3" s="80"/>
      <c r="C3" s="80"/>
      <c r="D3" s="80"/>
      <c r="E3" s="80"/>
    </row>
    <row r="5" spans="1:5" x14ac:dyDescent="0.35">
      <c r="A5" s="11"/>
      <c r="B5" s="91" t="s">
        <v>222</v>
      </c>
      <c r="C5" s="91"/>
      <c r="D5" s="91" t="s">
        <v>225</v>
      </c>
      <c r="E5" s="91"/>
    </row>
    <row r="6" spans="1:5" x14ac:dyDescent="0.35">
      <c r="A6" s="50" t="s">
        <v>228</v>
      </c>
      <c r="B6" s="50" t="s">
        <v>223</v>
      </c>
      <c r="C6" s="50" t="s">
        <v>224</v>
      </c>
      <c r="D6" s="50" t="s">
        <v>226</v>
      </c>
      <c r="E6" s="50" t="s">
        <v>227</v>
      </c>
    </row>
    <row r="7" spans="1:5" x14ac:dyDescent="0.35">
      <c r="A7" s="11" t="s">
        <v>229</v>
      </c>
      <c r="B7" s="52">
        <v>3.1055999999999999</v>
      </c>
      <c r="C7" s="52">
        <v>2.9843999999999999</v>
      </c>
      <c r="D7" s="52">
        <v>3.9289999999999998</v>
      </c>
      <c r="E7" s="52">
        <v>3.8129999999999997</v>
      </c>
    </row>
    <row r="8" spans="1:5" x14ac:dyDescent="0.35">
      <c r="A8" s="11" t="s">
        <v>230</v>
      </c>
      <c r="B8" s="52">
        <v>3.0771999999999999</v>
      </c>
      <c r="C8" s="52">
        <v>2.968</v>
      </c>
      <c r="D8" s="52">
        <v>3.8882000000000003</v>
      </c>
      <c r="E8" s="52">
        <v>3.8186</v>
      </c>
    </row>
    <row r="9" spans="1:5" x14ac:dyDescent="0.35">
      <c r="A9" s="11" t="s">
        <v>231</v>
      </c>
      <c r="B9" s="52">
        <v>3.0324</v>
      </c>
      <c r="C9" s="52">
        <v>2.9466000000000001</v>
      </c>
      <c r="D9" s="52">
        <v>3.9180000000000001</v>
      </c>
      <c r="E9" s="52">
        <v>3.7917999999999998</v>
      </c>
    </row>
    <row r="10" spans="1:5" x14ac:dyDescent="0.35">
      <c r="A10" s="11" t="s">
        <v>232</v>
      </c>
      <c r="B10" s="52">
        <v>3.0271999999999997</v>
      </c>
      <c r="C10" s="52">
        <v>2.9432</v>
      </c>
      <c r="D10" s="52">
        <v>3.8862999999999999</v>
      </c>
      <c r="E10" s="52">
        <v>3.7749999999999999</v>
      </c>
    </row>
  </sheetData>
  <dataConsolidate function="average">
    <dataRefs count="5">
      <dataRef ref="B7:E10" sheet="Aplicatia 11-JOI"/>
      <dataRef ref="B7:E10" sheet="Aplicatia 11-LUNI"/>
      <dataRef ref="B7:E10" sheet="Aplicatia 11-MARTI"/>
      <dataRef ref="B7:E10" sheet="Aplicatia 11-MIERCURI"/>
      <dataRef ref="B7:E10" sheet="Aplicatia 11-VINERI"/>
    </dataRefs>
  </dataConsolidate>
  <mergeCells count="4">
    <mergeCell ref="A1:E1"/>
    <mergeCell ref="A3:E3"/>
    <mergeCell ref="B5:C5"/>
    <mergeCell ref="D5:E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4B450-691B-43C8-BF6A-D422E854466B}">
  <dimension ref="A1:F8"/>
  <sheetViews>
    <sheetView tabSelected="1" topLeftCell="A11" workbookViewId="0">
      <selection activeCell="I22" sqref="I22"/>
    </sheetView>
  </sheetViews>
  <sheetFormatPr defaultRowHeight="14.5" x14ac:dyDescent="0.35"/>
  <cols>
    <col min="1" max="1" width="10.6328125" bestFit="1" customWidth="1"/>
    <col min="2" max="2" width="10" customWidth="1"/>
    <col min="3" max="3" width="9.81640625" customWidth="1"/>
    <col min="4" max="4" width="11.36328125" customWidth="1"/>
    <col min="5" max="5" width="10.54296875" customWidth="1"/>
  </cols>
  <sheetData>
    <row r="1" spans="1:6" x14ac:dyDescent="0.35">
      <c r="A1" s="80" t="s">
        <v>238</v>
      </c>
      <c r="B1" s="80"/>
      <c r="C1" s="80"/>
      <c r="D1" s="80"/>
      <c r="E1" s="80"/>
    </row>
    <row r="2" spans="1:6" ht="43.5" x14ac:dyDescent="0.35">
      <c r="A2" s="32" t="s">
        <v>239</v>
      </c>
      <c r="B2" s="32" t="s">
        <v>223</v>
      </c>
      <c r="C2" s="32" t="s">
        <v>240</v>
      </c>
      <c r="D2" s="32" t="s">
        <v>224</v>
      </c>
      <c r="E2" s="32" t="s">
        <v>241</v>
      </c>
      <c r="F2" s="32"/>
    </row>
    <row r="3" spans="1:6" x14ac:dyDescent="0.35">
      <c r="A3" s="53">
        <v>39783</v>
      </c>
      <c r="B3" s="54">
        <f>AVERAGE(DVLuni)</f>
        <v>3.0542499999999997</v>
      </c>
      <c r="C3" s="54">
        <f>AVERAGE(EVLuni)</f>
        <v>3.9012500000000001</v>
      </c>
      <c r="D3" s="54">
        <f>AVERAGE(DCLuni)</f>
        <v>2.9669999999999996</v>
      </c>
      <c r="E3" s="54">
        <f>AVERAGE(ECLuni)</f>
        <v>3.7937499999999997</v>
      </c>
    </row>
    <row r="4" spans="1:6" x14ac:dyDescent="0.35">
      <c r="A4" s="53">
        <v>39784</v>
      </c>
      <c r="B4" s="54">
        <f>AVERAGE(DVMarti)</f>
        <v>3.0567499999999996</v>
      </c>
      <c r="C4" s="54">
        <f>AVERAGE(EVMarti)</f>
        <v>3.8987500000000002</v>
      </c>
      <c r="D4" s="54">
        <f>AVERAGE(DCMarti)</f>
        <v>2.95</v>
      </c>
      <c r="E4" s="54">
        <f>AVERAGE(ECMarti)</f>
        <v>3.7775000000000003</v>
      </c>
    </row>
    <row r="5" spans="1:6" x14ac:dyDescent="0.35">
      <c r="A5" s="53">
        <v>39785</v>
      </c>
      <c r="B5" s="54">
        <f>AVERAGE(DVMiercuri)</f>
        <v>3.0772500000000003</v>
      </c>
      <c r="C5" s="54">
        <f>AVERAGE(EVMiercuri)</f>
        <v>3.9037500000000001</v>
      </c>
      <c r="D5" s="54">
        <f>AVERAGE(DCMiercuri)</f>
        <v>2.9477500000000001</v>
      </c>
      <c r="E5" s="54">
        <f>AVERAGE(ECMiercuri)</f>
        <v>3.8092499999999996</v>
      </c>
    </row>
    <row r="6" spans="1:6" x14ac:dyDescent="0.35">
      <c r="A6" s="53">
        <v>39786</v>
      </c>
      <c r="B6" s="54">
        <f>AVERAGE(DVJoi)</f>
        <v>3.0347499999999998</v>
      </c>
      <c r="C6" s="54">
        <f>AVERAGE(EVJoi)</f>
        <v>3.9075000000000002</v>
      </c>
      <c r="D6" s="54">
        <f>AVERAGE(DCJoi)</f>
        <v>2.96875</v>
      </c>
      <c r="E6" s="54">
        <f>AVERAGE(ECJoi)</f>
        <v>3.8162500000000001</v>
      </c>
    </row>
    <row r="7" spans="1:6" x14ac:dyDescent="0.35">
      <c r="A7" s="53">
        <v>39787</v>
      </c>
      <c r="B7" s="54">
        <f>AVERAGE(DVVineri)</f>
        <v>3.08</v>
      </c>
      <c r="C7" s="54">
        <f>AVERAGE(EVVineri)</f>
        <v>3.9156249999999999</v>
      </c>
      <c r="D7" s="54">
        <f>AVERAGE(DCVineri)</f>
        <v>2.9692500000000002</v>
      </c>
      <c r="E7" s="54">
        <f>AVERAGE(ECVineri)</f>
        <v>3.80125</v>
      </c>
    </row>
    <row r="8" spans="1:6" x14ac:dyDescent="0.35">
      <c r="A8" t="s">
        <v>242</v>
      </c>
      <c r="B8" s="54">
        <f>AVERAGE(B3:B7)</f>
        <v>3.0606</v>
      </c>
      <c r="C8" s="54">
        <f t="shared" ref="C8:E8" si="0">AVERAGE(C3:C7)</f>
        <v>3.9053750000000003</v>
      </c>
      <c r="D8" s="54">
        <f t="shared" si="0"/>
        <v>2.9605500000000005</v>
      </c>
      <c r="E8" s="54">
        <f t="shared" si="0"/>
        <v>3.7996000000000003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C638-79A9-4459-A1B8-7CFDC6ABF8B3}">
  <dimension ref="A3:F33"/>
  <sheetViews>
    <sheetView topLeftCell="A19" zoomScale="115" zoomScaleNormal="115" workbookViewId="0">
      <selection activeCell="C31" sqref="C31"/>
    </sheetView>
  </sheetViews>
  <sheetFormatPr defaultRowHeight="14.5" x14ac:dyDescent="0.35"/>
  <cols>
    <col min="2" max="2" width="17" customWidth="1"/>
    <col min="3" max="3" width="8.81640625" customWidth="1"/>
    <col min="4" max="4" width="9.90625" customWidth="1"/>
  </cols>
  <sheetData>
    <row r="3" spans="1:6" x14ac:dyDescent="0.3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19</v>
      </c>
    </row>
    <row r="4" spans="1:6" x14ac:dyDescent="0.35">
      <c r="A4">
        <v>1</v>
      </c>
      <c r="B4" t="s">
        <v>22</v>
      </c>
      <c r="C4" t="s">
        <v>21</v>
      </c>
      <c r="D4">
        <v>3</v>
      </c>
      <c r="E4" s="2">
        <v>3000</v>
      </c>
      <c r="F4" s="2">
        <f>D4*E4</f>
        <v>9000</v>
      </c>
    </row>
    <row r="5" spans="1:6" x14ac:dyDescent="0.35">
      <c r="A5">
        <v>2</v>
      </c>
      <c r="B5" t="s">
        <v>23</v>
      </c>
      <c r="C5" t="s">
        <v>21</v>
      </c>
      <c r="D5">
        <v>5</v>
      </c>
      <c r="E5" s="2">
        <v>800</v>
      </c>
      <c r="F5" s="2">
        <f t="shared" ref="F5:F7" si="0">D5*E5</f>
        <v>4000</v>
      </c>
    </row>
    <row r="6" spans="1:6" x14ac:dyDescent="0.35">
      <c r="A6">
        <v>3</v>
      </c>
      <c r="B6" t="s">
        <v>24</v>
      </c>
      <c r="C6" t="s">
        <v>21</v>
      </c>
      <c r="D6">
        <v>1</v>
      </c>
      <c r="E6" s="2">
        <v>700</v>
      </c>
      <c r="F6" s="2">
        <f t="shared" si="0"/>
        <v>700</v>
      </c>
    </row>
    <row r="7" spans="1:6" x14ac:dyDescent="0.35">
      <c r="A7">
        <v>4</v>
      </c>
      <c r="B7" t="s">
        <v>25</v>
      </c>
      <c r="C7" t="s">
        <v>21</v>
      </c>
      <c r="D7">
        <v>4</v>
      </c>
      <c r="E7" s="2">
        <v>2500</v>
      </c>
      <c r="F7" s="2">
        <f t="shared" si="0"/>
        <v>10000</v>
      </c>
    </row>
    <row r="8" spans="1:6" x14ac:dyDescent="0.35">
      <c r="A8" t="s">
        <v>5</v>
      </c>
      <c r="F8" s="2">
        <f>SUM(F4:F7)</f>
        <v>23700</v>
      </c>
    </row>
    <row r="22" spans="2:6" x14ac:dyDescent="0.35">
      <c r="B22" s="75" t="s">
        <v>26</v>
      </c>
      <c r="C22" s="75"/>
      <c r="D22" s="75"/>
      <c r="E22" s="75"/>
      <c r="F22" s="75"/>
    </row>
    <row r="23" spans="2:6" x14ac:dyDescent="0.35">
      <c r="B23" s="3" t="s">
        <v>16</v>
      </c>
      <c r="C23" s="3" t="s">
        <v>17</v>
      </c>
      <c r="D23" s="3" t="s">
        <v>18</v>
      </c>
      <c r="E23" s="3" t="s">
        <v>20</v>
      </c>
      <c r="F23" s="4" t="s">
        <v>19</v>
      </c>
    </row>
    <row r="24" spans="2:6" x14ac:dyDescent="0.35">
      <c r="B24" s="5" t="s">
        <v>22</v>
      </c>
      <c r="C24" s="5" t="s">
        <v>21</v>
      </c>
      <c r="D24" s="5">
        <v>3</v>
      </c>
      <c r="E24" s="7">
        <v>3000</v>
      </c>
      <c r="F24" s="8">
        <f>D24*E24</f>
        <v>9000</v>
      </c>
    </row>
    <row r="25" spans="2:6" x14ac:dyDescent="0.35">
      <c r="B25" s="6" t="s">
        <v>23</v>
      </c>
      <c r="C25" s="6" t="s">
        <v>21</v>
      </c>
      <c r="D25" s="6">
        <v>5</v>
      </c>
      <c r="E25" s="9">
        <v>800</v>
      </c>
      <c r="F25" s="10">
        <f>D25*E25</f>
        <v>4000</v>
      </c>
    </row>
    <row r="26" spans="2:6" x14ac:dyDescent="0.35">
      <c r="B26" s="6" t="s">
        <v>25</v>
      </c>
      <c r="C26" s="6" t="s">
        <v>21</v>
      </c>
      <c r="D26" s="6">
        <v>4</v>
      </c>
      <c r="E26" s="9">
        <v>2500</v>
      </c>
      <c r="F26" s="10">
        <f>D26*E26</f>
        <v>10000</v>
      </c>
    </row>
    <row r="27" spans="2:6" x14ac:dyDescent="0.35">
      <c r="B27" s="5" t="s">
        <v>24</v>
      </c>
      <c r="C27" s="5" t="s">
        <v>21</v>
      </c>
      <c r="D27" s="5">
        <v>1</v>
      </c>
      <c r="E27" s="7">
        <v>700</v>
      </c>
      <c r="F27" s="8">
        <f>D27*E27</f>
        <v>700</v>
      </c>
    </row>
    <row r="30" spans="2:6" x14ac:dyDescent="0.35">
      <c r="B30" t="s">
        <v>28</v>
      </c>
      <c r="C30" t="s">
        <v>24</v>
      </c>
    </row>
    <row r="31" spans="2:6" x14ac:dyDescent="0.35">
      <c r="B31" t="s">
        <v>29</v>
      </c>
      <c r="C31">
        <f>VLOOKUP(C30,B23:F27,3,1)</f>
        <v>1</v>
      </c>
    </row>
    <row r="32" spans="2:6" x14ac:dyDescent="0.35">
      <c r="B32" t="s">
        <v>27</v>
      </c>
      <c r="C32">
        <f>VLOOKUP(C30,B23:F27,4,1)</f>
        <v>700</v>
      </c>
    </row>
    <row r="33" spans="2:3" x14ac:dyDescent="0.35">
      <c r="B33" t="s">
        <v>30</v>
      </c>
      <c r="C33">
        <f>VLOOKUP(C30,B23:F27,5,1)</f>
        <v>700</v>
      </c>
    </row>
  </sheetData>
  <sortState xmlns:xlrd2="http://schemas.microsoft.com/office/spreadsheetml/2017/richdata2" ref="B24:F27">
    <sortCondition ref="B24:B27"/>
  </sortState>
  <mergeCells count="1">
    <mergeCell ref="B22:F2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E003-D2D8-489B-BEB8-3E397194C861}">
  <dimension ref="A1:K61"/>
  <sheetViews>
    <sheetView topLeftCell="A3" zoomScaleNormal="100" workbookViewId="0">
      <selection activeCell="A4" sqref="A4:XFD16"/>
    </sheetView>
  </sheetViews>
  <sheetFormatPr defaultRowHeight="14.5" x14ac:dyDescent="0.35"/>
  <cols>
    <col min="1" max="1" width="10.26953125" bestFit="1" customWidth="1"/>
    <col min="2" max="2" width="9.7265625" bestFit="1" customWidth="1"/>
    <col min="3" max="3" width="8.36328125" bestFit="1" customWidth="1"/>
    <col min="4" max="4" width="4.90625" bestFit="1" customWidth="1"/>
    <col min="5" max="5" width="6" bestFit="1" customWidth="1"/>
    <col min="6" max="10" width="3.36328125" bestFit="1" customWidth="1"/>
  </cols>
  <sheetData>
    <row r="1" spans="1:11" ht="18.5" x14ac:dyDescent="0.45">
      <c r="A1" s="77" t="s">
        <v>31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4" spans="1:11" x14ac:dyDescent="0.35">
      <c r="A4" s="78" t="s">
        <v>32</v>
      </c>
      <c r="B4" s="78"/>
      <c r="C4" s="78"/>
      <c r="D4" s="78"/>
      <c r="E4" s="78"/>
      <c r="F4" s="78" t="s">
        <v>33</v>
      </c>
      <c r="G4" s="78"/>
      <c r="H4" s="78"/>
      <c r="I4" s="78"/>
      <c r="J4" s="78"/>
      <c r="K4" s="78" t="s">
        <v>44</v>
      </c>
    </row>
    <row r="5" spans="1:11" ht="76.5" x14ac:dyDescent="0.35">
      <c r="A5" s="12" t="s">
        <v>34</v>
      </c>
      <c r="B5" s="12" t="s">
        <v>35</v>
      </c>
      <c r="C5" s="12" t="s">
        <v>36</v>
      </c>
      <c r="D5" s="12" t="s">
        <v>37</v>
      </c>
      <c r="E5" s="12" t="s">
        <v>38</v>
      </c>
      <c r="F5" s="13" t="s">
        <v>39</v>
      </c>
      <c r="G5" s="13" t="s">
        <v>40</v>
      </c>
      <c r="H5" s="13" t="s">
        <v>41</v>
      </c>
      <c r="I5" s="13" t="s">
        <v>42</v>
      </c>
      <c r="J5" s="13" t="s">
        <v>43</v>
      </c>
      <c r="K5" s="78"/>
    </row>
    <row r="6" spans="1:11" x14ac:dyDescent="0.35">
      <c r="A6" s="11">
        <v>1234</v>
      </c>
      <c r="B6" s="11" t="s">
        <v>45</v>
      </c>
      <c r="C6" s="11" t="s">
        <v>65</v>
      </c>
      <c r="D6" s="11">
        <v>1</v>
      </c>
      <c r="E6" s="11">
        <v>1</v>
      </c>
      <c r="F6" s="11">
        <v>10</v>
      </c>
      <c r="G6" s="11">
        <v>9</v>
      </c>
      <c r="H6" s="11">
        <v>10</v>
      </c>
      <c r="I6" s="11">
        <v>9</v>
      </c>
      <c r="J6" s="11">
        <v>10</v>
      </c>
      <c r="K6" s="11">
        <f>AVERAGE(F6:J6)</f>
        <v>9.6</v>
      </c>
    </row>
    <row r="7" spans="1:11" x14ac:dyDescent="0.35">
      <c r="A7" s="11">
        <v>1235</v>
      </c>
      <c r="B7" s="11" t="s">
        <v>46</v>
      </c>
      <c r="C7" s="11" t="s">
        <v>64</v>
      </c>
      <c r="D7" s="11">
        <v>1</v>
      </c>
      <c r="E7" s="11">
        <v>2</v>
      </c>
      <c r="F7" s="11">
        <v>8</v>
      </c>
      <c r="G7" s="11">
        <v>7</v>
      </c>
      <c r="H7" s="11">
        <v>6</v>
      </c>
      <c r="I7" s="11">
        <v>8</v>
      </c>
      <c r="J7" s="11">
        <v>9</v>
      </c>
      <c r="K7" s="11">
        <f t="shared" ref="K7:K16" si="0">AVERAGE(F7:J7)</f>
        <v>7.6</v>
      </c>
    </row>
    <row r="8" spans="1:11" x14ac:dyDescent="0.35">
      <c r="A8" s="11">
        <v>1236</v>
      </c>
      <c r="B8" s="11" t="s">
        <v>47</v>
      </c>
      <c r="C8" s="11" t="s">
        <v>63</v>
      </c>
      <c r="D8" s="11">
        <v>4</v>
      </c>
      <c r="E8" s="11">
        <v>1</v>
      </c>
      <c r="F8" s="11">
        <v>7</v>
      </c>
      <c r="G8" s="11">
        <v>5</v>
      </c>
      <c r="H8" s="11">
        <v>8</v>
      </c>
      <c r="I8" s="11">
        <v>7</v>
      </c>
      <c r="J8" s="11">
        <v>10</v>
      </c>
      <c r="K8" s="11">
        <f t="shared" si="0"/>
        <v>7.4</v>
      </c>
    </row>
    <row r="9" spans="1:11" x14ac:dyDescent="0.35">
      <c r="A9" s="11">
        <v>1237</v>
      </c>
      <c r="B9" s="11" t="s">
        <v>48</v>
      </c>
      <c r="C9" s="11" t="s">
        <v>62</v>
      </c>
      <c r="D9" s="11">
        <v>5</v>
      </c>
      <c r="E9" s="11">
        <v>1</v>
      </c>
      <c r="F9" s="11">
        <v>5</v>
      </c>
      <c r="G9" s="11">
        <v>6</v>
      </c>
      <c r="H9" s="11">
        <v>7</v>
      </c>
      <c r="I9" s="11">
        <v>5</v>
      </c>
      <c r="J9" s="11">
        <v>7</v>
      </c>
      <c r="K9" s="11">
        <f t="shared" si="0"/>
        <v>6</v>
      </c>
    </row>
    <row r="10" spans="1:11" x14ac:dyDescent="0.35">
      <c r="A10" s="11">
        <v>1238</v>
      </c>
      <c r="B10" s="11" t="s">
        <v>45</v>
      </c>
      <c r="C10" s="11" t="s">
        <v>61</v>
      </c>
      <c r="D10" s="11">
        <v>7</v>
      </c>
      <c r="E10" s="11">
        <v>1</v>
      </c>
      <c r="F10" s="11">
        <v>4</v>
      </c>
      <c r="G10" s="11">
        <v>5</v>
      </c>
      <c r="H10" s="11">
        <v>6</v>
      </c>
      <c r="I10" s="11">
        <v>5</v>
      </c>
      <c r="J10" s="11">
        <v>6</v>
      </c>
      <c r="K10" s="11">
        <f t="shared" si="0"/>
        <v>5.2</v>
      </c>
    </row>
    <row r="11" spans="1:11" x14ac:dyDescent="0.35">
      <c r="A11" s="11">
        <v>1239</v>
      </c>
      <c r="B11" s="11" t="s">
        <v>49</v>
      </c>
      <c r="C11" s="11" t="s">
        <v>60</v>
      </c>
      <c r="D11" s="11">
        <v>8</v>
      </c>
      <c r="E11" s="11">
        <v>2</v>
      </c>
      <c r="F11" s="11">
        <v>8</v>
      </c>
      <c r="G11" s="11">
        <v>5</v>
      </c>
      <c r="H11" s="11">
        <v>6</v>
      </c>
      <c r="I11" s="11">
        <v>8</v>
      </c>
      <c r="J11" s="11">
        <v>9</v>
      </c>
      <c r="K11" s="11">
        <f t="shared" si="0"/>
        <v>7.2</v>
      </c>
    </row>
    <row r="12" spans="1:11" x14ac:dyDescent="0.35">
      <c r="A12" s="11">
        <v>1240</v>
      </c>
      <c r="B12" s="11" t="s">
        <v>50</v>
      </c>
      <c r="C12" s="11" t="s">
        <v>59</v>
      </c>
      <c r="D12" s="11">
        <v>5</v>
      </c>
      <c r="E12" s="11">
        <v>4</v>
      </c>
      <c r="F12" s="11">
        <v>6</v>
      </c>
      <c r="G12" s="11">
        <v>4</v>
      </c>
      <c r="H12" s="11">
        <v>5</v>
      </c>
      <c r="I12" s="11">
        <v>4</v>
      </c>
      <c r="J12" s="11">
        <v>7</v>
      </c>
      <c r="K12" s="11">
        <f t="shared" si="0"/>
        <v>5.2</v>
      </c>
    </row>
    <row r="13" spans="1:11" x14ac:dyDescent="0.35">
      <c r="A13" s="11">
        <v>1241</v>
      </c>
      <c r="B13" s="11" t="s">
        <v>51</v>
      </c>
      <c r="C13" s="11" t="s">
        <v>58</v>
      </c>
      <c r="D13" s="11">
        <v>4</v>
      </c>
      <c r="E13" s="11">
        <v>3</v>
      </c>
      <c r="F13" s="11">
        <v>9</v>
      </c>
      <c r="G13" s="11">
        <v>6</v>
      </c>
      <c r="H13" s="11">
        <v>9</v>
      </c>
      <c r="I13" s="11">
        <v>7</v>
      </c>
      <c r="J13" s="11">
        <v>10</v>
      </c>
      <c r="K13" s="11">
        <f t="shared" si="0"/>
        <v>8.1999999999999993</v>
      </c>
    </row>
    <row r="14" spans="1:11" x14ac:dyDescent="0.35">
      <c r="A14" s="11">
        <v>1242</v>
      </c>
      <c r="B14" s="11" t="s">
        <v>52</v>
      </c>
      <c r="C14" s="11" t="s">
        <v>57</v>
      </c>
      <c r="D14" s="11">
        <v>7</v>
      </c>
      <c r="E14" s="11">
        <v>2</v>
      </c>
      <c r="F14" s="11">
        <v>10</v>
      </c>
      <c r="G14" s="11">
        <v>9</v>
      </c>
      <c r="H14" s="11">
        <v>10</v>
      </c>
      <c r="I14" s="11">
        <v>10</v>
      </c>
      <c r="J14" s="11">
        <v>9</v>
      </c>
      <c r="K14" s="11">
        <f t="shared" si="0"/>
        <v>9.6</v>
      </c>
    </row>
    <row r="15" spans="1:11" x14ac:dyDescent="0.35">
      <c r="A15" s="11">
        <v>1243</v>
      </c>
      <c r="B15" s="11" t="s">
        <v>53</v>
      </c>
      <c r="C15" s="11" t="s">
        <v>56</v>
      </c>
      <c r="D15" s="11">
        <v>8</v>
      </c>
      <c r="E15" s="11">
        <v>1</v>
      </c>
      <c r="F15" s="11">
        <v>9</v>
      </c>
      <c r="G15" s="11">
        <v>9</v>
      </c>
      <c r="H15" s="11">
        <v>10</v>
      </c>
      <c r="I15" s="11">
        <v>10</v>
      </c>
      <c r="J15" s="11">
        <v>10</v>
      </c>
      <c r="K15" s="11">
        <f t="shared" si="0"/>
        <v>9.6</v>
      </c>
    </row>
    <row r="16" spans="1:11" x14ac:dyDescent="0.35">
      <c r="A16" s="11">
        <v>1244</v>
      </c>
      <c r="B16" s="11" t="s">
        <v>54</v>
      </c>
      <c r="C16" s="11" t="s">
        <v>55</v>
      </c>
      <c r="D16" s="11">
        <v>1</v>
      </c>
      <c r="E16" s="11">
        <v>1</v>
      </c>
      <c r="F16" s="11">
        <v>4</v>
      </c>
      <c r="G16" s="11">
        <v>5</v>
      </c>
      <c r="H16" s="11">
        <v>6</v>
      </c>
      <c r="I16" s="11">
        <v>7</v>
      </c>
      <c r="J16" s="11">
        <v>6</v>
      </c>
      <c r="K16" s="11">
        <f t="shared" si="0"/>
        <v>5.6</v>
      </c>
    </row>
    <row r="19" spans="1:11" x14ac:dyDescent="0.35">
      <c r="A19" t="s">
        <v>66</v>
      </c>
    </row>
    <row r="20" spans="1:11" ht="14" customHeight="1" x14ac:dyDescent="0.35"/>
    <row r="21" spans="1:11" x14ac:dyDescent="0.35">
      <c r="A21" s="79" t="s">
        <v>32</v>
      </c>
      <c r="B21" s="79"/>
      <c r="C21" s="79"/>
      <c r="D21" s="79"/>
      <c r="E21" s="79"/>
      <c r="F21" s="79" t="s">
        <v>33</v>
      </c>
      <c r="G21" s="79"/>
      <c r="H21" s="79"/>
      <c r="I21" s="79"/>
      <c r="J21" s="79"/>
      <c r="K21" s="79" t="s">
        <v>44</v>
      </c>
    </row>
    <row r="22" spans="1:11" ht="76.5" x14ac:dyDescent="0.35">
      <c r="A22" s="14" t="s">
        <v>34</v>
      </c>
      <c r="B22" s="14" t="s">
        <v>35</v>
      </c>
      <c r="C22" s="14" t="s">
        <v>36</v>
      </c>
      <c r="D22" s="14" t="s">
        <v>37</v>
      </c>
      <c r="E22" s="14" t="s">
        <v>38</v>
      </c>
      <c r="F22" s="15" t="s">
        <v>39</v>
      </c>
      <c r="G22" s="15" t="s">
        <v>40</v>
      </c>
      <c r="H22" s="15" t="s">
        <v>41</v>
      </c>
      <c r="I22" s="15" t="s">
        <v>42</v>
      </c>
      <c r="J22" s="15" t="s">
        <v>43</v>
      </c>
      <c r="K22" s="79"/>
    </row>
    <row r="23" spans="1:11" x14ac:dyDescent="0.35">
      <c r="A23" s="16">
        <v>1234</v>
      </c>
      <c r="B23" s="16" t="str">
        <f>UPPER(B6)</f>
        <v>IONESCU</v>
      </c>
      <c r="C23" s="16" t="s">
        <v>65</v>
      </c>
      <c r="D23" s="16">
        <v>1</v>
      </c>
      <c r="E23" s="16">
        <v>1</v>
      </c>
      <c r="F23" s="16">
        <v>10</v>
      </c>
      <c r="G23" s="16">
        <v>9</v>
      </c>
      <c r="H23" s="16">
        <v>10</v>
      </c>
      <c r="I23" s="16">
        <v>9</v>
      </c>
      <c r="J23" s="16">
        <v>10</v>
      </c>
      <c r="K23" s="16">
        <f>AVERAGE(F23:J23)</f>
        <v>9.6</v>
      </c>
    </row>
    <row r="24" spans="1:11" x14ac:dyDescent="0.35">
      <c r="A24" s="16">
        <v>1235</v>
      </c>
      <c r="B24" s="16" t="str">
        <f t="shared" ref="B24:B33" si="1">UPPER(B7)</f>
        <v>POPESCU</v>
      </c>
      <c r="C24" s="16" t="s">
        <v>64</v>
      </c>
      <c r="D24" s="16">
        <v>1</v>
      </c>
      <c r="E24" s="16">
        <v>2</v>
      </c>
      <c r="F24" s="16">
        <v>8</v>
      </c>
      <c r="G24" s="16">
        <v>7</v>
      </c>
      <c r="H24" s="16">
        <v>6</v>
      </c>
      <c r="I24" s="16">
        <v>8</v>
      </c>
      <c r="J24" s="16">
        <v>9</v>
      </c>
      <c r="K24" s="16">
        <f t="shared" ref="K24:K33" si="2">AVERAGE(F24:J24)</f>
        <v>7.6</v>
      </c>
    </row>
    <row r="25" spans="1:11" x14ac:dyDescent="0.35">
      <c r="A25" s="16">
        <v>1236</v>
      </c>
      <c r="B25" s="16" t="str">
        <f t="shared" si="1"/>
        <v>POPA</v>
      </c>
      <c r="C25" s="16" t="s">
        <v>63</v>
      </c>
      <c r="D25" s="16">
        <v>4</v>
      </c>
      <c r="E25" s="16">
        <v>1</v>
      </c>
      <c r="F25" s="16">
        <v>7</v>
      </c>
      <c r="G25" s="16">
        <v>5</v>
      </c>
      <c r="H25" s="16">
        <v>8</v>
      </c>
      <c r="I25" s="16">
        <v>7</v>
      </c>
      <c r="J25" s="16">
        <v>10</v>
      </c>
      <c r="K25" s="16">
        <f t="shared" si="2"/>
        <v>7.4</v>
      </c>
    </row>
    <row r="26" spans="1:11" x14ac:dyDescent="0.35">
      <c r="A26" s="16">
        <v>1237</v>
      </c>
      <c r="B26" s="16" t="str">
        <f t="shared" si="1"/>
        <v>POP</v>
      </c>
      <c r="C26" s="16" t="s">
        <v>62</v>
      </c>
      <c r="D26" s="16">
        <v>5</v>
      </c>
      <c r="E26" s="16">
        <v>1</v>
      </c>
      <c r="F26" s="16">
        <v>5</v>
      </c>
      <c r="G26" s="16">
        <v>6</v>
      </c>
      <c r="H26" s="16">
        <v>7</v>
      </c>
      <c r="I26" s="16">
        <v>5</v>
      </c>
      <c r="J26" s="16">
        <v>7</v>
      </c>
      <c r="K26" s="16">
        <f t="shared" si="2"/>
        <v>6</v>
      </c>
    </row>
    <row r="27" spans="1:11" x14ac:dyDescent="0.35">
      <c r="A27" s="16">
        <v>1238</v>
      </c>
      <c r="B27" s="16" t="str">
        <f t="shared" si="1"/>
        <v>IONESCU</v>
      </c>
      <c r="C27" s="16" t="s">
        <v>61</v>
      </c>
      <c r="D27" s="16">
        <v>7</v>
      </c>
      <c r="E27" s="16">
        <v>1</v>
      </c>
      <c r="F27" s="16">
        <v>4</v>
      </c>
      <c r="G27" s="16">
        <v>5</v>
      </c>
      <c r="H27" s="16">
        <v>6</v>
      </c>
      <c r="I27" s="16">
        <v>5</v>
      </c>
      <c r="J27" s="16">
        <v>6</v>
      </c>
      <c r="K27" s="16">
        <f t="shared" si="2"/>
        <v>5.2</v>
      </c>
    </row>
    <row r="28" spans="1:11" x14ac:dyDescent="0.35">
      <c r="A28" s="16">
        <v>1239</v>
      </c>
      <c r="B28" s="16" t="str">
        <f t="shared" si="1"/>
        <v>MIHAILESCU</v>
      </c>
      <c r="C28" s="16" t="s">
        <v>60</v>
      </c>
      <c r="D28" s="16">
        <v>8</v>
      </c>
      <c r="E28" s="16">
        <v>2</v>
      </c>
      <c r="F28" s="16">
        <v>8</v>
      </c>
      <c r="G28" s="16">
        <v>5</v>
      </c>
      <c r="H28" s="16">
        <v>6</v>
      </c>
      <c r="I28" s="16">
        <v>8</v>
      </c>
      <c r="J28" s="16">
        <v>9</v>
      </c>
      <c r="K28" s="16">
        <f t="shared" si="2"/>
        <v>7.2</v>
      </c>
    </row>
    <row r="29" spans="1:11" x14ac:dyDescent="0.35">
      <c r="A29" s="16">
        <v>1240</v>
      </c>
      <c r="B29" s="16" t="str">
        <f t="shared" si="1"/>
        <v>MATEESCU</v>
      </c>
      <c r="C29" s="16" t="s">
        <v>59</v>
      </c>
      <c r="D29" s="16">
        <v>5</v>
      </c>
      <c r="E29" s="16">
        <v>4</v>
      </c>
      <c r="F29" s="16">
        <v>6</v>
      </c>
      <c r="G29" s="16">
        <v>4</v>
      </c>
      <c r="H29" s="16">
        <v>5</v>
      </c>
      <c r="I29" s="16">
        <v>4</v>
      </c>
      <c r="J29" s="16">
        <v>7</v>
      </c>
      <c r="K29" s="16">
        <f t="shared" si="2"/>
        <v>5.2</v>
      </c>
    </row>
    <row r="30" spans="1:11" x14ac:dyDescent="0.35">
      <c r="A30" s="16">
        <v>1241</v>
      </c>
      <c r="B30" s="16" t="str">
        <f t="shared" si="1"/>
        <v>GEORGESCU</v>
      </c>
      <c r="C30" s="16" t="s">
        <v>58</v>
      </c>
      <c r="D30" s="16">
        <v>4</v>
      </c>
      <c r="E30" s="16">
        <v>3</v>
      </c>
      <c r="F30" s="16">
        <v>9</v>
      </c>
      <c r="G30" s="16">
        <v>6</v>
      </c>
      <c r="H30" s="16">
        <v>9</v>
      </c>
      <c r="I30" s="16">
        <v>7</v>
      </c>
      <c r="J30" s="16">
        <v>10</v>
      </c>
      <c r="K30" s="16">
        <f t="shared" si="2"/>
        <v>8.1999999999999993</v>
      </c>
    </row>
    <row r="31" spans="1:11" x14ac:dyDescent="0.35">
      <c r="A31" s="16">
        <v>1242</v>
      </c>
      <c r="B31" s="16" t="str">
        <f t="shared" si="1"/>
        <v>ADAM</v>
      </c>
      <c r="C31" s="16" t="s">
        <v>57</v>
      </c>
      <c r="D31" s="16">
        <v>7</v>
      </c>
      <c r="E31" s="16">
        <v>2</v>
      </c>
      <c r="F31" s="16">
        <v>10</v>
      </c>
      <c r="G31" s="16">
        <v>9</v>
      </c>
      <c r="H31" s="16">
        <v>10</v>
      </c>
      <c r="I31" s="16">
        <v>10</v>
      </c>
      <c r="J31" s="16">
        <v>9</v>
      </c>
      <c r="K31" s="16">
        <f t="shared" si="2"/>
        <v>9.6</v>
      </c>
    </row>
    <row r="32" spans="1:11" x14ac:dyDescent="0.35">
      <c r="A32" s="16">
        <v>1243</v>
      </c>
      <c r="B32" s="16" t="str">
        <f t="shared" si="1"/>
        <v>STEFAN</v>
      </c>
      <c r="C32" s="16" t="s">
        <v>56</v>
      </c>
      <c r="D32" s="16">
        <v>8</v>
      </c>
      <c r="E32" s="16">
        <v>1</v>
      </c>
      <c r="F32" s="16">
        <v>9</v>
      </c>
      <c r="G32" s="16">
        <v>9</v>
      </c>
      <c r="H32" s="16">
        <v>10</v>
      </c>
      <c r="I32" s="16">
        <v>10</v>
      </c>
      <c r="J32" s="16">
        <v>10</v>
      </c>
      <c r="K32" s="16">
        <f t="shared" si="2"/>
        <v>9.6</v>
      </c>
    </row>
    <row r="33" spans="1:11" x14ac:dyDescent="0.35">
      <c r="A33" s="16">
        <v>1244</v>
      </c>
      <c r="B33" s="16" t="str">
        <f t="shared" si="1"/>
        <v>MIHALCEA</v>
      </c>
      <c r="C33" s="16" t="s">
        <v>55</v>
      </c>
      <c r="D33" s="16">
        <v>1</v>
      </c>
      <c r="E33" s="16">
        <v>1</v>
      </c>
      <c r="F33" s="16">
        <v>4</v>
      </c>
      <c r="G33" s="16">
        <v>5</v>
      </c>
      <c r="H33" s="16">
        <v>6</v>
      </c>
      <c r="I33" s="16">
        <v>7</v>
      </c>
      <c r="J33" s="16">
        <v>6</v>
      </c>
      <c r="K33" s="16">
        <f t="shared" si="2"/>
        <v>5.6</v>
      </c>
    </row>
    <row r="35" spans="1:11" x14ac:dyDescent="0.35">
      <c r="A35" t="s">
        <v>67</v>
      </c>
    </row>
    <row r="36" spans="1:11" ht="14" customHeight="1" x14ac:dyDescent="0.35"/>
    <row r="37" spans="1:11" x14ac:dyDescent="0.35">
      <c r="A37" s="79" t="s">
        <v>32</v>
      </c>
      <c r="B37" s="79"/>
      <c r="C37" s="79"/>
      <c r="D37" s="79"/>
      <c r="E37" s="79"/>
      <c r="F37" s="79" t="s">
        <v>33</v>
      </c>
      <c r="G37" s="79"/>
      <c r="H37" s="79"/>
      <c r="I37" s="79"/>
      <c r="J37" s="79"/>
      <c r="K37" s="79" t="s">
        <v>44</v>
      </c>
    </row>
    <row r="38" spans="1:11" ht="76.5" x14ac:dyDescent="0.35">
      <c r="A38" s="14" t="s">
        <v>34</v>
      </c>
      <c r="B38" s="14" t="s">
        <v>35</v>
      </c>
      <c r="C38" s="14" t="s">
        <v>36</v>
      </c>
      <c r="D38" s="14" t="s">
        <v>37</v>
      </c>
      <c r="E38" s="14" t="s">
        <v>38</v>
      </c>
      <c r="F38" s="15" t="s">
        <v>39</v>
      </c>
      <c r="G38" s="15" t="s">
        <v>40</v>
      </c>
      <c r="H38" s="15" t="s">
        <v>41</v>
      </c>
      <c r="I38" s="15" t="s">
        <v>42</v>
      </c>
      <c r="J38" s="15" t="s">
        <v>43</v>
      </c>
      <c r="K38" s="79"/>
    </row>
    <row r="39" spans="1:11" x14ac:dyDescent="0.35">
      <c r="A39" s="16">
        <v>1234</v>
      </c>
      <c r="B39" s="16" t="str">
        <f>PROPER(B6)</f>
        <v>Ionescu</v>
      </c>
      <c r="C39" s="16" t="s">
        <v>65</v>
      </c>
      <c r="D39" s="16">
        <v>1</v>
      </c>
      <c r="E39" s="16">
        <v>1</v>
      </c>
      <c r="F39" s="16">
        <v>10</v>
      </c>
      <c r="G39" s="16">
        <v>9</v>
      </c>
      <c r="H39" s="16">
        <v>10</v>
      </c>
      <c r="I39" s="16">
        <v>9</v>
      </c>
      <c r="J39" s="16">
        <v>10</v>
      </c>
      <c r="K39" s="16">
        <f>AVERAGE(F39:J39)</f>
        <v>9.6</v>
      </c>
    </row>
    <row r="40" spans="1:11" x14ac:dyDescent="0.35">
      <c r="A40" s="16">
        <v>1235</v>
      </c>
      <c r="B40" s="16" t="str">
        <f t="shared" ref="B40:B49" si="3">PROPER(B7)</f>
        <v>Popescu</v>
      </c>
      <c r="C40" s="16" t="s">
        <v>64</v>
      </c>
      <c r="D40" s="16">
        <v>1</v>
      </c>
      <c r="E40" s="16">
        <v>2</v>
      </c>
      <c r="F40" s="16">
        <v>8</v>
      </c>
      <c r="G40" s="16">
        <v>7</v>
      </c>
      <c r="H40" s="16">
        <v>6</v>
      </c>
      <c r="I40" s="16">
        <v>8</v>
      </c>
      <c r="J40" s="16">
        <v>9</v>
      </c>
      <c r="K40" s="16">
        <f t="shared" ref="K40:K49" si="4">AVERAGE(F40:J40)</f>
        <v>7.6</v>
      </c>
    </row>
    <row r="41" spans="1:11" x14ac:dyDescent="0.35">
      <c r="A41" s="16">
        <v>1236</v>
      </c>
      <c r="B41" s="16" t="str">
        <f t="shared" si="3"/>
        <v>Popa</v>
      </c>
      <c r="C41" s="16" t="s">
        <v>63</v>
      </c>
      <c r="D41" s="16">
        <v>4</v>
      </c>
      <c r="E41" s="16">
        <v>1</v>
      </c>
      <c r="F41" s="16">
        <v>7</v>
      </c>
      <c r="G41" s="16">
        <v>5</v>
      </c>
      <c r="H41" s="16">
        <v>8</v>
      </c>
      <c r="I41" s="16">
        <v>7</v>
      </c>
      <c r="J41" s="16">
        <v>10</v>
      </c>
      <c r="K41" s="16">
        <f t="shared" si="4"/>
        <v>7.4</v>
      </c>
    </row>
    <row r="42" spans="1:11" x14ac:dyDescent="0.35">
      <c r="A42" s="16">
        <v>1237</v>
      </c>
      <c r="B42" s="16" t="str">
        <f t="shared" si="3"/>
        <v>Pop</v>
      </c>
      <c r="C42" s="16" t="s">
        <v>62</v>
      </c>
      <c r="D42" s="16">
        <v>5</v>
      </c>
      <c r="E42" s="16">
        <v>1</v>
      </c>
      <c r="F42" s="16">
        <v>5</v>
      </c>
      <c r="G42" s="16">
        <v>6</v>
      </c>
      <c r="H42" s="16">
        <v>7</v>
      </c>
      <c r="I42" s="16">
        <v>5</v>
      </c>
      <c r="J42" s="16">
        <v>7</v>
      </c>
      <c r="K42" s="16">
        <f t="shared" si="4"/>
        <v>6</v>
      </c>
    </row>
    <row r="43" spans="1:11" x14ac:dyDescent="0.35">
      <c r="A43" s="16">
        <v>1238</v>
      </c>
      <c r="B43" s="16" t="str">
        <f t="shared" si="3"/>
        <v>Ionescu</v>
      </c>
      <c r="C43" s="16" t="s">
        <v>61</v>
      </c>
      <c r="D43" s="16">
        <v>7</v>
      </c>
      <c r="E43" s="16">
        <v>1</v>
      </c>
      <c r="F43" s="16">
        <v>4</v>
      </c>
      <c r="G43" s="16">
        <v>5</v>
      </c>
      <c r="H43" s="16">
        <v>6</v>
      </c>
      <c r="I43" s="16">
        <v>5</v>
      </c>
      <c r="J43" s="16">
        <v>6</v>
      </c>
      <c r="K43" s="16">
        <f t="shared" si="4"/>
        <v>5.2</v>
      </c>
    </row>
    <row r="44" spans="1:11" x14ac:dyDescent="0.35">
      <c r="A44" s="16">
        <v>1239</v>
      </c>
      <c r="B44" s="16" t="str">
        <f t="shared" si="3"/>
        <v>Mihailescu</v>
      </c>
      <c r="C44" s="16" t="s">
        <v>60</v>
      </c>
      <c r="D44" s="16">
        <v>8</v>
      </c>
      <c r="E44" s="16">
        <v>2</v>
      </c>
      <c r="F44" s="16">
        <v>8</v>
      </c>
      <c r="G44" s="16">
        <v>5</v>
      </c>
      <c r="H44" s="16">
        <v>6</v>
      </c>
      <c r="I44" s="16">
        <v>8</v>
      </c>
      <c r="J44" s="16">
        <v>9</v>
      </c>
      <c r="K44" s="16">
        <f t="shared" si="4"/>
        <v>7.2</v>
      </c>
    </row>
    <row r="45" spans="1:11" x14ac:dyDescent="0.35">
      <c r="A45" s="16">
        <v>1240</v>
      </c>
      <c r="B45" s="16" t="str">
        <f t="shared" si="3"/>
        <v>Mateescu</v>
      </c>
      <c r="C45" s="16" t="s">
        <v>59</v>
      </c>
      <c r="D45" s="16">
        <v>5</v>
      </c>
      <c r="E45" s="16">
        <v>4</v>
      </c>
      <c r="F45" s="16">
        <v>6</v>
      </c>
      <c r="G45" s="16">
        <v>4</v>
      </c>
      <c r="H45" s="16">
        <v>5</v>
      </c>
      <c r="I45" s="16">
        <v>4</v>
      </c>
      <c r="J45" s="16">
        <v>7</v>
      </c>
      <c r="K45" s="16">
        <f t="shared" si="4"/>
        <v>5.2</v>
      </c>
    </row>
    <row r="46" spans="1:11" x14ac:dyDescent="0.35">
      <c r="A46" s="16">
        <v>1241</v>
      </c>
      <c r="B46" s="16" t="str">
        <f t="shared" si="3"/>
        <v>Georgescu</v>
      </c>
      <c r="C46" s="16" t="s">
        <v>58</v>
      </c>
      <c r="D46" s="16">
        <v>4</v>
      </c>
      <c r="E46" s="16">
        <v>3</v>
      </c>
      <c r="F46" s="16">
        <v>9</v>
      </c>
      <c r="G46" s="16">
        <v>6</v>
      </c>
      <c r="H46" s="16">
        <v>9</v>
      </c>
      <c r="I46" s="16">
        <v>7</v>
      </c>
      <c r="J46" s="16">
        <v>10</v>
      </c>
      <c r="K46" s="16">
        <f t="shared" si="4"/>
        <v>8.1999999999999993</v>
      </c>
    </row>
    <row r="47" spans="1:11" x14ac:dyDescent="0.35">
      <c r="A47" s="16">
        <v>1242</v>
      </c>
      <c r="B47" s="16" t="str">
        <f t="shared" si="3"/>
        <v>Adam</v>
      </c>
      <c r="C47" s="16" t="s">
        <v>57</v>
      </c>
      <c r="D47" s="16">
        <v>7</v>
      </c>
      <c r="E47" s="16">
        <v>2</v>
      </c>
      <c r="F47" s="16">
        <v>10</v>
      </c>
      <c r="G47" s="16">
        <v>9</v>
      </c>
      <c r="H47" s="16">
        <v>10</v>
      </c>
      <c r="I47" s="16">
        <v>10</v>
      </c>
      <c r="J47" s="16">
        <v>9</v>
      </c>
      <c r="K47" s="16">
        <f t="shared" si="4"/>
        <v>9.6</v>
      </c>
    </row>
    <row r="48" spans="1:11" x14ac:dyDescent="0.35">
      <c r="A48" s="16">
        <v>1243</v>
      </c>
      <c r="B48" s="16" t="str">
        <f t="shared" si="3"/>
        <v>Stefan</v>
      </c>
      <c r="C48" s="16" t="s">
        <v>56</v>
      </c>
      <c r="D48" s="16">
        <v>8</v>
      </c>
      <c r="E48" s="16">
        <v>1</v>
      </c>
      <c r="F48" s="16">
        <v>9</v>
      </c>
      <c r="G48" s="16">
        <v>9</v>
      </c>
      <c r="H48" s="16">
        <v>10</v>
      </c>
      <c r="I48" s="16">
        <v>10</v>
      </c>
      <c r="J48" s="16">
        <v>10</v>
      </c>
      <c r="K48" s="16">
        <f t="shared" si="4"/>
        <v>9.6</v>
      </c>
    </row>
    <row r="49" spans="1:11" x14ac:dyDescent="0.35">
      <c r="A49" s="16">
        <v>1244</v>
      </c>
      <c r="B49" s="16" t="str">
        <f t="shared" si="3"/>
        <v>Mihalcea</v>
      </c>
      <c r="C49" s="16" t="s">
        <v>55</v>
      </c>
      <c r="D49" s="16">
        <v>1</v>
      </c>
      <c r="E49" s="16">
        <v>1</v>
      </c>
      <c r="F49" s="16">
        <v>4</v>
      </c>
      <c r="G49" s="16">
        <v>5</v>
      </c>
      <c r="H49" s="16">
        <v>6</v>
      </c>
      <c r="I49" s="16">
        <v>7</v>
      </c>
      <c r="J49" s="16">
        <v>6</v>
      </c>
      <c r="K49" s="16">
        <f t="shared" si="4"/>
        <v>5.6</v>
      </c>
    </row>
    <row r="51" spans="1:11" x14ac:dyDescent="0.35">
      <c r="A51" s="76" t="str">
        <f>CONCATENATE("Studentul ",B23," ",C6," are media ",K6)</f>
        <v>Studentul IONESCU Ion are media 9,6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1" x14ac:dyDescent="0.35">
      <c r="A52" s="76" t="str">
        <f t="shared" ref="A52:A61" si="5">CONCATENATE("Studentul ",B24," ",C7," are media ",K7)</f>
        <v>Studentul POPESCU Maria are media 7,6</v>
      </c>
      <c r="B52" s="76"/>
      <c r="C52" s="76"/>
      <c r="D52" s="76"/>
      <c r="E52" s="76"/>
      <c r="F52" s="76"/>
      <c r="G52" s="76"/>
      <c r="H52" s="76"/>
      <c r="I52" s="76"/>
      <c r="J52" s="76"/>
    </row>
    <row r="53" spans="1:11" x14ac:dyDescent="0.35">
      <c r="A53" s="76" t="str">
        <f t="shared" si="5"/>
        <v>Studentul POPA Mihai are media 7,4</v>
      </c>
      <c r="B53" s="76"/>
      <c r="C53" s="76"/>
      <c r="D53" s="76"/>
      <c r="E53" s="76"/>
      <c r="F53" s="76"/>
      <c r="G53" s="76"/>
      <c r="H53" s="76"/>
      <c r="I53" s="76"/>
      <c r="J53" s="76"/>
    </row>
    <row r="54" spans="1:11" x14ac:dyDescent="0.35">
      <c r="A54" s="76" t="str">
        <f t="shared" si="5"/>
        <v>Studentul POP Andrei are media 6</v>
      </c>
      <c r="B54" s="76"/>
      <c r="C54" s="76"/>
      <c r="D54" s="76"/>
      <c r="E54" s="76"/>
      <c r="F54" s="76"/>
      <c r="G54" s="76"/>
      <c r="H54" s="76"/>
      <c r="I54" s="76"/>
      <c r="J54" s="76"/>
    </row>
    <row r="55" spans="1:11" x14ac:dyDescent="0.35">
      <c r="A55" s="76" t="str">
        <f t="shared" si="5"/>
        <v>Studentul IONESCU Paul are media 5,2</v>
      </c>
      <c r="B55" s="76"/>
      <c r="C55" s="76"/>
      <c r="D55" s="76"/>
      <c r="E55" s="76"/>
      <c r="F55" s="76"/>
      <c r="G55" s="76"/>
      <c r="H55" s="76"/>
      <c r="I55" s="76"/>
      <c r="J55" s="76"/>
    </row>
    <row r="56" spans="1:11" x14ac:dyDescent="0.35">
      <c r="A56" s="76" t="str">
        <f t="shared" si="5"/>
        <v>Studentul MIHAILESCU Alina are media 7,2</v>
      </c>
      <c r="B56" s="76"/>
      <c r="C56" s="76"/>
      <c r="D56" s="76"/>
      <c r="E56" s="76"/>
      <c r="F56" s="76"/>
      <c r="G56" s="76"/>
      <c r="H56" s="76"/>
      <c r="I56" s="76"/>
      <c r="J56" s="76"/>
    </row>
    <row r="57" spans="1:11" x14ac:dyDescent="0.35">
      <c r="A57" s="76" t="str">
        <f t="shared" si="5"/>
        <v>Studentul MATEESCU Mirabela are media 5,2</v>
      </c>
      <c r="B57" s="76"/>
      <c r="C57" s="76"/>
      <c r="D57" s="76"/>
      <c r="E57" s="76"/>
      <c r="F57" s="76"/>
      <c r="G57" s="76"/>
      <c r="H57" s="76"/>
      <c r="I57" s="76"/>
      <c r="J57" s="76"/>
    </row>
    <row r="58" spans="1:11" x14ac:dyDescent="0.35">
      <c r="A58" s="76" t="str">
        <f t="shared" si="5"/>
        <v>Studentul GEORGESCU Petru are media 8,2</v>
      </c>
      <c r="B58" s="76"/>
      <c r="C58" s="76"/>
      <c r="D58" s="76"/>
      <c r="E58" s="76"/>
      <c r="F58" s="76"/>
      <c r="G58" s="76"/>
      <c r="H58" s="76"/>
      <c r="I58" s="76"/>
      <c r="J58" s="76"/>
    </row>
    <row r="59" spans="1:11" x14ac:dyDescent="0.35">
      <c r="A59" s="76" t="str">
        <f t="shared" si="5"/>
        <v>Studentul ADAM Vlad are media 9,6</v>
      </c>
      <c r="B59" s="76"/>
      <c r="C59" s="76"/>
      <c r="D59" s="76"/>
      <c r="E59" s="76"/>
      <c r="F59" s="76"/>
      <c r="G59" s="76"/>
      <c r="H59" s="76"/>
      <c r="I59" s="76"/>
      <c r="J59" s="76"/>
    </row>
    <row r="60" spans="1:11" x14ac:dyDescent="0.35">
      <c r="A60" s="76" t="str">
        <f t="shared" si="5"/>
        <v>Studentul STEFAN Sergiu are media 9,6</v>
      </c>
      <c r="B60" s="76"/>
      <c r="C60" s="76"/>
      <c r="D60" s="76"/>
      <c r="E60" s="76"/>
      <c r="F60" s="76"/>
      <c r="G60" s="76"/>
      <c r="H60" s="76"/>
      <c r="I60" s="76"/>
      <c r="J60" s="76"/>
    </row>
    <row r="61" spans="1:11" x14ac:dyDescent="0.35">
      <c r="A61" s="76" t="str">
        <f t="shared" si="5"/>
        <v>Studentul MIHALCEA Bianca are media 5,6</v>
      </c>
      <c r="B61" s="76"/>
      <c r="C61" s="76"/>
      <c r="D61" s="76"/>
      <c r="E61" s="76"/>
      <c r="F61" s="76"/>
      <c r="G61" s="76"/>
      <c r="H61" s="76"/>
      <c r="I61" s="76"/>
      <c r="J61" s="76"/>
    </row>
  </sheetData>
  <mergeCells count="21">
    <mergeCell ref="A53:J53"/>
    <mergeCell ref="A1:K1"/>
    <mergeCell ref="A4:E4"/>
    <mergeCell ref="F4:J4"/>
    <mergeCell ref="K4:K5"/>
    <mergeCell ref="A21:E21"/>
    <mergeCell ref="F21:J21"/>
    <mergeCell ref="K21:K22"/>
    <mergeCell ref="A37:E37"/>
    <mergeCell ref="F37:J37"/>
    <mergeCell ref="K37:K38"/>
    <mergeCell ref="A51:J51"/>
    <mergeCell ref="A52:J52"/>
    <mergeCell ref="A60:J60"/>
    <mergeCell ref="A61:J61"/>
    <mergeCell ref="A54:J54"/>
    <mergeCell ref="A55:J55"/>
    <mergeCell ref="A56:J56"/>
    <mergeCell ref="A57:J57"/>
    <mergeCell ref="A58:J58"/>
    <mergeCell ref="A59:J59"/>
  </mergeCells>
  <dataValidations count="1">
    <dataValidation type="whole" allowBlank="1" showInputMessage="1" showErrorMessage="1" errorTitle="Valoare incorecta" error="Valoarea introdusa in cadrul disciplinei este incorecta/ Introduceti o valoare intre 1 si 10." sqref="F6:J16 F23:J33 F39:J49" xr:uid="{E6EE115C-7E87-4820-AFF9-D610AB4FD881}">
      <formula1>1</formula1>
      <formula2>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6638-4929-427B-8F14-EC732DE47AAB}">
  <dimension ref="A19:M51"/>
  <sheetViews>
    <sheetView zoomScaleNormal="100" zoomScalePageLayoutView="85" workbookViewId="0">
      <selection activeCell="Q40" sqref="Q40"/>
    </sheetView>
  </sheetViews>
  <sheetFormatPr defaultRowHeight="14.5" x14ac:dyDescent="0.35"/>
  <cols>
    <col min="1" max="1" width="6.36328125" customWidth="1"/>
    <col min="2" max="2" width="9.7265625" bestFit="1" customWidth="1"/>
    <col min="4" max="4" width="4.90625" bestFit="1" customWidth="1"/>
    <col min="5" max="5" width="6" bestFit="1" customWidth="1"/>
    <col min="6" max="10" width="3.36328125" bestFit="1" customWidth="1"/>
    <col min="11" max="11" width="6.1796875" bestFit="1" customWidth="1"/>
    <col min="12" max="12" width="7.54296875" bestFit="1" customWidth="1"/>
    <col min="13" max="13" width="9.26953125" bestFit="1" customWidth="1"/>
  </cols>
  <sheetData>
    <row r="19" spans="1:12" x14ac:dyDescent="0.35">
      <c r="A19" s="76" t="s">
        <v>68</v>
      </c>
      <c r="B19" s="76"/>
      <c r="C19" s="76"/>
      <c r="D19" s="76"/>
      <c r="E19" s="76"/>
      <c r="F19" s="76"/>
    </row>
    <row r="21" spans="1:12" x14ac:dyDescent="0.35">
      <c r="A21" s="78" t="s">
        <v>32</v>
      </c>
      <c r="B21" s="78"/>
      <c r="C21" s="78"/>
      <c r="D21" s="78"/>
      <c r="E21" s="78"/>
      <c r="F21" s="78" t="s">
        <v>33</v>
      </c>
      <c r="G21" s="78"/>
      <c r="H21" s="78"/>
      <c r="I21" s="78"/>
      <c r="J21" s="78"/>
      <c r="K21" s="78" t="s">
        <v>44</v>
      </c>
      <c r="L21" s="78" t="s">
        <v>69</v>
      </c>
    </row>
    <row r="22" spans="1:12" ht="76.5" x14ac:dyDescent="0.35">
      <c r="A22" s="17" t="s">
        <v>34</v>
      </c>
      <c r="B22" s="17" t="s">
        <v>35</v>
      </c>
      <c r="C22" s="17" t="s">
        <v>36</v>
      </c>
      <c r="D22" s="17" t="s">
        <v>37</v>
      </c>
      <c r="E22" s="17" t="s">
        <v>38</v>
      </c>
      <c r="F22" s="18" t="s">
        <v>39</v>
      </c>
      <c r="G22" s="18" t="s">
        <v>40</v>
      </c>
      <c r="H22" s="18" t="s">
        <v>41</v>
      </c>
      <c r="I22" s="18" t="s">
        <v>42</v>
      </c>
      <c r="J22" s="18" t="s">
        <v>43</v>
      </c>
      <c r="K22" s="78"/>
      <c r="L22" s="78"/>
    </row>
    <row r="23" spans="1:12" x14ac:dyDescent="0.35">
      <c r="A23" s="11">
        <v>1234</v>
      </c>
      <c r="B23" s="11" t="s">
        <v>45</v>
      </c>
      <c r="C23" s="11" t="s">
        <v>65</v>
      </c>
      <c r="D23" s="11">
        <v>1</v>
      </c>
      <c r="E23" s="11">
        <v>1</v>
      </c>
      <c r="F23" s="11">
        <v>10</v>
      </c>
      <c r="G23" s="11">
        <v>9</v>
      </c>
      <c r="H23" s="11">
        <v>10</v>
      </c>
      <c r="I23" s="11">
        <v>9</v>
      </c>
      <c r="J23" s="11">
        <v>10</v>
      </c>
      <c r="K23" s="11">
        <f>AVERAGE(F23:J23)</f>
        <v>9.6</v>
      </c>
      <c r="L23" s="11" t="str">
        <f>IF(K23&gt;8.5,"Bursier","-")</f>
        <v>Bursier</v>
      </c>
    </row>
    <row r="24" spans="1:12" x14ac:dyDescent="0.35">
      <c r="A24" s="11">
        <v>1235</v>
      </c>
      <c r="B24" s="11" t="s">
        <v>46</v>
      </c>
      <c r="C24" s="11" t="s">
        <v>64</v>
      </c>
      <c r="D24" s="11">
        <v>1</v>
      </c>
      <c r="E24" s="11">
        <v>2</v>
      </c>
      <c r="F24" s="11">
        <v>8</v>
      </c>
      <c r="G24" s="11">
        <v>7</v>
      </c>
      <c r="H24" s="11">
        <v>6</v>
      </c>
      <c r="I24" s="11">
        <v>8</v>
      </c>
      <c r="J24" s="11">
        <v>9</v>
      </c>
      <c r="K24" s="11">
        <f t="shared" ref="K24:K33" si="0">AVERAGE(F24:J24)</f>
        <v>7.6</v>
      </c>
      <c r="L24" s="11" t="str">
        <f t="shared" ref="L24:L33" si="1">IF(K24&gt;8.5,"Bursier","-")</f>
        <v>-</v>
      </c>
    </row>
    <row r="25" spans="1:12" x14ac:dyDescent="0.35">
      <c r="A25" s="11">
        <v>1236</v>
      </c>
      <c r="B25" s="11" t="s">
        <v>47</v>
      </c>
      <c r="C25" s="11" t="s">
        <v>63</v>
      </c>
      <c r="D25" s="11">
        <v>4</v>
      </c>
      <c r="E25" s="11">
        <v>1</v>
      </c>
      <c r="F25" s="11">
        <v>7</v>
      </c>
      <c r="G25" s="11">
        <v>5</v>
      </c>
      <c r="H25" s="11">
        <v>8</v>
      </c>
      <c r="I25" s="11">
        <v>7</v>
      </c>
      <c r="J25" s="11">
        <v>10</v>
      </c>
      <c r="K25" s="11">
        <f t="shared" si="0"/>
        <v>7.4</v>
      </c>
      <c r="L25" s="11" t="str">
        <f t="shared" si="1"/>
        <v>-</v>
      </c>
    </row>
    <row r="26" spans="1:12" x14ac:dyDescent="0.35">
      <c r="A26" s="11">
        <v>1237</v>
      </c>
      <c r="B26" s="11" t="s">
        <v>48</v>
      </c>
      <c r="C26" s="11" t="s">
        <v>62</v>
      </c>
      <c r="D26" s="11">
        <v>5</v>
      </c>
      <c r="E26" s="11">
        <v>1</v>
      </c>
      <c r="F26" s="11">
        <v>5</v>
      </c>
      <c r="G26" s="11">
        <v>6</v>
      </c>
      <c r="H26" s="11">
        <v>7</v>
      </c>
      <c r="I26" s="11">
        <v>5</v>
      </c>
      <c r="J26" s="11">
        <v>7</v>
      </c>
      <c r="K26" s="11">
        <f t="shared" si="0"/>
        <v>6</v>
      </c>
      <c r="L26" s="11" t="str">
        <f t="shared" si="1"/>
        <v>-</v>
      </c>
    </row>
    <row r="27" spans="1:12" x14ac:dyDescent="0.35">
      <c r="A27" s="11">
        <v>1238</v>
      </c>
      <c r="B27" s="11" t="s">
        <v>45</v>
      </c>
      <c r="C27" s="11" t="s">
        <v>61</v>
      </c>
      <c r="D27" s="11">
        <v>7</v>
      </c>
      <c r="E27" s="11">
        <v>1</v>
      </c>
      <c r="F27" s="11">
        <v>4</v>
      </c>
      <c r="G27" s="11">
        <v>5</v>
      </c>
      <c r="H27" s="11">
        <v>6</v>
      </c>
      <c r="I27" s="11">
        <v>5</v>
      </c>
      <c r="J27" s="11">
        <v>6</v>
      </c>
      <c r="K27" s="11">
        <f t="shared" si="0"/>
        <v>5.2</v>
      </c>
      <c r="L27" s="11" t="str">
        <f t="shared" si="1"/>
        <v>-</v>
      </c>
    </row>
    <row r="28" spans="1:12" x14ac:dyDescent="0.35">
      <c r="A28" s="11">
        <v>1239</v>
      </c>
      <c r="B28" s="11" t="s">
        <v>49</v>
      </c>
      <c r="C28" s="11" t="s">
        <v>60</v>
      </c>
      <c r="D28" s="11">
        <v>8</v>
      </c>
      <c r="E28" s="11">
        <v>2</v>
      </c>
      <c r="F28" s="11">
        <v>8</v>
      </c>
      <c r="G28" s="11">
        <v>5</v>
      </c>
      <c r="H28" s="11">
        <v>6</v>
      </c>
      <c r="I28" s="11">
        <v>8</v>
      </c>
      <c r="J28" s="11">
        <v>9</v>
      </c>
      <c r="K28" s="11">
        <f t="shared" si="0"/>
        <v>7.2</v>
      </c>
      <c r="L28" s="11" t="str">
        <f t="shared" si="1"/>
        <v>-</v>
      </c>
    </row>
    <row r="29" spans="1:12" x14ac:dyDescent="0.35">
      <c r="A29" s="11">
        <v>1240</v>
      </c>
      <c r="B29" s="11" t="s">
        <v>50</v>
      </c>
      <c r="C29" s="11" t="s">
        <v>59</v>
      </c>
      <c r="D29" s="11">
        <v>5</v>
      </c>
      <c r="E29" s="11">
        <v>4</v>
      </c>
      <c r="F29" s="11">
        <v>6</v>
      </c>
      <c r="G29" s="11">
        <v>4</v>
      </c>
      <c r="H29" s="11">
        <v>5</v>
      </c>
      <c r="I29" s="11">
        <v>4</v>
      </c>
      <c r="J29" s="11">
        <v>7</v>
      </c>
      <c r="K29" s="11">
        <f t="shared" si="0"/>
        <v>5.2</v>
      </c>
      <c r="L29" s="11" t="str">
        <f t="shared" si="1"/>
        <v>-</v>
      </c>
    </row>
    <row r="30" spans="1:12" x14ac:dyDescent="0.35">
      <c r="A30" s="11">
        <v>1241</v>
      </c>
      <c r="B30" s="11" t="s">
        <v>51</v>
      </c>
      <c r="C30" s="11" t="s">
        <v>58</v>
      </c>
      <c r="D30" s="11">
        <v>4</v>
      </c>
      <c r="E30" s="11">
        <v>3</v>
      </c>
      <c r="F30" s="11">
        <v>9</v>
      </c>
      <c r="G30" s="11">
        <v>6</v>
      </c>
      <c r="H30" s="11">
        <v>9</v>
      </c>
      <c r="I30" s="11">
        <v>7</v>
      </c>
      <c r="J30" s="11">
        <v>10</v>
      </c>
      <c r="K30" s="11">
        <f t="shared" si="0"/>
        <v>8.1999999999999993</v>
      </c>
      <c r="L30" s="11" t="str">
        <f t="shared" si="1"/>
        <v>-</v>
      </c>
    </row>
    <row r="31" spans="1:12" x14ac:dyDescent="0.35">
      <c r="A31" s="11">
        <v>1242</v>
      </c>
      <c r="B31" s="11" t="s">
        <v>52</v>
      </c>
      <c r="C31" s="11" t="s">
        <v>57</v>
      </c>
      <c r="D31" s="11">
        <v>7</v>
      </c>
      <c r="E31" s="11">
        <v>2</v>
      </c>
      <c r="F31" s="11">
        <v>10</v>
      </c>
      <c r="G31" s="11">
        <v>9</v>
      </c>
      <c r="H31" s="11">
        <v>10</v>
      </c>
      <c r="I31" s="11">
        <v>10</v>
      </c>
      <c r="J31" s="11">
        <v>9</v>
      </c>
      <c r="K31" s="11">
        <f t="shared" si="0"/>
        <v>9.6</v>
      </c>
      <c r="L31" s="11" t="str">
        <f t="shared" si="1"/>
        <v>Bursier</v>
      </c>
    </row>
    <row r="32" spans="1:12" x14ac:dyDescent="0.35">
      <c r="A32" s="11">
        <v>1243</v>
      </c>
      <c r="B32" s="11" t="s">
        <v>53</v>
      </c>
      <c r="C32" s="11" t="s">
        <v>56</v>
      </c>
      <c r="D32" s="11">
        <v>8</v>
      </c>
      <c r="E32" s="11">
        <v>1</v>
      </c>
      <c r="F32" s="11">
        <v>9</v>
      </c>
      <c r="G32" s="11">
        <v>9</v>
      </c>
      <c r="H32" s="11">
        <v>10</v>
      </c>
      <c r="I32" s="11">
        <v>10</v>
      </c>
      <c r="J32" s="11">
        <v>10</v>
      </c>
      <c r="K32" s="11">
        <f t="shared" si="0"/>
        <v>9.6</v>
      </c>
      <c r="L32" s="11" t="str">
        <f t="shared" si="1"/>
        <v>Bursier</v>
      </c>
    </row>
    <row r="33" spans="1:13" x14ac:dyDescent="0.35">
      <c r="A33" s="11">
        <v>1244</v>
      </c>
      <c r="B33" s="11" t="s">
        <v>54</v>
      </c>
      <c r="C33" s="11" t="s">
        <v>55</v>
      </c>
      <c r="D33" s="11">
        <v>1</v>
      </c>
      <c r="E33" s="11">
        <v>1</v>
      </c>
      <c r="F33" s="11">
        <v>4</v>
      </c>
      <c r="G33" s="11">
        <v>5</v>
      </c>
      <c r="H33" s="11">
        <v>6</v>
      </c>
      <c r="I33" s="11">
        <v>7</v>
      </c>
      <c r="J33" s="11">
        <v>6</v>
      </c>
      <c r="K33" s="11">
        <f t="shared" si="0"/>
        <v>5.6</v>
      </c>
      <c r="L33" s="11" t="str">
        <f t="shared" si="1"/>
        <v>-</v>
      </c>
    </row>
    <row r="36" spans="1:13" x14ac:dyDescent="0.35">
      <c r="A36" s="76" t="s">
        <v>70</v>
      </c>
      <c r="B36" s="76"/>
      <c r="C36" s="76"/>
      <c r="D36" s="76"/>
      <c r="E36" s="76"/>
      <c r="F36" s="76"/>
    </row>
    <row r="39" spans="1:13" x14ac:dyDescent="0.35">
      <c r="A39" s="78" t="s">
        <v>32</v>
      </c>
      <c r="B39" s="78"/>
      <c r="C39" s="78"/>
      <c r="D39" s="78"/>
      <c r="E39" s="78"/>
      <c r="F39" s="78" t="s">
        <v>33</v>
      </c>
      <c r="G39" s="78"/>
      <c r="H39" s="78"/>
      <c r="I39" s="78"/>
      <c r="J39" s="78"/>
      <c r="K39" s="78" t="s">
        <v>44</v>
      </c>
      <c r="L39" s="78" t="s">
        <v>71</v>
      </c>
      <c r="M39" s="78"/>
    </row>
    <row r="40" spans="1:13" ht="76.5" x14ac:dyDescent="0.35">
      <c r="A40" s="19" t="s">
        <v>74</v>
      </c>
      <c r="B40" s="17" t="s">
        <v>35</v>
      </c>
      <c r="C40" s="17" t="s">
        <v>36</v>
      </c>
      <c r="D40" s="17" t="s">
        <v>37</v>
      </c>
      <c r="E40" s="17" t="s">
        <v>38</v>
      </c>
      <c r="F40" s="18" t="s">
        <v>39</v>
      </c>
      <c r="G40" s="18" t="s">
        <v>40</v>
      </c>
      <c r="H40" s="18" t="s">
        <v>41</v>
      </c>
      <c r="I40" s="18" t="s">
        <v>42</v>
      </c>
      <c r="J40" s="18" t="s">
        <v>43</v>
      </c>
      <c r="K40" s="78"/>
      <c r="L40" s="18" t="s">
        <v>72</v>
      </c>
      <c r="M40" s="18" t="s">
        <v>73</v>
      </c>
    </row>
    <row r="41" spans="1:13" x14ac:dyDescent="0.35">
      <c r="A41" s="11">
        <v>1234</v>
      </c>
      <c r="B41" s="11" t="s">
        <v>45</v>
      </c>
      <c r="C41" s="11" t="s">
        <v>65</v>
      </c>
      <c r="D41" s="11">
        <v>1</v>
      </c>
      <c r="E41" s="11">
        <v>1</v>
      </c>
      <c r="F41" s="11">
        <v>10</v>
      </c>
      <c r="G41" s="11">
        <v>9</v>
      </c>
      <c r="H41" s="11">
        <v>10</v>
      </c>
      <c r="I41" s="11">
        <v>9</v>
      </c>
      <c r="J41" s="11">
        <v>10</v>
      </c>
      <c r="K41" s="11">
        <f>AVERAGE(F41:J41)</f>
        <v>9.6</v>
      </c>
      <c r="L41" s="11" t="b">
        <f>AND(F41&gt;4,G41&gt;4,H41&gt;4,I41&gt;4,J41&gt;4)</f>
        <v>1</v>
      </c>
      <c r="M41" s="11" t="str">
        <f>IF(L41=TRUE,"Integralist","Restantier")</f>
        <v>Integralist</v>
      </c>
    </row>
    <row r="42" spans="1:13" x14ac:dyDescent="0.35">
      <c r="A42" s="11">
        <v>1235</v>
      </c>
      <c r="B42" s="11" t="s">
        <v>46</v>
      </c>
      <c r="C42" s="11" t="s">
        <v>64</v>
      </c>
      <c r="D42" s="11">
        <v>1</v>
      </c>
      <c r="E42" s="11">
        <v>2</v>
      </c>
      <c r="F42" s="11">
        <v>8</v>
      </c>
      <c r="G42" s="11">
        <v>7</v>
      </c>
      <c r="H42" s="11">
        <v>6</v>
      </c>
      <c r="I42" s="11">
        <v>8</v>
      </c>
      <c r="J42" s="11">
        <v>9</v>
      </c>
      <c r="K42" s="11">
        <f t="shared" ref="K42:K51" si="2">AVERAGE(F42:J42)</f>
        <v>7.6</v>
      </c>
      <c r="L42" s="11" t="b">
        <f t="shared" ref="L42:L51" si="3">AND(F42&gt;4,G42&gt;4,H42&gt;4,I42&gt;4,J42&gt;4)</f>
        <v>1</v>
      </c>
      <c r="M42" s="11" t="str">
        <f t="shared" ref="M42:M51" si="4">IF(L42=TRUE,"Integralist","Restantier")</f>
        <v>Integralist</v>
      </c>
    </row>
    <row r="43" spans="1:13" x14ac:dyDescent="0.35">
      <c r="A43" s="11">
        <v>1236</v>
      </c>
      <c r="B43" s="11" t="s">
        <v>47</v>
      </c>
      <c r="C43" s="11" t="s">
        <v>63</v>
      </c>
      <c r="D43" s="11">
        <v>4</v>
      </c>
      <c r="E43" s="11">
        <v>1</v>
      </c>
      <c r="F43" s="11">
        <v>7</v>
      </c>
      <c r="G43" s="11">
        <v>5</v>
      </c>
      <c r="H43" s="11">
        <v>8</v>
      </c>
      <c r="I43" s="11">
        <v>7</v>
      </c>
      <c r="J43" s="11">
        <v>10</v>
      </c>
      <c r="K43" s="11">
        <f t="shared" si="2"/>
        <v>7.4</v>
      </c>
      <c r="L43" s="11" t="b">
        <f t="shared" si="3"/>
        <v>1</v>
      </c>
      <c r="M43" s="11" t="str">
        <f t="shared" si="4"/>
        <v>Integralist</v>
      </c>
    </row>
    <row r="44" spans="1:13" x14ac:dyDescent="0.35">
      <c r="A44" s="11">
        <v>1237</v>
      </c>
      <c r="B44" s="11" t="s">
        <v>48</v>
      </c>
      <c r="C44" s="11" t="s">
        <v>62</v>
      </c>
      <c r="D44" s="11">
        <v>5</v>
      </c>
      <c r="E44" s="11">
        <v>1</v>
      </c>
      <c r="F44" s="11">
        <v>5</v>
      </c>
      <c r="G44" s="11">
        <v>6</v>
      </c>
      <c r="H44" s="11">
        <v>7</v>
      </c>
      <c r="I44" s="11">
        <v>5</v>
      </c>
      <c r="J44" s="11">
        <v>7</v>
      </c>
      <c r="K44" s="11">
        <f t="shared" si="2"/>
        <v>6</v>
      </c>
      <c r="L44" s="11" t="b">
        <f t="shared" si="3"/>
        <v>1</v>
      </c>
      <c r="M44" s="11" t="str">
        <f t="shared" si="4"/>
        <v>Integralist</v>
      </c>
    </row>
    <row r="45" spans="1:13" x14ac:dyDescent="0.35">
      <c r="A45" s="11">
        <v>1238</v>
      </c>
      <c r="B45" s="11" t="s">
        <v>45</v>
      </c>
      <c r="C45" s="11" t="s">
        <v>61</v>
      </c>
      <c r="D45" s="11">
        <v>7</v>
      </c>
      <c r="E45" s="11">
        <v>1</v>
      </c>
      <c r="F45" s="11">
        <v>4</v>
      </c>
      <c r="G45" s="11">
        <v>5</v>
      </c>
      <c r="H45" s="11">
        <v>6</v>
      </c>
      <c r="I45" s="11">
        <v>5</v>
      </c>
      <c r="J45" s="11">
        <v>6</v>
      </c>
      <c r="K45" s="11">
        <f t="shared" si="2"/>
        <v>5.2</v>
      </c>
      <c r="L45" s="11" t="b">
        <f t="shared" si="3"/>
        <v>0</v>
      </c>
      <c r="M45" s="11" t="str">
        <f t="shared" si="4"/>
        <v>Restantier</v>
      </c>
    </row>
    <row r="46" spans="1:13" x14ac:dyDescent="0.35">
      <c r="A46" s="11">
        <v>1239</v>
      </c>
      <c r="B46" s="11" t="s">
        <v>49</v>
      </c>
      <c r="C46" s="11" t="s">
        <v>60</v>
      </c>
      <c r="D46" s="11">
        <v>8</v>
      </c>
      <c r="E46" s="11">
        <v>2</v>
      </c>
      <c r="F46" s="11">
        <v>8</v>
      </c>
      <c r="G46" s="11">
        <v>5</v>
      </c>
      <c r="H46" s="11">
        <v>6</v>
      </c>
      <c r="I46" s="11">
        <v>8</v>
      </c>
      <c r="J46" s="11">
        <v>9</v>
      </c>
      <c r="K46" s="11">
        <f t="shared" si="2"/>
        <v>7.2</v>
      </c>
      <c r="L46" s="11" t="b">
        <f t="shared" si="3"/>
        <v>1</v>
      </c>
      <c r="M46" s="11" t="str">
        <f t="shared" si="4"/>
        <v>Integralist</v>
      </c>
    </row>
    <row r="47" spans="1:13" x14ac:dyDescent="0.35">
      <c r="A47" s="11">
        <v>1240</v>
      </c>
      <c r="B47" s="11" t="s">
        <v>50</v>
      </c>
      <c r="C47" s="11" t="s">
        <v>59</v>
      </c>
      <c r="D47" s="11">
        <v>5</v>
      </c>
      <c r="E47" s="11">
        <v>4</v>
      </c>
      <c r="F47" s="11">
        <v>6</v>
      </c>
      <c r="G47" s="11">
        <v>4</v>
      </c>
      <c r="H47" s="11">
        <v>5</v>
      </c>
      <c r="I47" s="11">
        <v>4</v>
      </c>
      <c r="J47" s="11">
        <v>7</v>
      </c>
      <c r="K47" s="11">
        <f t="shared" si="2"/>
        <v>5.2</v>
      </c>
      <c r="L47" s="11" t="b">
        <f t="shared" si="3"/>
        <v>0</v>
      </c>
      <c r="M47" s="11" t="str">
        <f t="shared" si="4"/>
        <v>Restantier</v>
      </c>
    </row>
    <row r="48" spans="1:13" x14ac:dyDescent="0.35">
      <c r="A48" s="11">
        <v>1241</v>
      </c>
      <c r="B48" s="11" t="s">
        <v>51</v>
      </c>
      <c r="C48" s="11" t="s">
        <v>58</v>
      </c>
      <c r="D48" s="11">
        <v>4</v>
      </c>
      <c r="E48" s="11">
        <v>3</v>
      </c>
      <c r="F48" s="11">
        <v>9</v>
      </c>
      <c r="G48" s="11">
        <v>6</v>
      </c>
      <c r="H48" s="11">
        <v>9</v>
      </c>
      <c r="I48" s="11">
        <v>7</v>
      </c>
      <c r="J48" s="11">
        <v>10</v>
      </c>
      <c r="K48" s="11">
        <f t="shared" si="2"/>
        <v>8.1999999999999993</v>
      </c>
      <c r="L48" s="11" t="b">
        <f t="shared" si="3"/>
        <v>1</v>
      </c>
      <c r="M48" s="11" t="str">
        <f t="shared" si="4"/>
        <v>Integralist</v>
      </c>
    </row>
    <row r="49" spans="1:13" x14ac:dyDescent="0.35">
      <c r="A49" s="11">
        <v>1242</v>
      </c>
      <c r="B49" s="11" t="s">
        <v>52</v>
      </c>
      <c r="C49" s="11" t="s">
        <v>57</v>
      </c>
      <c r="D49" s="11">
        <v>7</v>
      </c>
      <c r="E49" s="11">
        <v>2</v>
      </c>
      <c r="F49" s="11">
        <v>10</v>
      </c>
      <c r="G49" s="11">
        <v>9</v>
      </c>
      <c r="H49" s="11">
        <v>10</v>
      </c>
      <c r="I49" s="11">
        <v>10</v>
      </c>
      <c r="J49" s="11">
        <v>9</v>
      </c>
      <c r="K49" s="11">
        <f t="shared" si="2"/>
        <v>9.6</v>
      </c>
      <c r="L49" s="11" t="b">
        <f t="shared" si="3"/>
        <v>1</v>
      </c>
      <c r="M49" s="11" t="str">
        <f t="shared" si="4"/>
        <v>Integralist</v>
      </c>
    </row>
    <row r="50" spans="1:13" x14ac:dyDescent="0.35">
      <c r="A50" s="11">
        <v>1243</v>
      </c>
      <c r="B50" s="11" t="s">
        <v>53</v>
      </c>
      <c r="C50" s="11" t="s">
        <v>56</v>
      </c>
      <c r="D50" s="11">
        <v>8</v>
      </c>
      <c r="E50" s="11">
        <v>1</v>
      </c>
      <c r="F50" s="11">
        <v>9</v>
      </c>
      <c r="G50" s="11">
        <v>9</v>
      </c>
      <c r="H50" s="11">
        <v>10</v>
      </c>
      <c r="I50" s="11">
        <v>10</v>
      </c>
      <c r="J50" s="11">
        <v>10</v>
      </c>
      <c r="K50" s="11">
        <f t="shared" si="2"/>
        <v>9.6</v>
      </c>
      <c r="L50" s="11" t="b">
        <f t="shared" si="3"/>
        <v>1</v>
      </c>
      <c r="M50" s="11" t="str">
        <f t="shared" si="4"/>
        <v>Integralist</v>
      </c>
    </row>
    <row r="51" spans="1:13" x14ac:dyDescent="0.35">
      <c r="A51" s="11">
        <v>1244</v>
      </c>
      <c r="B51" s="11" t="s">
        <v>54</v>
      </c>
      <c r="C51" s="11" t="s">
        <v>55</v>
      </c>
      <c r="D51" s="11">
        <v>1</v>
      </c>
      <c r="E51" s="11">
        <v>1</v>
      </c>
      <c r="F51" s="11">
        <v>4</v>
      </c>
      <c r="G51" s="11">
        <v>5</v>
      </c>
      <c r="H51" s="11">
        <v>6</v>
      </c>
      <c r="I51" s="11">
        <v>7</v>
      </c>
      <c r="J51" s="11">
        <v>6</v>
      </c>
      <c r="K51" s="11">
        <f t="shared" si="2"/>
        <v>5.6</v>
      </c>
      <c r="L51" s="11" t="b">
        <f t="shared" si="3"/>
        <v>0</v>
      </c>
      <c r="M51" s="11" t="str">
        <f t="shared" si="4"/>
        <v>Restantier</v>
      </c>
    </row>
  </sheetData>
  <mergeCells count="10">
    <mergeCell ref="A21:E21"/>
    <mergeCell ref="F21:J21"/>
    <mergeCell ref="K21:K22"/>
    <mergeCell ref="A19:F19"/>
    <mergeCell ref="L21:L22"/>
    <mergeCell ref="A39:E39"/>
    <mergeCell ref="F39:J39"/>
    <mergeCell ref="K39:K40"/>
    <mergeCell ref="A36:F36"/>
    <mergeCell ref="L39:M39"/>
  </mergeCells>
  <conditionalFormatting sqref="M41:M51">
    <cfRule type="cellIs" dxfId="1" priority="1" operator="equal">
      <formula>$M$41</formula>
    </cfRule>
    <cfRule type="cellIs" dxfId="0" priority="2" operator="equal">
      <formula>$M$45</formula>
    </cfRule>
  </conditionalFormatting>
  <dataValidations disablePrompts="1" count="1">
    <dataValidation type="whole" allowBlank="1" showInputMessage="1" showErrorMessage="1" errorTitle="Valoare incorecta" error="Valoarea introdusa in cadrul disciplinei este incorecta/ Introduceti o valoare intre 1 si 10." sqref="F23:J33 F41:J51" xr:uid="{8B39C90C-F04B-41E0-BAC2-396ED767107A}">
      <formula1>1</formula1>
      <formula2>10</formula2>
    </dataValidation>
  </dataValidations>
  <pageMargins left="1.1811023622047245" right="1.1811023622047245" top="1.1811023622047245" bottom="1.1811023622047245" header="0.59055118110236227" footer="0.59055118110236227"/>
  <pageSetup paperSize="9" orientation="portrait" r:id="rId1"/>
  <headerFooter>
    <oddHeader>&amp;CFACULTATEA&amp;R&amp;G</oddHeader>
    <oddFooter xml:space="preserve">&amp;L&amp;D&amp;RAprobat de: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E3F8-442E-40DC-9DE1-E3F94D29F4A5}">
  <dimension ref="A1:H32"/>
  <sheetViews>
    <sheetView workbookViewId="0">
      <selection activeCell="D12" sqref="D12"/>
    </sheetView>
  </sheetViews>
  <sheetFormatPr defaultRowHeight="14.5" x14ac:dyDescent="0.35"/>
  <cols>
    <col min="1" max="1" width="14.54296875" bestFit="1" customWidth="1"/>
  </cols>
  <sheetData>
    <row r="1" spans="1:8" x14ac:dyDescent="0.35">
      <c r="A1" s="80" t="s">
        <v>75</v>
      </c>
      <c r="B1" s="80"/>
      <c r="C1" s="80"/>
    </row>
    <row r="3" spans="1:8" x14ac:dyDescent="0.35">
      <c r="A3" s="76" t="s">
        <v>76</v>
      </c>
      <c r="B3" s="76"/>
      <c r="C3">
        <v>25</v>
      </c>
    </row>
    <row r="4" spans="1:8" x14ac:dyDescent="0.35">
      <c r="A4" s="76" t="s">
        <v>77</v>
      </c>
      <c r="B4" s="76"/>
      <c r="C4">
        <v>7</v>
      </c>
    </row>
    <row r="7" spans="1:8" x14ac:dyDescent="0.35">
      <c r="A7" s="22" t="s">
        <v>15</v>
      </c>
      <c r="B7" s="22" t="s">
        <v>78</v>
      </c>
      <c r="C7" s="22" t="str">
        <f>IF(COLUMNS($B7:C7)&lt;=$C$4,"Nota" &amp;COLUMNS($B7:C7),"")</f>
        <v>Nota2</v>
      </c>
      <c r="D7" s="22" t="str">
        <f>IF(COLUMNS($B7:D7)&lt;=$C$4,"Nota" &amp;COLUMNS($B7:D7),"")</f>
        <v>Nota3</v>
      </c>
      <c r="E7" s="22" t="str">
        <f>IF(COLUMNS($B7:E7)&lt;=$C$4,"Nota" &amp;COLUMNS($B7:E7),"")</f>
        <v>Nota4</v>
      </c>
      <c r="F7" s="22" t="str">
        <f>IF(COLUMNS($B7:F7)&lt;=$C$4,"Nota" &amp;COLUMNS($B7:F7),"")</f>
        <v>Nota5</v>
      </c>
      <c r="G7" s="22" t="str">
        <f>IF(COLUMNS($B7:G7)&lt;=$C$4,"Nota" &amp;COLUMNS($B7:G7),"")</f>
        <v>Nota6</v>
      </c>
      <c r="H7" s="22" t="str">
        <f>IF(COLUMNS($B7:H7)&lt;=$C$4,"Nota" &amp;COLUMNS($B7:H7),"")</f>
        <v>Nota7</v>
      </c>
    </row>
    <row r="8" spans="1:8" x14ac:dyDescent="0.35">
      <c r="A8" s="22">
        <v>1</v>
      </c>
    </row>
    <row r="9" spans="1:8" x14ac:dyDescent="0.35">
      <c r="A9" s="22">
        <f>IF(ROWS(A$8:A9)&lt;=$C$3,ROWS(A$8:A9),"")</f>
        <v>2</v>
      </c>
    </row>
    <row r="10" spans="1:8" x14ac:dyDescent="0.35">
      <c r="A10" s="22">
        <f>IF(ROWS(A$8:A10)&lt;=$C$3,ROWS(A$8:A10),"")</f>
        <v>3</v>
      </c>
    </row>
    <row r="11" spans="1:8" x14ac:dyDescent="0.35">
      <c r="A11" s="22">
        <f>IF(ROWS(A$8:A11)&lt;=$C$3,ROWS(A$8:A11),"")</f>
        <v>4</v>
      </c>
    </row>
    <row r="12" spans="1:8" x14ac:dyDescent="0.35">
      <c r="A12" s="22">
        <f>IF(ROWS(A$8:A12)&lt;=$C$3,ROWS(A$8:A12),"")</f>
        <v>5</v>
      </c>
    </row>
    <row r="13" spans="1:8" x14ac:dyDescent="0.35">
      <c r="A13" s="22">
        <f>IF(ROWS(A$8:A13)&lt;=$C$3,ROWS(A$8:A13),"")</f>
        <v>6</v>
      </c>
    </row>
    <row r="14" spans="1:8" x14ac:dyDescent="0.35">
      <c r="A14" s="22">
        <f>IF(ROWS(A$8:A14)&lt;=$C$3,ROWS(A$8:A14),"")</f>
        <v>7</v>
      </c>
    </row>
    <row r="15" spans="1:8" x14ac:dyDescent="0.35">
      <c r="A15" s="22">
        <f>IF(ROWS(A$8:A15)&lt;=$C$3,ROWS(A$8:A15),"")</f>
        <v>8</v>
      </c>
    </row>
    <row r="16" spans="1:8" x14ac:dyDescent="0.35">
      <c r="A16" s="22">
        <f>IF(ROWS(A$8:A16)&lt;=$C$3,ROWS(A$8:A16),"")</f>
        <v>9</v>
      </c>
    </row>
    <row r="17" spans="1:1" x14ac:dyDescent="0.35">
      <c r="A17" s="22">
        <f>IF(ROWS(A$8:A17)&lt;=$C$3,ROWS(A$8:A17),"")</f>
        <v>10</v>
      </c>
    </row>
    <row r="18" spans="1:1" x14ac:dyDescent="0.35">
      <c r="A18" s="22">
        <f>IF(ROWS(A$8:A18)&lt;=$C$3,ROWS(A$8:A18),"")</f>
        <v>11</v>
      </c>
    </row>
    <row r="19" spans="1:1" x14ac:dyDescent="0.35">
      <c r="A19" s="22">
        <f>IF(ROWS(A$8:A19)&lt;=$C$3,ROWS(A$8:A19),"")</f>
        <v>12</v>
      </c>
    </row>
    <row r="20" spans="1:1" x14ac:dyDescent="0.35">
      <c r="A20" s="22">
        <f>IF(ROWS(A$8:A20)&lt;=$C$3,ROWS(A$8:A20),"")</f>
        <v>13</v>
      </c>
    </row>
    <row r="21" spans="1:1" x14ac:dyDescent="0.35">
      <c r="A21" s="22">
        <f>IF(ROWS(A$8:A21)&lt;=$C$3,ROWS(A$8:A21),"")</f>
        <v>14</v>
      </c>
    </row>
    <row r="22" spans="1:1" x14ac:dyDescent="0.35">
      <c r="A22" s="22">
        <f>IF(ROWS(A$8:A22)&lt;=$C$3,ROWS(A$8:A22),"")</f>
        <v>15</v>
      </c>
    </row>
    <row r="23" spans="1:1" x14ac:dyDescent="0.35">
      <c r="A23" s="22">
        <f>IF(ROWS(A$8:A23)&lt;=$C$3,ROWS(A$8:A23),"")</f>
        <v>16</v>
      </c>
    </row>
    <row r="24" spans="1:1" x14ac:dyDescent="0.35">
      <c r="A24" s="22">
        <f>IF(ROWS(A$8:A24)&lt;=$C$3,ROWS(A$8:A24),"")</f>
        <v>17</v>
      </c>
    </row>
    <row r="25" spans="1:1" x14ac:dyDescent="0.35">
      <c r="A25" s="22">
        <f>IF(ROWS(A$8:A25)&lt;=$C$3,ROWS(A$8:A25),"")</f>
        <v>18</v>
      </c>
    </row>
    <row r="26" spans="1:1" x14ac:dyDescent="0.35">
      <c r="A26" s="22">
        <f>IF(ROWS(A$8:A26)&lt;=$C$3,ROWS(A$8:A26),"")</f>
        <v>19</v>
      </c>
    </row>
    <row r="27" spans="1:1" x14ac:dyDescent="0.35">
      <c r="A27" s="22">
        <f>IF(ROWS(A$8:A27)&lt;=$C$3,ROWS(A$8:A27),"")</f>
        <v>20</v>
      </c>
    </row>
    <row r="28" spans="1:1" x14ac:dyDescent="0.35">
      <c r="A28" s="22">
        <f>IF(ROWS(A$8:A28)&lt;=$C$3,ROWS(A$8:A28),"")</f>
        <v>21</v>
      </c>
    </row>
    <row r="29" spans="1:1" x14ac:dyDescent="0.35">
      <c r="A29" s="22">
        <f>IF(ROWS(A$8:A29)&lt;=$C$3,ROWS(A$8:A29),"")</f>
        <v>22</v>
      </c>
    </row>
    <row r="30" spans="1:1" x14ac:dyDescent="0.35">
      <c r="A30" s="22">
        <f>IF(ROWS(A$8:A30)&lt;=$C$3,ROWS(A$8:A30),"")</f>
        <v>23</v>
      </c>
    </row>
    <row r="31" spans="1:1" x14ac:dyDescent="0.35">
      <c r="A31" s="22">
        <f>IF(ROWS(A$8:A31)&lt;=$C$3,ROWS(A$8:A31),"")</f>
        <v>24</v>
      </c>
    </row>
    <row r="32" spans="1:1" x14ac:dyDescent="0.35">
      <c r="A32" s="22">
        <f>IF(ROWS(A$8:A32)&lt;=$C$3,ROWS(A$8:A32),"")</f>
        <v>25</v>
      </c>
    </row>
  </sheetData>
  <mergeCells count="3">
    <mergeCell ref="A1:C1"/>
    <mergeCell ref="A3:B3"/>
    <mergeCell ref="A4:B4"/>
  </mergeCells>
  <dataValidations count="2">
    <dataValidation type="whole" allowBlank="1" showInputMessage="1" showErrorMessage="1" sqref="C3" xr:uid="{51DF94F6-BDCE-4999-816A-D58673D125BA}">
      <formula1>2</formula1>
      <formula2>25</formula2>
    </dataValidation>
    <dataValidation type="whole" allowBlank="1" showInputMessage="1" showErrorMessage="1" sqref="C4" xr:uid="{A5A18E6B-F2F4-4136-8E95-D6D67371A3A2}">
      <formula1>2</formula1>
      <formula2>7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3CD4-FAE4-4D65-A0C7-0B3E85BEC945}">
  <dimension ref="A1:I52"/>
  <sheetViews>
    <sheetView topLeftCell="A38" workbookViewId="0">
      <selection activeCell="B48" sqref="B48"/>
    </sheetView>
  </sheetViews>
  <sheetFormatPr defaultRowHeight="14.5" x14ac:dyDescent="0.35"/>
  <cols>
    <col min="1" max="1" width="11.36328125" bestFit="1" customWidth="1"/>
    <col min="2" max="2" width="9.54296875" bestFit="1" customWidth="1"/>
    <col min="3" max="3" width="10.36328125" customWidth="1"/>
    <col min="4" max="4" width="13.36328125" customWidth="1"/>
    <col min="5" max="5" width="14.26953125" customWidth="1"/>
    <col min="7" max="7" width="9.90625" customWidth="1"/>
    <col min="8" max="8" width="9.453125" bestFit="1" customWidth="1"/>
  </cols>
  <sheetData>
    <row r="1" spans="1:9" ht="48" customHeight="1" x14ac:dyDescent="0.35">
      <c r="A1" s="81" t="s">
        <v>95</v>
      </c>
      <c r="B1" s="82"/>
      <c r="C1" s="82"/>
      <c r="D1" s="82"/>
      <c r="E1" s="82"/>
      <c r="F1" s="82"/>
      <c r="G1" s="82"/>
      <c r="H1" s="82"/>
      <c r="I1" s="82"/>
    </row>
    <row r="2" spans="1:9" ht="17" customHeight="1" x14ac:dyDescent="0.35">
      <c r="A2" t="s">
        <v>79</v>
      </c>
      <c r="B2" t="s">
        <v>35</v>
      </c>
      <c r="C2" t="s">
        <v>36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</row>
    <row r="3" spans="1:9" x14ac:dyDescent="0.35">
      <c r="A3">
        <v>2</v>
      </c>
      <c r="B3" t="s">
        <v>46</v>
      </c>
      <c r="C3" t="s">
        <v>65</v>
      </c>
      <c r="D3" s="23">
        <v>22687</v>
      </c>
      <c r="E3" s="23">
        <v>31504</v>
      </c>
      <c r="F3">
        <f ca="1">YEAR(NOW())-YEAR(D3)</f>
        <v>61</v>
      </c>
      <c r="G3">
        <f ca="1">YEAR(NOW())-YEAR(E3)</f>
        <v>37</v>
      </c>
      <c r="H3" t="s">
        <v>91</v>
      </c>
      <c r="I3" s="24">
        <v>3000</v>
      </c>
    </row>
    <row r="4" spans="1:9" x14ac:dyDescent="0.35">
      <c r="A4">
        <v>175</v>
      </c>
      <c r="B4" t="s">
        <v>86</v>
      </c>
      <c r="C4" t="s">
        <v>87</v>
      </c>
      <c r="D4" s="23">
        <v>26126</v>
      </c>
      <c r="E4" s="23">
        <v>34947</v>
      </c>
      <c r="F4">
        <f t="shared" ref="F4:F8" ca="1" si="0">YEAR(NOW())-YEAR(D4)</f>
        <v>52</v>
      </c>
      <c r="G4">
        <f t="shared" ref="G4:G8" ca="1" si="1">YEAR(NOW())-YEAR(E4)</f>
        <v>28</v>
      </c>
      <c r="H4" t="s">
        <v>92</v>
      </c>
      <c r="I4" s="24">
        <v>1500</v>
      </c>
    </row>
    <row r="5" spans="1:9" x14ac:dyDescent="0.35">
      <c r="A5">
        <v>100</v>
      </c>
      <c r="B5" t="s">
        <v>51</v>
      </c>
      <c r="C5" t="s">
        <v>88</v>
      </c>
      <c r="D5" s="23">
        <v>16488</v>
      </c>
      <c r="E5" s="23">
        <v>29313</v>
      </c>
      <c r="F5">
        <f t="shared" ca="1" si="0"/>
        <v>78</v>
      </c>
      <c r="G5">
        <f t="shared" ca="1" si="1"/>
        <v>43</v>
      </c>
      <c r="H5" t="s">
        <v>93</v>
      </c>
      <c r="I5" s="24">
        <v>4000</v>
      </c>
    </row>
    <row r="6" spans="1:9" x14ac:dyDescent="0.35">
      <c r="A6">
        <v>10</v>
      </c>
      <c r="B6" t="s">
        <v>46</v>
      </c>
      <c r="C6" t="s">
        <v>89</v>
      </c>
      <c r="D6" s="23">
        <v>25571</v>
      </c>
      <c r="E6" s="23">
        <v>33362</v>
      </c>
      <c r="F6">
        <f t="shared" ca="1" si="0"/>
        <v>53</v>
      </c>
      <c r="G6">
        <f t="shared" ca="1" si="1"/>
        <v>32</v>
      </c>
      <c r="H6" t="s">
        <v>92</v>
      </c>
      <c r="I6" s="24">
        <v>1500</v>
      </c>
    </row>
    <row r="7" spans="1:9" x14ac:dyDescent="0.35">
      <c r="A7">
        <v>25</v>
      </c>
      <c r="B7" t="s">
        <v>45</v>
      </c>
      <c r="C7" t="s">
        <v>64</v>
      </c>
      <c r="D7" s="23">
        <v>25695</v>
      </c>
      <c r="E7" s="23">
        <v>34521</v>
      </c>
      <c r="F7">
        <f t="shared" ca="1" si="0"/>
        <v>53</v>
      </c>
      <c r="G7">
        <f t="shared" ca="1" si="1"/>
        <v>29</v>
      </c>
      <c r="H7" t="s">
        <v>94</v>
      </c>
      <c r="I7" s="24">
        <v>2650</v>
      </c>
    </row>
    <row r="8" spans="1:9" x14ac:dyDescent="0.35">
      <c r="A8">
        <v>150</v>
      </c>
      <c r="B8" t="s">
        <v>86</v>
      </c>
      <c r="C8" t="s">
        <v>90</v>
      </c>
      <c r="D8" s="23">
        <v>18455</v>
      </c>
      <c r="E8" s="23">
        <v>26882</v>
      </c>
      <c r="F8">
        <f t="shared" ca="1" si="0"/>
        <v>73</v>
      </c>
      <c r="G8">
        <f t="shared" ca="1" si="1"/>
        <v>50</v>
      </c>
      <c r="H8" t="s">
        <v>91</v>
      </c>
      <c r="I8" s="24">
        <v>3000</v>
      </c>
    </row>
    <row r="13" spans="1:9" ht="17" customHeight="1" x14ac:dyDescent="0.35">
      <c r="A13" t="s">
        <v>79</v>
      </c>
      <c r="B13" t="s">
        <v>35</v>
      </c>
      <c r="C13" t="s">
        <v>36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</row>
    <row r="14" spans="1:9" x14ac:dyDescent="0.35">
      <c r="A14">
        <v>150</v>
      </c>
      <c r="B14" t="s">
        <v>86</v>
      </c>
      <c r="C14" t="s">
        <v>90</v>
      </c>
      <c r="D14" s="23">
        <v>18455</v>
      </c>
      <c r="E14" s="23">
        <v>26882</v>
      </c>
      <c r="F14">
        <f t="shared" ref="F14:G19" ca="1" si="2">YEAR(NOW())-YEAR(D14)</f>
        <v>73</v>
      </c>
      <c r="G14">
        <f t="shared" ca="1" si="2"/>
        <v>50</v>
      </c>
      <c r="H14" t="s">
        <v>91</v>
      </c>
      <c r="I14" s="24">
        <v>3000</v>
      </c>
    </row>
    <row r="15" spans="1:9" x14ac:dyDescent="0.35">
      <c r="A15">
        <v>100</v>
      </c>
      <c r="B15" t="s">
        <v>51</v>
      </c>
      <c r="C15" t="s">
        <v>88</v>
      </c>
      <c r="D15" s="23">
        <v>16488</v>
      </c>
      <c r="E15" s="23">
        <v>29313</v>
      </c>
      <c r="F15">
        <f t="shared" ca="1" si="2"/>
        <v>78</v>
      </c>
      <c r="G15">
        <f t="shared" ca="1" si="2"/>
        <v>43</v>
      </c>
      <c r="H15" t="s">
        <v>93</v>
      </c>
      <c r="I15" s="24">
        <v>4000</v>
      </c>
    </row>
    <row r="16" spans="1:9" x14ac:dyDescent="0.35">
      <c r="A16">
        <v>2</v>
      </c>
      <c r="B16" t="s">
        <v>46</v>
      </c>
      <c r="C16" t="s">
        <v>65</v>
      </c>
      <c r="D16" s="23">
        <v>22687</v>
      </c>
      <c r="E16" s="23">
        <v>31504</v>
      </c>
      <c r="F16">
        <f t="shared" ca="1" si="2"/>
        <v>61</v>
      </c>
      <c r="G16">
        <f t="shared" ca="1" si="2"/>
        <v>37</v>
      </c>
      <c r="H16" t="s">
        <v>91</v>
      </c>
      <c r="I16" s="24">
        <v>3000</v>
      </c>
    </row>
    <row r="17" spans="1:9" x14ac:dyDescent="0.35">
      <c r="A17">
        <v>10</v>
      </c>
      <c r="B17" t="s">
        <v>46</v>
      </c>
      <c r="C17" t="s">
        <v>89</v>
      </c>
      <c r="D17" s="23">
        <v>25571</v>
      </c>
      <c r="E17" s="23">
        <v>33362</v>
      </c>
      <c r="F17">
        <f t="shared" ca="1" si="2"/>
        <v>53</v>
      </c>
      <c r="G17">
        <f t="shared" ca="1" si="2"/>
        <v>32</v>
      </c>
      <c r="H17" t="s">
        <v>92</v>
      </c>
      <c r="I17" s="24">
        <v>1500</v>
      </c>
    </row>
    <row r="18" spans="1:9" x14ac:dyDescent="0.35">
      <c r="A18">
        <v>25</v>
      </c>
      <c r="B18" t="s">
        <v>45</v>
      </c>
      <c r="C18" t="s">
        <v>64</v>
      </c>
      <c r="D18" s="23">
        <v>25695</v>
      </c>
      <c r="E18" s="23">
        <v>34521</v>
      </c>
      <c r="F18">
        <f t="shared" ca="1" si="2"/>
        <v>53</v>
      </c>
      <c r="G18">
        <f t="shared" ca="1" si="2"/>
        <v>29</v>
      </c>
      <c r="H18" t="s">
        <v>94</v>
      </c>
      <c r="I18" s="24">
        <v>2650</v>
      </c>
    </row>
    <row r="19" spans="1:9" x14ac:dyDescent="0.35">
      <c r="A19">
        <v>175</v>
      </c>
      <c r="B19" t="s">
        <v>86</v>
      </c>
      <c r="C19" t="s">
        <v>87</v>
      </c>
      <c r="D19" s="23">
        <v>26126</v>
      </c>
      <c r="E19" s="23">
        <v>34947</v>
      </c>
      <c r="F19">
        <f t="shared" ca="1" si="2"/>
        <v>52</v>
      </c>
      <c r="G19">
        <f t="shared" ca="1" si="2"/>
        <v>28</v>
      </c>
      <c r="H19" t="s">
        <v>92</v>
      </c>
      <c r="I19" s="24">
        <v>1500</v>
      </c>
    </row>
    <row r="24" spans="1:9" ht="17" customHeight="1" x14ac:dyDescent="0.35">
      <c r="A24" t="s">
        <v>79</v>
      </c>
      <c r="B24" t="s">
        <v>35</v>
      </c>
      <c r="C24" t="s">
        <v>36</v>
      </c>
      <c r="D24" t="s">
        <v>80</v>
      </c>
      <c r="E24" t="s">
        <v>81</v>
      </c>
      <c r="F24" t="s">
        <v>82</v>
      </c>
      <c r="G24" t="s">
        <v>83</v>
      </c>
      <c r="H24" t="s">
        <v>84</v>
      </c>
      <c r="I24" t="s">
        <v>85</v>
      </c>
    </row>
    <row r="25" spans="1:9" x14ac:dyDescent="0.35">
      <c r="A25">
        <v>175</v>
      </c>
      <c r="B25" t="s">
        <v>86</v>
      </c>
      <c r="C25" t="s">
        <v>87</v>
      </c>
      <c r="D25" s="23">
        <v>26126</v>
      </c>
      <c r="E25" s="23">
        <v>34947</v>
      </c>
      <c r="F25">
        <f t="shared" ref="F25:G30" ca="1" si="3">YEAR(NOW())-YEAR(D25)</f>
        <v>52</v>
      </c>
      <c r="G25">
        <f t="shared" ca="1" si="3"/>
        <v>28</v>
      </c>
      <c r="H25" t="s">
        <v>92</v>
      </c>
      <c r="I25" s="24">
        <v>1500</v>
      </c>
    </row>
    <row r="26" spans="1:9" x14ac:dyDescent="0.35">
      <c r="A26">
        <v>150</v>
      </c>
      <c r="B26" t="s">
        <v>86</v>
      </c>
      <c r="C26" t="s">
        <v>90</v>
      </c>
      <c r="D26" s="23">
        <v>18455</v>
      </c>
      <c r="E26" s="23">
        <v>26882</v>
      </c>
      <c r="F26">
        <f t="shared" ca="1" si="3"/>
        <v>73</v>
      </c>
      <c r="G26">
        <f t="shared" ca="1" si="3"/>
        <v>50</v>
      </c>
      <c r="H26" t="s">
        <v>91</v>
      </c>
      <c r="I26" s="24">
        <v>3000</v>
      </c>
    </row>
    <row r="27" spans="1:9" x14ac:dyDescent="0.35">
      <c r="A27">
        <v>100</v>
      </c>
      <c r="B27" t="s">
        <v>51</v>
      </c>
      <c r="C27" t="s">
        <v>88</v>
      </c>
      <c r="D27" s="23">
        <v>16488</v>
      </c>
      <c r="E27" s="23">
        <v>29313</v>
      </c>
      <c r="F27">
        <f t="shared" ca="1" si="3"/>
        <v>78</v>
      </c>
      <c r="G27">
        <f t="shared" ca="1" si="3"/>
        <v>43</v>
      </c>
      <c r="H27" t="s">
        <v>93</v>
      </c>
      <c r="I27" s="24">
        <v>4000</v>
      </c>
    </row>
    <row r="28" spans="1:9" x14ac:dyDescent="0.35">
      <c r="A28">
        <v>25</v>
      </c>
      <c r="B28" t="s">
        <v>45</v>
      </c>
      <c r="C28" t="s">
        <v>64</v>
      </c>
      <c r="D28" s="23">
        <v>25695</v>
      </c>
      <c r="E28" s="23">
        <v>34521</v>
      </c>
      <c r="F28">
        <f t="shared" ca="1" si="3"/>
        <v>53</v>
      </c>
      <c r="G28">
        <f t="shared" ca="1" si="3"/>
        <v>29</v>
      </c>
      <c r="H28" t="s">
        <v>94</v>
      </c>
      <c r="I28" s="24">
        <v>2650</v>
      </c>
    </row>
    <row r="29" spans="1:9" x14ac:dyDescent="0.35">
      <c r="A29">
        <v>10</v>
      </c>
      <c r="B29" t="s">
        <v>46</v>
      </c>
      <c r="C29" t="s">
        <v>89</v>
      </c>
      <c r="D29" s="23">
        <v>25571</v>
      </c>
      <c r="E29" s="23">
        <v>33362</v>
      </c>
      <c r="F29">
        <f t="shared" ca="1" si="3"/>
        <v>53</v>
      </c>
      <c r="G29">
        <f t="shared" ca="1" si="3"/>
        <v>32</v>
      </c>
      <c r="H29" t="s">
        <v>92</v>
      </c>
      <c r="I29" s="24">
        <v>1500</v>
      </c>
    </row>
    <row r="30" spans="1:9" x14ac:dyDescent="0.35">
      <c r="A30">
        <v>2</v>
      </c>
      <c r="B30" t="s">
        <v>46</v>
      </c>
      <c r="C30" t="s">
        <v>65</v>
      </c>
      <c r="D30" s="23">
        <v>22687</v>
      </c>
      <c r="E30" s="23">
        <v>31504</v>
      </c>
      <c r="F30">
        <f t="shared" ca="1" si="3"/>
        <v>61</v>
      </c>
      <c r="G30">
        <f t="shared" ca="1" si="3"/>
        <v>37</v>
      </c>
      <c r="H30" t="s">
        <v>91</v>
      </c>
      <c r="I30" s="24">
        <v>3000</v>
      </c>
    </row>
    <row r="33" spans="1:9" ht="18.5" x14ac:dyDescent="0.45">
      <c r="A33" s="83" t="s">
        <v>96</v>
      </c>
      <c r="B33" s="83"/>
      <c r="C33" s="83"/>
      <c r="D33" s="83"/>
      <c r="E33" s="83"/>
      <c r="F33" s="83"/>
      <c r="G33" s="83"/>
      <c r="H33" s="83"/>
      <c r="I33" s="83"/>
    </row>
    <row r="34" spans="1:9" x14ac:dyDescent="0.35">
      <c r="A34" t="s">
        <v>79</v>
      </c>
      <c r="B34" t="s">
        <v>35</v>
      </c>
      <c r="C34" t="s">
        <v>36</v>
      </c>
      <c r="D34" t="s">
        <v>80</v>
      </c>
      <c r="E34" t="s">
        <v>81</v>
      </c>
      <c r="F34" t="s">
        <v>82</v>
      </c>
      <c r="G34" t="s">
        <v>83</v>
      </c>
      <c r="H34" t="s">
        <v>84</v>
      </c>
      <c r="I34" t="s">
        <v>85</v>
      </c>
    </row>
    <row r="35" spans="1:9" x14ac:dyDescent="0.35">
      <c r="A35">
        <v>150</v>
      </c>
      <c r="B35" t="s">
        <v>86</v>
      </c>
      <c r="C35" t="s">
        <v>90</v>
      </c>
      <c r="D35" s="23">
        <v>18455</v>
      </c>
      <c r="E35" s="23">
        <v>26882</v>
      </c>
      <c r="F35">
        <v>73</v>
      </c>
      <c r="G35">
        <v>50</v>
      </c>
      <c r="H35" t="s">
        <v>91</v>
      </c>
      <c r="I35" s="24">
        <v>3000</v>
      </c>
    </row>
    <row r="36" spans="1:9" x14ac:dyDescent="0.35">
      <c r="A36">
        <v>2</v>
      </c>
      <c r="B36" t="s">
        <v>46</v>
      </c>
      <c r="C36" t="s">
        <v>65</v>
      </c>
      <c r="D36" s="23">
        <v>22687</v>
      </c>
      <c r="E36" s="23">
        <v>31504</v>
      </c>
      <c r="F36">
        <v>61</v>
      </c>
      <c r="G36">
        <v>37</v>
      </c>
      <c r="H36" t="s">
        <v>91</v>
      </c>
      <c r="I36" s="24">
        <v>3000</v>
      </c>
    </row>
    <row r="39" spans="1:9" ht="18.5" x14ac:dyDescent="0.45">
      <c r="A39" s="83" t="s">
        <v>97</v>
      </c>
      <c r="B39" s="83"/>
      <c r="C39" s="83"/>
      <c r="D39" s="83"/>
      <c r="E39" s="83"/>
      <c r="F39" s="83"/>
      <c r="G39" s="83"/>
      <c r="H39" s="83"/>
      <c r="I39" s="83"/>
    </row>
    <row r="40" spans="1:9" ht="17" customHeight="1" x14ac:dyDescent="0.35">
      <c r="A40" t="s">
        <v>79</v>
      </c>
      <c r="B40" t="s">
        <v>35</v>
      </c>
      <c r="C40" t="s">
        <v>36</v>
      </c>
      <c r="D40" t="s">
        <v>80</v>
      </c>
      <c r="E40" t="s">
        <v>81</v>
      </c>
      <c r="F40" t="s">
        <v>82</v>
      </c>
      <c r="G40" t="s">
        <v>83</v>
      </c>
      <c r="H40" t="s">
        <v>84</v>
      </c>
      <c r="I40" t="s">
        <v>85</v>
      </c>
    </row>
    <row r="41" spans="1:9" x14ac:dyDescent="0.35">
      <c r="A41">
        <v>175</v>
      </c>
      <c r="B41" t="s">
        <v>86</v>
      </c>
      <c r="C41" t="s">
        <v>87</v>
      </c>
      <c r="D41" s="23">
        <v>26126</v>
      </c>
      <c r="E41" s="23">
        <v>34947</v>
      </c>
      <c r="F41">
        <v>52</v>
      </c>
      <c r="G41">
        <v>28</v>
      </c>
      <c r="H41" t="s">
        <v>92</v>
      </c>
      <c r="I41" s="24">
        <v>1500</v>
      </c>
    </row>
    <row r="42" spans="1:9" x14ac:dyDescent="0.35">
      <c r="A42">
        <v>25</v>
      </c>
      <c r="B42" t="s">
        <v>45</v>
      </c>
      <c r="C42" t="s">
        <v>64</v>
      </c>
      <c r="D42" s="23">
        <v>25695</v>
      </c>
      <c r="E42" s="23">
        <v>34521</v>
      </c>
      <c r="F42">
        <v>53</v>
      </c>
      <c r="G42">
        <v>29</v>
      </c>
      <c r="H42" t="s">
        <v>94</v>
      </c>
      <c r="I42" s="24">
        <v>2650</v>
      </c>
    </row>
    <row r="43" spans="1:9" x14ac:dyDescent="0.35">
      <c r="A43">
        <v>10</v>
      </c>
      <c r="B43" t="s">
        <v>46</v>
      </c>
      <c r="C43" t="s">
        <v>89</v>
      </c>
      <c r="D43" s="23">
        <v>25571</v>
      </c>
      <c r="E43" s="23">
        <v>33362</v>
      </c>
      <c r="F43">
        <v>53</v>
      </c>
      <c r="G43">
        <v>32</v>
      </c>
      <c r="H43" t="s">
        <v>92</v>
      </c>
      <c r="I43" s="24">
        <v>1500</v>
      </c>
    </row>
    <row r="46" spans="1:9" x14ac:dyDescent="0.35">
      <c r="A46" s="84" t="s">
        <v>98</v>
      </c>
      <c r="B46" s="84"/>
    </row>
    <row r="47" spans="1:9" x14ac:dyDescent="0.35">
      <c r="A47" s="26" t="s">
        <v>79</v>
      </c>
      <c r="B47" s="11">
        <v>175</v>
      </c>
    </row>
    <row r="48" spans="1:9" x14ac:dyDescent="0.35">
      <c r="A48" s="26" t="s">
        <v>35</v>
      </c>
      <c r="B48" s="11" t="str">
        <f>VLOOKUP(B47,2:8,2,1)</f>
        <v>Avram</v>
      </c>
    </row>
    <row r="49" spans="1:2" x14ac:dyDescent="0.35">
      <c r="A49" s="26" t="s">
        <v>36</v>
      </c>
      <c r="B49" s="11" t="str">
        <f>VLOOKUP(B47,2:8,3,1)</f>
        <v>Elena</v>
      </c>
    </row>
    <row r="50" spans="1:2" x14ac:dyDescent="0.35">
      <c r="A50" s="26" t="s">
        <v>80</v>
      </c>
      <c r="B50" s="27">
        <f>VLOOKUP(B47,2:8,4,1)</f>
        <v>18455</v>
      </c>
    </row>
    <row r="51" spans="1:2" x14ac:dyDescent="0.35">
      <c r="A51" s="26" t="s">
        <v>99</v>
      </c>
      <c r="B51" s="11" t="str">
        <f>VLOOKUP(B47,2:8,8,1)</f>
        <v>economist</v>
      </c>
    </row>
    <row r="52" spans="1:2" x14ac:dyDescent="0.35">
      <c r="A52" s="26" t="s">
        <v>85</v>
      </c>
      <c r="B52" s="11">
        <f>VLOOKUP(B47,2:8,9,1)</f>
        <v>3000</v>
      </c>
    </row>
  </sheetData>
  <mergeCells count="4">
    <mergeCell ref="A1:I1"/>
    <mergeCell ref="A33:I33"/>
    <mergeCell ref="A39:I39"/>
    <mergeCell ref="A46:B46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B467-EE0D-47B7-85F1-CDFE9AC657ED}">
  <dimension ref="A1:E24"/>
  <sheetViews>
    <sheetView topLeftCell="B1" workbookViewId="0">
      <selection activeCell="B3" sqref="B3:C3"/>
    </sheetView>
  </sheetViews>
  <sheetFormatPr defaultRowHeight="14.5" x14ac:dyDescent="0.35"/>
  <cols>
    <col min="2" max="2" width="18.36328125" bestFit="1" customWidth="1"/>
    <col min="3" max="3" width="10.1796875" bestFit="1" customWidth="1"/>
    <col min="4" max="4" width="11.7265625" bestFit="1" customWidth="1"/>
    <col min="5" max="5" width="10" bestFit="1" customWidth="1"/>
  </cols>
  <sheetData>
    <row r="1" spans="1:5" x14ac:dyDescent="0.35">
      <c r="A1" s="80" t="s">
        <v>100</v>
      </c>
      <c r="B1" s="80"/>
      <c r="C1" s="80"/>
      <c r="D1" s="80"/>
      <c r="E1" s="80"/>
    </row>
    <row r="3" spans="1:5" x14ac:dyDescent="0.35">
      <c r="B3" s="85" t="s">
        <v>101</v>
      </c>
      <c r="C3" s="85"/>
    </row>
    <row r="4" spans="1:5" x14ac:dyDescent="0.35">
      <c r="B4" t="s">
        <v>102</v>
      </c>
      <c r="C4" s="24">
        <v>50000</v>
      </c>
    </row>
    <row r="5" spans="1:5" x14ac:dyDescent="0.35">
      <c r="B5" t="s">
        <v>103</v>
      </c>
      <c r="C5">
        <v>3</v>
      </c>
    </row>
    <row r="6" spans="1:5" x14ac:dyDescent="0.35">
      <c r="B6" t="s">
        <v>104</v>
      </c>
      <c r="C6">
        <v>4</v>
      </c>
    </row>
    <row r="7" spans="1:5" x14ac:dyDescent="0.35">
      <c r="B7" t="s">
        <v>105</v>
      </c>
      <c r="C7" s="28">
        <v>0.45</v>
      </c>
    </row>
    <row r="8" spans="1:5" x14ac:dyDescent="0.35">
      <c r="B8" s="85"/>
      <c r="C8" s="85"/>
    </row>
    <row r="9" spans="1:5" x14ac:dyDescent="0.35">
      <c r="B9" s="30" t="s">
        <v>106</v>
      </c>
      <c r="C9" s="31">
        <f>-PMT(C7/C6,C5*C6,C4,0)</f>
        <v>7793.3123744019849</v>
      </c>
    </row>
    <row r="12" spans="1:5" x14ac:dyDescent="0.35">
      <c r="A12" s="29" t="s">
        <v>107</v>
      </c>
      <c r="B12" s="29" t="s">
        <v>108</v>
      </c>
      <c r="C12" s="29" t="s">
        <v>109</v>
      </c>
      <c r="D12" s="29" t="s">
        <v>110</v>
      </c>
      <c r="E12" s="29" t="s">
        <v>111</v>
      </c>
    </row>
    <row r="13" spans="1:5" x14ac:dyDescent="0.35">
      <c r="A13">
        <v>1</v>
      </c>
      <c r="B13" s="24">
        <f>$C$4*($C$7/$C$6)</f>
        <v>5625</v>
      </c>
      <c r="C13" s="24">
        <f>$D$13-$B$13</f>
        <v>2168.3123744019849</v>
      </c>
      <c r="D13" s="24">
        <f>$C$9</f>
        <v>7793.3123744019849</v>
      </c>
      <c r="E13" s="24">
        <f>$C$4-$C$13</f>
        <v>47831.687625598017</v>
      </c>
    </row>
    <row r="14" spans="1:5" x14ac:dyDescent="0.35">
      <c r="A14">
        <f>IF(ROWS(A$13:A14)&lt;=($C$5*$C$6),ROWS(A$13:A14),"")</f>
        <v>2</v>
      </c>
      <c r="B14" s="2">
        <f>IF(A14&lt;&gt;"",E13*($C$7/$C$6),"")</f>
        <v>5381.0648578797773</v>
      </c>
      <c r="C14" s="2">
        <f>IF(A14&lt;&gt;"",D14-B14,"")</f>
        <v>2412.2475165222077</v>
      </c>
      <c r="D14" s="2">
        <f>IF(A14&lt;&gt;"",$C$9,"")</f>
        <v>7793.3123744019849</v>
      </c>
      <c r="E14" s="2">
        <f>IF(A14&lt;&gt;"",E13-C14,"")</f>
        <v>45419.440109075811</v>
      </c>
    </row>
    <row r="15" spans="1:5" x14ac:dyDescent="0.35">
      <c r="A15">
        <f>IF(ROWS(A$13:A15)&lt;=($C$5*$C$6),ROWS(A$13:A15),"")</f>
        <v>3</v>
      </c>
      <c r="B15" s="2">
        <f t="shared" ref="B15:B24" si="0">IF(A15&lt;&gt;"",E14*($C$7/$C$6),"")</f>
        <v>5109.6870122710288</v>
      </c>
      <c r="C15" s="2">
        <f t="shared" ref="C15:C24" si="1">IF(A15&lt;&gt;"",D15-B15,"")</f>
        <v>2683.6253621309561</v>
      </c>
      <c r="D15" s="2">
        <f t="shared" ref="D15:D24" si="2">IF(A15&lt;&gt;"",$C$9,"")</f>
        <v>7793.3123744019849</v>
      </c>
      <c r="E15" s="2">
        <f t="shared" ref="E15:E24" si="3">IF(A15&lt;&gt;"",E14-C15,"")</f>
        <v>42735.814746944852</v>
      </c>
    </row>
    <row r="16" spans="1:5" x14ac:dyDescent="0.35">
      <c r="A16">
        <f>IF(ROWS(A$13:A16)&lt;=($C$5*$C$6),ROWS(A$13:A16),"")</f>
        <v>4</v>
      </c>
      <c r="B16" s="2">
        <f t="shared" si="0"/>
        <v>4807.7791590312963</v>
      </c>
      <c r="C16" s="2">
        <f t="shared" si="1"/>
        <v>2985.5332153706886</v>
      </c>
      <c r="D16" s="2">
        <f t="shared" si="2"/>
        <v>7793.3123744019849</v>
      </c>
      <c r="E16" s="2">
        <f t="shared" si="3"/>
        <v>39750.281531574161</v>
      </c>
    </row>
    <row r="17" spans="1:5" x14ac:dyDescent="0.35">
      <c r="A17">
        <f>IF(ROWS(A$13:A17)&lt;=($C$5*$C$6),ROWS(A$13:A17),"")</f>
        <v>5</v>
      </c>
      <c r="B17" s="2">
        <f t="shared" si="0"/>
        <v>4471.9066723020933</v>
      </c>
      <c r="C17" s="2">
        <f t="shared" si="1"/>
        <v>3321.4057020998916</v>
      </c>
      <c r="D17" s="2">
        <f t="shared" si="2"/>
        <v>7793.3123744019849</v>
      </c>
      <c r="E17" s="2">
        <f t="shared" si="3"/>
        <v>36428.875829474273</v>
      </c>
    </row>
    <row r="18" spans="1:5" x14ac:dyDescent="0.35">
      <c r="A18">
        <f>IF(ROWS(A$13:A18)&lt;=($C$5*$C$6),ROWS(A$13:A18),"")</f>
        <v>6</v>
      </c>
      <c r="B18" s="2">
        <f t="shared" si="0"/>
        <v>4098.2485308158557</v>
      </c>
      <c r="C18" s="2">
        <f t="shared" si="1"/>
        <v>3695.0638435861292</v>
      </c>
      <c r="D18" s="2">
        <f t="shared" si="2"/>
        <v>7793.3123744019849</v>
      </c>
      <c r="E18" s="2">
        <f t="shared" si="3"/>
        <v>32733.811985888144</v>
      </c>
    </row>
    <row r="19" spans="1:5" x14ac:dyDescent="0.35">
      <c r="A19">
        <f>IF(ROWS(A$13:A19)&lt;=($C$5*$C$6),ROWS(A$13:A19),"")</f>
        <v>7</v>
      </c>
      <c r="B19" s="2">
        <f t="shared" si="0"/>
        <v>3682.5538484124163</v>
      </c>
      <c r="C19" s="2">
        <f t="shared" si="1"/>
        <v>4110.7585259895686</v>
      </c>
      <c r="D19" s="2">
        <f t="shared" si="2"/>
        <v>7793.3123744019849</v>
      </c>
      <c r="E19" s="2">
        <f t="shared" si="3"/>
        <v>28623.053459898576</v>
      </c>
    </row>
    <row r="20" spans="1:5" x14ac:dyDescent="0.35">
      <c r="A20">
        <f>IF(ROWS(A$13:A20)&lt;=($C$5*$C$6),ROWS(A$13:A20),"")</f>
        <v>8</v>
      </c>
      <c r="B20" s="2">
        <f t="shared" si="0"/>
        <v>3220.0935142385897</v>
      </c>
      <c r="C20" s="2">
        <f t="shared" si="1"/>
        <v>4573.2188601633952</v>
      </c>
      <c r="D20" s="2">
        <f t="shared" si="2"/>
        <v>7793.3123744019849</v>
      </c>
      <c r="E20" s="2">
        <f t="shared" si="3"/>
        <v>24049.834599735179</v>
      </c>
    </row>
    <row r="21" spans="1:5" x14ac:dyDescent="0.35">
      <c r="A21">
        <f>IF(ROWS(A$13:A21)&lt;=($C$5*$C$6),ROWS(A$13:A21),"")</f>
        <v>9</v>
      </c>
      <c r="B21" s="2">
        <f t="shared" si="0"/>
        <v>2705.6063924702075</v>
      </c>
      <c r="C21" s="2">
        <f t="shared" si="1"/>
        <v>5087.7059819317774</v>
      </c>
      <c r="D21" s="2">
        <f t="shared" si="2"/>
        <v>7793.3123744019849</v>
      </c>
      <c r="E21" s="2">
        <f t="shared" si="3"/>
        <v>18962.128617803402</v>
      </c>
    </row>
    <row r="22" spans="1:5" x14ac:dyDescent="0.35">
      <c r="A22">
        <f>IF(ROWS(A$13:A22)&lt;=($C$5*$C$6),ROWS(A$13:A22),"")</f>
        <v>10</v>
      </c>
      <c r="B22" s="2">
        <f t="shared" si="0"/>
        <v>2133.2394695028829</v>
      </c>
      <c r="C22" s="2">
        <f t="shared" si="1"/>
        <v>5660.0729048991016</v>
      </c>
      <c r="D22" s="2">
        <f t="shared" si="2"/>
        <v>7793.3123744019849</v>
      </c>
      <c r="E22" s="2">
        <f t="shared" si="3"/>
        <v>13302.055712904301</v>
      </c>
    </row>
    <row r="23" spans="1:5" x14ac:dyDescent="0.35">
      <c r="A23">
        <f>IF(ROWS(A$13:A23)&lt;=($C$5*$C$6),ROWS(A$13:A23),"")</f>
        <v>11</v>
      </c>
      <c r="B23" s="2">
        <f t="shared" si="0"/>
        <v>1496.4812677017339</v>
      </c>
      <c r="C23" s="2">
        <f t="shared" si="1"/>
        <v>6296.8311067002505</v>
      </c>
      <c r="D23" s="2">
        <f t="shared" si="2"/>
        <v>7793.3123744019849</v>
      </c>
      <c r="E23" s="2">
        <f t="shared" si="3"/>
        <v>7005.2246062040504</v>
      </c>
    </row>
    <row r="24" spans="1:5" x14ac:dyDescent="0.35">
      <c r="A24">
        <f>IF(ROWS(A$13:A24)&lt;=($C$5*$C$6),ROWS(A$13:A24),"")</f>
        <v>12</v>
      </c>
      <c r="B24" s="2">
        <f t="shared" si="0"/>
        <v>788.08776819795571</v>
      </c>
      <c r="C24" s="2">
        <f t="shared" si="1"/>
        <v>7005.2246062040294</v>
      </c>
      <c r="D24" s="2">
        <f t="shared" si="2"/>
        <v>7793.3123744019849</v>
      </c>
      <c r="E24" s="2">
        <f t="shared" si="3"/>
        <v>2.0918378140777349E-11</v>
      </c>
    </row>
  </sheetData>
  <mergeCells count="3">
    <mergeCell ref="A1:E1"/>
    <mergeCell ref="B3:C3"/>
    <mergeCell ref="B8:C8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C891-615C-4AF1-9D2D-B6B36EC1016F}">
  <dimension ref="A1:E24"/>
  <sheetViews>
    <sheetView workbookViewId="0">
      <selection activeCell="H5" sqref="H5"/>
    </sheetView>
  </sheetViews>
  <sheetFormatPr defaultRowHeight="14.5" x14ac:dyDescent="0.35"/>
  <cols>
    <col min="2" max="2" width="18.36328125" bestFit="1" customWidth="1"/>
    <col min="3" max="3" width="10.1796875" bestFit="1" customWidth="1"/>
    <col min="4" max="4" width="11.7265625" bestFit="1" customWidth="1"/>
    <col min="5" max="5" width="10" bestFit="1" customWidth="1"/>
  </cols>
  <sheetData>
    <row r="1" spans="1:5" x14ac:dyDescent="0.35">
      <c r="A1" s="80" t="s">
        <v>113</v>
      </c>
      <c r="B1" s="80"/>
      <c r="C1" s="80"/>
      <c r="D1" s="80"/>
      <c r="E1" s="80"/>
    </row>
    <row r="3" spans="1:5" x14ac:dyDescent="0.35">
      <c r="B3" s="85" t="s">
        <v>101</v>
      </c>
      <c r="C3" s="85"/>
    </row>
    <row r="4" spans="1:5" x14ac:dyDescent="0.35">
      <c r="B4" t="s">
        <v>102</v>
      </c>
      <c r="C4" s="24">
        <v>50000</v>
      </c>
    </row>
    <row r="5" spans="1:5" x14ac:dyDescent="0.35">
      <c r="B5" t="s">
        <v>103</v>
      </c>
      <c r="C5">
        <v>3</v>
      </c>
    </row>
    <row r="6" spans="1:5" x14ac:dyDescent="0.35">
      <c r="B6" t="s">
        <v>104</v>
      </c>
      <c r="C6">
        <v>4</v>
      </c>
    </row>
    <row r="7" spans="1:5" x14ac:dyDescent="0.35">
      <c r="B7" t="s">
        <v>105</v>
      </c>
      <c r="C7" s="28">
        <v>0.45</v>
      </c>
    </row>
    <row r="8" spans="1:5" x14ac:dyDescent="0.35">
      <c r="B8" s="85"/>
      <c r="C8" s="85"/>
    </row>
    <row r="9" spans="1:5" x14ac:dyDescent="0.35">
      <c r="B9" s="30" t="s">
        <v>112</v>
      </c>
      <c r="C9" s="31">
        <f>$C$4/($C$5*$C$6)</f>
        <v>4166.666666666667</v>
      </c>
    </row>
    <row r="12" spans="1:5" x14ac:dyDescent="0.35">
      <c r="A12" s="29" t="s">
        <v>107</v>
      </c>
      <c r="B12" s="29" t="s">
        <v>108</v>
      </c>
      <c r="C12" s="29" t="s">
        <v>109</v>
      </c>
      <c r="D12" s="29" t="s">
        <v>110</v>
      </c>
      <c r="E12" s="29" t="s">
        <v>111</v>
      </c>
    </row>
    <row r="13" spans="1:5" x14ac:dyDescent="0.35">
      <c r="A13">
        <v>1</v>
      </c>
      <c r="B13" s="24">
        <f>$C$4*($C$7/$C$6)</f>
        <v>5625</v>
      </c>
      <c r="C13" s="24">
        <f>$C$9</f>
        <v>4166.666666666667</v>
      </c>
      <c r="D13" s="24">
        <f>C13+B13</f>
        <v>9791.6666666666679</v>
      </c>
      <c r="E13" s="24">
        <f>$C$4-$C$13</f>
        <v>45833.333333333336</v>
      </c>
    </row>
    <row r="14" spans="1:5" x14ac:dyDescent="0.35">
      <c r="A14">
        <f>IF(ROWS(A$13:A14)&lt;=($C$5*$C$6),ROWS(A$13:A14),"")</f>
        <v>2</v>
      </c>
      <c r="B14" s="2">
        <f>IF(A14&lt;&gt;"",E13*($C$7/$C$6),"")</f>
        <v>5156.25</v>
      </c>
      <c r="C14" s="2">
        <f>IF(A14&lt;&gt;"",$C$9,"")</f>
        <v>4166.666666666667</v>
      </c>
      <c r="D14" s="2">
        <f>IF(A14&lt;&gt;"",C14+B14,"")</f>
        <v>9322.9166666666679</v>
      </c>
      <c r="E14" s="2">
        <f>IF(A14&lt;&gt;"",E13-C14,"")</f>
        <v>41666.666666666672</v>
      </c>
    </row>
    <row r="15" spans="1:5" x14ac:dyDescent="0.35">
      <c r="A15">
        <f>IF(ROWS(A$13:A15)&lt;=($C$5*$C$6),ROWS(A$13:A15),"")</f>
        <v>3</v>
      </c>
      <c r="B15" s="2">
        <f t="shared" ref="B15:B24" si="0">IF(A15&lt;&gt;"",E14*($C$7/$C$6),"")</f>
        <v>4687.5000000000009</v>
      </c>
      <c r="C15" s="2">
        <f t="shared" ref="C15:C24" si="1">IF(A15&lt;&gt;"",$C$9,"")</f>
        <v>4166.666666666667</v>
      </c>
      <c r="D15" s="2">
        <f t="shared" ref="D15:D24" si="2">IF(A15&lt;&gt;"",C15+B15,"")</f>
        <v>8854.1666666666679</v>
      </c>
      <c r="E15" s="2">
        <f t="shared" ref="E15:E24" si="3">IF(A15&lt;&gt;"",E14-C15,"")</f>
        <v>37500.000000000007</v>
      </c>
    </row>
    <row r="16" spans="1:5" x14ac:dyDescent="0.35">
      <c r="A16">
        <f>IF(ROWS(A$13:A16)&lt;=($C$5*$C$6),ROWS(A$13:A16),"")</f>
        <v>4</v>
      </c>
      <c r="B16" s="2">
        <f t="shared" si="0"/>
        <v>4218.7500000000009</v>
      </c>
      <c r="C16" s="2">
        <f t="shared" si="1"/>
        <v>4166.666666666667</v>
      </c>
      <c r="D16" s="2">
        <f t="shared" si="2"/>
        <v>8385.4166666666679</v>
      </c>
      <c r="E16" s="2">
        <f t="shared" si="3"/>
        <v>33333.333333333343</v>
      </c>
    </row>
    <row r="17" spans="1:5" x14ac:dyDescent="0.35">
      <c r="A17">
        <f>IF(ROWS(A$13:A17)&lt;=($C$5*$C$6),ROWS(A$13:A17),"")</f>
        <v>5</v>
      </c>
      <c r="B17" s="2">
        <f t="shared" si="0"/>
        <v>3750.0000000000014</v>
      </c>
      <c r="C17" s="2">
        <f t="shared" si="1"/>
        <v>4166.666666666667</v>
      </c>
      <c r="D17" s="2">
        <f t="shared" si="2"/>
        <v>7916.6666666666679</v>
      </c>
      <c r="E17" s="2">
        <f t="shared" si="3"/>
        <v>29166.666666666675</v>
      </c>
    </row>
    <row r="18" spans="1:5" x14ac:dyDescent="0.35">
      <c r="A18">
        <f>IF(ROWS(A$13:A18)&lt;=($C$5*$C$6),ROWS(A$13:A18),"")</f>
        <v>6</v>
      </c>
      <c r="B18" s="2">
        <f t="shared" si="0"/>
        <v>3281.2500000000009</v>
      </c>
      <c r="C18" s="2">
        <f t="shared" si="1"/>
        <v>4166.666666666667</v>
      </c>
      <c r="D18" s="2">
        <f t="shared" si="2"/>
        <v>7447.9166666666679</v>
      </c>
      <c r="E18" s="2">
        <f t="shared" si="3"/>
        <v>25000.000000000007</v>
      </c>
    </row>
    <row r="19" spans="1:5" x14ac:dyDescent="0.35">
      <c r="A19">
        <f>IF(ROWS(A$13:A19)&lt;=($C$5*$C$6),ROWS(A$13:A19),"")</f>
        <v>7</v>
      </c>
      <c r="B19" s="2">
        <f t="shared" si="0"/>
        <v>2812.5000000000009</v>
      </c>
      <c r="C19" s="2">
        <f t="shared" si="1"/>
        <v>4166.666666666667</v>
      </c>
      <c r="D19" s="2">
        <f t="shared" si="2"/>
        <v>6979.1666666666679</v>
      </c>
      <c r="E19" s="2">
        <f t="shared" si="3"/>
        <v>20833.333333333339</v>
      </c>
    </row>
    <row r="20" spans="1:5" x14ac:dyDescent="0.35">
      <c r="A20">
        <f>IF(ROWS(A$13:A20)&lt;=($C$5*$C$6),ROWS(A$13:A20),"")</f>
        <v>8</v>
      </c>
      <c r="B20" s="2">
        <f t="shared" si="0"/>
        <v>2343.7500000000009</v>
      </c>
      <c r="C20" s="2">
        <f t="shared" si="1"/>
        <v>4166.666666666667</v>
      </c>
      <c r="D20" s="2">
        <f t="shared" si="2"/>
        <v>6510.4166666666679</v>
      </c>
      <c r="E20" s="2">
        <f t="shared" si="3"/>
        <v>16666.666666666672</v>
      </c>
    </row>
    <row r="21" spans="1:5" x14ac:dyDescent="0.35">
      <c r="A21">
        <f>IF(ROWS(A$13:A21)&lt;=($C$5*$C$6),ROWS(A$13:A21),"")</f>
        <v>9</v>
      </c>
      <c r="B21" s="2">
        <f t="shared" si="0"/>
        <v>1875.0000000000007</v>
      </c>
      <c r="C21" s="2">
        <f t="shared" si="1"/>
        <v>4166.666666666667</v>
      </c>
      <c r="D21" s="2">
        <f t="shared" si="2"/>
        <v>6041.6666666666679</v>
      </c>
      <c r="E21" s="2">
        <f t="shared" si="3"/>
        <v>12500.000000000004</v>
      </c>
    </row>
    <row r="22" spans="1:5" x14ac:dyDescent="0.35">
      <c r="A22">
        <f>IF(ROWS(A$13:A22)&lt;=($C$5*$C$6),ROWS(A$13:A22),"")</f>
        <v>10</v>
      </c>
      <c r="B22" s="2">
        <f t="shared" si="0"/>
        <v>1406.2500000000005</v>
      </c>
      <c r="C22" s="2">
        <f t="shared" si="1"/>
        <v>4166.666666666667</v>
      </c>
      <c r="D22" s="2">
        <f t="shared" si="2"/>
        <v>5572.9166666666679</v>
      </c>
      <c r="E22" s="2">
        <f t="shared" si="3"/>
        <v>8333.3333333333358</v>
      </c>
    </row>
    <row r="23" spans="1:5" x14ac:dyDescent="0.35">
      <c r="A23">
        <f>IF(ROWS(A$13:A23)&lt;=($C$5*$C$6),ROWS(A$13:A23),"")</f>
        <v>11</v>
      </c>
      <c r="B23" s="2">
        <f t="shared" si="0"/>
        <v>937.50000000000034</v>
      </c>
      <c r="C23" s="2">
        <f t="shared" si="1"/>
        <v>4166.666666666667</v>
      </c>
      <c r="D23" s="2">
        <f t="shared" si="2"/>
        <v>5104.166666666667</v>
      </c>
      <c r="E23" s="2">
        <f t="shared" si="3"/>
        <v>4166.6666666666688</v>
      </c>
    </row>
    <row r="24" spans="1:5" x14ac:dyDescent="0.35">
      <c r="A24">
        <f>IF(ROWS(A$13:A24)&lt;=($C$5*$C$6),ROWS(A$13:A24),"")</f>
        <v>12</v>
      </c>
      <c r="B24" s="2">
        <f t="shared" si="0"/>
        <v>468.75000000000023</v>
      </c>
      <c r="C24" s="2">
        <f t="shared" si="1"/>
        <v>4166.666666666667</v>
      </c>
      <c r="D24" s="2">
        <f t="shared" si="2"/>
        <v>4635.416666666667</v>
      </c>
      <c r="E24" s="2">
        <f t="shared" si="3"/>
        <v>1.8189894035458565E-12</v>
      </c>
    </row>
  </sheetData>
  <mergeCells count="3">
    <mergeCell ref="A1:E1"/>
    <mergeCell ref="B3:C3"/>
    <mergeCell ref="B8:C8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0E90B-7BE8-439B-BE1C-B79E564181B2}">
  <dimension ref="A1:F17"/>
  <sheetViews>
    <sheetView workbookViewId="0">
      <selection activeCell="D7" sqref="D7"/>
    </sheetView>
  </sheetViews>
  <sheetFormatPr defaultRowHeight="14.5" x14ac:dyDescent="0.35"/>
  <cols>
    <col min="1" max="1" width="17.7265625" bestFit="1" customWidth="1"/>
    <col min="2" max="2" width="14.453125" bestFit="1" customWidth="1"/>
    <col min="3" max="3" width="11.81640625" customWidth="1"/>
    <col min="4" max="4" width="11.453125" bestFit="1" customWidth="1"/>
    <col min="5" max="5" width="13.6328125" bestFit="1" customWidth="1"/>
    <col min="6" max="6" width="20.453125" bestFit="1" customWidth="1"/>
  </cols>
  <sheetData>
    <row r="1" spans="1:6" ht="21" x14ac:dyDescent="0.5">
      <c r="A1" s="86" t="s">
        <v>139</v>
      </c>
      <c r="B1" s="87"/>
      <c r="C1" s="87"/>
      <c r="D1" s="87"/>
      <c r="E1" s="87"/>
      <c r="F1" s="87"/>
    </row>
    <row r="2" spans="1:6" x14ac:dyDescent="0.35">
      <c r="A2" s="21"/>
      <c r="B2" s="20"/>
      <c r="C2" s="20"/>
      <c r="D2" s="20"/>
      <c r="E2" s="20"/>
      <c r="F2" s="20"/>
    </row>
    <row r="3" spans="1:6" ht="29" x14ac:dyDescent="0.35">
      <c r="A3" s="25" t="s">
        <v>114</v>
      </c>
      <c r="B3" s="25" t="s">
        <v>35</v>
      </c>
      <c r="C3" s="32" t="s">
        <v>140</v>
      </c>
      <c r="D3" s="25" t="s">
        <v>115</v>
      </c>
      <c r="E3" s="25" t="s">
        <v>116</v>
      </c>
      <c r="F3" s="25" t="s">
        <v>117</v>
      </c>
    </row>
    <row r="4" spans="1:6" x14ac:dyDescent="0.35">
      <c r="A4" s="28" t="s">
        <v>118</v>
      </c>
      <c r="B4" s="28" t="s">
        <v>120</v>
      </c>
      <c r="C4" s="28">
        <v>0.15</v>
      </c>
      <c r="D4" s="28">
        <v>0.12</v>
      </c>
      <c r="E4" s="28">
        <v>0.88</v>
      </c>
      <c r="F4" s="28" t="s">
        <v>119</v>
      </c>
    </row>
    <row r="5" spans="1:6" x14ac:dyDescent="0.35">
      <c r="A5" s="28" t="s">
        <v>121</v>
      </c>
      <c r="B5" s="28" t="s">
        <v>122</v>
      </c>
      <c r="C5" s="28">
        <v>0.15</v>
      </c>
      <c r="D5" s="28">
        <v>0.15</v>
      </c>
      <c r="E5" s="28">
        <v>0.85</v>
      </c>
      <c r="F5" s="28" t="s">
        <v>123</v>
      </c>
    </row>
    <row r="6" spans="1:6" x14ac:dyDescent="0.35">
      <c r="A6" s="28" t="s">
        <v>124</v>
      </c>
      <c r="B6" s="28" t="s">
        <v>125</v>
      </c>
      <c r="C6" s="28">
        <v>0.15</v>
      </c>
      <c r="D6" s="28">
        <v>0.15</v>
      </c>
      <c r="E6" s="28">
        <v>0.85</v>
      </c>
      <c r="F6" s="28" t="s">
        <v>123</v>
      </c>
    </row>
    <row r="7" spans="1:6" x14ac:dyDescent="0.35">
      <c r="A7" s="28" t="s">
        <v>121</v>
      </c>
      <c r="B7" s="28" t="s">
        <v>126</v>
      </c>
      <c r="C7" s="28">
        <v>0.15</v>
      </c>
      <c r="D7" s="28">
        <v>0.15</v>
      </c>
      <c r="E7" s="28">
        <v>0.85</v>
      </c>
      <c r="F7" s="28" t="s">
        <v>123</v>
      </c>
    </row>
    <row r="8" spans="1:6" x14ac:dyDescent="0.35">
      <c r="A8" s="28" t="s">
        <v>124</v>
      </c>
      <c r="B8" s="28" t="s">
        <v>127</v>
      </c>
      <c r="C8" s="28">
        <v>0.15</v>
      </c>
      <c r="D8" s="28">
        <v>0.15</v>
      </c>
      <c r="E8" s="28">
        <v>0.85</v>
      </c>
      <c r="F8" s="28" t="s">
        <v>123</v>
      </c>
    </row>
    <row r="9" spans="1:6" x14ac:dyDescent="0.35">
      <c r="A9" s="28" t="s">
        <v>124</v>
      </c>
      <c r="B9" s="28" t="s">
        <v>128</v>
      </c>
      <c r="C9" s="28">
        <v>0.15</v>
      </c>
      <c r="D9" s="28">
        <v>0.15</v>
      </c>
      <c r="E9" s="28">
        <v>0.85</v>
      </c>
      <c r="F9" s="28" t="s">
        <v>129</v>
      </c>
    </row>
    <row r="10" spans="1:6" x14ac:dyDescent="0.35">
      <c r="A10" s="28" t="s">
        <v>121</v>
      </c>
      <c r="B10" s="28" t="s">
        <v>130</v>
      </c>
      <c r="C10" s="28">
        <v>0.15</v>
      </c>
      <c r="D10" s="28">
        <v>0.15</v>
      </c>
      <c r="E10" s="28">
        <v>0.85</v>
      </c>
      <c r="F10" s="28" t="s">
        <v>123</v>
      </c>
    </row>
    <row r="11" spans="1:6" x14ac:dyDescent="0.35">
      <c r="A11" s="28" t="s">
        <v>131</v>
      </c>
      <c r="B11" s="28" t="s">
        <v>141</v>
      </c>
      <c r="C11" s="28">
        <v>0.15</v>
      </c>
      <c r="D11" s="28">
        <v>0.15</v>
      </c>
      <c r="E11" s="28">
        <v>0.85</v>
      </c>
      <c r="F11" s="28" t="s">
        <v>123</v>
      </c>
    </row>
    <row r="12" spans="1:6" x14ac:dyDescent="0.35">
      <c r="A12" s="28" t="s">
        <v>131</v>
      </c>
      <c r="B12" s="28" t="s">
        <v>132</v>
      </c>
      <c r="C12" s="28">
        <v>0.2</v>
      </c>
      <c r="D12" s="28">
        <v>0.05</v>
      </c>
      <c r="E12" s="28">
        <v>0.95</v>
      </c>
      <c r="F12" s="28" t="s">
        <v>129</v>
      </c>
    </row>
    <row r="13" spans="1:6" x14ac:dyDescent="0.35">
      <c r="A13" s="28" t="s">
        <v>118</v>
      </c>
      <c r="B13" s="28" t="s">
        <v>133</v>
      </c>
      <c r="C13" s="28">
        <v>0.2</v>
      </c>
      <c r="D13" s="28">
        <v>0.05</v>
      </c>
      <c r="E13" s="28">
        <v>0.95</v>
      </c>
      <c r="F13" s="28" t="s">
        <v>119</v>
      </c>
    </row>
    <row r="14" spans="1:6" x14ac:dyDescent="0.35">
      <c r="A14" s="28" t="s">
        <v>134</v>
      </c>
      <c r="B14" s="28" t="s">
        <v>135</v>
      </c>
      <c r="C14" s="28">
        <v>0.4</v>
      </c>
      <c r="D14" s="28">
        <v>0.15</v>
      </c>
      <c r="E14" s="28">
        <v>0.85</v>
      </c>
      <c r="F14" s="28" t="s">
        <v>123</v>
      </c>
    </row>
    <row r="15" spans="1:6" x14ac:dyDescent="0.35">
      <c r="A15" s="28" t="s">
        <v>134</v>
      </c>
      <c r="B15" s="28" t="s">
        <v>136</v>
      </c>
      <c r="C15" s="28">
        <v>0.4</v>
      </c>
      <c r="D15" s="28">
        <v>0.15</v>
      </c>
      <c r="E15" s="28">
        <v>0.85</v>
      </c>
      <c r="F15" s="28" t="s">
        <v>123</v>
      </c>
    </row>
    <row r="16" spans="1:6" x14ac:dyDescent="0.35">
      <c r="A16" s="28" t="s">
        <v>134</v>
      </c>
      <c r="B16" s="28" t="s">
        <v>137</v>
      </c>
      <c r="C16" s="28">
        <v>0.6</v>
      </c>
      <c r="D16" s="28">
        <v>0.15</v>
      </c>
      <c r="E16" s="28">
        <v>0.85</v>
      </c>
      <c r="F16" s="28" t="s">
        <v>123</v>
      </c>
    </row>
    <row r="17" spans="1:6" x14ac:dyDescent="0.35">
      <c r="A17" s="28" t="s">
        <v>134</v>
      </c>
      <c r="B17" s="28" t="s">
        <v>138</v>
      </c>
      <c r="C17" s="28">
        <v>0.6</v>
      </c>
      <c r="D17" s="28">
        <v>0.18</v>
      </c>
      <c r="E17" s="28">
        <v>0.82</v>
      </c>
      <c r="F17" s="28" t="s">
        <v>123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19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Aplicatia 1</vt:lpstr>
      <vt:lpstr>Aplicatia 2</vt:lpstr>
      <vt:lpstr>Aplicatia 3-Functii de text</vt:lpstr>
      <vt:lpstr>Aplicatia 3-Functii logice</vt:lpstr>
      <vt:lpstr>Aplicatia 4</vt:lpstr>
      <vt:lpstr>Aplicatia 5</vt:lpstr>
      <vt:lpstr>Aplicatia 6-Rate fixe</vt:lpstr>
      <vt:lpstr>Aplicatia 6-Ramburs fix</vt:lpstr>
      <vt:lpstr>Aplicatia 7</vt:lpstr>
      <vt:lpstr>Aplicatia 8</vt:lpstr>
      <vt:lpstr>Aplicatia 10</vt:lpstr>
      <vt:lpstr>Aplicatia 10-Centralizari</vt:lpstr>
      <vt:lpstr>Aplicatia 11-LUNI</vt:lpstr>
      <vt:lpstr>Aplicatia 11-MARTI</vt:lpstr>
      <vt:lpstr>Aplicatia 11-MIERCURI</vt:lpstr>
      <vt:lpstr>Aplicatia 11-JOI</vt:lpstr>
      <vt:lpstr>Aplicatia 11-VINERI</vt:lpstr>
      <vt:lpstr>Aplicatia 11-Curs mediu la banc</vt:lpstr>
      <vt:lpstr>Aplicatia 11-Curs mediu pe zile</vt:lpstr>
      <vt:lpstr>Grafic1A- grafic procentual</vt:lpstr>
      <vt:lpstr>Grafic1B- grafic valororic</vt:lpstr>
      <vt:lpstr>Grafic2A-grafic procentual</vt:lpstr>
      <vt:lpstr>Grafic2B- grafic valoric</vt:lpstr>
      <vt:lpstr>Aplicatia10- GraficProfit</vt:lpstr>
      <vt:lpstr>App10-Grafic Profit-Nr.angajati</vt:lpstr>
      <vt:lpstr>DCJoi</vt:lpstr>
      <vt:lpstr>DCLuni</vt:lpstr>
      <vt:lpstr>DCMarti</vt:lpstr>
      <vt:lpstr>DCMiercuri</vt:lpstr>
      <vt:lpstr>DCVineri</vt:lpstr>
      <vt:lpstr>DVJoi</vt:lpstr>
      <vt:lpstr>DVLuni</vt:lpstr>
      <vt:lpstr>DVMarti</vt:lpstr>
      <vt:lpstr>DVMiercuri</vt:lpstr>
      <vt:lpstr>DVVineri</vt:lpstr>
      <vt:lpstr>ECJoi</vt:lpstr>
      <vt:lpstr>ECLuni</vt:lpstr>
      <vt:lpstr>ECMarti</vt:lpstr>
      <vt:lpstr>ECMiercuri</vt:lpstr>
      <vt:lpstr>ECVineri</vt:lpstr>
      <vt:lpstr>EVJoi</vt:lpstr>
      <vt:lpstr>EVLuni</vt:lpstr>
      <vt:lpstr>EVMarti</vt:lpstr>
      <vt:lpstr>EVMiercuri</vt:lpstr>
      <vt:lpstr>EVVineri</vt:lpstr>
      <vt:lpstr>'Aplicatia 3-Functii logice'!Print_Area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alexandra</dc:creator>
  <cp:lastModifiedBy>marian alexandra</cp:lastModifiedBy>
  <cp:lastPrinted>2023-03-27T19:58:58Z</cp:lastPrinted>
  <dcterms:created xsi:type="dcterms:W3CDTF">2023-03-22T11:43:22Z</dcterms:created>
  <dcterms:modified xsi:type="dcterms:W3CDTF">2023-04-06T15:29:45Z</dcterms:modified>
</cp:coreProperties>
</file>