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0" windowWidth="28800" windowHeight="16440"/>
  </bookViews>
  <sheets>
    <sheet name="Автоматизированный расчет" sheetId="3" r:id="rId1"/>
    <sheet name="Шаблоны соотвествие профилю" sheetId="2" r:id="rId2"/>
  </sheets>
  <calcPr calcId="124519"/>
  <pivotCaches>
    <pivotCache cacheId="0" r:id="rId3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4" i="3"/>
  <c r="K43"/>
  <c r="M43" s="1"/>
  <c r="K44"/>
  <c r="K35"/>
  <c r="K36"/>
  <c r="M36" s="1"/>
  <c r="K37"/>
  <c r="K38"/>
  <c r="M38" s="1"/>
  <c r="K39"/>
  <c r="K40"/>
  <c r="M40" s="1"/>
  <c r="K41"/>
  <c r="K42"/>
  <c r="M42" s="1"/>
  <c r="K34"/>
  <c r="F34"/>
  <c r="L45"/>
  <c r="K45"/>
  <c r="M44"/>
  <c r="M41"/>
  <c r="M39"/>
  <c r="M37"/>
  <c r="M35"/>
  <c r="G45"/>
  <c r="M45" l="1"/>
  <c r="S2"/>
  <c r="P4" l="1"/>
  <c r="C37"/>
  <c r="C38"/>
  <c r="C36"/>
  <c r="C44"/>
  <c r="C43"/>
  <c r="C42"/>
  <c r="C41"/>
  <c r="C34"/>
  <c r="C40"/>
  <c r="C35"/>
  <c r="C39"/>
  <c r="F39" l="1"/>
  <c r="F35"/>
  <c r="F40"/>
  <c r="H34"/>
  <c r="F41"/>
  <c r="F42"/>
  <c r="H42" s="1"/>
  <c r="F43"/>
  <c r="H43" s="1"/>
  <c r="F44"/>
  <c r="H44" s="1"/>
  <c r="F36"/>
  <c r="F38"/>
  <c r="F37"/>
  <c r="D27"/>
  <c r="D28"/>
  <c r="D29"/>
  <c r="D30"/>
  <c r="E27"/>
  <c r="F27" s="1"/>
  <c r="E28"/>
  <c r="F28" s="1"/>
  <c r="E29"/>
  <c r="F29" s="1"/>
  <c r="E30"/>
  <c r="F30" s="1"/>
  <c r="S7"/>
  <c r="U7" s="1"/>
  <c r="W2"/>
  <c r="P7"/>
  <c r="E3"/>
  <c r="E4"/>
  <c r="E5"/>
  <c r="E6"/>
  <c r="E7"/>
  <c r="E8"/>
  <c r="D8"/>
  <c r="D3"/>
  <c r="D4"/>
  <c r="D5"/>
  <c r="D6"/>
  <c r="D7"/>
  <c r="P6"/>
  <c r="E2"/>
  <c r="D2"/>
  <c r="P5"/>
  <c r="V6" l="1"/>
  <c r="V7"/>
  <c r="H27"/>
  <c r="H30"/>
  <c r="H28"/>
  <c r="H29"/>
  <c r="D20"/>
  <c r="E20"/>
  <c r="F20" s="1"/>
  <c r="E19"/>
  <c r="F19" s="1"/>
  <c r="S6"/>
  <c r="U6" s="1"/>
  <c r="D18"/>
  <c r="E18"/>
  <c r="F18" s="1"/>
  <c r="D19"/>
  <c r="D21"/>
  <c r="E21"/>
  <c r="F21" s="1"/>
  <c r="H19" l="1"/>
  <c r="H20"/>
  <c r="H21"/>
  <c r="H18"/>
  <c r="B45"/>
  <c r="F2"/>
  <c r="F8"/>
  <c r="D22"/>
  <c r="E22"/>
  <c r="F22" s="1"/>
  <c r="D13"/>
  <c r="E13"/>
  <c r="F13" s="1"/>
  <c r="H2" l="1"/>
  <c r="D42"/>
  <c r="D34"/>
  <c r="D43"/>
  <c r="D44"/>
  <c r="H8"/>
  <c r="H22"/>
  <c r="H13"/>
  <c r="D14"/>
  <c r="D16"/>
  <c r="D15"/>
  <c r="D17"/>
  <c r="F3"/>
  <c r="V3" l="1"/>
  <c r="S4"/>
  <c r="P3"/>
  <c r="P2" l="1"/>
  <c r="D23"/>
  <c r="D26"/>
  <c r="V2"/>
  <c r="U2"/>
  <c r="S5"/>
  <c r="U4"/>
  <c r="S3"/>
  <c r="U3" s="1"/>
  <c r="D10" s="1"/>
  <c r="D35" l="1"/>
  <c r="U5"/>
  <c r="D24" s="1"/>
  <c r="E17"/>
  <c r="F17" s="1"/>
  <c r="D12"/>
  <c r="D9"/>
  <c r="D25"/>
  <c r="D11"/>
  <c r="E12"/>
  <c r="F12" s="1"/>
  <c r="F7"/>
  <c r="E25"/>
  <c r="F25" s="1"/>
  <c r="E16"/>
  <c r="F16" s="1"/>
  <c r="E11"/>
  <c r="F11" s="1"/>
  <c r="F6"/>
  <c r="E24"/>
  <c r="F24" s="1"/>
  <c r="E15"/>
  <c r="E10"/>
  <c r="F5"/>
  <c r="H3"/>
  <c r="E26"/>
  <c r="E23"/>
  <c r="E14"/>
  <c r="F14" s="1"/>
  <c r="E9"/>
  <c r="F9" s="1"/>
  <c r="F4"/>
  <c r="D37"/>
  <c r="V4"/>
  <c r="V5"/>
  <c r="G44" i="2"/>
  <c r="G43"/>
  <c r="I43" s="1"/>
  <c r="G42"/>
  <c r="I42" s="1"/>
  <c r="G41"/>
  <c r="G40"/>
  <c r="G39"/>
  <c r="I39" s="1"/>
  <c r="G38"/>
  <c r="I38" s="1"/>
  <c r="H32"/>
  <c r="H31"/>
  <c r="H30"/>
  <c r="H29"/>
  <c r="H28"/>
  <c r="G32"/>
  <c r="G31"/>
  <c r="G30"/>
  <c r="G29"/>
  <c r="G28"/>
  <c r="H27"/>
  <c r="G27"/>
  <c r="H26"/>
  <c r="G26"/>
  <c r="H12"/>
  <c r="I12" s="1"/>
  <c r="H13"/>
  <c r="I13" s="1"/>
  <c r="H14"/>
  <c r="I14" s="1"/>
  <c r="H15"/>
  <c r="I15" s="1"/>
  <c r="H16"/>
  <c r="I16" s="1"/>
  <c r="H17"/>
  <c r="I17" s="1"/>
  <c r="H18"/>
  <c r="I18"/>
  <c r="H40" i="3" l="1"/>
  <c r="H36"/>
  <c r="H38"/>
  <c r="H39"/>
  <c r="H41"/>
  <c r="F23"/>
  <c r="H23" s="1"/>
  <c r="F10"/>
  <c r="H10" s="1"/>
  <c r="F26"/>
  <c r="H26" s="1"/>
  <c r="F15"/>
  <c r="H15" s="1"/>
  <c r="C45"/>
  <c r="D40"/>
  <c r="D41"/>
  <c r="H35"/>
  <c r="D36"/>
  <c r="H37"/>
  <c r="D38"/>
  <c r="D39"/>
  <c r="H24"/>
  <c r="H4"/>
  <c r="H5"/>
  <c r="H12"/>
  <c r="H17"/>
  <c r="H7"/>
  <c r="H16"/>
  <c r="H11"/>
  <c r="H9"/>
  <c r="H6"/>
  <c r="H14"/>
  <c r="H25"/>
  <c r="I40" i="2"/>
  <c r="I44"/>
  <c r="I41"/>
  <c r="I32"/>
  <c r="I31"/>
  <c r="I30"/>
  <c r="I29"/>
  <c r="I28"/>
  <c r="I27"/>
  <c r="I26"/>
  <c r="H45" i="3" l="1"/>
  <c r="F45"/>
  <c r="D45"/>
</calcChain>
</file>

<file path=xl/sharedStrings.xml><?xml version="1.0" encoding="utf-8"?>
<sst xmlns="http://schemas.openxmlformats.org/spreadsheetml/2006/main" count="218" uniqueCount="84">
  <si>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</si>
  <si>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</si>
  <si>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</si>
  <si>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</si>
  <si>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</si>
  <si>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</si>
  <si>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</si>
  <si>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</si>
  <si>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</si>
  <si>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</si>
  <si>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</si>
  <si>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</si>
  <si>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</si>
  <si>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</si>
  <si>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</si>
  <si>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</si>
  <si>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</si>
  <si>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</si>
  <si>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</si>
  <si>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</si>
  <si>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</si>
  <si>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</si>
  <si>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</si>
  <si>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</si>
  <si>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</si>
  <si>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</si>
  <si>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</si>
  <si>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</si>
  <si>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</si>
  <si>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</si>
  <si>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</si>
  <si>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</si>
  <si>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</si>
  <si>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</si>
  <si>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</si>
  <si>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</si>
  <si>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</si>
  <si>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</si>
  <si>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</si>
  <si>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</si>
  <si>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</si>
  <si>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</si>
  <si>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</si>
  <si>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</si>
  <si>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</si>
  <si>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</si>
  <si>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</si>
  <si>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</si>
  <si>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</si>
  <si>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</si>
  <si>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</si>
  <si>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</si>
  <si>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</si>
  <si>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</si>
  <si>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</si>
  <si>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</si>
  <si>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</si>
  <si>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</si>
  <si>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</si>
  <si>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</si>
  <si>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</si>
  <si>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</si>
  <si>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</si>
  <si>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</si>
  <si>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</si>
  <si>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</si>
  <si>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</si>
  <si>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</si>
  <si>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</si>
  <si>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</si>
  <si>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</si>
  <si>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WebTourConnection</t>
  </si>
  <si>
    <t>Login</t>
  </si>
  <si>
    <t>SearchFlight</t>
  </si>
  <si>
    <t>ChooseFlight</t>
  </si>
  <si>
    <t>PaymentData</t>
  </si>
  <si>
    <t>Itinerary</t>
  </si>
  <si>
    <t>delete_ticket</t>
  </si>
  <si>
    <t>SignOff</t>
  </si>
  <si>
    <t>PressSignUp</t>
  </si>
  <si>
    <t>SignUp</t>
  </si>
  <si>
    <t>PressNext</t>
  </si>
  <si>
    <t>1 ступень</t>
  </si>
  <si>
    <t>2 ступень</t>
  </si>
</sst>
</file>

<file path=xl/styles.xml><?xml version="1.0" encoding="utf-8"?>
<styleSheet xmlns="http://schemas.openxmlformats.org/spreadsheetml/2006/main">
  <numFmts count="1">
    <numFmt numFmtId="164" formatCode="0.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9" fontId="25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top" wrapText="1"/>
    </xf>
    <xf numFmtId="0" fontId="11" fillId="0" borderId="3" xfId="0" applyFont="1" applyBorder="1" applyAlignment="1">
      <alignment horizontal="left" vertical="top" wrapText="1"/>
    </xf>
    <xf numFmtId="0" fontId="9" fillId="0" borderId="3" xfId="4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10" fontId="10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left" vertical="top"/>
    </xf>
    <xf numFmtId="0" fontId="10" fillId="5" borderId="3" xfId="0" applyFont="1" applyFill="1" applyBorder="1" applyAlignment="1">
      <alignment horizontal="left" vertical="top"/>
    </xf>
    <xf numFmtId="0" fontId="1" fillId="0" borderId="3" xfId="42" applyBorder="1"/>
    <xf numFmtId="0" fontId="10" fillId="0" borderId="3" xfId="0" applyFont="1" applyBorder="1" applyAlignment="1">
      <alignment horizontal="left" vertical="top"/>
    </xf>
    <xf numFmtId="10" fontId="10" fillId="0" borderId="3" xfId="0" applyNumberFormat="1" applyFont="1" applyBorder="1" applyAlignment="1">
      <alignment horizontal="left" vertical="top"/>
    </xf>
    <xf numFmtId="0" fontId="9" fillId="0" borderId="3" xfId="4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6" fillId="0" borderId="0" xfId="0" applyFont="1"/>
    <xf numFmtId="9" fontId="26" fillId="0" borderId="0" xfId="0" applyNumberFormat="1" applyFont="1"/>
    <xf numFmtId="0" fontId="0" fillId="36" borderId="3" xfId="0" applyFill="1" applyBorder="1"/>
    <xf numFmtId="0" fontId="0" fillId="37" borderId="3" xfId="0" applyFill="1" applyBorder="1"/>
    <xf numFmtId="9" fontId="0" fillId="0" borderId="3" xfId="44" applyFont="1" applyBorder="1"/>
    <xf numFmtId="9" fontId="0" fillId="38" borderId="3" xfId="44" applyFont="1" applyFill="1" applyBorder="1"/>
    <xf numFmtId="1" fontId="3" fillId="0" borderId="1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" fontId="0" fillId="0" borderId="16" xfId="0" applyNumberFormat="1" applyBorder="1"/>
    <xf numFmtId="9" fontId="0" fillId="0" borderId="17" xfId="44" applyFont="1" applyBorder="1"/>
    <xf numFmtId="0" fontId="5" fillId="0" borderId="3" xfId="0" applyFont="1" applyBorder="1" applyAlignment="1">
      <alignment vertical="center" wrapText="1"/>
    </xf>
    <xf numFmtId="0" fontId="5" fillId="39" borderId="3" xfId="0" applyFont="1" applyFill="1" applyBorder="1" applyAlignment="1">
      <alignment vertical="center" wrapText="1"/>
    </xf>
    <xf numFmtId="0" fontId="3" fillId="39" borderId="3" xfId="0" applyFont="1" applyFill="1" applyBorder="1" applyAlignment="1">
      <alignment horizontal="left" vertical="center" wrapText="1"/>
    </xf>
    <xf numFmtId="0" fontId="3" fillId="39" borderId="3" xfId="0" applyFont="1" applyFill="1" applyBorder="1" applyAlignment="1">
      <alignment horizontal="center" vertical="center" wrapText="1"/>
    </xf>
    <xf numFmtId="0" fontId="4" fillId="39" borderId="3" xfId="0" applyFont="1" applyFill="1" applyBorder="1" applyAlignment="1">
      <alignment horizontal="left" vertical="center" wrapText="1"/>
    </xf>
    <xf numFmtId="0" fontId="0" fillId="40" borderId="3" xfId="0" applyFill="1" applyBorder="1"/>
    <xf numFmtId="0" fontId="0" fillId="0" borderId="3" xfId="0" applyFill="1" applyBorder="1"/>
    <xf numFmtId="0" fontId="0" fillId="35" borderId="18" xfId="0" applyFill="1" applyBorder="1"/>
    <xf numFmtId="0" fontId="0" fillId="0" borderId="0" xfId="0" applyFont="1"/>
    <xf numFmtId="1" fontId="0" fillId="0" borderId="0" xfId="0" applyNumberFormat="1" applyFont="1"/>
    <xf numFmtId="0" fontId="0" fillId="0" borderId="0" xfId="0" applyBorder="1" applyAlignment="1">
      <alignment horizontal="center"/>
    </xf>
    <xf numFmtId="0" fontId="0" fillId="34" borderId="0" xfId="0" applyFill="1" applyAlignment="1">
      <alignment horizontal="center"/>
    </xf>
  </cellXfs>
  <cellStyles count="45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лександра" refreshedDate="44454.729142708333" createdVersion="6" refreshedVersion="3" minRefreshableVersion="3" recordCount="29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1">
        <s v="Главная Welcome страница"/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42" maxValue="158"/>
    </cacheField>
    <cacheField name="одним пользователем в минуту" numFmtId="2">
      <sharedItems containsSemiMixedTypes="0" containsString="0" containsNumber="1" minValue="0" maxValue="1.4285714285714286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7.1428571428571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Покупка билета"/>
    <x v="0"/>
    <n v="1"/>
    <n v="2"/>
    <n v="42"/>
    <n v="1.4285714285714286"/>
    <n v="20"/>
    <n v="57.142857142857146"/>
  </r>
  <r>
    <s v="Покупка билета"/>
    <x v="1"/>
    <n v="1"/>
    <n v="2"/>
    <n v="42"/>
    <n v="1.4285714285714286"/>
    <n v="20"/>
    <n v="57.142857142857146"/>
  </r>
  <r>
    <s v="Покупка билета"/>
    <x v="2"/>
    <n v="1"/>
    <n v="2"/>
    <n v="42"/>
    <n v="1.4285714285714286"/>
    <n v="20"/>
    <n v="57.142857142857146"/>
  </r>
  <r>
    <s v="Покупка билета"/>
    <x v="3"/>
    <n v="1"/>
    <n v="2"/>
    <n v="42"/>
    <n v="1.4285714285714286"/>
    <n v="20"/>
    <n v="57.142857142857146"/>
  </r>
  <r>
    <s v="Покупка билета"/>
    <x v="4"/>
    <n v="1"/>
    <n v="2"/>
    <n v="42"/>
    <n v="1.4285714285714286"/>
    <n v="20"/>
    <n v="57.142857142857146"/>
  </r>
  <r>
    <s v="Покупка билета"/>
    <x v="5"/>
    <n v="1"/>
    <n v="2"/>
    <n v="42"/>
    <n v="1.4285714285714286"/>
    <n v="20"/>
    <n v="57.142857142857146"/>
  </r>
  <r>
    <s v="Покупка билета"/>
    <x v="6"/>
    <n v="1"/>
    <n v="2"/>
    <n v="42"/>
    <n v="1.4285714285714286"/>
    <n v="20"/>
    <n v="57.142857142857146"/>
  </r>
  <r>
    <s v="Удаление бронирования "/>
    <x v="0"/>
    <n v="1"/>
    <n v="1"/>
    <n v="50"/>
    <n v="1.2"/>
    <n v="20"/>
    <n v="24"/>
  </r>
  <r>
    <s v="Удаление бронирования "/>
    <x v="1"/>
    <n v="1"/>
    <n v="1"/>
    <n v="50"/>
    <n v="1.2"/>
    <n v="20"/>
    <n v="24"/>
  </r>
  <r>
    <s v="Удаление бронирования "/>
    <x v="5"/>
    <n v="1"/>
    <n v="1"/>
    <n v="50"/>
    <n v="1.2"/>
    <n v="20"/>
    <n v="24"/>
  </r>
  <r>
    <s v="Удаление бронирования "/>
    <x v="7"/>
    <n v="1"/>
    <n v="1"/>
    <n v="50"/>
    <n v="1.2"/>
    <n v="20"/>
    <n v="24"/>
  </r>
  <r>
    <s v="Регистрация новых пользователей"/>
    <x v="0"/>
    <n v="1"/>
    <n v="2"/>
    <n v="77"/>
    <n v="0.77922077922077926"/>
    <n v="20"/>
    <n v="31.168831168831169"/>
  </r>
  <r>
    <s v="Регистрация новых пользователей"/>
    <x v="8"/>
    <n v="1"/>
    <n v="2"/>
    <n v="77"/>
    <n v="0.77922077922077926"/>
    <n v="20"/>
    <n v="31.168831168831169"/>
  </r>
  <r>
    <s v="Регистрация новых пользователей"/>
    <x v="9"/>
    <n v="1"/>
    <n v="2"/>
    <n v="77"/>
    <n v="0.77922077922077926"/>
    <n v="20"/>
    <n v="31.168831168831169"/>
  </r>
  <r>
    <s v="Регистрация новых пользователей"/>
    <x v="10"/>
    <n v="1"/>
    <n v="2"/>
    <n v="77"/>
    <n v="0.77922077922077926"/>
    <n v="20"/>
    <n v="31.168831168831169"/>
  </r>
  <r>
    <s v="Регистрация новых пользователей"/>
    <x v="6"/>
    <n v="1"/>
    <n v="2"/>
    <n v="77"/>
    <n v="0.77922077922077926"/>
    <n v="20"/>
    <n v="31.168831168831169"/>
  </r>
  <r>
    <s v="Логин"/>
    <x v="0"/>
    <n v="1"/>
    <n v="1"/>
    <n v="68"/>
    <n v="0.88235294117647056"/>
    <n v="20"/>
    <n v="17.647058823529413"/>
  </r>
  <r>
    <s v="Логин"/>
    <x v="1"/>
    <n v="1"/>
    <n v="1"/>
    <n v="68"/>
    <n v="0.88235294117647056"/>
    <n v="20"/>
    <n v="17.647058823529413"/>
  </r>
  <r>
    <s v="Логин"/>
    <x v="2"/>
    <n v="0"/>
    <n v="1"/>
    <n v="68"/>
    <n v="0"/>
    <n v="20"/>
    <n v="0"/>
  </r>
  <r>
    <s v="Логин"/>
    <x v="6"/>
    <n v="1"/>
    <n v="1"/>
    <n v="68"/>
    <n v="0.88235294117647056"/>
    <n v="20"/>
    <n v="17.647058823529413"/>
  </r>
  <r>
    <s v="Поиск билета без покупки"/>
    <x v="0"/>
    <n v="1"/>
    <n v="2"/>
    <n v="73"/>
    <n v="0.82191780821917804"/>
    <n v="20"/>
    <n v="32.87671232876712"/>
  </r>
  <r>
    <s v="Поиск билета без покупки"/>
    <x v="1"/>
    <n v="1"/>
    <n v="2"/>
    <n v="73"/>
    <n v="0.82191780821917804"/>
    <n v="20"/>
    <n v="32.87671232876712"/>
  </r>
  <r>
    <s v="Поиск билета без покупки"/>
    <x v="2"/>
    <n v="1"/>
    <n v="2"/>
    <n v="73"/>
    <n v="0.82191780821917804"/>
    <n v="20"/>
    <n v="32.87671232876712"/>
  </r>
  <r>
    <s v="Поиск билета без покупки"/>
    <x v="3"/>
    <n v="1"/>
    <n v="2"/>
    <n v="73"/>
    <n v="0.82191780821917804"/>
    <n v="20"/>
    <n v="32.87671232876712"/>
  </r>
  <r>
    <s v="Поиск билета без покупки"/>
    <x v="6"/>
    <n v="0"/>
    <n v="2"/>
    <n v="73"/>
    <n v="0"/>
    <n v="20"/>
    <n v="0"/>
  </r>
  <r>
    <s v="Ознакомление с путевым листом"/>
    <x v="0"/>
    <n v="1"/>
    <n v="2"/>
    <n v="158"/>
    <n v="0.379746835443038"/>
    <n v="20"/>
    <n v="15.18987341772152"/>
  </r>
  <r>
    <s v="Ознакомление с путевым листом"/>
    <x v="1"/>
    <n v="1"/>
    <n v="2"/>
    <n v="158"/>
    <n v="0.379746835443038"/>
    <n v="20"/>
    <n v="15.18987341772152"/>
  </r>
  <r>
    <s v="Ознакомление с путевым листом"/>
    <x v="5"/>
    <n v="1"/>
    <n v="2"/>
    <n v="158"/>
    <n v="0.379746835443038"/>
    <n v="20"/>
    <n v="15.18987341772152"/>
  </r>
  <r>
    <s v="Ознакомление с путевым листом"/>
    <x v="6"/>
    <n v="0"/>
    <n v="2"/>
    <n v="158"/>
    <n v="0"/>
    <n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3" minRefreshableVersion="3" useAutoFormatting="1" itemPrintTitles="1" createdVersion="6" indent="0" outline="1" outlineData="1" multipleFieldFilters="0">
  <location ref="I1:J13" firstHeaderRow="1" firstDataRow="1" firstDataCol="1"/>
  <pivotFields count="8">
    <pivotField showAll="0"/>
    <pivotField axis="axisRow" showAll="0">
      <items count="12">
        <item x="1"/>
        <item x="3"/>
        <item x="6"/>
        <item x="2"/>
        <item x="4"/>
        <item x="7"/>
        <item x="5"/>
        <item x="0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6"/>
  <sheetViews>
    <sheetView tabSelected="1" topLeftCell="D38" zoomScale="85" zoomScaleNormal="85" workbookViewId="0">
      <selection activeCell="L47" sqref="L47"/>
    </sheetView>
  </sheetViews>
  <sheetFormatPr defaultColWidth="11.42578125" defaultRowHeight="15"/>
  <cols>
    <col min="1" max="1" width="22.7109375" customWidth="1"/>
    <col min="2" max="2" width="31.42578125" bestFit="1" customWidth="1"/>
    <col min="3" max="3" width="18.140625" customWidth="1"/>
    <col min="4" max="4" width="17.85546875" customWidth="1"/>
    <col min="7" max="7" width="18.7109375" bestFit="1" customWidth="1"/>
    <col min="8" max="8" width="17" customWidth="1"/>
    <col min="9" max="9" width="47.42578125" bestFit="1" customWidth="1"/>
    <col min="10" max="10" width="21.28515625" customWidth="1"/>
    <col min="11" max="11" width="18.7109375" customWidth="1"/>
    <col min="12" max="12" width="27.42578125" bestFit="1" customWidth="1"/>
    <col min="13" max="13" width="35.85546875" bestFit="1" customWidth="1"/>
    <col min="19" max="19" width="44" bestFit="1" customWidth="1"/>
  </cols>
  <sheetData>
    <row r="1" spans="1:24" ht="15.75" thickBot="1">
      <c r="A1" t="s">
        <v>37</v>
      </c>
      <c r="B1" t="s">
        <v>38</v>
      </c>
      <c r="C1" t="s">
        <v>39</v>
      </c>
      <c r="D1" t="s">
        <v>44</v>
      </c>
      <c r="E1" t="s">
        <v>54</v>
      </c>
      <c r="F1" t="s">
        <v>55</v>
      </c>
      <c r="G1" t="s">
        <v>56</v>
      </c>
      <c r="H1" t="s">
        <v>7</v>
      </c>
      <c r="I1" s="17" t="s">
        <v>40</v>
      </c>
      <c r="J1" t="s">
        <v>53</v>
      </c>
      <c r="M1" t="s">
        <v>43</v>
      </c>
      <c r="N1" t="s">
        <v>45</v>
      </c>
      <c r="O1" t="s">
        <v>46</v>
      </c>
      <c r="P1" t="s">
        <v>57</v>
      </c>
      <c r="Q1" t="s">
        <v>47</v>
      </c>
      <c r="R1" t="s">
        <v>44</v>
      </c>
      <c r="S1" t="s">
        <v>48</v>
      </c>
      <c r="T1" s="26" t="s">
        <v>49</v>
      </c>
      <c r="U1" s="44" t="s">
        <v>50</v>
      </c>
      <c r="V1" s="26" t="s">
        <v>51</v>
      </c>
      <c r="X1" t="s">
        <v>52</v>
      </c>
    </row>
    <row r="2" spans="1:24" ht="15.75" thickBot="1">
      <c r="A2" s="41" t="s">
        <v>8</v>
      </c>
      <c r="B2" s="41" t="s">
        <v>65</v>
      </c>
      <c r="C2">
        <v>1</v>
      </c>
      <c r="D2" s="23">
        <f>VLOOKUP(A2,$M$1:$W$8,6,FALSE)</f>
        <v>2</v>
      </c>
      <c r="E2">
        <f>VLOOKUP(A2,$M$1:$W$8,5,FALSE)</f>
        <v>42</v>
      </c>
      <c r="F2" s="22">
        <f>60/E2*C2</f>
        <v>1.4285714285714286</v>
      </c>
      <c r="G2">
        <v>20</v>
      </c>
      <c r="H2" s="21">
        <f>D2*F2*G2</f>
        <v>57.142857142857146</v>
      </c>
      <c r="I2" s="18" t="s">
        <v>0</v>
      </c>
      <c r="J2" s="16">
        <v>146.8565017128752</v>
      </c>
      <c r="K2" s="16"/>
      <c r="M2" t="s">
        <v>8</v>
      </c>
      <c r="N2" s="29">
        <v>2.0994999999999999</v>
      </c>
      <c r="O2" s="29">
        <v>20</v>
      </c>
      <c r="P2" s="42">
        <f>N2+O2</f>
        <v>22.099499999999999</v>
      </c>
      <c r="Q2" s="19">
        <v>42</v>
      </c>
      <c r="R2" s="19">
        <v>2</v>
      </c>
      <c r="S2" s="20">
        <f>60/(Q2)</f>
        <v>1.4285714285714286</v>
      </c>
      <c r="T2" s="26">
        <v>20</v>
      </c>
      <c r="U2" s="45">
        <f>ROUND(R2*S2*T2,0)</f>
        <v>57</v>
      </c>
      <c r="V2" s="27">
        <f>R2/W$2</f>
        <v>0.2</v>
      </c>
      <c r="W2">
        <f>SUM(R2:R7)</f>
        <v>10</v>
      </c>
    </row>
    <row r="3" spans="1:24" ht="15.75" thickBot="1">
      <c r="A3" s="41" t="s">
        <v>8</v>
      </c>
      <c r="B3" s="41" t="s">
        <v>0</v>
      </c>
      <c r="C3">
        <v>1</v>
      </c>
      <c r="D3" s="23">
        <f t="shared" ref="D3:D8" si="0">VLOOKUP(A3,$M$1:$W$8,6,FALSE)</f>
        <v>2</v>
      </c>
      <c r="E3">
        <f t="shared" ref="E3:E8" si="1">VLOOKUP(A3,$M$1:$W$8,5,FALSE)</f>
        <v>42</v>
      </c>
      <c r="F3" s="22">
        <f>60/E3*C3</f>
        <v>1.4285714285714286</v>
      </c>
      <c r="G3">
        <v>20</v>
      </c>
      <c r="H3" s="21">
        <f>D3*F3*G3</f>
        <v>57.142857142857146</v>
      </c>
      <c r="I3" s="18" t="s">
        <v>12</v>
      </c>
      <c r="J3" s="16">
        <v>90.019569471624266</v>
      </c>
      <c r="K3" s="16"/>
      <c r="M3" t="s">
        <v>9</v>
      </c>
      <c r="N3" s="29">
        <v>1.4165000000000001</v>
      </c>
      <c r="O3" s="29">
        <v>23</v>
      </c>
      <c r="P3" s="42">
        <f t="shared" ref="P3" si="2">N3+O3</f>
        <v>24.416499999999999</v>
      </c>
      <c r="Q3" s="19">
        <v>50</v>
      </c>
      <c r="R3" s="19">
        <v>1</v>
      </c>
      <c r="S3" s="20">
        <f t="shared" ref="S3:S5" si="3">60/(Q3)</f>
        <v>1.2</v>
      </c>
      <c r="T3" s="26">
        <v>20</v>
      </c>
      <c r="U3" s="45">
        <f t="shared" ref="U3:U7" si="4">ROUND(R3*S3*T3,0)</f>
        <v>24</v>
      </c>
      <c r="V3" s="27">
        <f>R3/W$2</f>
        <v>0.1</v>
      </c>
    </row>
    <row r="4" spans="1:24" ht="15.75" thickBot="1">
      <c r="A4" s="41" t="s">
        <v>8</v>
      </c>
      <c r="B4" s="41" t="s">
        <v>11</v>
      </c>
      <c r="C4">
        <v>1</v>
      </c>
      <c r="D4" s="23">
        <f t="shared" si="0"/>
        <v>2</v>
      </c>
      <c r="E4">
        <f t="shared" si="1"/>
        <v>42</v>
      </c>
      <c r="F4" s="22">
        <f t="shared" ref="F4:F30" si="5">60/E4*C4</f>
        <v>1.4285714285714286</v>
      </c>
      <c r="G4">
        <v>20</v>
      </c>
      <c r="H4" s="21">
        <f t="shared" ref="H4:H30" si="6">D4*F4*G4</f>
        <v>57.142857142857146</v>
      </c>
      <c r="I4" s="18" t="s">
        <v>6</v>
      </c>
      <c r="J4" s="16">
        <v>105.95874713521772</v>
      </c>
      <c r="K4" s="16"/>
      <c r="M4" t="s">
        <v>64</v>
      </c>
      <c r="N4" s="29">
        <v>1.6202000000000001</v>
      </c>
      <c r="O4" s="29">
        <v>40</v>
      </c>
      <c r="P4" s="42">
        <f>N4+O4</f>
        <v>41.620199999999997</v>
      </c>
      <c r="Q4" s="19">
        <v>77</v>
      </c>
      <c r="R4" s="19">
        <v>2</v>
      </c>
      <c r="S4" s="20">
        <f t="shared" si="3"/>
        <v>0.77922077922077926</v>
      </c>
      <c r="T4" s="26">
        <v>20</v>
      </c>
      <c r="U4" s="45">
        <f t="shared" si="4"/>
        <v>31</v>
      </c>
      <c r="V4" s="27">
        <f t="shared" ref="V4:V7" si="7">R4/W$2</f>
        <v>0.2</v>
      </c>
    </row>
    <row r="5" spans="1:24" ht="15.75" thickBot="1">
      <c r="A5" s="41" t="s">
        <v>8</v>
      </c>
      <c r="B5" s="41" t="s">
        <v>12</v>
      </c>
      <c r="C5">
        <v>1</v>
      </c>
      <c r="D5" s="23">
        <f t="shared" si="0"/>
        <v>2</v>
      </c>
      <c r="E5">
        <f t="shared" si="1"/>
        <v>42</v>
      </c>
      <c r="F5" s="22">
        <f t="shared" si="5"/>
        <v>1.4285714285714286</v>
      </c>
      <c r="G5">
        <v>20</v>
      </c>
      <c r="H5" s="21">
        <f t="shared" si="6"/>
        <v>57.142857142857146</v>
      </c>
      <c r="I5" s="18" t="s">
        <v>11</v>
      </c>
      <c r="J5" s="16">
        <v>90.019569471624266</v>
      </c>
      <c r="K5" s="16"/>
      <c r="M5" t="s">
        <v>69</v>
      </c>
      <c r="N5" s="29">
        <v>1.6964999999999999</v>
      </c>
      <c r="O5" s="29">
        <v>36</v>
      </c>
      <c r="P5" s="42">
        <f>N5+O5</f>
        <v>37.6965</v>
      </c>
      <c r="Q5" s="19">
        <v>73</v>
      </c>
      <c r="R5" s="19">
        <v>2</v>
      </c>
      <c r="S5" s="20">
        <f t="shared" si="3"/>
        <v>0.82191780821917804</v>
      </c>
      <c r="T5" s="26">
        <v>20</v>
      </c>
      <c r="U5" s="45">
        <f t="shared" si="4"/>
        <v>33</v>
      </c>
      <c r="V5" s="27">
        <f t="shared" si="7"/>
        <v>0.2</v>
      </c>
    </row>
    <row r="6" spans="1:24" ht="15.75" thickBot="1">
      <c r="A6" s="41" t="s">
        <v>8</v>
      </c>
      <c r="B6" s="41" t="s">
        <v>3</v>
      </c>
      <c r="C6">
        <v>1</v>
      </c>
      <c r="D6" s="23">
        <f t="shared" si="0"/>
        <v>2</v>
      </c>
      <c r="E6">
        <f t="shared" si="1"/>
        <v>42</v>
      </c>
      <c r="F6" s="22">
        <f t="shared" si="5"/>
        <v>1.4285714285714286</v>
      </c>
      <c r="G6">
        <v>20</v>
      </c>
      <c r="H6" s="21">
        <f t="shared" si="6"/>
        <v>57.142857142857146</v>
      </c>
      <c r="I6" s="18" t="s">
        <v>3</v>
      </c>
      <c r="J6" s="16">
        <v>57.142857142857146</v>
      </c>
      <c r="K6" s="16"/>
      <c r="M6" t="s">
        <v>70</v>
      </c>
      <c r="N6" s="29">
        <v>1.1088</v>
      </c>
      <c r="O6" s="29">
        <v>30</v>
      </c>
      <c r="P6">
        <f>N6+O6</f>
        <v>31.108799999999999</v>
      </c>
      <c r="Q6" s="19">
        <v>68</v>
      </c>
      <c r="R6" s="43">
        <v>1</v>
      </c>
      <c r="S6" s="20">
        <f>60/(Q6)</f>
        <v>0.88235294117647056</v>
      </c>
      <c r="T6" s="26">
        <v>20</v>
      </c>
      <c r="U6" s="45">
        <f t="shared" si="4"/>
        <v>18</v>
      </c>
      <c r="V6" s="27">
        <f t="shared" si="7"/>
        <v>0.1</v>
      </c>
    </row>
    <row r="7" spans="1:24" ht="15.75" thickBot="1">
      <c r="A7" s="41" t="s">
        <v>8</v>
      </c>
      <c r="B7" s="41" t="s">
        <v>4</v>
      </c>
      <c r="C7">
        <v>1</v>
      </c>
      <c r="D7" s="23">
        <f t="shared" si="0"/>
        <v>2</v>
      </c>
      <c r="E7">
        <f t="shared" si="1"/>
        <v>42</v>
      </c>
      <c r="F7" s="22">
        <f t="shared" si="5"/>
        <v>1.4285714285714286</v>
      </c>
      <c r="G7">
        <v>20</v>
      </c>
      <c r="H7" s="21">
        <f t="shared" si="6"/>
        <v>57.142857142857146</v>
      </c>
      <c r="I7" s="18" t="s">
        <v>13</v>
      </c>
      <c r="J7" s="16">
        <v>24</v>
      </c>
      <c r="K7" s="16"/>
      <c r="M7" t="s">
        <v>10</v>
      </c>
      <c r="N7" s="29">
        <v>1.1698999999999999</v>
      </c>
      <c r="O7" s="29">
        <v>70</v>
      </c>
      <c r="P7">
        <f>N7+O7</f>
        <v>71.169899999999998</v>
      </c>
      <c r="Q7" s="19">
        <v>158</v>
      </c>
      <c r="R7" s="43">
        <v>2</v>
      </c>
      <c r="S7" s="20">
        <f>60/(Q7)</f>
        <v>0.379746835443038</v>
      </c>
      <c r="T7" s="26">
        <v>20</v>
      </c>
      <c r="U7" s="45">
        <f t="shared" si="4"/>
        <v>15</v>
      </c>
      <c r="V7" s="27">
        <f t="shared" si="7"/>
        <v>0.2</v>
      </c>
    </row>
    <row r="8" spans="1:24">
      <c r="A8" s="41" t="s">
        <v>8</v>
      </c>
      <c r="B8" s="41" t="s">
        <v>6</v>
      </c>
      <c r="C8">
        <v>1</v>
      </c>
      <c r="D8" s="23">
        <f t="shared" si="0"/>
        <v>2</v>
      </c>
      <c r="E8">
        <f t="shared" si="1"/>
        <v>42</v>
      </c>
      <c r="F8" s="22">
        <f t="shared" si="5"/>
        <v>1.4285714285714286</v>
      </c>
      <c r="G8">
        <v>20</v>
      </c>
      <c r="H8" s="21">
        <f t="shared" ref="H8" si="8">D8*F8*G8</f>
        <v>57.142857142857146</v>
      </c>
      <c r="I8" s="18" t="s">
        <v>4</v>
      </c>
      <c r="J8" s="16">
        <v>96.332730560578653</v>
      </c>
      <c r="K8" s="16"/>
    </row>
    <row r="9" spans="1:24">
      <c r="A9" s="41" t="s">
        <v>9</v>
      </c>
      <c r="B9" s="41" t="s">
        <v>65</v>
      </c>
      <c r="C9">
        <v>1</v>
      </c>
      <c r="D9" s="24">
        <f t="shared" ref="D9:D11" si="9">VLOOKUP(A9,$M$1:$W$8,6,FALSE)</f>
        <v>1</v>
      </c>
      <c r="E9">
        <f t="shared" ref="E9:E11" si="10">VLOOKUP(A9,$M$1:$W$8,5,FALSE)</f>
        <v>50</v>
      </c>
      <c r="F9" s="22">
        <f t="shared" si="5"/>
        <v>1.2</v>
      </c>
      <c r="G9">
        <v>20</v>
      </c>
      <c r="H9" s="21">
        <f t="shared" si="6"/>
        <v>24</v>
      </c>
      <c r="I9" s="18" t="s">
        <v>65</v>
      </c>
      <c r="J9" s="16">
        <v>178.02533288170636</v>
      </c>
      <c r="K9" s="16"/>
    </row>
    <row r="10" spans="1:24">
      <c r="A10" s="41" t="s">
        <v>9</v>
      </c>
      <c r="B10" s="41" t="s">
        <v>0</v>
      </c>
      <c r="C10">
        <v>1</v>
      </c>
      <c r="D10" s="24">
        <f t="shared" si="9"/>
        <v>1</v>
      </c>
      <c r="E10">
        <f t="shared" si="10"/>
        <v>50</v>
      </c>
      <c r="F10" s="22">
        <f t="shared" si="5"/>
        <v>1.2</v>
      </c>
      <c r="G10">
        <v>20</v>
      </c>
      <c r="H10" s="21">
        <f t="shared" si="6"/>
        <v>24</v>
      </c>
      <c r="I10" s="18" t="s">
        <v>67</v>
      </c>
      <c r="J10" s="16">
        <v>31.168831168831169</v>
      </c>
    </row>
    <row r="11" spans="1:24">
      <c r="A11" s="41" t="s">
        <v>9</v>
      </c>
      <c r="B11" s="41" t="s">
        <v>4</v>
      </c>
      <c r="C11">
        <v>1</v>
      </c>
      <c r="D11" s="24">
        <f t="shared" si="9"/>
        <v>1</v>
      </c>
      <c r="E11">
        <f t="shared" si="10"/>
        <v>50</v>
      </c>
      <c r="F11" s="22">
        <f t="shared" si="5"/>
        <v>1.2</v>
      </c>
      <c r="G11">
        <v>20</v>
      </c>
      <c r="H11" s="21">
        <f t="shared" si="6"/>
        <v>24</v>
      </c>
      <c r="I11" s="18" t="s">
        <v>66</v>
      </c>
      <c r="J11" s="16">
        <v>31.168831168831169</v>
      </c>
    </row>
    <row r="12" spans="1:24" ht="15.75" thickBot="1">
      <c r="A12" s="41" t="s">
        <v>9</v>
      </c>
      <c r="B12" s="41" t="s">
        <v>13</v>
      </c>
      <c r="C12">
        <v>1</v>
      </c>
      <c r="D12" s="25">
        <f t="shared" ref="D12:D30" si="11">VLOOKUP(A12,$M$1:$W$8,6,FALSE)</f>
        <v>1</v>
      </c>
      <c r="E12">
        <f t="shared" ref="E12:E30" si="12">VLOOKUP(A12,$M$1:$W$8,5,FALSE)</f>
        <v>50</v>
      </c>
      <c r="F12" s="22">
        <f t="shared" si="5"/>
        <v>1.2</v>
      </c>
      <c r="G12">
        <v>20</v>
      </c>
      <c r="H12" s="21">
        <f t="shared" si="6"/>
        <v>24</v>
      </c>
      <c r="I12" s="18" t="s">
        <v>68</v>
      </c>
      <c r="J12" s="16">
        <v>31.168831168831169</v>
      </c>
    </row>
    <row r="13" spans="1:24">
      <c r="A13" s="41" t="s">
        <v>64</v>
      </c>
      <c r="B13" s="41" t="s">
        <v>65</v>
      </c>
      <c r="C13">
        <v>1</v>
      </c>
      <c r="D13" s="23">
        <f t="shared" si="11"/>
        <v>2</v>
      </c>
      <c r="E13">
        <f t="shared" si="12"/>
        <v>77</v>
      </c>
      <c r="F13" s="22">
        <f t="shared" si="5"/>
        <v>0.77922077922077926</v>
      </c>
      <c r="G13">
        <v>20</v>
      </c>
      <c r="H13" s="21">
        <f t="shared" ref="H13" si="13">D13*F13*G13</f>
        <v>31.168831168831169</v>
      </c>
      <c r="I13" s="18" t="s">
        <v>41</v>
      </c>
      <c r="J13" s="16">
        <v>881.86180188297715</v>
      </c>
    </row>
    <row r="14" spans="1:24">
      <c r="A14" s="41" t="s">
        <v>64</v>
      </c>
      <c r="B14" s="41" t="s">
        <v>67</v>
      </c>
      <c r="C14">
        <v>1</v>
      </c>
      <c r="D14" s="24">
        <f t="shared" si="11"/>
        <v>2</v>
      </c>
      <c r="E14">
        <f t="shared" si="12"/>
        <v>77</v>
      </c>
      <c r="F14" s="22">
        <f t="shared" si="5"/>
        <v>0.77922077922077926</v>
      </c>
      <c r="G14">
        <v>20</v>
      </c>
      <c r="H14" s="21">
        <f t="shared" si="6"/>
        <v>31.168831168831169</v>
      </c>
    </row>
    <row r="15" spans="1:24">
      <c r="A15" s="41" t="s">
        <v>64</v>
      </c>
      <c r="B15" s="41" t="s">
        <v>66</v>
      </c>
      <c r="C15">
        <v>1</v>
      </c>
      <c r="D15" s="24">
        <f t="shared" si="11"/>
        <v>2</v>
      </c>
      <c r="E15">
        <f t="shared" si="12"/>
        <v>77</v>
      </c>
      <c r="F15" s="22">
        <f t="shared" si="5"/>
        <v>0.77922077922077926</v>
      </c>
      <c r="G15">
        <v>20</v>
      </c>
      <c r="H15" s="21">
        <f t="shared" si="6"/>
        <v>31.168831168831169</v>
      </c>
    </row>
    <row r="16" spans="1:24">
      <c r="A16" s="41" t="s">
        <v>64</v>
      </c>
      <c r="B16" s="41" t="s">
        <v>68</v>
      </c>
      <c r="C16">
        <v>1</v>
      </c>
      <c r="D16" s="24">
        <f t="shared" si="11"/>
        <v>2</v>
      </c>
      <c r="E16">
        <f t="shared" si="12"/>
        <v>77</v>
      </c>
      <c r="F16" s="22">
        <f t="shared" si="5"/>
        <v>0.77922077922077926</v>
      </c>
      <c r="G16">
        <v>20</v>
      </c>
      <c r="H16" s="21">
        <f t="shared" si="6"/>
        <v>31.168831168831169</v>
      </c>
    </row>
    <row r="17" spans="1:8" ht="15.75" thickBot="1">
      <c r="A17" s="41" t="s">
        <v>64</v>
      </c>
      <c r="B17" s="41" t="s">
        <v>6</v>
      </c>
      <c r="C17">
        <v>1</v>
      </c>
      <c r="D17" s="25">
        <f t="shared" si="11"/>
        <v>2</v>
      </c>
      <c r="E17">
        <f t="shared" si="12"/>
        <v>77</v>
      </c>
      <c r="F17" s="22">
        <f t="shared" si="5"/>
        <v>0.77922077922077926</v>
      </c>
      <c r="G17">
        <v>20</v>
      </c>
      <c r="H17" s="21">
        <f>D17*F17*G17</f>
        <v>31.168831168831169</v>
      </c>
    </row>
    <row r="18" spans="1:8" ht="15.75" thickBot="1">
      <c r="A18" s="41" t="s">
        <v>70</v>
      </c>
      <c r="B18" s="41" t="s">
        <v>65</v>
      </c>
      <c r="C18">
        <v>1</v>
      </c>
      <c r="D18" s="25">
        <f t="shared" ref="D18:D21" si="14">VLOOKUP(A18,$M$1:$W$8,6,FALSE)</f>
        <v>1</v>
      </c>
      <c r="E18">
        <f t="shared" ref="E18:E21" si="15">VLOOKUP(A18,$M$1:$W$8,5,FALSE)</f>
        <v>68</v>
      </c>
      <c r="F18" s="22">
        <f t="shared" ref="F18:F21" si="16">60/E18*C18</f>
        <v>0.88235294117647056</v>
      </c>
      <c r="G18">
        <v>20</v>
      </c>
      <c r="H18" s="21">
        <f t="shared" ref="H18:H21" si="17">D18*F18*G18</f>
        <v>17.647058823529413</v>
      </c>
    </row>
    <row r="19" spans="1:8" ht="15.75" thickBot="1">
      <c r="A19" s="41" t="s">
        <v>70</v>
      </c>
      <c r="B19" s="41" t="s">
        <v>0</v>
      </c>
      <c r="C19">
        <v>1</v>
      </c>
      <c r="D19" s="25">
        <f t="shared" si="14"/>
        <v>1</v>
      </c>
      <c r="E19">
        <f t="shared" si="15"/>
        <v>68</v>
      </c>
      <c r="F19" s="22">
        <f t="shared" si="16"/>
        <v>0.88235294117647056</v>
      </c>
      <c r="G19">
        <v>20</v>
      </c>
      <c r="H19" s="21">
        <f t="shared" si="17"/>
        <v>17.647058823529413</v>
      </c>
    </row>
    <row r="20" spans="1:8" ht="15.75" thickBot="1">
      <c r="A20" s="41" t="s">
        <v>70</v>
      </c>
      <c r="B20" s="41" t="s">
        <v>11</v>
      </c>
      <c r="C20">
        <v>0</v>
      </c>
      <c r="D20" s="25">
        <f t="shared" ref="D20" si="18">VLOOKUP(A20,$M$1:$W$8,6,FALSE)</f>
        <v>1</v>
      </c>
      <c r="E20">
        <f t="shared" ref="E20" si="19">VLOOKUP(A20,$M$1:$W$8,5,FALSE)</f>
        <v>68</v>
      </c>
      <c r="F20" s="22">
        <f t="shared" ref="F20" si="20">60/E20*C20</f>
        <v>0</v>
      </c>
      <c r="G20">
        <v>20</v>
      </c>
      <c r="H20" s="21">
        <f t="shared" ref="H20" si="21">D20*F20*G20</f>
        <v>0</v>
      </c>
    </row>
    <row r="21" spans="1:8" ht="15.75" thickBot="1">
      <c r="A21" s="41" t="s">
        <v>70</v>
      </c>
      <c r="B21" s="41" t="s">
        <v>6</v>
      </c>
      <c r="C21">
        <v>1</v>
      </c>
      <c r="D21" s="25">
        <f t="shared" si="14"/>
        <v>1</v>
      </c>
      <c r="E21">
        <f t="shared" si="15"/>
        <v>68</v>
      </c>
      <c r="F21" s="22">
        <f t="shared" si="16"/>
        <v>0.88235294117647056</v>
      </c>
      <c r="G21">
        <v>20</v>
      </c>
      <c r="H21" s="21">
        <f t="shared" si="17"/>
        <v>17.647058823529413</v>
      </c>
    </row>
    <row r="22" spans="1:8">
      <c r="A22" s="41" t="s">
        <v>69</v>
      </c>
      <c r="B22" s="41" t="s">
        <v>65</v>
      </c>
      <c r="C22">
        <v>1</v>
      </c>
      <c r="D22" s="23">
        <f t="shared" si="11"/>
        <v>2</v>
      </c>
      <c r="E22">
        <f t="shared" si="12"/>
        <v>73</v>
      </c>
      <c r="F22" s="22">
        <f t="shared" si="5"/>
        <v>0.82191780821917804</v>
      </c>
      <c r="G22">
        <v>20</v>
      </c>
      <c r="H22" s="21">
        <f>D22*F22*G22</f>
        <v>32.87671232876712</v>
      </c>
    </row>
    <row r="23" spans="1:8">
      <c r="A23" s="41" t="s">
        <v>69</v>
      </c>
      <c r="B23" s="41" t="s">
        <v>0</v>
      </c>
      <c r="C23">
        <v>1</v>
      </c>
      <c r="D23" s="24">
        <f t="shared" si="11"/>
        <v>2</v>
      </c>
      <c r="E23">
        <f t="shared" si="12"/>
        <v>73</v>
      </c>
      <c r="F23" s="22">
        <f t="shared" si="5"/>
        <v>0.82191780821917804</v>
      </c>
      <c r="G23">
        <v>20</v>
      </c>
      <c r="H23" s="21">
        <f t="shared" si="6"/>
        <v>32.87671232876712</v>
      </c>
    </row>
    <row r="24" spans="1:8">
      <c r="A24" s="41" t="s">
        <v>69</v>
      </c>
      <c r="B24" s="41" t="s">
        <v>11</v>
      </c>
      <c r="C24">
        <v>1</v>
      </c>
      <c r="D24" s="24">
        <f t="shared" si="11"/>
        <v>2</v>
      </c>
      <c r="E24">
        <f t="shared" si="12"/>
        <v>73</v>
      </c>
      <c r="F24" s="22">
        <f t="shared" si="5"/>
        <v>0.82191780821917804</v>
      </c>
      <c r="G24">
        <v>20</v>
      </c>
      <c r="H24" s="21">
        <f t="shared" si="6"/>
        <v>32.87671232876712</v>
      </c>
    </row>
    <row r="25" spans="1:8">
      <c r="A25" s="41" t="s">
        <v>69</v>
      </c>
      <c r="B25" s="41" t="s">
        <v>12</v>
      </c>
      <c r="C25">
        <v>1</v>
      </c>
      <c r="D25" s="24">
        <f t="shared" si="11"/>
        <v>2</v>
      </c>
      <c r="E25">
        <f t="shared" si="12"/>
        <v>73</v>
      </c>
      <c r="F25" s="22">
        <f t="shared" si="5"/>
        <v>0.82191780821917804</v>
      </c>
      <c r="G25">
        <v>20</v>
      </c>
      <c r="H25" s="21">
        <f t="shared" si="6"/>
        <v>32.87671232876712</v>
      </c>
    </row>
    <row r="26" spans="1:8">
      <c r="A26" s="41" t="s">
        <v>69</v>
      </c>
      <c r="B26" s="41" t="s">
        <v>6</v>
      </c>
      <c r="C26">
        <v>0</v>
      </c>
      <c r="D26" s="24">
        <f t="shared" si="11"/>
        <v>2</v>
      </c>
      <c r="E26">
        <f t="shared" si="12"/>
        <v>73</v>
      </c>
      <c r="F26" s="22">
        <f t="shared" si="5"/>
        <v>0</v>
      </c>
      <c r="G26">
        <v>20</v>
      </c>
      <c r="H26" s="21">
        <f t="shared" si="6"/>
        <v>0</v>
      </c>
    </row>
    <row r="27" spans="1:8">
      <c r="A27" s="41" t="s">
        <v>10</v>
      </c>
      <c r="B27" s="41" t="s">
        <v>65</v>
      </c>
      <c r="C27">
        <v>1</v>
      </c>
      <c r="D27" s="24">
        <f t="shared" si="11"/>
        <v>2</v>
      </c>
      <c r="E27">
        <f t="shared" si="12"/>
        <v>158</v>
      </c>
      <c r="F27" s="22">
        <f t="shared" si="5"/>
        <v>0.379746835443038</v>
      </c>
      <c r="G27">
        <v>20</v>
      </c>
      <c r="H27" s="21">
        <f t="shared" si="6"/>
        <v>15.18987341772152</v>
      </c>
    </row>
    <row r="28" spans="1:8">
      <c r="A28" s="41" t="s">
        <v>10</v>
      </c>
      <c r="B28" s="41" t="s">
        <v>0</v>
      </c>
      <c r="C28">
        <v>1</v>
      </c>
      <c r="D28" s="24">
        <f t="shared" si="11"/>
        <v>2</v>
      </c>
      <c r="E28">
        <f t="shared" si="12"/>
        <v>158</v>
      </c>
      <c r="F28" s="22">
        <f t="shared" si="5"/>
        <v>0.379746835443038</v>
      </c>
      <c r="G28">
        <v>20</v>
      </c>
      <c r="H28" s="21">
        <f t="shared" si="6"/>
        <v>15.18987341772152</v>
      </c>
    </row>
    <row r="29" spans="1:8">
      <c r="A29" s="41" t="s">
        <v>10</v>
      </c>
      <c r="B29" s="41" t="s">
        <v>4</v>
      </c>
      <c r="C29">
        <v>1</v>
      </c>
      <c r="D29" s="24">
        <f t="shared" si="11"/>
        <v>2</v>
      </c>
      <c r="E29">
        <f t="shared" si="12"/>
        <v>158</v>
      </c>
      <c r="F29" s="22">
        <f t="shared" si="5"/>
        <v>0.379746835443038</v>
      </c>
      <c r="G29">
        <v>20</v>
      </c>
      <c r="H29" s="21">
        <f t="shared" si="6"/>
        <v>15.18987341772152</v>
      </c>
    </row>
    <row r="30" spans="1:8">
      <c r="A30" s="41" t="s">
        <v>10</v>
      </c>
      <c r="B30" s="41" t="s">
        <v>6</v>
      </c>
      <c r="C30">
        <v>0</v>
      </c>
      <c r="D30" s="24">
        <f t="shared" si="11"/>
        <v>2</v>
      </c>
      <c r="E30">
        <f t="shared" si="12"/>
        <v>158</v>
      </c>
      <c r="F30" s="22">
        <f t="shared" si="5"/>
        <v>0</v>
      </c>
      <c r="G30">
        <v>20</v>
      </c>
      <c r="H30" s="21">
        <f t="shared" si="6"/>
        <v>0</v>
      </c>
    </row>
    <row r="33" spans="1:14" ht="131.25">
      <c r="A33" s="37" t="s">
        <v>42</v>
      </c>
      <c r="B33" s="37" t="s">
        <v>61</v>
      </c>
      <c r="C33" s="36" t="s">
        <v>59</v>
      </c>
      <c r="D33" s="36" t="s">
        <v>60</v>
      </c>
      <c r="E33" s="33"/>
      <c r="F33" s="36" t="s">
        <v>58</v>
      </c>
      <c r="G33" s="36" t="s">
        <v>62</v>
      </c>
      <c r="H33" s="36" t="s">
        <v>63</v>
      </c>
      <c r="K33" s="36" t="s">
        <v>58</v>
      </c>
      <c r="L33" s="36" t="s">
        <v>62</v>
      </c>
      <c r="M33" s="36" t="s">
        <v>63</v>
      </c>
    </row>
    <row r="34" spans="1:14" ht="37.5">
      <c r="A34" s="37" t="s">
        <v>65</v>
      </c>
      <c r="B34" s="39">
        <v>520</v>
      </c>
      <c r="C34" s="34">
        <f>GETPIVOTDATA("Итого",$I$1,"transaction rq",A34)*3</f>
        <v>534.07599864511906</v>
      </c>
      <c r="D34" s="35">
        <f t="shared" ref="D34:D42" si="22">1-B34/C34</f>
        <v>2.6355797079119836E-2</v>
      </c>
      <c r="F34" s="28">
        <f>ROUND(C34/3,0)</f>
        <v>178</v>
      </c>
      <c r="G34" s="28">
        <v>178</v>
      </c>
      <c r="H34" s="31">
        <f>1-F34/G34</f>
        <v>0</v>
      </c>
      <c r="I34" t="s">
        <v>71</v>
      </c>
      <c r="K34" s="28">
        <f>ROUND(C34/3,0)*2</f>
        <v>356</v>
      </c>
      <c r="L34" s="28">
        <v>352</v>
      </c>
      <c r="M34" s="31">
        <f>1-K34/L34</f>
        <v>-1.1363636363636465E-2</v>
      </c>
      <c r="N34" t="s">
        <v>71</v>
      </c>
    </row>
    <row r="35" spans="1:14" ht="18.75">
      <c r="A35" s="38" t="s">
        <v>0</v>
      </c>
      <c r="B35" s="39">
        <v>422</v>
      </c>
      <c r="C35" s="34">
        <f t="shared" ref="C35:C44" si="23">GETPIVOTDATA("Итого",$I$1,"transaction rq",A35)*3</f>
        <v>440.56950513862557</v>
      </c>
      <c r="D35" s="35">
        <f t="shared" si="22"/>
        <v>4.2148866233450821E-2</v>
      </c>
      <c r="F35" s="28">
        <f t="shared" ref="F35:F45" si="24">ROUND(C35/3,0)</f>
        <v>147</v>
      </c>
      <c r="G35" s="28">
        <v>146</v>
      </c>
      <c r="H35" s="31">
        <f t="shared" ref="H35:H45" si="25">1-F35/G35</f>
        <v>-6.8493150684931781E-3</v>
      </c>
      <c r="I35" t="s">
        <v>72</v>
      </c>
      <c r="K35" s="28">
        <f t="shared" ref="K35:K44" si="26">ROUND(C35/3,0)*2</f>
        <v>294</v>
      </c>
      <c r="L35" s="28">
        <v>288</v>
      </c>
      <c r="M35" s="31">
        <f t="shared" ref="M35:M45" si="27">1-K35/L35</f>
        <v>-2.0833333333333259E-2</v>
      </c>
      <c r="N35" t="s">
        <v>72</v>
      </c>
    </row>
    <row r="36" spans="1:14" ht="37.5">
      <c r="A36" s="38" t="s">
        <v>11</v>
      </c>
      <c r="B36" s="39">
        <v>282</v>
      </c>
      <c r="C36" s="34">
        <f t="shared" si="23"/>
        <v>270.0587084148728</v>
      </c>
      <c r="D36" s="30">
        <f t="shared" si="22"/>
        <v>-4.4217391304347764E-2</v>
      </c>
      <c r="F36" s="28">
        <f t="shared" si="24"/>
        <v>90</v>
      </c>
      <c r="G36" s="28">
        <v>88</v>
      </c>
      <c r="H36" s="31">
        <f t="shared" si="25"/>
        <v>-2.2727272727272707E-2</v>
      </c>
      <c r="I36" t="s">
        <v>73</v>
      </c>
      <c r="K36" s="28">
        <f t="shared" si="26"/>
        <v>180</v>
      </c>
      <c r="L36" s="28">
        <v>176</v>
      </c>
      <c r="M36" s="31">
        <f t="shared" si="27"/>
        <v>-2.2727272727272707E-2</v>
      </c>
      <c r="N36" t="s">
        <v>73</v>
      </c>
    </row>
    <row r="37" spans="1:14" ht="37.5">
      <c r="A37" s="38" t="s">
        <v>12</v>
      </c>
      <c r="B37" s="39">
        <v>270</v>
      </c>
      <c r="C37" s="34">
        <f t="shared" si="23"/>
        <v>270.0587084148728</v>
      </c>
      <c r="D37" s="30">
        <f t="shared" si="22"/>
        <v>2.1739130434783593E-4</v>
      </c>
      <c r="F37" s="28">
        <f t="shared" si="24"/>
        <v>90</v>
      </c>
      <c r="G37" s="28">
        <v>88</v>
      </c>
      <c r="H37" s="31">
        <f t="shared" si="25"/>
        <v>-2.2727272727272707E-2</v>
      </c>
      <c r="I37" t="s">
        <v>74</v>
      </c>
      <c r="K37" s="28">
        <f t="shared" si="26"/>
        <v>180</v>
      </c>
      <c r="L37" s="28">
        <v>176</v>
      </c>
      <c r="M37" s="31">
        <f t="shared" si="27"/>
        <v>-2.2727272727272707E-2</v>
      </c>
      <c r="N37" t="s">
        <v>74</v>
      </c>
    </row>
    <row r="38" spans="1:14" ht="18.75">
      <c r="A38" s="38" t="s">
        <v>3</v>
      </c>
      <c r="B38" s="39">
        <v>175</v>
      </c>
      <c r="C38" s="34">
        <f t="shared" si="23"/>
        <v>171.42857142857144</v>
      </c>
      <c r="D38" s="30">
        <f t="shared" si="22"/>
        <v>-2.0833333333333259E-2</v>
      </c>
      <c r="F38" s="28">
        <f t="shared" si="24"/>
        <v>57</v>
      </c>
      <c r="G38" s="28">
        <v>58</v>
      </c>
      <c r="H38" s="31">
        <f t="shared" si="25"/>
        <v>1.7241379310344862E-2</v>
      </c>
      <c r="I38" t="s">
        <v>75</v>
      </c>
      <c r="K38" s="28">
        <f t="shared" si="26"/>
        <v>114</v>
      </c>
      <c r="L38" s="28">
        <v>112</v>
      </c>
      <c r="M38" s="31">
        <f t="shared" si="27"/>
        <v>-1.7857142857142794E-2</v>
      </c>
      <c r="N38" t="s">
        <v>75</v>
      </c>
    </row>
    <row r="39" spans="1:14" ht="37.5">
      <c r="A39" s="38" t="s">
        <v>4</v>
      </c>
      <c r="B39" s="39">
        <v>280</v>
      </c>
      <c r="C39" s="34">
        <f t="shared" si="23"/>
        <v>288.99819168173599</v>
      </c>
      <c r="D39" s="30">
        <f t="shared" si="22"/>
        <v>3.1135806177103653E-2</v>
      </c>
      <c r="F39" s="28">
        <f t="shared" si="24"/>
        <v>96</v>
      </c>
      <c r="G39" s="28">
        <v>98</v>
      </c>
      <c r="H39" s="31">
        <f t="shared" si="25"/>
        <v>2.0408163265306145E-2</v>
      </c>
      <c r="I39" t="s">
        <v>76</v>
      </c>
      <c r="K39" s="28">
        <f t="shared" si="26"/>
        <v>192</v>
      </c>
      <c r="L39" s="28">
        <v>189</v>
      </c>
      <c r="M39" s="31">
        <f t="shared" si="27"/>
        <v>-1.5873015873015817E-2</v>
      </c>
      <c r="N39" t="s">
        <v>76</v>
      </c>
    </row>
    <row r="40" spans="1:14" ht="37.5">
      <c r="A40" s="38" t="s">
        <v>13</v>
      </c>
      <c r="B40" s="39">
        <v>73</v>
      </c>
      <c r="C40" s="34">
        <f t="shared" si="23"/>
        <v>72</v>
      </c>
      <c r="D40" s="30">
        <f t="shared" si="22"/>
        <v>-1.388888888888884E-2</v>
      </c>
      <c r="F40" s="28">
        <f t="shared" si="24"/>
        <v>24</v>
      </c>
      <c r="G40" s="28">
        <v>24</v>
      </c>
      <c r="H40" s="31">
        <f t="shared" si="25"/>
        <v>0</v>
      </c>
      <c r="I40" t="s">
        <v>77</v>
      </c>
      <c r="K40" s="28">
        <f t="shared" si="26"/>
        <v>48</v>
      </c>
      <c r="L40" s="28">
        <v>47</v>
      </c>
      <c r="M40" s="31">
        <f t="shared" si="27"/>
        <v>-2.1276595744680771E-2</v>
      </c>
      <c r="N40" t="s">
        <v>77</v>
      </c>
    </row>
    <row r="41" spans="1:14" ht="37.5">
      <c r="A41" s="38" t="s">
        <v>6</v>
      </c>
      <c r="B41" s="39">
        <v>326</v>
      </c>
      <c r="C41" s="34">
        <f t="shared" si="23"/>
        <v>317.87624140565316</v>
      </c>
      <c r="D41" s="30">
        <f t="shared" si="22"/>
        <v>-2.5556356645037193E-2</v>
      </c>
      <c r="E41" s="1"/>
      <c r="F41" s="28">
        <f t="shared" si="24"/>
        <v>106</v>
      </c>
      <c r="G41" s="28">
        <v>106</v>
      </c>
      <c r="H41" s="31">
        <f t="shared" si="25"/>
        <v>0</v>
      </c>
      <c r="I41" t="s">
        <v>78</v>
      </c>
      <c r="K41" s="28">
        <f t="shared" si="26"/>
        <v>212</v>
      </c>
      <c r="L41" s="28">
        <v>206</v>
      </c>
      <c r="M41" s="31">
        <f t="shared" si="27"/>
        <v>-2.9126213592232997E-2</v>
      </c>
      <c r="N41" t="s">
        <v>78</v>
      </c>
    </row>
    <row r="42" spans="1:14" ht="56.25">
      <c r="A42" s="38" t="s">
        <v>67</v>
      </c>
      <c r="B42" s="39">
        <v>97</v>
      </c>
      <c r="C42" s="34">
        <f t="shared" si="23"/>
        <v>93.506493506493513</v>
      </c>
      <c r="D42" s="30">
        <f t="shared" si="22"/>
        <v>-3.7361111111110956E-2</v>
      </c>
      <c r="F42" s="28">
        <f t="shared" si="24"/>
        <v>31</v>
      </c>
      <c r="G42" s="28">
        <v>30</v>
      </c>
      <c r="H42" s="31">
        <f t="shared" si="25"/>
        <v>-3.3333333333333437E-2</v>
      </c>
      <c r="I42" t="s">
        <v>79</v>
      </c>
      <c r="K42" s="28">
        <f t="shared" si="26"/>
        <v>62</v>
      </c>
      <c r="L42" s="28">
        <v>60</v>
      </c>
      <c r="M42" s="31">
        <f t="shared" si="27"/>
        <v>-3.3333333333333437E-2</v>
      </c>
      <c r="N42" t="s">
        <v>79</v>
      </c>
    </row>
    <row r="43" spans="1:14" ht="37.5">
      <c r="A43" s="38" t="s">
        <v>66</v>
      </c>
      <c r="B43" s="39">
        <v>97</v>
      </c>
      <c r="C43" s="34">
        <f t="shared" si="23"/>
        <v>93.506493506493513</v>
      </c>
      <c r="D43" s="30">
        <f t="shared" ref="D43:D44" si="28">1-B43/C43</f>
        <v>-3.7361111111110956E-2</v>
      </c>
      <c r="F43" s="28">
        <f t="shared" si="24"/>
        <v>31</v>
      </c>
      <c r="G43" s="28">
        <v>30</v>
      </c>
      <c r="H43" s="31">
        <f t="shared" si="25"/>
        <v>-3.3333333333333437E-2</v>
      </c>
      <c r="I43" t="s">
        <v>80</v>
      </c>
      <c r="K43" s="28">
        <f>ROUND(C43/3,0)*2</f>
        <v>62</v>
      </c>
      <c r="L43" s="28">
        <v>60</v>
      </c>
      <c r="M43" s="31">
        <f t="shared" si="27"/>
        <v>-3.3333333333333437E-2</v>
      </c>
      <c r="N43" t="s">
        <v>80</v>
      </c>
    </row>
    <row r="44" spans="1:14" ht="75">
      <c r="A44" s="38" t="s">
        <v>68</v>
      </c>
      <c r="B44" s="39">
        <v>97</v>
      </c>
      <c r="C44" s="34">
        <f t="shared" si="23"/>
        <v>93.506493506493513</v>
      </c>
      <c r="D44" s="30">
        <f t="shared" si="28"/>
        <v>-3.7361111111110956E-2</v>
      </c>
      <c r="F44" s="28">
        <f t="shared" si="24"/>
        <v>31</v>
      </c>
      <c r="G44" s="28">
        <v>30</v>
      </c>
      <c r="H44" s="31">
        <f t="shared" si="25"/>
        <v>-3.3333333333333437E-2</v>
      </c>
      <c r="I44" t="s">
        <v>81</v>
      </c>
      <c r="K44" s="28">
        <f t="shared" si="26"/>
        <v>62</v>
      </c>
      <c r="L44" s="28">
        <v>60</v>
      </c>
      <c r="M44" s="31">
        <f t="shared" si="27"/>
        <v>-3.3333333333333437E-2</v>
      </c>
      <c r="N44" t="s">
        <v>81</v>
      </c>
    </row>
    <row r="45" spans="1:14" ht="18.75">
      <c r="A45" s="40" t="s">
        <v>7</v>
      </c>
      <c r="B45" s="39">
        <f>SUM(B34:B44)</f>
        <v>2639</v>
      </c>
      <c r="C45" s="32">
        <f>SUM(C34:C44)</f>
        <v>2645.5854056489311</v>
      </c>
      <c r="D45" s="30">
        <f>1-B45/C45</f>
        <v>2.4892054646468154E-3</v>
      </c>
      <c r="F45" s="28">
        <f t="shared" si="24"/>
        <v>882</v>
      </c>
      <c r="G45" s="28">
        <f>SUM(G34:G44)</f>
        <v>876</v>
      </c>
      <c r="H45" s="31">
        <f t="shared" si="25"/>
        <v>-6.8493150684931781E-3</v>
      </c>
      <c r="K45" s="28">
        <f t="shared" ref="K35:K45" si="29">ROUND(H45/3,0)</f>
        <v>0</v>
      </c>
      <c r="L45" s="28">
        <f>SUM(L34:L44)</f>
        <v>1726</v>
      </c>
      <c r="M45" s="31">
        <f t="shared" si="27"/>
        <v>1</v>
      </c>
    </row>
    <row r="46" spans="1:14">
      <c r="F46" s="46" t="s">
        <v>82</v>
      </c>
      <c r="G46" s="46"/>
      <c r="H46" s="46"/>
      <c r="I46" s="46"/>
      <c r="K46" s="46" t="s">
        <v>83</v>
      </c>
      <c r="L46" s="46"/>
      <c r="M46" s="46"/>
      <c r="N46" s="46"/>
    </row>
  </sheetData>
  <mergeCells count="2">
    <mergeCell ref="F46:I46"/>
    <mergeCell ref="K46:N46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9:O44"/>
  <sheetViews>
    <sheetView workbookViewId="0">
      <selection activeCell="E9" sqref="E9:I9"/>
    </sheetView>
  </sheetViews>
  <sheetFormatPr defaultColWidth="8.85546875" defaultRowHeight="1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>
      <c r="E9" s="47" t="s">
        <v>33</v>
      </c>
      <c r="F9" s="47"/>
      <c r="G9" s="47"/>
      <c r="H9" s="47"/>
      <c r="I9" s="47"/>
    </row>
    <row r="11" spans="5:9" ht="28.5">
      <c r="E11" s="2" t="s">
        <v>14</v>
      </c>
      <c r="F11" s="2" t="s">
        <v>15</v>
      </c>
      <c r="G11" s="2" t="s">
        <v>16</v>
      </c>
      <c r="H11" s="2" t="s">
        <v>17</v>
      </c>
      <c r="I11" s="2" t="s">
        <v>18</v>
      </c>
    </row>
    <row r="12" spans="5:9" ht="15.75">
      <c r="E12" s="3" t="s">
        <v>0</v>
      </c>
      <c r="F12" s="4" t="s">
        <v>24</v>
      </c>
      <c r="G12" s="5">
        <v>368</v>
      </c>
      <c r="H12" s="4">
        <f>121*3</f>
        <v>363</v>
      </c>
      <c r="I12" s="6">
        <f>1-G12/H12</f>
        <v>-1.377410468319562E-2</v>
      </c>
    </row>
    <row r="13" spans="5:9" ht="31.5">
      <c r="E13" s="3" t="s">
        <v>1</v>
      </c>
      <c r="F13" s="4" t="s">
        <v>23</v>
      </c>
      <c r="G13" s="5">
        <v>251</v>
      </c>
      <c r="H13" s="4">
        <f>82*3</f>
        <v>246</v>
      </c>
      <c r="I13" s="6">
        <f t="shared" ref="I13:I18" si="0">1-G13/H13</f>
        <v>-2.0325203252032464E-2</v>
      </c>
    </row>
    <row r="14" spans="5:9" ht="31.5">
      <c r="E14" s="3" t="s">
        <v>2</v>
      </c>
      <c r="F14" s="4" t="s">
        <v>26</v>
      </c>
      <c r="G14" s="5">
        <v>251</v>
      </c>
      <c r="H14" s="4">
        <f>82*3</f>
        <v>246</v>
      </c>
      <c r="I14" s="6">
        <f t="shared" si="0"/>
        <v>-2.0325203252032464E-2</v>
      </c>
    </row>
    <row r="15" spans="5:9" ht="15.75">
      <c r="E15" s="3" t="s">
        <v>3</v>
      </c>
      <c r="F15" s="4" t="s">
        <v>19</v>
      </c>
      <c r="G15" s="5">
        <v>175</v>
      </c>
      <c r="H15" s="4">
        <f>56*3</f>
        <v>168</v>
      </c>
      <c r="I15" s="7">
        <f t="shared" si="0"/>
        <v>-4.1666666666666741E-2</v>
      </c>
    </row>
    <row r="16" spans="5:9" ht="31.5">
      <c r="E16" s="3" t="s">
        <v>20</v>
      </c>
      <c r="F16" s="4" t="s">
        <v>22</v>
      </c>
      <c r="G16" s="5">
        <v>159</v>
      </c>
      <c r="H16" s="5">
        <f>56*3</f>
        <v>168</v>
      </c>
      <c r="I16" s="6">
        <f t="shared" si="0"/>
        <v>5.3571428571428603E-2</v>
      </c>
    </row>
    <row r="17" spans="5:9" ht="47.25">
      <c r="E17" s="3" t="s">
        <v>5</v>
      </c>
      <c r="F17" s="4" t="s">
        <v>21</v>
      </c>
      <c r="G17" s="5">
        <v>73</v>
      </c>
      <c r="H17" s="4">
        <f>25*3</f>
        <v>75</v>
      </c>
      <c r="I17" s="6">
        <f t="shared" si="0"/>
        <v>2.6666666666666616E-2</v>
      </c>
    </row>
    <row r="18" spans="5:9" ht="15.75">
      <c r="E18" s="3" t="s">
        <v>6</v>
      </c>
      <c r="F18" s="4" t="s">
        <v>25</v>
      </c>
      <c r="G18" s="5">
        <v>326</v>
      </c>
      <c r="H18" s="4">
        <f>104*3</f>
        <v>312</v>
      </c>
      <c r="I18" s="6">
        <f t="shared" si="0"/>
        <v>-4.4871794871794934E-2</v>
      </c>
    </row>
    <row r="23" spans="5:9">
      <c r="E23" s="47" t="s">
        <v>31</v>
      </c>
      <c r="F23" s="47"/>
      <c r="G23" s="47"/>
      <c r="H23" s="47"/>
      <c r="I23" s="47"/>
    </row>
    <row r="25" spans="5:9">
      <c r="E25" s="9" t="s">
        <v>14</v>
      </c>
      <c r="F25" s="9" t="s">
        <v>15</v>
      </c>
      <c r="G25" s="9" t="s">
        <v>16</v>
      </c>
      <c r="H25" s="9" t="s">
        <v>17</v>
      </c>
      <c r="I25" s="9" t="s">
        <v>18</v>
      </c>
    </row>
    <row r="26" spans="5:9" ht="15.75">
      <c r="E26" s="14" t="s">
        <v>0</v>
      </c>
      <c r="F26" s="13" t="s">
        <v>24</v>
      </c>
      <c r="G26" s="11">
        <f>5*368</f>
        <v>1840</v>
      </c>
      <c r="H26" s="10">
        <f>721*3</f>
        <v>2163</v>
      </c>
      <c r="I26" s="12">
        <f>1-G26/H26</f>
        <v>0.14932963476652794</v>
      </c>
    </row>
    <row r="27" spans="5:9" ht="15.75">
      <c r="E27" s="14" t="s">
        <v>1</v>
      </c>
      <c r="F27" s="13" t="s">
        <v>23</v>
      </c>
      <c r="G27" s="11">
        <f>5*251</f>
        <v>1255</v>
      </c>
      <c r="H27" s="10">
        <f>3*464</f>
        <v>1392</v>
      </c>
      <c r="I27" s="12">
        <f t="shared" ref="I27:I32" si="1">1-G27/H27</f>
        <v>9.8419540229885083E-2</v>
      </c>
    </row>
    <row r="28" spans="5:9" ht="15.75">
      <c r="E28" s="14" t="s">
        <v>2</v>
      </c>
      <c r="F28" s="13" t="s">
        <v>26</v>
      </c>
      <c r="G28" s="11">
        <f>5*251</f>
        <v>1255</v>
      </c>
      <c r="H28" s="10">
        <f>3*462</f>
        <v>1386</v>
      </c>
      <c r="I28" s="12">
        <f t="shared" si="1"/>
        <v>9.4516594516594554E-2</v>
      </c>
    </row>
    <row r="29" spans="5:9" ht="15.75">
      <c r="E29" s="14" t="s">
        <v>3</v>
      </c>
      <c r="F29" s="13" t="s">
        <v>19</v>
      </c>
      <c r="G29" s="11">
        <f>5*175</f>
        <v>875</v>
      </c>
      <c r="H29" s="10">
        <f>3*314</f>
        <v>942</v>
      </c>
      <c r="I29" s="8">
        <f t="shared" si="1"/>
        <v>7.1125265392781301E-2</v>
      </c>
    </row>
    <row r="30" spans="5:9" ht="15.75">
      <c r="E30" s="14" t="s">
        <v>20</v>
      </c>
      <c r="F30" s="13" t="s">
        <v>22</v>
      </c>
      <c r="G30" s="11">
        <f>5*159</f>
        <v>795</v>
      </c>
      <c r="H30" s="10">
        <f>3*330</f>
        <v>990</v>
      </c>
      <c r="I30" s="12">
        <f t="shared" si="1"/>
        <v>0.19696969696969702</v>
      </c>
    </row>
    <row r="31" spans="5:9" ht="15.75">
      <c r="E31" s="14" t="s">
        <v>5</v>
      </c>
      <c r="F31" s="13" t="s">
        <v>21</v>
      </c>
      <c r="G31" s="11">
        <f>5*73</f>
        <v>365</v>
      </c>
      <c r="H31" s="10">
        <f>3*141</f>
        <v>423</v>
      </c>
      <c r="I31" s="12">
        <f t="shared" si="1"/>
        <v>0.13711583924349879</v>
      </c>
    </row>
    <row r="32" spans="5:9" ht="15.75">
      <c r="E32" s="14" t="s">
        <v>6</v>
      </c>
      <c r="F32" s="13" t="s">
        <v>25</v>
      </c>
      <c r="G32" s="11">
        <f>5*326</f>
        <v>1630</v>
      </c>
      <c r="H32" s="10">
        <f>3*599</f>
        <v>1797</v>
      </c>
      <c r="I32" s="12">
        <f t="shared" si="1"/>
        <v>9.2932665553700611E-2</v>
      </c>
    </row>
    <row r="35" spans="5:15">
      <c r="E35" s="47" t="s">
        <v>32</v>
      </c>
      <c r="F35" s="47"/>
      <c r="G35" s="47"/>
      <c r="H35" s="47"/>
      <c r="I35" s="47"/>
    </row>
    <row r="37" spans="5:15">
      <c r="E37" s="9" t="s">
        <v>14</v>
      </c>
      <c r="F37" s="9" t="s">
        <v>15</v>
      </c>
      <c r="G37" s="9" t="s">
        <v>16</v>
      </c>
      <c r="H37" s="9" t="s">
        <v>17</v>
      </c>
      <c r="I37" s="9" t="s">
        <v>18</v>
      </c>
      <c r="L37" s="15" t="s">
        <v>27</v>
      </c>
      <c r="M37" s="15" t="s">
        <v>28</v>
      </c>
      <c r="N37" s="15" t="s">
        <v>29</v>
      </c>
      <c r="O37" s="15" t="s">
        <v>30</v>
      </c>
    </row>
    <row r="38" spans="5:15" ht="15.75">
      <c r="E38" s="14" t="s">
        <v>0</v>
      </c>
      <c r="F38" s="13" t="s">
        <v>24</v>
      </c>
      <c r="G38" s="11">
        <f>5*368</f>
        <v>1840</v>
      </c>
      <c r="H38" s="10">
        <v>2109</v>
      </c>
      <c r="I38" s="12">
        <f>1-G38/H38</f>
        <v>0.12754860123281175</v>
      </c>
      <c r="L38" s="15" t="s">
        <v>21</v>
      </c>
      <c r="M38" s="15">
        <v>377</v>
      </c>
      <c r="N38" s="15">
        <v>27</v>
      </c>
      <c r="O38" s="15">
        <v>0</v>
      </c>
    </row>
    <row r="39" spans="5:15" ht="15.75">
      <c r="E39" s="14" t="s">
        <v>1</v>
      </c>
      <c r="F39" s="13" t="s">
        <v>23</v>
      </c>
      <c r="G39" s="11">
        <f>5*251</f>
        <v>1255</v>
      </c>
      <c r="H39" s="15">
        <v>1315</v>
      </c>
      <c r="I39" s="12">
        <f t="shared" ref="I39:I44" si="2">1-G39/H39</f>
        <v>4.5627376425855459E-2</v>
      </c>
      <c r="L39" s="15" t="s">
        <v>22</v>
      </c>
      <c r="M39" s="15">
        <v>998</v>
      </c>
      <c r="N39" s="15">
        <v>1</v>
      </c>
      <c r="O39" s="15">
        <v>0</v>
      </c>
    </row>
    <row r="40" spans="5:15" ht="15.75">
      <c r="E40" s="14" t="s">
        <v>2</v>
      </c>
      <c r="F40" s="13" t="s">
        <v>26</v>
      </c>
      <c r="G40" s="11">
        <f>5*251</f>
        <v>1255</v>
      </c>
      <c r="H40" s="10">
        <v>1315</v>
      </c>
      <c r="I40" s="12">
        <f t="shared" si="2"/>
        <v>4.5627376425855459E-2</v>
      </c>
      <c r="L40" s="15" t="s">
        <v>23</v>
      </c>
      <c r="M40" s="15" t="s">
        <v>34</v>
      </c>
      <c r="N40" s="15">
        <v>0</v>
      </c>
      <c r="O40" s="15">
        <v>0</v>
      </c>
    </row>
    <row r="41" spans="5:15" ht="15.75">
      <c r="E41" s="14" t="s">
        <v>3</v>
      </c>
      <c r="F41" s="13" t="s">
        <v>19</v>
      </c>
      <c r="G41" s="11">
        <f>5*175</f>
        <v>875</v>
      </c>
      <c r="H41" s="15">
        <v>924</v>
      </c>
      <c r="I41" s="8">
        <f t="shared" si="2"/>
        <v>5.3030303030302983E-2</v>
      </c>
      <c r="L41" s="15" t="s">
        <v>24</v>
      </c>
      <c r="M41" s="15" t="s">
        <v>35</v>
      </c>
      <c r="N41" s="15">
        <v>139</v>
      </c>
      <c r="O41" s="15">
        <v>0</v>
      </c>
    </row>
    <row r="42" spans="5:15" ht="15.75">
      <c r="E42" s="14" t="s">
        <v>20</v>
      </c>
      <c r="F42" s="13" t="s">
        <v>22</v>
      </c>
      <c r="G42" s="11">
        <f>5*159</f>
        <v>795</v>
      </c>
      <c r="H42" s="15">
        <v>998</v>
      </c>
      <c r="I42" s="12">
        <f t="shared" si="2"/>
        <v>0.20340681362725455</v>
      </c>
      <c r="L42" s="15" t="s">
        <v>25</v>
      </c>
      <c r="M42" s="15" t="s">
        <v>36</v>
      </c>
      <c r="N42" s="15">
        <v>1</v>
      </c>
      <c r="O42" s="15">
        <v>0</v>
      </c>
    </row>
    <row r="43" spans="5:15" ht="15.75">
      <c r="E43" s="14" t="s">
        <v>5</v>
      </c>
      <c r="F43" s="13" t="s">
        <v>21</v>
      </c>
      <c r="G43" s="11">
        <f>5*73</f>
        <v>365</v>
      </c>
      <c r="H43" s="15">
        <v>404</v>
      </c>
      <c r="I43" s="12">
        <f t="shared" si="2"/>
        <v>9.6534653465346509E-2</v>
      </c>
      <c r="L43" s="15" t="s">
        <v>19</v>
      </c>
      <c r="M43" s="15">
        <v>924</v>
      </c>
      <c r="N43" s="15">
        <v>0</v>
      </c>
      <c r="O43" s="15">
        <v>0</v>
      </c>
    </row>
    <row r="44" spans="5:15" ht="15.75">
      <c r="E44" s="14" t="s">
        <v>6</v>
      </c>
      <c r="F44" s="13" t="s">
        <v>25</v>
      </c>
      <c r="G44" s="11">
        <f>5*326</f>
        <v>1630</v>
      </c>
      <c r="H44" s="10">
        <v>1675</v>
      </c>
      <c r="I44" s="12">
        <f t="shared" si="2"/>
        <v>2.68656716417911E-2</v>
      </c>
      <c r="L44" s="15" t="s">
        <v>26</v>
      </c>
      <c r="M44" s="15" t="s">
        <v>34</v>
      </c>
      <c r="N44" s="15">
        <v>0</v>
      </c>
      <c r="O44" s="15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Автоматизированный расчет</vt:lpstr>
      <vt:lpstr>Шаблоны соотвествие профилю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Александра</cp:lastModifiedBy>
  <dcterms:created xsi:type="dcterms:W3CDTF">2015-06-05T18:19:34Z</dcterms:created>
  <dcterms:modified xsi:type="dcterms:W3CDTF">2021-09-16T17:42:09Z</dcterms:modified>
</cp:coreProperties>
</file>