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81F7D233-C632-42C3-B883-33B3B3FF5DFC}" xr6:coauthVersionLast="36" xr6:coauthVersionMax="47" xr10:uidLastSave="{00000000-0000-0000-0000-000000000000}"/>
  <bookViews>
    <workbookView xWindow="0" yWindow="0" windowWidth="23040" windowHeight="9060" firstSheet="1" activeTab="1" xr2:uid="{28046BE2-7AE2-4F6D-BCDF-7D012E4D60CE}"/>
  </bookViews>
  <sheets>
    <sheet name="Entrainement - Estimateur MCO" sheetId="2" r:id="rId1"/>
    <sheet name="Entrainement - Données centrées" sheetId="3" r:id="rId2"/>
    <sheet name="Ridge avec lambda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3" l="1" a="1"/>
  <c r="X7" i="3" s="1"/>
  <c r="X6" i="3"/>
  <c r="X13" i="3"/>
  <c r="X14" i="3"/>
  <c r="Z18" i="3"/>
  <c r="M29" i="4" a="1"/>
  <c r="X20" i="3" l="1"/>
  <c r="X12" i="3"/>
  <c r="X19" i="3"/>
  <c r="X11" i="3"/>
  <c r="X18" i="3"/>
  <c r="X10" i="3"/>
  <c r="X17" i="3"/>
  <c r="X9" i="3"/>
  <c r="X16" i="3"/>
  <c r="X8" i="3"/>
  <c r="Z19" i="3" s="1"/>
  <c r="X15" i="3"/>
  <c r="V28" i="3" a="1"/>
  <c r="V28" i="3" s="1"/>
  <c r="U28" i="3" a="1"/>
  <c r="U28" i="3" s="1"/>
  <c r="E22" i="3"/>
  <c r="M4" i="4" a="1"/>
  <c r="X22" i="3" a="1"/>
  <c r="V6" i="3" a="1"/>
  <c r="J28" i="2" a="1"/>
  <c r="J28" i="2" s="1"/>
  <c r="I28" i="2" a="1"/>
  <c r="I28" i="2" s="1"/>
  <c r="I19" i="2" a="1"/>
  <c r="I19" i="2" s="1"/>
  <c r="J16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4" i="2" a="1"/>
  <c r="O4" i="2" s="1"/>
  <c r="N4" i="2" a="1"/>
  <c r="N4" i="2" s="1"/>
  <c r="M4" i="2" a="1"/>
  <c r="M4" i="2" s="1"/>
  <c r="J11" i="2" a="1"/>
  <c r="J11" i="2" s="1"/>
  <c r="V33" i="3" l="1"/>
  <c r="V31" i="3"/>
  <c r="V30" i="3"/>
  <c r="V29" i="3"/>
  <c r="V35" i="3"/>
  <c r="V34" i="3"/>
  <c r="V32" i="3"/>
  <c r="V36" i="3"/>
  <c r="U33" i="3"/>
  <c r="U32" i="3"/>
  <c r="U31" i="3"/>
  <c r="U30" i="3"/>
  <c r="U35" i="3"/>
  <c r="U34" i="3"/>
  <c r="U29" i="3"/>
  <c r="U36" i="3"/>
  <c r="J30" i="2"/>
  <c r="J35" i="2"/>
  <c r="J33" i="2"/>
  <c r="J32" i="2"/>
  <c r="J29" i="2"/>
  <c r="J34" i="2"/>
  <c r="J31" i="2"/>
  <c r="J36" i="2"/>
  <c r="I35" i="2"/>
  <c r="I34" i="2"/>
  <c r="I33" i="2"/>
  <c r="I32" i="2"/>
  <c r="I31" i="2"/>
  <c r="I30" i="2"/>
  <c r="I29" i="2"/>
  <c r="I36" i="2"/>
  <c r="L22" i="2"/>
  <c r="L20" i="2"/>
  <c r="K20" i="2"/>
  <c r="J20" i="2"/>
  <c r="I22" i="2"/>
  <c r="I20" i="2"/>
  <c r="L21" i="2"/>
  <c r="L19" i="2"/>
  <c r="K21" i="2"/>
  <c r="J21" i="2"/>
  <c r="J19" i="2"/>
  <c r="K22" i="2"/>
  <c r="J22" i="2"/>
  <c r="K19" i="2"/>
  <c r="I21" i="2"/>
  <c r="N11" i="2"/>
  <c r="N18" i="2"/>
  <c r="N10" i="2"/>
  <c r="N17" i="2"/>
  <c r="N9" i="2"/>
  <c r="N16" i="2"/>
  <c r="N8" i="2"/>
  <c r="N15" i="2"/>
  <c r="N7" i="2"/>
  <c r="N14" i="2"/>
  <c r="N6" i="2"/>
  <c r="N13" i="2"/>
  <c r="N5" i="2"/>
  <c r="N12" i="2"/>
  <c r="M11" i="2"/>
  <c r="M18" i="2"/>
  <c r="M10" i="2"/>
  <c r="M9" i="2"/>
  <c r="M8" i="2"/>
  <c r="M15" i="2"/>
  <c r="M7" i="2"/>
  <c r="M6" i="2"/>
  <c r="M13" i="2"/>
  <c r="M5" i="2"/>
  <c r="M17" i="2"/>
  <c r="M16" i="2"/>
  <c r="M14" i="2"/>
  <c r="M12" i="2"/>
  <c r="J14" i="2"/>
  <c r="J13" i="2"/>
  <c r="J12" i="2"/>
  <c r="F41" i="4"/>
  <c r="F40" i="4"/>
  <c r="C23" i="3"/>
  <c r="D23" i="3"/>
  <c r="E23" i="3"/>
  <c r="B23" i="3"/>
  <c r="C22" i="3"/>
  <c r="D22" i="3"/>
  <c r="B22" i="3"/>
  <c r="I5" i="2" a="1"/>
  <c r="K5" i="2" s="1"/>
  <c r="N28" i="2" l="1"/>
  <c r="J5" i="2"/>
  <c r="I7" i="2"/>
  <c r="I5" i="2"/>
  <c r="L8" i="2"/>
  <c r="L6" i="2"/>
  <c r="K8" i="2"/>
  <c r="K6" i="2"/>
  <c r="J7" i="2"/>
  <c r="J8" i="2"/>
  <c r="I6" i="2"/>
  <c r="L7" i="2"/>
  <c r="L5" i="2"/>
  <c r="J6" i="2"/>
  <c r="I8" i="2"/>
  <c r="K7" i="2"/>
  <c r="O21" i="2" l="1"/>
  <c r="N21" i="2"/>
  <c r="G15" i="3" l="1"/>
  <c r="G19" i="3"/>
  <c r="G30" i="3"/>
  <c r="G34" i="3"/>
  <c r="G33" i="3"/>
  <c r="G8" i="3"/>
  <c r="G16" i="3"/>
  <c r="G27" i="3"/>
  <c r="G28" i="3"/>
  <c r="G12" i="3"/>
  <c r="G14" i="3"/>
  <c r="G10" i="3"/>
  <c r="G11" i="3"/>
  <c r="G7" i="3"/>
  <c r="G17" i="3"/>
  <c r="G13" i="3"/>
  <c r="G18" i="3"/>
  <c r="G6" i="3"/>
  <c r="G29" i="3"/>
  <c r="G31" i="3"/>
  <c r="G32" i="3"/>
  <c r="G20" i="3"/>
  <c r="G9" i="3"/>
  <c r="G26" i="3"/>
  <c r="I16" i="3"/>
  <c r="I8" i="3"/>
  <c r="I6" i="3"/>
  <c r="I32" i="3"/>
  <c r="I15" i="3"/>
  <c r="I28" i="3"/>
  <c r="I30" i="3"/>
  <c r="I27" i="3"/>
  <c r="I12" i="3"/>
  <c r="I11" i="3"/>
  <c r="I7" i="3"/>
  <c r="I13" i="3"/>
  <c r="I17" i="3"/>
  <c r="I18" i="3"/>
  <c r="I31" i="3"/>
  <c r="I34" i="3"/>
  <c r="I26" i="3"/>
  <c r="I14" i="3"/>
  <c r="I9" i="3"/>
  <c r="I29" i="3"/>
  <c r="I10" i="3"/>
  <c r="I33" i="3"/>
  <c r="I20" i="3"/>
  <c r="I19" i="3"/>
  <c r="H12" i="3"/>
  <c r="H19" i="3"/>
  <c r="H15" i="3"/>
  <c r="H13" i="3"/>
  <c r="H8" i="3"/>
  <c r="H27" i="3"/>
  <c r="H26" i="3"/>
  <c r="H32" i="3"/>
  <c r="H11" i="3"/>
  <c r="H7" i="3"/>
  <c r="H10" i="3"/>
  <c r="H30" i="3"/>
  <c r="H16" i="3"/>
  <c r="H29" i="3"/>
  <c r="H33" i="3"/>
  <c r="H18" i="3"/>
  <c r="H20" i="3"/>
  <c r="H31" i="3"/>
  <c r="H9" i="3"/>
  <c r="H17" i="3"/>
  <c r="H34" i="3"/>
  <c r="H28" i="3"/>
  <c r="H14" i="3"/>
  <c r="J8" i="3"/>
  <c r="J33" i="3"/>
  <c r="J6" i="3"/>
  <c r="J31" i="3"/>
  <c r="J29" i="3"/>
  <c r="J32" i="3"/>
  <c r="J28" i="3"/>
  <c r="J17" i="3"/>
  <c r="J13" i="3"/>
  <c r="J7" i="3"/>
  <c r="J14" i="3"/>
  <c r="J11" i="3"/>
  <c r="J12" i="3"/>
  <c r="J20" i="3"/>
  <c r="J10" i="3"/>
  <c r="J34" i="3"/>
  <c r="J18" i="3"/>
  <c r="J30" i="3"/>
  <c r="J9" i="3"/>
  <c r="J15" i="3"/>
  <c r="J27" i="3"/>
  <c r="J26" i="3"/>
  <c r="J16" i="3"/>
  <c r="J19" i="3"/>
  <c r="H6" i="3"/>
  <c r="M5" i="3" l="1" a="1"/>
  <c r="M5" i="3" l="1"/>
  <c r="M7" i="3"/>
  <c r="M6" i="3"/>
  <c r="P6" i="3" l="1" a="1"/>
  <c r="U6" i="3" a="1"/>
  <c r="M10" i="3"/>
  <c r="F4" i="4" a="1"/>
  <c r="U7" i="3" l="1"/>
  <c r="U16" i="3"/>
  <c r="U17" i="3"/>
  <c r="U8" i="3"/>
  <c r="U15" i="3"/>
  <c r="U13" i="3"/>
  <c r="U19" i="3"/>
  <c r="U14" i="3"/>
  <c r="U6" i="3"/>
  <c r="U20" i="3"/>
  <c r="U11" i="3"/>
  <c r="U12" i="3"/>
  <c r="U18" i="3"/>
  <c r="U9" i="3"/>
  <c r="U10" i="3"/>
  <c r="P7" i="3"/>
  <c r="P14" i="3"/>
  <c r="P6" i="3"/>
  <c r="P12" i="3"/>
  <c r="P10" i="3"/>
  <c r="P9" i="3"/>
  <c r="P17" i="3"/>
  <c r="P8" i="3"/>
  <c r="P20" i="3"/>
  <c r="P13" i="3"/>
  <c r="P19" i="3"/>
  <c r="P11" i="3"/>
  <c r="P18" i="3"/>
  <c r="P16" i="3"/>
  <c r="P15" i="3"/>
  <c r="H4" i="4"/>
  <c r="H5" i="4"/>
  <c r="F5" i="4"/>
  <c r="G4" i="4"/>
  <c r="G6" i="4"/>
  <c r="H6" i="4"/>
  <c r="F6" i="4"/>
  <c r="G5" i="4"/>
  <c r="F4" i="4"/>
  <c r="V14" i="3" l="1"/>
  <c r="V9" i="3"/>
  <c r="V13" i="3"/>
  <c r="V18" i="3"/>
  <c r="V15" i="3"/>
  <c r="V12" i="3"/>
  <c r="V8" i="3"/>
  <c r="Z28" i="3"/>
  <c r="V10" i="3"/>
  <c r="V19" i="3"/>
  <c r="V11" i="3"/>
  <c r="V17" i="3"/>
  <c r="V20" i="3"/>
  <c r="V16" i="3"/>
  <c r="V6" i="3"/>
  <c r="V7" i="3"/>
  <c r="F8" i="4" a="1"/>
  <c r="X22" i="3" l="1"/>
  <c r="V22" i="3"/>
  <c r="Z9" i="3" s="1"/>
  <c r="F8" i="4"/>
  <c r="G9" i="4"/>
  <c r="G8" i="4"/>
  <c r="F10" i="4"/>
  <c r="G10" i="4"/>
  <c r="H9" i="4"/>
  <c r="H8" i="4"/>
  <c r="H10" i="4"/>
  <c r="F9" i="4"/>
  <c r="Y13" i="3" l="1" a="1"/>
  <c r="Y14" i="3" s="1"/>
  <c r="J4" i="4" a="1"/>
  <c r="AA13" i="3" l="1"/>
  <c r="AA14" i="3"/>
  <c r="Z14" i="3"/>
  <c r="Y13" i="3"/>
  <c r="Z13" i="3"/>
  <c r="Y15" i="3"/>
  <c r="Z15" i="3"/>
  <c r="AA15" i="3"/>
  <c r="J4" i="4"/>
  <c r="L29" i="4" s="1" a="1"/>
  <c r="J6" i="4"/>
  <c r="J5" i="4"/>
  <c r="L29" i="4" l="1"/>
  <c r="M29" i="4" s="1"/>
  <c r="L37" i="4"/>
  <c r="M37" i="4" s="1"/>
  <c r="L34" i="4"/>
  <c r="M34" i="4" s="1"/>
  <c r="L36" i="4"/>
  <c r="M36" i="4" s="1"/>
  <c r="L32" i="4"/>
  <c r="M32" i="4" s="1"/>
  <c r="L31" i="4"/>
  <c r="M31" i="4" s="1"/>
  <c r="L35" i="4"/>
  <c r="M35" i="4" s="1"/>
  <c r="L33" i="4"/>
  <c r="M33" i="4" s="1"/>
  <c r="L30" i="4"/>
  <c r="M30" i="4" s="1"/>
  <c r="L4" i="4" a="1"/>
  <c r="L4" i="4" l="1"/>
  <c r="M4" i="4" s="1"/>
  <c r="L11" i="4"/>
  <c r="M11" i="4" s="1"/>
  <c r="L10" i="4"/>
  <c r="M10" i="4" s="1"/>
  <c r="L7" i="4"/>
  <c r="M7" i="4" s="1"/>
  <c r="L13" i="4"/>
  <c r="M13" i="4" s="1"/>
  <c r="L18" i="4"/>
  <c r="M18" i="4" s="1"/>
  <c r="L17" i="4"/>
  <c r="M17" i="4" s="1"/>
  <c r="L16" i="4"/>
  <c r="M16" i="4" s="1"/>
  <c r="L6" i="4"/>
  <c r="M6" i="4" s="1"/>
  <c r="L5" i="4"/>
  <c r="M5" i="4" s="1"/>
  <c r="L9" i="4"/>
  <c r="M9" i="4" s="1"/>
  <c r="L8" i="4"/>
  <c r="M8" i="4" s="1"/>
  <c r="L15" i="4"/>
  <c r="M15" i="4" s="1"/>
  <c r="L14" i="4"/>
  <c r="M14" i="4" s="1"/>
  <c r="L12" i="4"/>
  <c r="M12" i="4" s="1"/>
  <c r="Q29" i="4" l="1"/>
  <c r="M20" i="4"/>
  <c r="M22" i="4" s="1"/>
  <c r="O4" i="4" s="1" a="1"/>
  <c r="Q5" i="4" l="1"/>
  <c r="P6" i="4"/>
  <c r="Q4" i="4"/>
  <c r="P5" i="4"/>
  <c r="O5" i="4"/>
  <c r="P4" i="4"/>
  <c r="Q6" i="4"/>
  <c r="O4" i="4"/>
  <c r="O6" i="4"/>
</calcChain>
</file>

<file path=xl/sharedStrings.xml><?xml version="1.0" encoding="utf-8"?>
<sst xmlns="http://schemas.openxmlformats.org/spreadsheetml/2006/main" count="100" uniqueCount="67">
  <si>
    <t>n</t>
  </si>
  <si>
    <t>p</t>
  </si>
  <si>
    <t>Coefficients estimés =(X'X)^{-1}X'Y</t>
  </si>
  <si>
    <t>Compléter</t>
  </si>
  <si>
    <t>Entrainement</t>
  </si>
  <si>
    <t>Y</t>
  </si>
  <si>
    <t>Ŷ</t>
  </si>
  <si>
    <t>(Y-Ŷ)^2</t>
  </si>
  <si>
    <t>Ŷ^2</t>
  </si>
  <si>
    <t>(X'X)^{-1}</t>
  </si>
  <si>
    <r>
      <t>â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</si>
  <si>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</si>
  <si>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</si>
  <si>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</t>
    </r>
  </si>
  <si>
    <t>\hat 𝜎^2=</t>
  </si>
  <si>
    <t>Matrice de variance covariance de a</t>
  </si>
  <si>
    <t>Test</t>
  </si>
  <si>
    <t>Somme (Y-Ŷ)^2</t>
  </si>
  <si>
    <t>Somme Ŷ^2</t>
  </si>
  <si>
    <t>caractère prédictif</t>
  </si>
  <si>
    <t>Prévision sur l'ensemble test à partir du modèle sur l'ensemble d'entrainement</t>
  </si>
  <si>
    <t>Y prédit</t>
  </si>
  <si>
    <t>(y observé -Y prédit)^2</t>
  </si>
  <si>
    <t>Estimation de l'erreur théorique</t>
  </si>
  <si>
    <t>On ne considère pas la constante</t>
  </si>
  <si>
    <t>Données origine -- Entrainement</t>
  </si>
  <si>
    <t>Données centrées réduites -- Entrainement</t>
  </si>
  <si>
    <t>Estimation des coefficients</t>
  </si>
  <si>
    <t>Retrouver Y ajusté à partir des résultats centrés</t>
  </si>
  <si>
    <t>Retrouver Ytilde ajusté</t>
  </si>
  <si>
    <t>X1</t>
  </si>
  <si>
    <t>X2</t>
  </si>
  <si>
    <t>X3</t>
  </si>
  <si>
    <r>
      <t>X ̃</t>
    </r>
    <r>
      <rPr>
        <sz val="11"/>
        <color rgb="FF000000"/>
        <rFont val="Calibri"/>
        <family val="2"/>
        <scheme val="minor"/>
      </rPr>
      <t>1</t>
    </r>
  </si>
  <si>
    <t>Ỹ</t>
  </si>
  <si>
    <t>ã1=</t>
  </si>
  <si>
    <t>Ŷ =</t>
  </si>
  <si>
    <t>Y tilde ajusté</t>
  </si>
  <si>
    <t>(Y tilde -Y tilde ajuste)^2</t>
  </si>
  <si>
    <t>Y tilde ^2</t>
  </si>
  <si>
    <t>ã2=</t>
  </si>
  <si>
    <t>ã3=</t>
  </si>
  <si>
    <t>carré des coeff</t>
  </si>
  <si>
    <t>Coefficient lambda</t>
  </si>
  <si>
    <t>lambda_HKB=</t>
  </si>
  <si>
    <t>lambda_LW=</t>
  </si>
  <si>
    <t>Somme (Ytilde-Ŷtilde)^2</t>
  </si>
  <si>
    <t>Somme Ytilde^2</t>
  </si>
  <si>
    <t>Moyenne</t>
  </si>
  <si>
    <t>écart type</t>
  </si>
  <si>
    <t>Données origine -- Test</t>
  </si>
  <si>
    <t>Données centrées réduites -- test</t>
  </si>
  <si>
    <t>lambda=</t>
  </si>
  <si>
    <t>Estimation des coeff</t>
  </si>
  <si>
    <t>â _Ridge(λ1)</t>
  </si>
  <si>
    <t>Ỹ ajusté</t>
  </si>
  <si>
    <t>résidu ^2</t>
  </si>
  <si>
    <t>Matrice de Variance covariance de a ridge</t>
  </si>
  <si>
    <t>I_p</t>
  </si>
  <si>
    <t>Xtilde'Xtilde+λ1 I_p</t>
  </si>
  <si>
    <t>inverse</t>
  </si>
  <si>
    <t>n=</t>
  </si>
  <si>
    <t>p=</t>
  </si>
  <si>
    <t>X tilde</t>
  </si>
  <si>
    <t>somme des res^2</t>
  </si>
  <si>
    <t>\hat sigma^2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</si>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</sst>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00000000"/>
    <numFmt numFmtId="166" formatCode="0.00000000000000"/>
    <numFmt numFmtId="167" formatCode="0.0000000000000000"/>
    <numFmt numFmtId="168" formatCode="0.000000000000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 Math"/>
      <family val="1"/>
    </font>
    <font>
      <sz val="9"/>
      <color theme="1"/>
      <name val="Cambria Math"/>
      <family val="1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9"/>
      <color theme="1"/>
      <name val="Cambria Math"/>
      <family val="1"/>
    </font>
    <font>
      <b/>
      <sz val="12"/>
      <color theme="8" tint="0.7999816888943144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6"/>
      <color theme="5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7" borderId="3" xfId="0" applyFill="1" applyBorder="1" applyAlignment="1">
      <alignment horizontal="right"/>
    </xf>
    <xf numFmtId="2" fontId="0" fillId="7" borderId="5" xfId="0" applyNumberFormat="1" applyFill="1" applyBorder="1" applyAlignment="1">
      <alignment horizontal="left"/>
    </xf>
    <xf numFmtId="0" fontId="0" fillId="7" borderId="6" xfId="0" applyFill="1" applyBorder="1" applyAlignment="1">
      <alignment horizontal="right"/>
    </xf>
    <xf numFmtId="2" fontId="0" fillId="7" borderId="7" xfId="0" applyNumberFormat="1" applyFill="1" applyBorder="1" applyAlignment="1">
      <alignment horizontal="left"/>
    </xf>
    <xf numFmtId="0" fontId="0" fillId="7" borderId="8" xfId="0" applyFill="1" applyBorder="1" applyAlignment="1">
      <alignment horizontal="right"/>
    </xf>
    <xf numFmtId="2" fontId="0" fillId="7" borderId="10" xfId="0" applyNumberFormat="1" applyFill="1" applyBorder="1" applyAlignment="1">
      <alignment horizontal="left"/>
    </xf>
    <xf numFmtId="0" fontId="5" fillId="9" borderId="0" xfId="0" applyFont="1" applyFill="1"/>
    <xf numFmtId="164" fontId="0" fillId="0" borderId="1" xfId="0" applyNumberFormat="1" applyBorder="1"/>
    <xf numFmtId="164" fontId="0" fillId="10" borderId="1" xfId="0" applyNumberFormat="1" applyFill="1" applyBorder="1"/>
    <xf numFmtId="0" fontId="7" fillId="0" borderId="0" xfId="0" applyFont="1"/>
    <xf numFmtId="0" fontId="0" fillId="0" borderId="0" xfId="0" applyAlignment="1">
      <alignment vertical="center"/>
    </xf>
    <xf numFmtId="164" fontId="0" fillId="10" borderId="14" xfId="0" applyNumberFormat="1" applyFill="1" applyBorder="1"/>
    <xf numFmtId="0" fontId="8" fillId="2" borderId="3" xfId="0" applyFont="1" applyFill="1" applyBorder="1" applyAlignment="1">
      <alignment horizontal="right" vertical="top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11" borderId="1" xfId="0" applyFill="1" applyBorder="1"/>
    <xf numFmtId="0" fontId="10" fillId="0" borderId="0" xfId="0" applyFont="1"/>
    <xf numFmtId="0" fontId="0" fillId="5" borderId="0" xfId="0" applyFill="1"/>
    <xf numFmtId="0" fontId="6" fillId="5" borderId="12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164" fontId="0" fillId="5" borderId="0" xfId="0" applyNumberFormat="1" applyFill="1"/>
    <xf numFmtId="0" fontId="0" fillId="11" borderId="12" xfId="0" applyFill="1" applyBorder="1" applyAlignment="1">
      <alignment vertical="top"/>
    </xf>
    <xf numFmtId="2" fontId="0" fillId="0" borderId="0" xfId="0" applyNumberFormat="1"/>
    <xf numFmtId="0" fontId="11" fillId="9" borderId="0" xfId="0" applyFont="1" applyFill="1"/>
    <xf numFmtId="0" fontId="0" fillId="13" borderId="0" xfId="0" applyFill="1"/>
    <xf numFmtId="0" fontId="12" fillId="6" borderId="0" xfId="0" applyFont="1" applyFill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1" fillId="0" borderId="15" xfId="0" applyFont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5" xfId="0" applyBorder="1"/>
    <xf numFmtId="0" fontId="0" fillId="0" borderId="8" xfId="0" applyBorder="1"/>
    <xf numFmtId="0" fontId="0" fillId="14" borderId="3" xfId="0" applyFill="1" applyBorder="1" applyAlignment="1">
      <alignment horizontal="right"/>
    </xf>
    <xf numFmtId="0" fontId="0" fillId="14" borderId="8" xfId="0" applyFill="1" applyBorder="1" applyAlignment="1">
      <alignment horizontal="right"/>
    </xf>
    <xf numFmtId="0" fontId="0" fillId="14" borderId="5" xfId="0" applyFill="1" applyBorder="1" applyAlignment="1">
      <alignment horizontal="left"/>
    </xf>
    <xf numFmtId="0" fontId="0" fillId="14" borderId="10" xfId="0" applyFill="1" applyBorder="1" applyAlignment="1">
      <alignment horizontal="left"/>
    </xf>
    <xf numFmtId="0" fontId="13" fillId="3" borderId="0" xfId="0" applyFont="1" applyFill="1" applyAlignment="1">
      <alignment horizontal="center" vertical="top"/>
    </xf>
    <xf numFmtId="0" fontId="0" fillId="0" borderId="16" xfId="0" applyBorder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15" borderId="3" xfId="0" applyFill="1" applyBorder="1"/>
    <xf numFmtId="0" fontId="0" fillId="0" borderId="4" xfId="0" applyBorder="1"/>
    <xf numFmtId="0" fontId="0" fillId="0" borderId="6" xfId="0" applyBorder="1"/>
    <xf numFmtId="0" fontId="0" fillId="15" borderId="0" xfId="0" applyFill="1"/>
    <xf numFmtId="0" fontId="0" fillId="0" borderId="7" xfId="0" applyBorder="1"/>
    <xf numFmtId="0" fontId="0" fillId="0" borderId="9" xfId="0" applyBorder="1"/>
    <xf numFmtId="0" fontId="0" fillId="15" borderId="10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16" borderId="16" xfId="0" applyFill="1" applyBorder="1"/>
    <xf numFmtId="0" fontId="0" fillId="16" borderId="17" xfId="0" applyFill="1" applyBorder="1"/>
    <xf numFmtId="0" fontId="0" fillId="16" borderId="18" xfId="0" applyFill="1" applyBorder="1"/>
    <xf numFmtId="0" fontId="0" fillId="16" borderId="0" xfId="0" applyFill="1"/>
    <xf numFmtId="0" fontId="0" fillId="17" borderId="0" xfId="0" applyFill="1"/>
    <xf numFmtId="0" fontId="0" fillId="2" borderId="15" xfId="0" applyFill="1" applyBorder="1"/>
    <xf numFmtId="0" fontId="17" fillId="13" borderId="11" xfId="0" applyFont="1" applyFill="1" applyBorder="1"/>
    <xf numFmtId="0" fontId="17" fillId="13" borderId="12" xfId="0" applyFont="1" applyFill="1" applyBorder="1"/>
    <xf numFmtId="0" fontId="17" fillId="13" borderId="13" xfId="0" applyFont="1" applyFill="1" applyBorder="1"/>
    <xf numFmtId="0" fontId="0" fillId="11" borderId="19" xfId="0" applyFill="1" applyBorder="1" applyAlignment="1">
      <alignment horizontal="right" vertical="center"/>
    </xf>
    <xf numFmtId="0" fontId="0" fillId="11" borderId="12" xfId="0" applyFill="1" applyBorder="1" applyAlignment="1">
      <alignment vertical="center"/>
    </xf>
    <xf numFmtId="0" fontId="1" fillId="0" borderId="0" xfId="0" applyFont="1"/>
    <xf numFmtId="0" fontId="1" fillId="0" borderId="13" xfId="0" applyFont="1" applyBorder="1"/>
    <xf numFmtId="0" fontId="16" fillId="5" borderId="0" xfId="0" applyFont="1" applyFill="1"/>
    <xf numFmtId="0" fontId="15" fillId="0" borderId="0" xfId="0" applyFont="1"/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8" borderId="1" xfId="0" applyFill="1" applyBorder="1" applyAlignment="1">
      <alignment vertical="center"/>
    </xf>
    <xf numFmtId="2" fontId="0" fillId="8" borderId="1" xfId="0" applyNumberFormat="1" applyFill="1" applyBorder="1"/>
    <xf numFmtId="0" fontId="0" fillId="11" borderId="1" xfId="0" applyFill="1" applyBorder="1" applyAlignment="1">
      <alignment vertical="center"/>
    </xf>
    <xf numFmtId="2" fontId="0" fillId="11" borderId="1" xfId="0" applyNumberFormat="1" applyFill="1" applyBorder="1"/>
    <xf numFmtId="0" fontId="0" fillId="10" borderId="1" xfId="0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1" fillId="12" borderId="12" xfId="0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6" borderId="0" xfId="0" applyFont="1" applyFill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2" fontId="0" fillId="16" borderId="0" xfId="0" applyNumberFormat="1" applyFill="1"/>
    <xf numFmtId="165" fontId="0" fillId="10" borderId="1" xfId="0" applyNumberFormat="1" applyFill="1" applyBorder="1"/>
    <xf numFmtId="166" fontId="0" fillId="10" borderId="1" xfId="0" applyNumberFormat="1" applyFill="1" applyBorder="1"/>
    <xf numFmtId="167" fontId="0" fillId="10" borderId="1" xfId="0" applyNumberFormat="1" applyFill="1" applyBorder="1"/>
    <xf numFmtId="168" fontId="0" fillId="10" borderId="1" xfId="0" applyNumberFormat="1" applyFill="1" applyBorder="1"/>
    <xf numFmtId="165" fontId="0" fillId="17" borderId="0" xfId="0" applyNumberFormat="1" applyFill="1"/>
    <xf numFmtId="165" fontId="0" fillId="10" borderId="1" xfId="0" applyNumberFormat="1" applyFill="1" applyBorder="1" applyProtection="1">
      <protection locked="0"/>
    </xf>
    <xf numFmtId="164" fontId="0" fillId="1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4</xdr:row>
      <xdr:rowOff>38100</xdr:rowOff>
    </xdr:from>
    <xdr:ext cx="381000" cy="342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4FBBA708-2197-4FAB-8D61-0311BE8BA3A4}"/>
                </a:ext>
              </a:extLst>
            </xdr:cNvPr>
            <xdr:cNvSpPr txBox="1"/>
          </xdr:nvSpPr>
          <xdr:spPr>
            <a:xfrm>
              <a:off x="4808220" y="807720"/>
              <a:ext cx="381000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1</a:t>
              </a:r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4FBBA708-2197-4FAB-8D61-0311BE8BA3A4}"/>
                </a:ext>
              </a:extLst>
            </xdr:cNvPr>
            <xdr:cNvSpPr txBox="1"/>
          </xdr:nvSpPr>
          <xdr:spPr>
            <a:xfrm>
              <a:off x="4808220" y="807720"/>
              <a:ext cx="381000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1</a:t>
              </a:r>
            </a:p>
          </xdr:txBody>
        </xdr:sp>
      </mc:Fallback>
    </mc:AlternateContent>
    <xdr:clientData/>
  </xdr:oneCellAnchor>
  <xdr:oneCellAnchor>
    <xdr:from>
      <xdr:col>7</xdr:col>
      <xdr:colOff>281940</xdr:colOff>
      <xdr:row>4</xdr:row>
      <xdr:rowOff>22860</xdr:rowOff>
    </xdr:from>
    <xdr:ext cx="205740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F06CBD8-9F0C-450E-B416-43C8ABA2056A}"/>
                </a:ext>
              </a:extLst>
            </xdr:cNvPr>
            <xdr:cNvSpPr txBox="1"/>
          </xdr:nvSpPr>
          <xdr:spPr>
            <a:xfrm>
              <a:off x="5623560" y="792480"/>
              <a:ext cx="20574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2</a:t>
              </a:r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F06CBD8-9F0C-450E-B416-43C8ABA2056A}"/>
                </a:ext>
              </a:extLst>
            </xdr:cNvPr>
            <xdr:cNvSpPr txBox="1"/>
          </xdr:nvSpPr>
          <xdr:spPr>
            <a:xfrm>
              <a:off x="5623560" y="792480"/>
              <a:ext cx="20574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2</a:t>
              </a:r>
            </a:p>
          </xdr:txBody>
        </xdr:sp>
      </mc:Fallback>
    </mc:AlternateContent>
    <xdr:clientData/>
  </xdr:oneCellAnchor>
  <xdr:oneCellAnchor>
    <xdr:from>
      <xdr:col>8</xdr:col>
      <xdr:colOff>236220</xdr:colOff>
      <xdr:row>4</xdr:row>
      <xdr:rowOff>30480</xdr:rowOff>
    </xdr:from>
    <xdr:ext cx="312420" cy="2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C5789B91-AF59-47A7-B193-9B1FFF2B99CB}"/>
                </a:ext>
              </a:extLst>
            </xdr:cNvPr>
            <xdr:cNvSpPr txBox="1"/>
          </xdr:nvSpPr>
          <xdr:spPr>
            <a:xfrm>
              <a:off x="6408420" y="800100"/>
              <a:ext cx="312420" cy="25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3</a:t>
              </a:r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C5789B91-AF59-47A7-B193-9B1FFF2B99CB}"/>
                </a:ext>
              </a:extLst>
            </xdr:cNvPr>
            <xdr:cNvSpPr txBox="1"/>
          </xdr:nvSpPr>
          <xdr:spPr>
            <a:xfrm>
              <a:off x="6408420" y="800100"/>
              <a:ext cx="312420" cy="25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3</a:t>
              </a:r>
            </a:p>
          </xdr:txBody>
        </xdr:sp>
      </mc:Fallback>
    </mc:AlternateContent>
    <xdr:clientData/>
  </xdr:oneCellAnchor>
  <xdr:oneCellAnchor>
    <xdr:from>
      <xdr:col>15</xdr:col>
      <xdr:colOff>45720</xdr:colOff>
      <xdr:row>3</xdr:row>
      <xdr:rowOff>175260</xdr:rowOff>
    </xdr:from>
    <xdr:ext cx="1158240" cy="289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667C1D42-824E-464C-9938-363231EFCDD4}"/>
                </a:ext>
              </a:extLst>
            </xdr:cNvPr>
            <xdr:cNvSpPr txBox="1"/>
          </xdr:nvSpPr>
          <xdr:spPr>
            <a:xfrm>
              <a:off x="10690860" y="769620"/>
              <a:ext cx="115824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fr-F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fr-FR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acc>
                      <m:accPr>
                        <m:chr m:val="̃"/>
                        <m:ctrlPr>
                          <a:rPr lang="fr-FR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</m:acc>
                    <m:r>
                      <a:rPr lang="fr-F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fr-FR" sz="1200" b="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sSub>
                      <m:sSubPr>
                        <m:ctrlP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  <m:sub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fr-FR" sz="1200" i="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667C1D42-824E-464C-9938-363231EFCDD4}"/>
                </a:ext>
              </a:extLst>
            </xdr:cNvPr>
            <xdr:cNvSpPr txBox="1"/>
          </xdr:nvSpPr>
          <xdr:spPr>
            <a:xfrm>
              <a:off x="10690860" y="769620"/>
              <a:ext cx="115824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200" b="0" i="0">
                  <a:latin typeface="Cambria Math" panose="02040503050406030204" pitchFamily="18" charset="0"/>
                </a:rPr>
                <a:t>X ̃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 ̃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l-G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𝜎_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</a:t>
              </a:r>
              <a:r>
                <a:rPr lang="fr-FR" sz="1200" b="0" i="0">
                  <a:latin typeface="Cambria Math" panose="02040503050406030204" pitchFamily="18" charset="0"/>
                </a:rPr>
                <a:t>+𝑌 ̅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1_𝑛</a:t>
              </a:r>
              <a:endParaRPr lang="fr-FR" sz="12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830-B753-4B9F-AFF2-EC5D669D1117}">
  <dimension ref="A1:P36"/>
  <sheetViews>
    <sheetView zoomScale="60" zoomScaleNormal="60" workbookViewId="0">
      <selection activeCell="I28" sqref="I28"/>
    </sheetView>
  </sheetViews>
  <sheetFormatPr defaultColWidth="11.44140625" defaultRowHeight="14.4" x14ac:dyDescent="0.3"/>
  <cols>
    <col min="6" max="6" width="4.88671875" customWidth="1"/>
    <col min="8" max="8" width="5.5546875" style="32" customWidth="1"/>
    <col min="10" max="10" width="19.5546875" customWidth="1"/>
    <col min="12" max="12" width="16.6640625" customWidth="1"/>
    <col min="14" max="14" width="15.5546875" customWidth="1"/>
  </cols>
  <sheetData>
    <row r="1" spans="1:15" ht="15" thickBot="1" x14ac:dyDescent="0.35">
      <c r="B1" s="38" t="s">
        <v>0</v>
      </c>
      <c r="C1" s="38">
        <v>15</v>
      </c>
    </row>
    <row r="2" spans="1:15" ht="15" thickBot="1" x14ac:dyDescent="0.35">
      <c r="B2" s="38" t="s">
        <v>1</v>
      </c>
      <c r="C2" s="38">
        <v>3</v>
      </c>
      <c r="I2" s="95" t="s">
        <v>2</v>
      </c>
      <c r="J2" s="96"/>
      <c r="K2" s="97"/>
      <c r="M2" s="83" t="s">
        <v>3</v>
      </c>
    </row>
    <row r="3" spans="1:15" ht="16.2" thickBot="1" x14ac:dyDescent="0.35">
      <c r="B3" s="94" t="s">
        <v>4</v>
      </c>
      <c r="C3" s="94"/>
      <c r="D3" s="94"/>
      <c r="E3" s="94"/>
      <c r="G3" s="6" t="s">
        <v>5</v>
      </c>
      <c r="M3" s="6" t="s">
        <v>6</v>
      </c>
      <c r="N3" t="s">
        <v>7</v>
      </c>
      <c r="O3" s="6" t="s">
        <v>8</v>
      </c>
    </row>
    <row r="4" spans="1:15" ht="15" thickBot="1" x14ac:dyDescent="0.35">
      <c r="A4">
        <v>1</v>
      </c>
      <c r="B4" s="1">
        <v>1</v>
      </c>
      <c r="C4" s="5">
        <v>14.1</v>
      </c>
      <c r="D4" s="5">
        <v>0.86</v>
      </c>
      <c r="E4" s="5">
        <v>0.98529999999999995</v>
      </c>
      <c r="G4" s="4">
        <v>13.6</v>
      </c>
      <c r="I4" t="s">
        <v>9</v>
      </c>
      <c r="M4" s="66">
        <f t="array" ref="M4:M18">MMULT(B4:E18,J11:J14)</f>
        <v>13.789451522306301</v>
      </c>
      <c r="N4" s="69">
        <f t="array" ref="N4:N18">(G4:G18-M4:M18)^2</f>
        <v>3.5891879304174999E-2</v>
      </c>
      <c r="O4" s="73">
        <f t="array" ref="O4">M4:M18^2</f>
        <v>190.14897328603556</v>
      </c>
    </row>
    <row r="5" spans="1:15" x14ac:dyDescent="0.3">
      <c r="A5">
        <v>2</v>
      </c>
      <c r="B5" s="1">
        <v>1</v>
      </c>
      <c r="C5" s="5">
        <v>16</v>
      </c>
      <c r="D5" s="5">
        <v>1.06</v>
      </c>
      <c r="E5" s="5">
        <v>1.0938000000000001</v>
      </c>
      <c r="G5" s="4">
        <v>16.600000000000001</v>
      </c>
      <c r="I5" s="7">
        <f t="array" ref="I5:L8">MINVERSE(MMULT(TRANSPOSE(B4:E18),B4:E18))</f>
        <v>9.1464773819885288</v>
      </c>
      <c r="J5" s="8">
        <v>0.15794987961969986</v>
      </c>
      <c r="K5" s="8">
        <v>-2.3324778108904587</v>
      </c>
      <c r="L5" s="8">
        <v>-9.4587455417507762</v>
      </c>
      <c r="M5" s="67">
        <v>15.638393025399377</v>
      </c>
      <c r="N5" s="70">
        <v>0.92468797360056498</v>
      </c>
      <c r="O5" s="73">
        <f t="array" ref="O5">M5:M19^2</f>
        <v>244.55933641685991</v>
      </c>
    </row>
    <row r="6" spans="1:15" x14ac:dyDescent="0.3">
      <c r="A6">
        <v>3</v>
      </c>
      <c r="B6" s="1">
        <v>1</v>
      </c>
      <c r="C6" s="5">
        <v>8</v>
      </c>
      <c r="D6" s="5">
        <v>0.67</v>
      </c>
      <c r="E6" s="5">
        <v>0.92800000000000005</v>
      </c>
      <c r="G6" s="4">
        <v>10.199999999999999</v>
      </c>
      <c r="I6" s="9">
        <v>0.15794987961970844</v>
      </c>
      <c r="J6" s="2">
        <v>5.416656885635273E-2</v>
      </c>
      <c r="K6" s="2">
        <v>-0.88182443315795001</v>
      </c>
      <c r="L6" s="2">
        <v>-6.1308293054677422E-2</v>
      </c>
      <c r="M6" s="67">
        <v>8.7913732987357278</v>
      </c>
      <c r="N6" s="70">
        <v>1.984229183514663</v>
      </c>
      <c r="O6" s="73">
        <f t="array" ref="O6">M6:M20^2</f>
        <v>77.288244477723509</v>
      </c>
    </row>
    <row r="7" spans="1:15" x14ac:dyDescent="0.3">
      <c r="A7">
        <v>4</v>
      </c>
      <c r="B7" s="1">
        <v>1</v>
      </c>
      <c r="C7" s="5">
        <v>4.0999999999999996</v>
      </c>
      <c r="D7" s="5">
        <v>0.4</v>
      </c>
      <c r="E7" s="5">
        <v>0.94620000000000004</v>
      </c>
      <c r="G7" s="4">
        <v>5.4</v>
      </c>
      <c r="I7" s="9">
        <v>-2.3324778108905977</v>
      </c>
      <c r="J7" s="2">
        <v>-0.88182443315795089</v>
      </c>
      <c r="K7" s="2">
        <v>15.444132777664656</v>
      </c>
      <c r="L7" s="2">
        <v>-0.17123171988130076</v>
      </c>
      <c r="M7" s="67">
        <v>5.1788770869618039</v>
      </c>
      <c r="N7" s="70">
        <v>4.8895342670497777E-2</v>
      </c>
      <c r="O7" s="73">
        <f t="array" ref="O7">M7:M21^2</f>
        <v>26.820767881857979</v>
      </c>
    </row>
    <row r="8" spans="1:15" ht="15" thickBot="1" x14ac:dyDescent="0.35">
      <c r="A8">
        <v>5</v>
      </c>
      <c r="B8" s="1">
        <v>1</v>
      </c>
      <c r="C8" s="5">
        <v>15</v>
      </c>
      <c r="D8" s="5">
        <v>1.04</v>
      </c>
      <c r="E8" s="5">
        <v>0.88849999999999996</v>
      </c>
      <c r="G8" s="4">
        <v>15</v>
      </c>
      <c r="I8" s="10">
        <v>-9.4587455417507584</v>
      </c>
      <c r="J8" s="11">
        <v>-6.1308293054667645E-2</v>
      </c>
      <c r="K8" s="11">
        <v>-0.17123171988145741</v>
      </c>
      <c r="L8" s="11">
        <v>10.829939786388536</v>
      </c>
      <c r="M8" s="67">
        <v>14.989103330939615</v>
      </c>
      <c r="N8" s="70">
        <v>1.1873739661154447E-4</v>
      </c>
      <c r="O8" s="73">
        <f t="array" ref="O8">M8:M22^2</f>
        <v>224.67321866558507</v>
      </c>
    </row>
    <row r="9" spans="1:15" x14ac:dyDescent="0.3">
      <c r="A9">
        <v>6</v>
      </c>
      <c r="B9" s="1">
        <v>1</v>
      </c>
      <c r="C9" s="5">
        <v>8.8000000000000007</v>
      </c>
      <c r="D9" s="5">
        <v>0.76</v>
      </c>
      <c r="E9" s="5">
        <v>1.0266999999999999</v>
      </c>
      <c r="G9" s="4">
        <v>9</v>
      </c>
      <c r="M9" s="67">
        <v>9.5462239766880437</v>
      </c>
      <c r="N9" s="70">
        <v>0.29836063270890051</v>
      </c>
      <c r="O9" s="73">
        <f t="array" ref="O9">M9:M23^2</f>
        <v>91.130392213093685</v>
      </c>
    </row>
    <row r="10" spans="1:15" ht="15" thickBot="1" x14ac:dyDescent="0.35">
      <c r="A10">
        <v>7</v>
      </c>
      <c r="B10" s="1">
        <v>1</v>
      </c>
      <c r="C10" s="5">
        <v>12.4</v>
      </c>
      <c r="D10" s="5">
        <v>0.95</v>
      </c>
      <c r="E10" s="5">
        <v>0.92249999999999999</v>
      </c>
      <c r="G10" s="4">
        <v>12.3</v>
      </c>
      <c r="I10" s="83" t="s">
        <v>3</v>
      </c>
      <c r="M10" s="67">
        <v>12.793597102589846</v>
      </c>
      <c r="N10" s="70">
        <v>0.24363809968509031</v>
      </c>
      <c r="O10" s="73">
        <f t="array" ref="O10">M10:M24^2</f>
        <v>163.67612682339529</v>
      </c>
    </row>
    <row r="11" spans="1:15" x14ac:dyDescent="0.3">
      <c r="A11">
        <v>8</v>
      </c>
      <c r="B11" s="1">
        <v>1</v>
      </c>
      <c r="C11" s="5">
        <v>16.600000000000001</v>
      </c>
      <c r="D11" s="5">
        <v>1.1200000000000001</v>
      </c>
      <c r="E11" s="5">
        <v>0.93720000000000003</v>
      </c>
      <c r="G11" s="4">
        <v>16.3</v>
      </c>
      <c r="I11" s="12" t="s">
        <v>10</v>
      </c>
      <c r="J11" s="13">
        <f t="array" ref="J11:J14">MMULT(I5:L8,MMULT(TRANSPOSE(B4:E18),G4:G18))</f>
        <v>1.784495171664048</v>
      </c>
      <c r="M11" s="67">
        <v>16.352344432751764</v>
      </c>
      <c r="N11" s="70">
        <v>2.739939640103843E-3</v>
      </c>
      <c r="O11" s="73">
        <f t="array" ref="O11">M11:M25^2</f>
        <v>267.39916844734762</v>
      </c>
    </row>
    <row r="12" spans="1:15" x14ac:dyDescent="0.3">
      <c r="A12">
        <v>9</v>
      </c>
      <c r="B12" s="1">
        <v>1</v>
      </c>
      <c r="C12" s="5">
        <v>14.9</v>
      </c>
      <c r="D12" s="5">
        <v>1.02</v>
      </c>
      <c r="E12" s="5">
        <v>0.88580000000000003</v>
      </c>
      <c r="G12" s="4">
        <v>15.4</v>
      </c>
      <c r="I12" s="14" t="s">
        <v>11</v>
      </c>
      <c r="J12" s="15">
        <v>0.74702295421292497</v>
      </c>
      <c r="M12" s="67">
        <v>14.865544366347935</v>
      </c>
      <c r="N12" s="70">
        <v>0.28564282434243071</v>
      </c>
      <c r="O12" s="73">
        <f t="array" ref="O12">M12:M26^2</f>
        <v>220.98440930785884</v>
      </c>
    </row>
    <row r="13" spans="1:15" x14ac:dyDescent="0.3">
      <c r="A13">
        <v>10</v>
      </c>
      <c r="B13" s="1">
        <v>1</v>
      </c>
      <c r="C13" s="5">
        <v>13.7</v>
      </c>
      <c r="D13" s="5">
        <v>1.01</v>
      </c>
      <c r="E13" s="5">
        <v>0.96430000000000005</v>
      </c>
      <c r="G13" s="4">
        <v>13</v>
      </c>
      <c r="I13" s="14" t="s">
        <v>12</v>
      </c>
      <c r="J13" s="15">
        <v>2.5405118415631556</v>
      </c>
      <c r="M13" s="67">
        <v>13.886913531995756</v>
      </c>
      <c r="N13" s="70">
        <v>0.78661561323718643</v>
      </c>
      <c r="O13" s="73">
        <f t="array" ref="O13">M13:M27^2</f>
        <v>192.84636744512684</v>
      </c>
    </row>
    <row r="14" spans="1:15" ht="15" thickBot="1" x14ac:dyDescent="0.35">
      <c r="A14">
        <v>11</v>
      </c>
      <c r="B14" s="1">
        <v>1</v>
      </c>
      <c r="C14" s="5">
        <v>15.1</v>
      </c>
      <c r="D14" s="5">
        <v>0.9</v>
      </c>
      <c r="E14" s="5">
        <v>0.93159999999999998</v>
      </c>
      <c r="G14" s="4">
        <v>14.4</v>
      </c>
      <c r="I14" s="16" t="s">
        <v>13</v>
      </c>
      <c r="J14" s="17">
        <v>-0.72354357810240799</v>
      </c>
      <c r="M14" s="67">
        <v>14.676949240325852</v>
      </c>
      <c r="N14" s="70">
        <v>7.6700881717066405E-2</v>
      </c>
      <c r="O14" s="73">
        <f t="array" ref="O14">M14:M28^2</f>
        <v>215.4128390031016</v>
      </c>
    </row>
    <row r="15" spans="1:15" ht="15" thickBot="1" x14ac:dyDescent="0.35">
      <c r="A15">
        <v>12</v>
      </c>
      <c r="B15" s="1">
        <v>1</v>
      </c>
      <c r="C15" s="5">
        <v>7.8</v>
      </c>
      <c r="D15" s="5">
        <v>0.56999999999999995</v>
      </c>
      <c r="E15" s="5">
        <v>0.97050000000000003</v>
      </c>
      <c r="G15" s="4">
        <v>10</v>
      </c>
      <c r="I15" s="83" t="s">
        <v>3</v>
      </c>
      <c r="M15" s="67">
        <v>8.3571669216674742</v>
      </c>
      <c r="N15" s="70">
        <v>2.6989005232635228</v>
      </c>
      <c r="O15" s="73">
        <f t="array" ref="O15">M15:M29^2</f>
        <v>69.842238956613002</v>
      </c>
    </row>
    <row r="16" spans="1:15" ht="15" thickBot="1" x14ac:dyDescent="0.35">
      <c r="A16">
        <v>13</v>
      </c>
      <c r="B16" s="1">
        <v>1</v>
      </c>
      <c r="C16" s="5">
        <v>11.4</v>
      </c>
      <c r="D16" s="5">
        <v>0.78</v>
      </c>
      <c r="E16" s="5">
        <v>1.1240000000000001</v>
      </c>
      <c r="G16" s="4">
        <v>10.199999999999999</v>
      </c>
      <c r="I16" s="85" t="s">
        <v>14</v>
      </c>
      <c r="J16" s="84">
        <f>N21/(C1-C2-1)</f>
        <v>0.88183622235238268</v>
      </c>
      <c r="M16" s="67">
        <v>11.468893104323548</v>
      </c>
      <c r="N16" s="70">
        <v>1.6100897101998535</v>
      </c>
      <c r="O16" s="73">
        <f t="array" ref="O16">M16:M30^2</f>
        <v>131.53550903840025</v>
      </c>
    </row>
    <row r="17" spans="1:16" x14ac:dyDescent="0.3">
      <c r="A17">
        <v>14</v>
      </c>
      <c r="B17" s="1">
        <v>1</v>
      </c>
      <c r="C17" s="5">
        <v>9</v>
      </c>
      <c r="D17" s="5">
        <v>0.74</v>
      </c>
      <c r="E17" s="5">
        <v>0.85170000000000001</v>
      </c>
      <c r="G17" s="4">
        <v>9.5</v>
      </c>
      <c r="I17" s="83" t="s">
        <v>3</v>
      </c>
      <c r="M17" s="67">
        <v>9.771438456867287</v>
      </c>
      <c r="N17" s="70">
        <v>7.3678835866494E-2</v>
      </c>
      <c r="O17" s="73">
        <f t="array" ref="O17">M17:M31^2</f>
        <v>95.48100951634494</v>
      </c>
    </row>
    <row r="18" spans="1:16" ht="15" thickBot="1" x14ac:dyDescent="0.35">
      <c r="A18">
        <v>15</v>
      </c>
      <c r="B18" s="1">
        <v>1</v>
      </c>
      <c r="C18" s="5">
        <v>1</v>
      </c>
      <c r="D18" s="5">
        <v>0.13</v>
      </c>
      <c r="E18" s="5">
        <v>0.78510000000000002</v>
      </c>
      <c r="G18" s="4">
        <v>1.5</v>
      </c>
      <c r="I18" t="s">
        <v>15</v>
      </c>
      <c r="M18" s="68">
        <v>2.2937306021119825</v>
      </c>
      <c r="N18" s="71">
        <v>0.63000826872905036</v>
      </c>
      <c r="O18" s="73">
        <f t="array" ref="O18">M18:M32^2</f>
        <v>5.2612000750649983</v>
      </c>
    </row>
    <row r="19" spans="1:16" x14ac:dyDescent="0.3">
      <c r="I19" s="7">
        <f t="array" ref="I19:L22">J16*I5:L8</f>
        <v>8.0656950623642754</v>
      </c>
      <c r="J19" s="8">
        <v>0.13928592516484972</v>
      </c>
      <c r="K19" s="8">
        <v>-2.0568634214763972</v>
      </c>
      <c r="L19" s="41">
        <v>-8.3410644367299458</v>
      </c>
    </row>
    <row r="20" spans="1:16" ht="15.6" x14ac:dyDescent="0.3">
      <c r="B20" s="98" t="s">
        <v>16</v>
      </c>
      <c r="C20" s="98"/>
      <c r="D20" s="98"/>
      <c r="E20" s="98"/>
      <c r="I20" s="9">
        <v>0.1392859251648573</v>
      </c>
      <c r="J20" s="2">
        <v>4.7766042458076315E-2</v>
      </c>
      <c r="K20" s="2">
        <v>-0.77762472691403783</v>
      </c>
      <c r="L20" s="42">
        <v>-5.4063873546209555E-2</v>
      </c>
      <c r="N20" t="s">
        <v>17</v>
      </c>
      <c r="O20" s="6" t="s">
        <v>18</v>
      </c>
    </row>
    <row r="21" spans="1:16" x14ac:dyDescent="0.3">
      <c r="B21" s="1">
        <v>1</v>
      </c>
      <c r="C21" s="5">
        <v>17</v>
      </c>
      <c r="D21" s="5">
        <v>1.26</v>
      </c>
      <c r="E21" s="5">
        <v>0.91859999999999997</v>
      </c>
      <c r="G21" s="4">
        <v>18.5</v>
      </c>
      <c r="I21" s="9">
        <v>-2.0568634214765198</v>
      </c>
      <c r="J21" s="2">
        <v>-0.77762472691403861</v>
      </c>
      <c r="K21" s="2">
        <v>13.619195706164412</v>
      </c>
      <c r="L21" s="42">
        <v>-0.15099833300702764</v>
      </c>
      <c r="M21" s="83" t="s">
        <v>3</v>
      </c>
      <c r="N21" s="72">
        <f>SUM(N4:N18)</f>
        <v>9.7001984458762092</v>
      </c>
      <c r="O21" s="73">
        <f>SUM(O4:O18)</f>
        <v>2217.0598015544092</v>
      </c>
    </row>
    <row r="22" spans="1:16" ht="15" thickBot="1" x14ac:dyDescent="0.35">
      <c r="B22" s="1">
        <v>1</v>
      </c>
      <c r="C22" s="5">
        <v>12.8</v>
      </c>
      <c r="D22" s="5">
        <v>1.08</v>
      </c>
      <c r="E22" s="5">
        <v>1.0395000000000001</v>
      </c>
      <c r="G22" s="4">
        <v>12.6</v>
      </c>
      <c r="I22" s="10">
        <v>-8.3410644367299298</v>
      </c>
      <c r="J22" s="11">
        <v>-5.4063873546200937E-2</v>
      </c>
      <c r="K22" s="11">
        <v>-0.15099833300716578</v>
      </c>
      <c r="L22" s="43">
        <v>9.5502331895326371</v>
      </c>
    </row>
    <row r="23" spans="1:16" x14ac:dyDescent="0.3">
      <c r="B23" s="1">
        <v>1</v>
      </c>
      <c r="C23" s="5">
        <v>15.8</v>
      </c>
      <c r="D23" s="5">
        <v>0.96</v>
      </c>
      <c r="E23" s="5">
        <v>0.95730000000000004</v>
      </c>
      <c r="G23" s="4">
        <v>17.5</v>
      </c>
      <c r="I23" s="32"/>
      <c r="J23" s="32"/>
      <c r="K23" s="32"/>
      <c r="L23" s="32"/>
      <c r="M23" s="32"/>
      <c r="N23" s="32"/>
      <c r="O23" s="32"/>
      <c r="P23" s="32"/>
    </row>
    <row r="24" spans="1:16" ht="15" thickBot="1" x14ac:dyDescent="0.35">
      <c r="B24" s="1">
        <v>1</v>
      </c>
      <c r="C24" s="5">
        <v>4.5</v>
      </c>
      <c r="D24" s="5">
        <v>0.42</v>
      </c>
      <c r="E24" s="5">
        <v>0.91059999999999997</v>
      </c>
      <c r="G24" s="4">
        <v>4.9000000000000004</v>
      </c>
    </row>
    <row r="25" spans="1:16" ht="18.600000000000001" thickBot="1" x14ac:dyDescent="0.4">
      <c r="B25" s="1">
        <v>1</v>
      </c>
      <c r="C25" s="5">
        <v>14.5</v>
      </c>
      <c r="D25" s="5">
        <v>1.01</v>
      </c>
      <c r="E25" s="5">
        <v>1.0069999999999999</v>
      </c>
      <c r="G25" s="4">
        <v>15.9</v>
      </c>
      <c r="J25" s="99" t="s">
        <v>19</v>
      </c>
      <c r="K25" s="100"/>
      <c r="L25" s="101"/>
    </row>
    <row r="26" spans="1:16" ht="15" thickBot="1" x14ac:dyDescent="0.35">
      <c r="B26" s="1">
        <v>1</v>
      </c>
      <c r="C26" s="5">
        <v>7.3</v>
      </c>
      <c r="D26" s="5">
        <v>0.61</v>
      </c>
      <c r="E26" s="5">
        <v>0.98060000000000003</v>
      </c>
      <c r="G26" s="4">
        <v>8.5</v>
      </c>
      <c r="I26" s="102" t="s">
        <v>20</v>
      </c>
      <c r="J26" s="102"/>
      <c r="K26" s="102"/>
      <c r="L26" s="102"/>
      <c r="M26" s="102"/>
      <c r="N26" s="102"/>
      <c r="O26" s="102"/>
    </row>
    <row r="27" spans="1:16" ht="15" thickBot="1" x14ac:dyDescent="0.35">
      <c r="B27" s="1">
        <v>1</v>
      </c>
      <c r="C27" s="5">
        <v>8.6</v>
      </c>
      <c r="D27" s="5">
        <v>0.69</v>
      </c>
      <c r="E27" s="5">
        <v>0.96930000000000005</v>
      </c>
      <c r="G27" s="4">
        <v>10.6</v>
      </c>
      <c r="I27" s="74" t="s">
        <v>21</v>
      </c>
      <c r="J27" s="74" t="s">
        <v>22</v>
      </c>
    </row>
    <row r="28" spans="1:16" ht="21.6" thickBot="1" x14ac:dyDescent="0.45">
      <c r="B28" s="1">
        <v>1</v>
      </c>
      <c r="C28" s="5">
        <v>15.2</v>
      </c>
      <c r="D28" s="5">
        <v>1.02</v>
      </c>
      <c r="E28" s="5">
        <v>0.9496</v>
      </c>
      <c r="G28" s="4">
        <v>13.9</v>
      </c>
      <c r="I28" s="46">
        <f t="array" ref="I28:I36">MMULT(B21:E29,J11:J14)</f>
        <v>17.020283182808477</v>
      </c>
      <c r="J28" s="42">
        <f t="array" ref="J28:J36">(G21:G29-I28:I36)^2</f>
        <v>2.1895618590794115</v>
      </c>
      <c r="L28" s="75" t="s">
        <v>23</v>
      </c>
      <c r="M28" s="76"/>
      <c r="N28" s="77">
        <f>SUM(J28:J36)/9</f>
        <v>2.3894887502860858</v>
      </c>
    </row>
    <row r="29" spans="1:16" x14ac:dyDescent="0.3">
      <c r="B29" s="1">
        <v>1</v>
      </c>
      <c r="C29" s="5">
        <v>12</v>
      </c>
      <c r="D29" s="5">
        <v>0.82</v>
      </c>
      <c r="E29" s="5">
        <v>1.1184000000000001</v>
      </c>
      <c r="G29" s="4">
        <v>14.9</v>
      </c>
      <c r="I29" s="46">
        <v>13.338018225040244</v>
      </c>
      <c r="J29" s="42">
        <v>0.54467090049155298</v>
      </c>
    </row>
    <row r="30" spans="1:16" x14ac:dyDescent="0.3">
      <c r="I30" s="46">
        <v>15.333700948811456</v>
      </c>
      <c r="J30" s="42">
        <v>4.6928515791803846</v>
      </c>
    </row>
    <row r="31" spans="1:16" x14ac:dyDescent="0.3">
      <c r="I31" s="46">
        <v>5.5542546568586832</v>
      </c>
      <c r="J31" s="42">
        <v>0.42804915602127291</v>
      </c>
    </row>
    <row r="32" spans="1:16" x14ac:dyDescent="0.3">
      <c r="I32" s="46">
        <v>14.453636584581123</v>
      </c>
      <c r="J32" s="42">
        <v>2.0919671294621613</v>
      </c>
    </row>
    <row r="33" spans="9:10" x14ac:dyDescent="0.3">
      <c r="I33" s="46">
        <v>8.077968128084704</v>
      </c>
      <c r="J33" s="42">
        <v>0.17811090091232881</v>
      </c>
    </row>
    <row r="34" spans="9:10" x14ac:dyDescent="0.3">
      <c r="I34" s="46">
        <v>9.2605149583191153</v>
      </c>
      <c r="J34" s="42">
        <v>1.7942201768868404</v>
      </c>
    </row>
    <row r="35" spans="9:10" x14ac:dyDescent="0.3">
      <c r="I35" s="46">
        <v>15.043489172328879</v>
      </c>
      <c r="J35" s="42">
        <v>1.3075674872333845</v>
      </c>
    </row>
    <row r="36" spans="9:10" ht="15" thickBot="1" x14ac:dyDescent="0.35">
      <c r="I36" s="46">
        <v>12.022779194551202</v>
      </c>
      <c r="J36" s="43">
        <v>8.278399563307433</v>
      </c>
    </row>
  </sheetData>
  <mergeCells count="5">
    <mergeCell ref="B3:E3"/>
    <mergeCell ref="I2:K2"/>
    <mergeCell ref="B20:E20"/>
    <mergeCell ref="J25:L25"/>
    <mergeCell ref="I26:O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F36-3FEE-4005-84F2-0D666E3CA4C2}">
  <dimension ref="A1:AA36"/>
  <sheetViews>
    <sheetView tabSelected="1" topLeftCell="J1" workbookViewId="0">
      <selection activeCell="Z6" sqref="Z6"/>
    </sheetView>
  </sheetViews>
  <sheetFormatPr defaultColWidth="11.44140625" defaultRowHeight="14.4" x14ac:dyDescent="0.3"/>
  <cols>
    <col min="1" max="1" width="11" customWidth="1"/>
    <col min="6" max="6" width="5.6640625" style="32" customWidth="1"/>
    <col min="7" max="10" width="12.109375" bestFit="1" customWidth="1"/>
    <col min="11" max="11" width="5" style="32" customWidth="1"/>
    <col min="13" max="13" width="13.33203125" bestFit="1" customWidth="1"/>
    <col min="14" max="14" width="5.44140625" style="32" customWidth="1"/>
    <col min="17" max="17" width="12.5546875" customWidth="1"/>
    <col min="18" max="18" width="4" style="32" customWidth="1"/>
    <col min="19" max="20" width="4" customWidth="1"/>
    <col min="21" max="21" width="13.44140625" customWidth="1"/>
    <col min="22" max="22" width="24.44140625" customWidth="1"/>
    <col min="23" max="23" width="16.109375" customWidth="1"/>
    <col min="24" max="24" width="14.109375" customWidth="1"/>
  </cols>
  <sheetData>
    <row r="1" spans="1:27" ht="15.6" x14ac:dyDescent="0.3">
      <c r="A1" s="31" t="s">
        <v>24</v>
      </c>
      <c r="B1" s="31"/>
      <c r="C1" s="31"/>
      <c r="G1" s="40" t="s">
        <v>0</v>
      </c>
      <c r="H1" s="40">
        <v>15</v>
      </c>
    </row>
    <row r="2" spans="1:27" ht="15" thickBot="1" x14ac:dyDescent="0.35">
      <c r="G2" s="40" t="s">
        <v>1</v>
      </c>
      <c r="H2" s="40">
        <v>3</v>
      </c>
    </row>
    <row r="3" spans="1:27" ht="16.2" thickBot="1" x14ac:dyDescent="0.35">
      <c r="B3" s="103" t="s">
        <v>25</v>
      </c>
      <c r="C3" s="104"/>
      <c r="D3" s="104"/>
      <c r="E3" s="105"/>
      <c r="G3" s="103" t="s">
        <v>26</v>
      </c>
      <c r="H3" s="104"/>
      <c r="I3" s="104"/>
      <c r="J3" s="105"/>
      <c r="K3" s="33"/>
      <c r="L3" s="106" t="s">
        <v>27</v>
      </c>
      <c r="M3" s="107"/>
      <c r="O3" s="106" t="s">
        <v>28</v>
      </c>
      <c r="P3" s="108"/>
      <c r="Q3" s="108"/>
      <c r="U3" s="106" t="s">
        <v>29</v>
      </c>
      <c r="V3" s="107"/>
      <c r="W3" s="80"/>
      <c r="X3" s="80"/>
    </row>
    <row r="4" spans="1:27" ht="15" thickBot="1" x14ac:dyDescent="0.35"/>
    <row r="5" spans="1:27" s="22" customFormat="1" ht="15" customHeight="1" thickBot="1" x14ac:dyDescent="4.2">
      <c r="B5" s="22" t="s">
        <v>30</v>
      </c>
      <c r="C5" s="22" t="s">
        <v>31</v>
      </c>
      <c r="D5" s="22" t="s">
        <v>32</v>
      </c>
      <c r="E5" s="22" t="s">
        <v>5</v>
      </c>
      <c r="F5" s="34"/>
      <c r="G5" s="21" t="s">
        <v>33</v>
      </c>
      <c r="J5" s="22" t="s">
        <v>34</v>
      </c>
      <c r="K5" s="34"/>
      <c r="L5" s="24" t="s">
        <v>35</v>
      </c>
      <c r="M5" s="25">
        <f t="array" ref="M5:M7">MMULT(MINVERSE(MMULT(TRANSPOSE(G6:I20),G6:I20)),MMULT(TRANSPOSE(G6:I20),J6:J20))</f>
        <v>0.82408197745346001</v>
      </c>
      <c r="N5" s="34"/>
      <c r="O5" s="78" t="s">
        <v>36</v>
      </c>
      <c r="P5" s="36"/>
      <c r="Q5" s="79"/>
      <c r="R5" s="34"/>
      <c r="U5" s="86" t="s">
        <v>37</v>
      </c>
      <c r="V5" s="88" t="s">
        <v>38</v>
      </c>
      <c r="W5" s="90" t="s">
        <v>39</v>
      </c>
    </row>
    <row r="6" spans="1:27" x14ac:dyDescent="0.3">
      <c r="A6" s="3">
        <v>1</v>
      </c>
      <c r="B6" s="5">
        <v>14.1</v>
      </c>
      <c r="C6" s="5">
        <v>0.86</v>
      </c>
      <c r="D6" s="5">
        <v>0.98529999999999995</v>
      </c>
      <c r="E6" s="4">
        <v>13.6</v>
      </c>
      <c r="G6" s="19">
        <f t="shared" ref="G6:G20" si="0">(B6-$B$22)/$B$23</f>
        <v>0.62945652885688108</v>
      </c>
      <c r="H6" s="19">
        <f t="shared" ref="H6:H20" si="1">(C6-$C$22)/$C$23</f>
        <v>0.21764220361319275</v>
      </c>
      <c r="I6" s="19">
        <f t="shared" ref="I6:I20" si="2">(D6-$D$22)/$D$23</f>
        <v>0.41395230649843373</v>
      </c>
      <c r="J6" s="23">
        <f t="shared" ref="J6:J20" si="3">(E6-$E$22)/$E$23</f>
        <v>0.5032720424131355</v>
      </c>
      <c r="K6" s="35"/>
      <c r="L6" s="26" t="s">
        <v>40</v>
      </c>
      <c r="M6" s="27">
        <v>0.16545650198250358</v>
      </c>
      <c r="O6" s="30"/>
      <c r="P6">
        <f t="array" ref="P6:P20">MMULT(G6:I20,M5:M7)*E23+E22</f>
        <v>13.7894515223054</v>
      </c>
      <c r="U6" s="87">
        <f t="array" ref="U6:U20">MMULT(G6:I20,M5:M7)</f>
        <v>0.54853105565787463</v>
      </c>
      <c r="V6" s="89">
        <f t="array" ref="V6:V20">(J6:J20-U6:U20)^2</f>
        <v>2.0483782798874721E-3</v>
      </c>
      <c r="W6" s="122"/>
      <c r="X6">
        <f t="array" ref="X6:X20">U6:U20*U6:U20</f>
        <v>0.30088631902114238</v>
      </c>
    </row>
    <row r="7" spans="1:27" ht="15" thickBot="1" x14ac:dyDescent="0.35">
      <c r="A7" s="3">
        <v>2</v>
      </c>
      <c r="B7" s="5">
        <v>16</v>
      </c>
      <c r="C7" s="5">
        <v>1.06</v>
      </c>
      <c r="D7" s="5">
        <v>1.0938000000000001</v>
      </c>
      <c r="E7" s="4">
        <v>16.600000000000001</v>
      </c>
      <c r="G7" s="19">
        <f t="shared" si="0"/>
        <v>1.0409132048298428</v>
      </c>
      <c r="H7" s="19">
        <f t="shared" si="1"/>
        <v>0.95126760905092123</v>
      </c>
      <c r="I7" s="19">
        <f t="shared" si="2"/>
        <v>1.6654986167830383</v>
      </c>
      <c r="J7" s="23">
        <f t="shared" si="3"/>
        <v>1.2199569129381711</v>
      </c>
      <c r="K7" s="35"/>
      <c r="L7" s="28" t="s">
        <v>41</v>
      </c>
      <c r="M7" s="29">
        <v>-1.4984922078507656E-2</v>
      </c>
      <c r="O7" s="30"/>
      <c r="P7">
        <v>15.638393025398399</v>
      </c>
      <c r="U7" s="87">
        <v>0.99023385624206428</v>
      </c>
      <c r="V7" s="89">
        <v>5.2772682777802706E-2</v>
      </c>
      <c r="W7" s="117"/>
      <c r="X7">
        <v>0.98056309004802922</v>
      </c>
      <c r="Y7" s="37"/>
    </row>
    <row r="8" spans="1:27" ht="15" thickBot="1" x14ac:dyDescent="0.35">
      <c r="A8" s="3">
        <v>3</v>
      </c>
      <c r="B8" s="5">
        <v>8</v>
      </c>
      <c r="C8" s="5">
        <v>0.67</v>
      </c>
      <c r="D8" s="5">
        <v>0.92800000000000005</v>
      </c>
      <c r="E8" s="4">
        <v>10.199999999999999</v>
      </c>
      <c r="G8" s="19">
        <f t="shared" si="0"/>
        <v>-0.69153595716157445</v>
      </c>
      <c r="H8" s="19">
        <f t="shared" si="1"/>
        <v>-0.47930193155264883</v>
      </c>
      <c r="I8" s="19">
        <f t="shared" si="2"/>
        <v>-0.2470025652002541</v>
      </c>
      <c r="J8" s="20">
        <f t="shared" si="3"/>
        <v>-0.30897081084857109</v>
      </c>
      <c r="K8" s="35"/>
      <c r="O8" s="30"/>
      <c r="P8">
        <v>8.7913732987349427</v>
      </c>
      <c r="U8" s="87">
        <v>-0.64548462585332278</v>
      </c>
      <c r="V8" s="89">
        <v>0.11324154768905224</v>
      </c>
      <c r="W8" s="117"/>
      <c r="X8">
        <v>0.41665040221300409</v>
      </c>
      <c r="Y8" s="83" t="s">
        <v>3</v>
      </c>
    </row>
    <row r="9" spans="1:27" ht="15" thickBot="1" x14ac:dyDescent="0.35">
      <c r="A9" s="3">
        <v>4</v>
      </c>
      <c r="B9" s="5">
        <v>4.0999999999999996</v>
      </c>
      <c r="C9" s="5">
        <v>0.4</v>
      </c>
      <c r="D9" s="5">
        <v>0.94620000000000004</v>
      </c>
      <c r="E9" s="4">
        <v>5.4</v>
      </c>
      <c r="G9" s="19">
        <f t="shared" si="0"/>
        <v>-1.5361049236323905</v>
      </c>
      <c r="H9" s="19">
        <f t="shared" si="1"/>
        <v>-1.469696228893582</v>
      </c>
      <c r="I9" s="19">
        <f t="shared" si="2"/>
        <v>-3.7065764765417543E-2</v>
      </c>
      <c r="J9" s="20">
        <f t="shared" si="3"/>
        <v>-1.455666603688627</v>
      </c>
      <c r="K9" s="35"/>
      <c r="O9" s="30"/>
      <c r="P9">
        <v>5.1788770869609575</v>
      </c>
      <c r="U9" s="87">
        <v>-1.5084917524557955</v>
      </c>
      <c r="V9" s="89">
        <v>2.7904963422734821E-3</v>
      </c>
      <c r="W9" s="118"/>
      <c r="X9">
        <v>2.2755473672271571</v>
      </c>
      <c r="Y9" s="85" t="s">
        <v>14</v>
      </c>
      <c r="Z9" s="84">
        <f>V22/(H1-H2)</f>
        <v>4.6133174115629123E-2</v>
      </c>
    </row>
    <row r="10" spans="1:27" x14ac:dyDescent="0.3">
      <c r="A10" s="3">
        <v>5</v>
      </c>
      <c r="B10" s="5">
        <v>15</v>
      </c>
      <c r="C10" s="5">
        <v>1.04</v>
      </c>
      <c r="D10" s="5">
        <v>0.88849999999999996</v>
      </c>
      <c r="E10" s="4">
        <v>15</v>
      </c>
      <c r="G10" s="19">
        <f t="shared" si="0"/>
        <v>0.82435705958091565</v>
      </c>
      <c r="H10" s="19">
        <f t="shared" si="1"/>
        <v>0.87790506850714833</v>
      </c>
      <c r="I10" s="19">
        <f t="shared" si="2"/>
        <v>-0.70263463207805987</v>
      </c>
      <c r="J10" s="20">
        <f t="shared" si="3"/>
        <v>0.83772498199148537</v>
      </c>
      <c r="K10" s="35"/>
      <c r="L10" t="s">
        <v>42</v>
      </c>
      <c r="M10" s="39">
        <f>M5^2+M6^2+M7^2</f>
        <v>0.70671150750159017</v>
      </c>
      <c r="O10" s="30"/>
      <c r="P10">
        <v>14.989103330938892</v>
      </c>
      <c r="U10" s="87">
        <v>0.83512182270641422</v>
      </c>
      <c r="V10" s="89">
        <v>6.7764382634521661E-6</v>
      </c>
      <c r="W10" s="117"/>
      <c r="X10">
        <v>0.69742845876048354</v>
      </c>
    </row>
    <row r="11" spans="1:27" x14ac:dyDescent="0.3">
      <c r="A11" s="3">
        <v>6</v>
      </c>
      <c r="B11" s="5">
        <v>8.8000000000000007</v>
      </c>
      <c r="C11" s="5">
        <v>0.76</v>
      </c>
      <c r="D11" s="5">
        <v>1.0266999999999999</v>
      </c>
      <c r="E11" s="4">
        <v>9</v>
      </c>
      <c r="G11" s="19">
        <f t="shared" si="0"/>
        <v>-0.5182910409624325</v>
      </c>
      <c r="H11" s="19">
        <f t="shared" si="1"/>
        <v>-0.14917049910567126</v>
      </c>
      <c r="I11" s="19">
        <f t="shared" si="2"/>
        <v>0.89150085254251255</v>
      </c>
      <c r="J11" s="20">
        <f t="shared" si="3"/>
        <v>-0.59564475905858494</v>
      </c>
      <c r="K11" s="35"/>
      <c r="L11" s="2"/>
      <c r="M11" s="2"/>
      <c r="O11" s="30"/>
      <c r="P11">
        <v>9.5462239766871644</v>
      </c>
      <c r="U11" s="87">
        <v>-0.46515460572201489</v>
      </c>
      <c r="V11" s="89">
        <v>1.7027680117801564E-2</v>
      </c>
      <c r="W11" s="117"/>
      <c r="X11">
        <v>0.21636880722440313</v>
      </c>
      <c r="Y11" s="83" t="s">
        <v>3</v>
      </c>
    </row>
    <row r="12" spans="1:27" ht="15" thickBot="1" x14ac:dyDescent="0.35">
      <c r="A12" s="3">
        <v>7</v>
      </c>
      <c r="B12" s="5">
        <v>12.4</v>
      </c>
      <c r="C12" s="5">
        <v>0.95</v>
      </c>
      <c r="D12" s="5">
        <v>0.92249999999999999</v>
      </c>
      <c r="E12" s="4">
        <v>12.3</v>
      </c>
      <c r="G12" s="19">
        <f t="shared" si="0"/>
        <v>0.26131108193370511</v>
      </c>
      <c r="H12" s="19">
        <f t="shared" si="1"/>
        <v>0.54777363606017038</v>
      </c>
      <c r="I12" s="19">
        <f t="shared" si="2"/>
        <v>-0.31044500489210103</v>
      </c>
      <c r="J12" s="20">
        <f t="shared" si="3"/>
        <v>0.19270859851895389</v>
      </c>
      <c r="K12" s="35"/>
      <c r="L12" s="2"/>
      <c r="M12" s="2"/>
      <c r="O12" s="30"/>
      <c r="P12">
        <v>12.793597102589098</v>
      </c>
      <c r="U12" s="87">
        <v>0.3106264570391537</v>
      </c>
      <c r="V12" s="89">
        <v>1.3904621357989861E-2</v>
      </c>
      <c r="W12" s="119"/>
      <c r="X12">
        <v>9.6488795812697203E-2</v>
      </c>
      <c r="Y12" s="80" t="s">
        <v>15</v>
      </c>
    </row>
    <row r="13" spans="1:27" x14ac:dyDescent="0.3">
      <c r="A13" s="3">
        <v>8</v>
      </c>
      <c r="B13" s="5">
        <v>16.600000000000001</v>
      </c>
      <c r="C13" s="5">
        <v>1.1200000000000001</v>
      </c>
      <c r="D13" s="5">
        <v>0.93720000000000003</v>
      </c>
      <c r="E13" s="4">
        <v>16.3</v>
      </c>
      <c r="G13" s="19">
        <f t="shared" si="0"/>
        <v>1.1708468919791994</v>
      </c>
      <c r="H13" s="19">
        <f t="shared" si="1"/>
        <v>1.1713552306822399</v>
      </c>
      <c r="I13" s="19">
        <f t="shared" si="2"/>
        <v>-0.14088066607934782</v>
      </c>
      <c r="J13" s="20">
        <f t="shared" si="3"/>
        <v>1.1482884258856674</v>
      </c>
      <c r="K13" s="35"/>
      <c r="L13" s="2"/>
      <c r="M13" s="2"/>
      <c r="O13" s="30"/>
      <c r="P13">
        <v>16.352344432750982</v>
      </c>
      <c r="U13" s="87">
        <v>1.1607932468886157</v>
      </c>
      <c r="V13" s="89">
        <v>1.5637054831577849E-4</v>
      </c>
      <c r="W13" s="118"/>
      <c r="X13">
        <v>1.3474409620222147</v>
      </c>
      <c r="Y13" s="91">
        <f t="array" ref="Y13:AA15">Z9*MINVERSE(MMULT(TRANSPOSE(G6:I20),G6:I20))</f>
        <v>5.3284836601135234E-2</v>
      </c>
      <c r="Z13" s="92">
        <v>-5.1213043418515625E-2</v>
      </c>
      <c r="AA13" s="93">
        <v>-1.1322566052420298E-3</v>
      </c>
    </row>
    <row r="14" spans="1:27" x14ac:dyDescent="0.3">
      <c r="A14" s="3">
        <v>9</v>
      </c>
      <c r="B14" s="5">
        <v>14.9</v>
      </c>
      <c r="C14" s="5">
        <v>1.02</v>
      </c>
      <c r="D14" s="5">
        <v>0.88580000000000003</v>
      </c>
      <c r="E14" s="4">
        <v>15.4</v>
      </c>
      <c r="G14" s="19">
        <f t="shared" si="0"/>
        <v>0.80270144505602303</v>
      </c>
      <c r="H14" s="19">
        <f t="shared" si="1"/>
        <v>0.80454252796337544</v>
      </c>
      <c r="I14" s="19">
        <f t="shared" si="2"/>
        <v>-0.7337791024722381</v>
      </c>
      <c r="J14" s="20">
        <f t="shared" si="3"/>
        <v>0.93328296472815686</v>
      </c>
      <c r="K14" s="35"/>
      <c r="L14" s="2"/>
      <c r="M14" s="2"/>
      <c r="O14" s="30"/>
      <c r="P14">
        <v>14.86554436634721</v>
      </c>
      <c r="U14" s="87">
        <v>0.80560420919288178</v>
      </c>
      <c r="V14" s="89">
        <v>1.6301864615036538E-2</v>
      </c>
      <c r="W14" s="117"/>
      <c r="X14">
        <v>0.64899814186928839</v>
      </c>
      <c r="Y14" s="61">
        <v>-5.1213043418515632E-2</v>
      </c>
      <c r="Z14" s="62">
        <v>5.2952702476972729E-2</v>
      </c>
      <c r="AA14" s="63">
        <v>-1.8669642527559989E-4</v>
      </c>
    </row>
    <row r="15" spans="1:27" ht="15" thickBot="1" x14ac:dyDescent="0.35">
      <c r="A15" s="3">
        <v>10</v>
      </c>
      <c r="B15" s="5">
        <v>13.7</v>
      </c>
      <c r="C15" s="5">
        <v>1.01</v>
      </c>
      <c r="D15" s="5">
        <v>0.96430000000000005</v>
      </c>
      <c r="E15" s="4">
        <v>13</v>
      </c>
      <c r="G15" s="19">
        <f t="shared" si="0"/>
        <v>0.54283407075731016</v>
      </c>
      <c r="H15" s="19">
        <f t="shared" si="1"/>
        <v>0.76786125769148905</v>
      </c>
      <c r="I15" s="19">
        <f t="shared" si="2"/>
        <v>0.17171753676593102</v>
      </c>
      <c r="J15" s="20">
        <f t="shared" si="3"/>
        <v>0.3599350683081286</v>
      </c>
      <c r="K15" s="35"/>
      <c r="L15" s="2"/>
      <c r="M15" s="2"/>
      <c r="O15" s="30"/>
      <c r="P15">
        <v>13.886913531994956</v>
      </c>
      <c r="U15" s="87">
        <v>0.57181423825636435</v>
      </c>
      <c r="V15" s="89">
        <v>4.4892782657953365E-2</v>
      </c>
      <c r="W15" s="117"/>
      <c r="X15">
        <v>0.32697152307270622</v>
      </c>
      <c r="Y15" s="49">
        <v>-1.1322566052420298E-3</v>
      </c>
      <c r="Z15" s="64">
        <v>-1.8669642527559989E-4</v>
      </c>
      <c r="AA15" s="65">
        <v>3.7549573325163402E-3</v>
      </c>
    </row>
    <row r="16" spans="1:27" x14ac:dyDescent="0.3">
      <c r="A16" s="3">
        <v>11</v>
      </c>
      <c r="B16" s="5">
        <v>15.1</v>
      </c>
      <c r="C16" s="5">
        <v>0.9</v>
      </c>
      <c r="D16" s="5">
        <v>0.93159999999999998</v>
      </c>
      <c r="E16" s="4">
        <v>14.4</v>
      </c>
      <c r="G16" s="19">
        <f t="shared" si="0"/>
        <v>0.84601267410580827</v>
      </c>
      <c r="H16" s="19">
        <f t="shared" si="1"/>
        <v>0.36436728470073854</v>
      </c>
      <c r="I16" s="19">
        <f t="shared" si="2"/>
        <v>-0.20547660467468273</v>
      </c>
      <c r="J16" s="20">
        <f t="shared" si="3"/>
        <v>0.69438800788647848</v>
      </c>
      <c r="K16" s="35"/>
      <c r="L16" s="2"/>
      <c r="M16" s="2"/>
      <c r="O16" s="30"/>
      <c r="P16">
        <v>14.676949240325012</v>
      </c>
      <c r="U16" s="87">
        <v>0.76054978470125778</v>
      </c>
      <c r="V16" s="89">
        <v>4.3773807112886687E-3</v>
      </c>
      <c r="W16" s="118"/>
      <c r="X16">
        <v>0.57843597500912958</v>
      </c>
      <c r="Y16" s="83" t="s">
        <v>3</v>
      </c>
    </row>
    <row r="17" spans="1:27" x14ac:dyDescent="0.3">
      <c r="A17" s="3">
        <v>12</v>
      </c>
      <c r="B17" s="5">
        <v>7.8</v>
      </c>
      <c r="C17" s="5">
        <v>0.56999999999999995</v>
      </c>
      <c r="D17" s="5">
        <v>0.97050000000000003</v>
      </c>
      <c r="E17" s="4">
        <v>10</v>
      </c>
      <c r="G17" s="19">
        <f t="shared" si="0"/>
        <v>-0.73484718621135992</v>
      </c>
      <c r="H17" s="19">
        <f t="shared" si="1"/>
        <v>-0.84611463427151334</v>
      </c>
      <c r="I17" s="19">
        <f t="shared" si="2"/>
        <v>0.24323446878219385</v>
      </c>
      <c r="J17" s="20">
        <f t="shared" si="3"/>
        <v>-0.35674980221690655</v>
      </c>
      <c r="K17" s="35"/>
      <c r="L17" s="2"/>
      <c r="M17" s="2"/>
      <c r="O17" s="30"/>
      <c r="P17">
        <v>8.3571669216665967</v>
      </c>
      <c r="U17" s="87">
        <v>-0.74921433956344674</v>
      </c>
      <c r="V17" s="89">
        <v>0.15402841307463383</v>
      </c>
      <c r="W17" s="117"/>
      <c r="X17">
        <v>0.5613221266074917</v>
      </c>
      <c r="Y17" s="109" t="s">
        <v>43</v>
      </c>
      <c r="Z17" s="109"/>
    </row>
    <row r="18" spans="1:27" x14ac:dyDescent="0.3">
      <c r="A18" s="3">
        <v>13</v>
      </c>
      <c r="B18" s="5">
        <v>11.4</v>
      </c>
      <c r="C18" s="5">
        <v>0.78</v>
      </c>
      <c r="D18" s="5">
        <v>1.1240000000000001</v>
      </c>
      <c r="E18" s="4">
        <v>10.199999999999999</v>
      </c>
      <c r="G18" s="19">
        <f t="shared" si="0"/>
        <v>4.4754936684777966E-2</v>
      </c>
      <c r="H18" s="19">
        <f t="shared" si="1"/>
        <v>-7.5807958561898384E-2</v>
      </c>
      <c r="I18" s="19">
        <f t="shared" si="2"/>
        <v>2.0138552856364487</v>
      </c>
      <c r="J18" s="20">
        <f t="shared" si="3"/>
        <v>-0.30897081084857109</v>
      </c>
      <c r="K18" s="35"/>
      <c r="L18" s="2"/>
      <c r="M18" s="2"/>
      <c r="O18" s="30"/>
      <c r="P18">
        <v>11.468893104322504</v>
      </c>
      <c r="U18" s="87">
        <v>-5.8386474547430199E-3</v>
      </c>
      <c r="V18" s="89">
        <v>9.1889108483822493E-2</v>
      </c>
      <c r="W18" s="120"/>
      <c r="X18">
        <v>3.4089804100777145E-5</v>
      </c>
      <c r="Y18" t="s">
        <v>44</v>
      </c>
      <c r="Z18">
        <f>(H2-2)*Z9/SUMSQ(M5:M7)</f>
        <v>6.5278651367545931E-2</v>
      </c>
    </row>
    <row r="19" spans="1:27" x14ac:dyDescent="0.3">
      <c r="A19" s="3">
        <v>14</v>
      </c>
      <c r="B19" s="5">
        <v>9</v>
      </c>
      <c r="C19" s="5">
        <v>0.74</v>
      </c>
      <c r="D19" s="5">
        <v>0.85170000000000001</v>
      </c>
      <c r="E19" s="4">
        <v>9.5</v>
      </c>
      <c r="G19" s="19">
        <f t="shared" si="0"/>
        <v>-0.47497981191264727</v>
      </c>
      <c r="H19" s="19">
        <f t="shared" si="1"/>
        <v>-0.22253303964944415</v>
      </c>
      <c r="I19" s="19">
        <f t="shared" si="2"/>
        <v>-1.1271222285616849</v>
      </c>
      <c r="J19" s="20">
        <f t="shared" si="3"/>
        <v>-0.47619728063774575</v>
      </c>
      <c r="K19" s="35"/>
      <c r="L19" s="2"/>
      <c r="M19" s="2"/>
      <c r="O19" s="30"/>
      <c r="P19">
        <v>9.7714384568666031</v>
      </c>
      <c r="U19" s="87">
        <v>-0.41135200219942691</v>
      </c>
      <c r="V19" s="89">
        <v>4.2049101357430974E-3</v>
      </c>
      <c r="W19" s="117"/>
      <c r="X19">
        <v>0.16921046971347734</v>
      </c>
      <c r="Y19" t="s">
        <v>45</v>
      </c>
      <c r="Z19">
        <f>(H1*(H2 - 2)*Z9)/SUM(X6:X20)</f>
        <v>5.1463403841014298E-2</v>
      </c>
    </row>
    <row r="20" spans="1:27" x14ac:dyDescent="0.3">
      <c r="A20" s="3">
        <v>15</v>
      </c>
      <c r="B20" s="5">
        <v>1</v>
      </c>
      <c r="C20" s="5">
        <v>0.13</v>
      </c>
      <c r="D20" s="5">
        <v>0.78510000000000002</v>
      </c>
      <c r="E20" s="4">
        <v>1.5</v>
      </c>
      <c r="G20" s="19">
        <f t="shared" si="0"/>
        <v>-2.2074289739040647</v>
      </c>
      <c r="H20" s="19">
        <f t="shared" si="1"/>
        <v>-2.4600905262345152</v>
      </c>
      <c r="I20" s="19">
        <f t="shared" si="2"/>
        <v>-1.8953524982847683</v>
      </c>
      <c r="J20" s="20">
        <f t="shared" si="3"/>
        <v>-2.387356935371173</v>
      </c>
      <c r="K20" s="35"/>
      <c r="L20" s="2"/>
      <c r="M20" s="2"/>
      <c r="O20" s="30"/>
      <c r="P20">
        <v>2.2937306021112711</v>
      </c>
      <c r="U20" s="87">
        <v>-2.1977386974358812</v>
      </c>
      <c r="V20" s="89">
        <v>3.5955076157684916E-2</v>
      </c>
      <c r="W20" s="118"/>
      <c r="X20">
        <v>4.8300553822071643</v>
      </c>
    </row>
    <row r="21" spans="1:27" x14ac:dyDescent="0.3">
      <c r="K21" s="35"/>
      <c r="L21" s="2"/>
      <c r="M21" s="2"/>
      <c r="V21" t="s">
        <v>46</v>
      </c>
      <c r="W21" s="6" t="s">
        <v>47</v>
      </c>
      <c r="X21" s="6" t="s">
        <v>47</v>
      </c>
    </row>
    <row r="22" spans="1:27" x14ac:dyDescent="0.3">
      <c r="A22" s="18" t="s">
        <v>48</v>
      </c>
      <c r="B22" s="18">
        <f>AVERAGE(B6:B20)</f>
        <v>11.193333333333335</v>
      </c>
      <c r="C22" s="18">
        <f t="shared" ref="C22:E22" si="4">AVERAGE(C6:C20)</f>
        <v>0.80066666666666664</v>
      </c>
      <c r="D22" s="18">
        <f t="shared" si="4"/>
        <v>0.94941333333333333</v>
      </c>
      <c r="E22" s="18">
        <f>AVERAGE(E6:E20)</f>
        <v>11.493333333333334</v>
      </c>
      <c r="K22" s="35"/>
      <c r="L22" s="2"/>
      <c r="M22" s="2"/>
      <c r="U22" s="83" t="s">
        <v>3</v>
      </c>
      <c r="V22" s="116">
        <f>SUM(V6:V20)</f>
        <v>0.55359808938754951</v>
      </c>
      <c r="W22" s="121"/>
      <c r="X22">
        <f t="array" ref="X22">SUM(X6:X20)</f>
        <v>13.44640191061249</v>
      </c>
    </row>
    <row r="23" spans="1:27" x14ac:dyDescent="0.3">
      <c r="A23" s="18" t="s">
        <v>49</v>
      </c>
      <c r="B23" s="18">
        <f>STDEV(B6:B20)</f>
        <v>4.6177401193141812</v>
      </c>
      <c r="C23" s="18">
        <f t="shared" ref="C23:E23" si="5">STDEV(C6:C20)</f>
        <v>0.27261869411497153</v>
      </c>
      <c r="D23" s="18">
        <f t="shared" si="5"/>
        <v>8.6692756878750249E-2</v>
      </c>
      <c r="E23" s="18">
        <f t="shared" si="5"/>
        <v>4.1859401856805407</v>
      </c>
      <c r="K23" s="35"/>
      <c r="L23" s="2"/>
      <c r="M23" s="2"/>
    </row>
    <row r="24" spans="1:27" ht="15" thickBot="1" x14ac:dyDescent="0.35">
      <c r="U24" s="32"/>
      <c r="V24" s="32"/>
      <c r="W24" s="32"/>
      <c r="X24" s="32"/>
      <c r="Y24" s="32"/>
      <c r="Z24" s="32"/>
      <c r="AA24" s="32"/>
    </row>
    <row r="25" spans="1:27" ht="18.600000000000001" thickBot="1" x14ac:dyDescent="0.4">
      <c r="B25" s="103" t="s">
        <v>50</v>
      </c>
      <c r="C25" s="104"/>
      <c r="D25" s="104"/>
      <c r="E25" s="105"/>
      <c r="G25" s="103" t="s">
        <v>51</v>
      </c>
      <c r="H25" s="104"/>
      <c r="I25" s="104"/>
      <c r="J25" s="105"/>
      <c r="V25" s="99" t="s">
        <v>19</v>
      </c>
      <c r="W25" s="100"/>
      <c r="X25" s="101"/>
    </row>
    <row r="26" spans="1:27" ht="15" thickBot="1" x14ac:dyDescent="0.35">
      <c r="A26" s="3">
        <v>16</v>
      </c>
      <c r="B26" s="5">
        <v>17</v>
      </c>
      <c r="C26" s="5">
        <v>1.26</v>
      </c>
      <c r="D26" s="5">
        <v>0.91859999999999997</v>
      </c>
      <c r="E26" s="4">
        <v>18.5</v>
      </c>
      <c r="G26" s="19">
        <f t="shared" ref="G26:G34" si="6">(B26-$B$22)/$B$23</f>
        <v>1.2574693500787699</v>
      </c>
      <c r="H26" s="19">
        <f t="shared" ref="H26:H34" si="7">(C26-$C$22)/$C$23</f>
        <v>1.6848930144886494</v>
      </c>
      <c r="I26" s="19">
        <f t="shared" ref="I26:I34" si="8">(D26-$D$22)/$D$23</f>
        <v>-0.35543146212813759</v>
      </c>
      <c r="J26" s="20">
        <f t="shared" ref="J26:J34" si="9">(E26-$E$22)/$E$23</f>
        <v>1.6738573309373597</v>
      </c>
      <c r="U26" s="102" t="s">
        <v>20</v>
      </c>
      <c r="V26" s="102"/>
      <c r="W26" s="102"/>
      <c r="X26" s="102"/>
      <c r="Y26" s="102"/>
      <c r="Z26" s="102"/>
      <c r="AA26" s="102"/>
    </row>
    <row r="27" spans="1:27" ht="15" thickBot="1" x14ac:dyDescent="0.35">
      <c r="A27" s="3">
        <v>17</v>
      </c>
      <c r="B27" s="5">
        <v>12.8</v>
      </c>
      <c r="C27" s="5">
        <v>1.08</v>
      </c>
      <c r="D27" s="5">
        <v>1.0395000000000001</v>
      </c>
      <c r="E27" s="4">
        <v>12.6</v>
      </c>
      <c r="G27" s="19">
        <f t="shared" si="6"/>
        <v>0.34793354003327603</v>
      </c>
      <c r="H27" s="19">
        <f t="shared" si="7"/>
        <v>1.0246301495946941</v>
      </c>
      <c r="I27" s="19">
        <f t="shared" si="8"/>
        <v>1.0391487121889926</v>
      </c>
      <c r="J27" s="20">
        <f t="shared" si="9"/>
        <v>0.26437708557145717</v>
      </c>
      <c r="U27" s="74" t="s">
        <v>21</v>
      </c>
      <c r="V27" s="74" t="s">
        <v>22</v>
      </c>
      <c r="X27" s="83" t="s">
        <v>3</v>
      </c>
    </row>
    <row r="28" spans="1:27" ht="21.6" thickBot="1" x14ac:dyDescent="0.45">
      <c r="A28" s="3">
        <v>18</v>
      </c>
      <c r="B28" s="5">
        <v>15.8</v>
      </c>
      <c r="C28" s="5">
        <v>0.96</v>
      </c>
      <c r="D28" s="5">
        <v>0.95730000000000004</v>
      </c>
      <c r="E28" s="4">
        <v>17.5</v>
      </c>
      <c r="G28" s="19">
        <f t="shared" si="6"/>
        <v>0.99760197578005749</v>
      </c>
      <c r="H28" s="19">
        <f t="shared" si="7"/>
        <v>0.58445490633205677</v>
      </c>
      <c r="I28" s="19">
        <f t="shared" si="8"/>
        <v>9.0972613521763016E-2</v>
      </c>
      <c r="J28" s="20">
        <f t="shared" si="9"/>
        <v>1.4349623740956814</v>
      </c>
      <c r="U28" s="46">
        <f t="array" ref="U28:U36">MMULT(G26:I34,M5:M7)*E23 + E22</f>
        <v>17.020283182807777</v>
      </c>
      <c r="V28" s="45">
        <f t="array" ref="V28:V36">(E26:E34-U28:U36)^2</f>
        <v>2.1895618590814827</v>
      </c>
      <c r="X28" s="75" t="s">
        <v>23</v>
      </c>
      <c r="Y28" s="76"/>
      <c r="Z28" s="77">
        <f>SUM(V28:V36)/9</f>
        <v>2.3894887502875375</v>
      </c>
    </row>
    <row r="29" spans="1:27" x14ac:dyDescent="0.3">
      <c r="A29" s="3">
        <v>19</v>
      </c>
      <c r="B29" s="5">
        <v>4.5</v>
      </c>
      <c r="C29" s="5">
        <v>0.42</v>
      </c>
      <c r="D29" s="5">
        <v>0.91059999999999997</v>
      </c>
      <c r="E29" s="4">
        <v>4.9000000000000004</v>
      </c>
      <c r="G29" s="19">
        <f t="shared" si="6"/>
        <v>-1.4494824655328193</v>
      </c>
      <c r="H29" s="19">
        <f t="shared" si="7"/>
        <v>-1.3963336883498094</v>
      </c>
      <c r="I29" s="19">
        <f t="shared" si="8"/>
        <v>-0.44771137440718672</v>
      </c>
      <c r="J29" s="20">
        <f t="shared" si="9"/>
        <v>-1.5751140821094662</v>
      </c>
      <c r="U29" s="46">
        <v>13.338018225039407</v>
      </c>
      <c r="V29" s="46">
        <v>0.54467090049031808</v>
      </c>
    </row>
    <row r="30" spans="1:27" x14ac:dyDescent="0.3">
      <c r="A30" s="3">
        <v>20</v>
      </c>
      <c r="B30" s="5">
        <v>14.5</v>
      </c>
      <c r="C30" s="5">
        <v>1.01</v>
      </c>
      <c r="D30" s="5">
        <v>1.0069999999999999</v>
      </c>
      <c r="E30" s="4">
        <v>15.9</v>
      </c>
      <c r="G30" s="19">
        <f t="shared" si="6"/>
        <v>0.716078986956452</v>
      </c>
      <c r="H30" s="19">
        <f t="shared" si="7"/>
        <v>0.76786125769148905</v>
      </c>
      <c r="I30" s="19">
        <f t="shared" si="8"/>
        <v>0.66426156855535368</v>
      </c>
      <c r="J30" s="20">
        <f t="shared" si="9"/>
        <v>1.0527304431489961</v>
      </c>
      <c r="U30" s="46">
        <v>15.3337009488106</v>
      </c>
      <c r="V30" s="46">
        <v>4.6928515791840937</v>
      </c>
    </row>
    <row r="31" spans="1:27" x14ac:dyDescent="0.3">
      <c r="A31" s="3">
        <v>21</v>
      </c>
      <c r="B31" s="5">
        <v>7.3</v>
      </c>
      <c r="C31" s="5">
        <v>0.61</v>
      </c>
      <c r="D31" s="5">
        <v>0.98060000000000003</v>
      </c>
      <c r="E31" s="4">
        <v>8.5</v>
      </c>
      <c r="G31" s="19">
        <f t="shared" si="6"/>
        <v>-0.84312525883582345</v>
      </c>
      <c r="H31" s="19">
        <f t="shared" si="7"/>
        <v>-0.69938955318396756</v>
      </c>
      <c r="I31" s="19">
        <f t="shared" si="8"/>
        <v>0.35973785803449326</v>
      </c>
      <c r="J31" s="20">
        <f t="shared" si="9"/>
        <v>-0.71509223747942419</v>
      </c>
      <c r="U31" s="46">
        <v>5.5542546568578803</v>
      </c>
      <c r="V31" s="46">
        <v>0.42804915602022225</v>
      </c>
    </row>
    <row r="32" spans="1:27" x14ac:dyDescent="0.3">
      <c r="A32" s="3">
        <v>22</v>
      </c>
      <c r="B32" s="5">
        <v>8.6</v>
      </c>
      <c r="C32" s="5">
        <v>0.69</v>
      </c>
      <c r="D32" s="5">
        <v>0.96930000000000005</v>
      </c>
      <c r="E32" s="4">
        <v>10.6</v>
      </c>
      <c r="G32" s="19">
        <f t="shared" si="6"/>
        <v>-0.56160227001221819</v>
      </c>
      <c r="H32" s="19">
        <f t="shared" si="7"/>
        <v>-0.40593939100887638</v>
      </c>
      <c r="I32" s="19">
        <f t="shared" si="8"/>
        <v>0.22939248194033673</v>
      </c>
      <c r="J32" s="20">
        <f t="shared" si="9"/>
        <v>-0.21341282811189963</v>
      </c>
      <c r="U32" s="46">
        <v>14.453636584580256</v>
      </c>
      <c r="V32" s="46">
        <v>2.0919671294646687</v>
      </c>
    </row>
    <row r="33" spans="1:22" x14ac:dyDescent="0.3">
      <c r="A33" s="3">
        <v>23</v>
      </c>
      <c r="B33" s="5">
        <v>15.2</v>
      </c>
      <c r="C33" s="5">
        <v>1.02</v>
      </c>
      <c r="D33" s="5">
        <v>0.9496</v>
      </c>
      <c r="E33" s="4">
        <v>13.9</v>
      </c>
      <c r="G33" s="19">
        <f t="shared" si="6"/>
        <v>0.86766828863070089</v>
      </c>
      <c r="H33" s="19">
        <f t="shared" si="7"/>
        <v>0.80454252796337544</v>
      </c>
      <c r="I33" s="19">
        <f t="shared" si="8"/>
        <v>2.1531979531778304E-3</v>
      </c>
      <c r="J33" s="20">
        <f t="shared" si="9"/>
        <v>0.57494052946563923</v>
      </c>
      <c r="U33" s="46">
        <v>8.0779681280838425</v>
      </c>
      <c r="V33" s="46">
        <v>0.17811090091305601</v>
      </c>
    </row>
    <row r="34" spans="1:22" x14ac:dyDescent="0.3">
      <c r="A34" s="3">
        <v>24</v>
      </c>
      <c r="B34" s="5">
        <v>12</v>
      </c>
      <c r="C34" s="5">
        <v>0.82</v>
      </c>
      <c r="D34" s="5">
        <v>1.1184000000000001</v>
      </c>
      <c r="E34" s="4">
        <v>14.9</v>
      </c>
      <c r="G34" s="19">
        <f t="shared" si="6"/>
        <v>0.17468862383413417</v>
      </c>
      <c r="H34" s="19">
        <f t="shared" si="7"/>
        <v>7.0917122525646983E-2</v>
      </c>
      <c r="I34" s="19">
        <f t="shared" si="8"/>
        <v>1.9492593470411137</v>
      </c>
      <c r="J34" s="20">
        <f t="shared" si="9"/>
        <v>0.81383548630731761</v>
      </c>
      <c r="U34" s="46">
        <v>9.2605149583182769</v>
      </c>
      <c r="V34" s="46">
        <v>1.7942201768890866</v>
      </c>
    </row>
    <row r="35" spans="1:22" x14ac:dyDescent="0.3">
      <c r="U35" s="46">
        <v>15.043489172328071</v>
      </c>
      <c r="V35" s="46">
        <v>1.3075674872315362</v>
      </c>
    </row>
    <row r="36" spans="1:22" ht="15" thickBot="1" x14ac:dyDescent="0.35">
      <c r="J36" s="123"/>
      <c r="U36" s="47">
        <v>12.02277919455017</v>
      </c>
      <c r="V36" s="47">
        <v>8.2783995633133731</v>
      </c>
    </row>
  </sheetData>
  <mergeCells count="10">
    <mergeCell ref="B25:E25"/>
    <mergeCell ref="G25:J25"/>
    <mergeCell ref="V25:X25"/>
    <mergeCell ref="U26:AA26"/>
    <mergeCell ref="B3:E3"/>
    <mergeCell ref="G3:J3"/>
    <mergeCell ref="L3:M3"/>
    <mergeCell ref="O3:Q3"/>
    <mergeCell ref="U3:V3"/>
    <mergeCell ref="Y17:Z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3608-C239-408F-B6B8-251F1F477A16}">
  <dimension ref="A1:R41"/>
  <sheetViews>
    <sheetView topLeftCell="A14" workbookViewId="0">
      <selection activeCell="L29" sqref="L29"/>
    </sheetView>
  </sheetViews>
  <sheetFormatPr defaultColWidth="11.44140625" defaultRowHeight="14.4" x14ac:dyDescent="0.3"/>
  <cols>
    <col min="6" max="6" width="17.33203125" customWidth="1"/>
    <col min="9" max="9" width="2.6640625" style="32" customWidth="1"/>
    <col min="10" max="10" width="20.33203125" customWidth="1"/>
    <col min="11" max="11" width="3.88671875" style="32" customWidth="1"/>
    <col min="12" max="12" width="17.88671875" customWidth="1"/>
    <col min="13" max="13" width="16" customWidth="1"/>
  </cols>
  <sheetData>
    <row r="1" spans="1:17" ht="15" thickBot="1" x14ac:dyDescent="0.35">
      <c r="A1" t="s">
        <v>52</v>
      </c>
      <c r="B1">
        <v>0</v>
      </c>
      <c r="I1" s="32">
        <v>0</v>
      </c>
      <c r="J1" t="s">
        <v>53</v>
      </c>
      <c r="L1" s="83" t="s">
        <v>3</v>
      </c>
      <c r="O1" s="83" t="s">
        <v>3</v>
      </c>
    </row>
    <row r="2" spans="1:17" ht="19.95" customHeight="1" thickBot="1" x14ac:dyDescent="0.35">
      <c r="J2" s="54" t="s">
        <v>54</v>
      </c>
      <c r="L2" s="44" t="s">
        <v>55</v>
      </c>
      <c r="M2" s="81" t="s">
        <v>56</v>
      </c>
      <c r="O2" s="106" t="s">
        <v>57</v>
      </c>
      <c r="P2" s="108"/>
      <c r="Q2" s="107"/>
    </row>
    <row r="3" spans="1:17" ht="15" thickBot="1" x14ac:dyDescent="0.35">
      <c r="A3" s="110" t="s">
        <v>58</v>
      </c>
      <c r="B3" s="111"/>
      <c r="C3" s="112"/>
      <c r="F3" s="55" t="s">
        <v>59</v>
      </c>
      <c r="J3" s="83" t="s">
        <v>3</v>
      </c>
    </row>
    <row r="4" spans="1:17" x14ac:dyDescent="0.3">
      <c r="A4" s="7">
        <v>1</v>
      </c>
      <c r="B4" s="8">
        <v>0</v>
      </c>
      <c r="C4" s="41">
        <v>0</v>
      </c>
      <c r="F4" s="7">
        <f t="array" ref="F4:H6">(MMULT(TRANSPOSE(A13:C27),A13:C27)+B1*A4:C6)</f>
        <v>15.378918040830969</v>
      </c>
      <c r="G4" s="8">
        <v>14.657442335930783</v>
      </c>
      <c r="H4" s="41">
        <v>5.7450851203692039</v>
      </c>
      <c r="J4" s="56">
        <f t="array" ref="J4:J6">MMULT(F8:H10,MMULT(TRANSPOSE(A13:C27),D13:D27))</f>
        <v>0.73545737167790426</v>
      </c>
      <c r="L4" s="1">
        <f t="array" ref="L4:L18">MMULT(A13:C27,J4:J6)</f>
        <v>0.45900257348061163</v>
      </c>
      <c r="M4" s="1">
        <f t="array" ref="M4:M18">D13:D27-L4:L18</f>
        <v>-9.8465477883722563E-2</v>
      </c>
      <c r="O4" s="59">
        <f t="array" ref="O4:Q6">M22*MMULT(MMULT(F8:H10,MMULT(TRANSPOSE(A13:C27),A13:C27)),F8:H10)</f>
        <v>-9.4531999129801564E-2</v>
      </c>
      <c r="P4" s="60">
        <v>9.2353408716976351E-2</v>
      </c>
      <c r="Q4" s="48">
        <v>1.4692960852710104E-3</v>
      </c>
    </row>
    <row r="5" spans="1:17" x14ac:dyDescent="0.3">
      <c r="A5" s="9">
        <v>0</v>
      </c>
      <c r="B5" s="2">
        <v>1</v>
      </c>
      <c r="C5" s="42">
        <v>0</v>
      </c>
      <c r="F5" s="9">
        <v>14.657442335930783</v>
      </c>
      <c r="G5" s="2">
        <v>14.91396650914324</v>
      </c>
      <c r="H5" s="42">
        <v>5.6092720982116058</v>
      </c>
      <c r="J5" s="57">
        <v>0.20445434075845567</v>
      </c>
      <c r="L5" s="1">
        <v>0.92360709765303106</v>
      </c>
      <c r="M5" s="1">
        <v>0.14425073045001668</v>
      </c>
      <c r="O5" s="61">
        <v>9.2353408716976435E-2</v>
      </c>
      <c r="P5" s="62">
        <v>-9.7241094110763718E-2</v>
      </c>
      <c r="Q5" s="63">
        <v>8.7208910862413751E-4</v>
      </c>
    </row>
    <row r="6" spans="1:17" ht="15" thickBot="1" x14ac:dyDescent="0.35">
      <c r="A6" s="10">
        <v>0</v>
      </c>
      <c r="B6" s="11">
        <v>0</v>
      </c>
      <c r="C6" s="43">
        <v>1</v>
      </c>
      <c r="F6" s="10">
        <v>5.7450851203692039</v>
      </c>
      <c r="G6" s="11">
        <v>5.6092720982116058</v>
      </c>
      <c r="H6" s="43">
        <v>17.055094041094655</v>
      </c>
      <c r="J6" s="58">
        <v>-4.2862329144653932E-3</v>
      </c>
      <c r="L6" s="1">
        <v>-0.7002831249874798</v>
      </c>
      <c r="M6" s="1">
        <v>0.25919005707738935</v>
      </c>
      <c r="O6" s="49">
        <v>1.4692960852710096E-3</v>
      </c>
      <c r="P6" s="64">
        <v>8.7208910862413653E-4</v>
      </c>
      <c r="Q6" s="65">
        <v>-6.158094989596013E-3</v>
      </c>
    </row>
    <row r="7" spans="1:17" ht="15" thickBot="1" x14ac:dyDescent="0.35">
      <c r="F7" s="55" t="s">
        <v>60</v>
      </c>
      <c r="G7" s="32"/>
      <c r="H7" s="32"/>
      <c r="L7" s="1">
        <v>-1.5587614596859882</v>
      </c>
      <c r="M7" s="1">
        <v>-1.4044780233955168E-2</v>
      </c>
    </row>
    <row r="8" spans="1:17" x14ac:dyDescent="0.3">
      <c r="A8" s="50" t="s">
        <v>61</v>
      </c>
      <c r="B8" s="52">
        <v>15</v>
      </c>
      <c r="F8" s="7">
        <f t="array" ref="F8:H10">MINVERSE(F4:H6)</f>
        <v>1.0309521896835863</v>
      </c>
      <c r="G8" s="8">
        <v>-1.0071928005116533</v>
      </c>
      <c r="H8" s="41">
        <v>-1.6023928726226769E-2</v>
      </c>
      <c r="L8" s="1">
        <v>0.75271064690293799</v>
      </c>
      <c r="M8" s="1">
        <v>-6.2090542803174942E-2</v>
      </c>
    </row>
    <row r="9" spans="1:17" ht="15" thickBot="1" x14ac:dyDescent="0.35">
      <c r="A9" s="51" t="s">
        <v>62</v>
      </c>
      <c r="B9" s="53">
        <v>3</v>
      </c>
      <c r="F9" s="9">
        <v>-1.0071928005116533</v>
      </c>
      <c r="G9" s="2">
        <v>1.0604971842715956</v>
      </c>
      <c r="H9" s="42">
        <v>-9.5108765752507443E-3</v>
      </c>
      <c r="L9" s="1">
        <v>-0.50306339963272739</v>
      </c>
      <c r="M9" s="1">
        <v>-0.22095796127982625</v>
      </c>
    </row>
    <row r="10" spans="1:17" ht="16.2" thickBot="1" x14ac:dyDescent="0.35">
      <c r="A10" s="103" t="s">
        <v>26</v>
      </c>
      <c r="B10" s="104"/>
      <c r="C10" s="104"/>
      <c r="D10" s="105"/>
      <c r="F10" s="10">
        <v>-1.6023928726226769E-2</v>
      </c>
      <c r="G10" s="11">
        <v>-9.5108765752507443E-3</v>
      </c>
      <c r="H10" s="43">
        <v>6.7159285450910017E-2</v>
      </c>
      <c r="L10" s="1">
        <v>0.24849605676567027</v>
      </c>
      <c r="M10" s="1">
        <v>-0.19446461192144956</v>
      </c>
    </row>
    <row r="11" spans="1:17" ht="15" thickBot="1" x14ac:dyDescent="0.35">
      <c r="L11" s="1">
        <v>1.0781899832783035</v>
      </c>
      <c r="M11" s="1">
        <v>-8.1064228425871687E-2</v>
      </c>
    </row>
    <row r="12" spans="1:17" ht="15" thickBot="1" x14ac:dyDescent="0.35">
      <c r="A12" s="106" t="s">
        <v>63</v>
      </c>
      <c r="B12" s="108"/>
      <c r="C12" s="107"/>
      <c r="D12" s="44" t="s">
        <v>34</v>
      </c>
      <c r="L12" s="1">
        <v>0.72080231669610795</v>
      </c>
      <c r="M12" s="1">
        <v>6.4127218404476216E-2</v>
      </c>
    </row>
    <row r="13" spans="1:17" x14ac:dyDescent="0.3">
      <c r="A13" s="7">
        <v>0.59265522632382528</v>
      </c>
      <c r="B13" s="8">
        <v>0.11923293178100811</v>
      </c>
      <c r="C13" s="41">
        <v>0.29111158249363872</v>
      </c>
      <c r="D13" s="45">
        <v>0.36053709559688907</v>
      </c>
      <c r="L13" s="1">
        <v>0.50897853709785645</v>
      </c>
      <c r="M13" s="1">
        <v>-0.28990558800219901</v>
      </c>
    </row>
    <row r="14" spans="1:17" x14ac:dyDescent="0.3">
      <c r="A14" s="9">
        <v>1.0229908683678774</v>
      </c>
      <c r="B14" s="2">
        <v>0.87228302724000539</v>
      </c>
      <c r="C14" s="42">
        <v>1.6567295987311401</v>
      </c>
      <c r="D14" s="46">
        <v>1.0678578281030477</v>
      </c>
      <c r="L14" s="1">
        <v>0.65926798966302791</v>
      </c>
      <c r="M14" s="1">
        <v>-0.11011203206449649</v>
      </c>
    </row>
    <row r="15" spans="1:17" x14ac:dyDescent="0.3">
      <c r="A15" s="9">
        <v>-0.78894867708076266</v>
      </c>
      <c r="B15" s="2">
        <v>-0.59616465890503889</v>
      </c>
      <c r="C15" s="42">
        <v>-0.43008576617372157</v>
      </c>
      <c r="D15" s="46">
        <v>-0.44109306791009045</v>
      </c>
      <c r="L15" s="1">
        <v>-0.8128732023585562</v>
      </c>
      <c r="M15" s="1">
        <v>0.32462541894805536</v>
      </c>
    </row>
    <row r="16" spans="1:17" x14ac:dyDescent="0.3">
      <c r="A16" s="9">
        <v>-1.6722692054869748</v>
      </c>
      <c r="B16" s="2">
        <v>-1.6127822877746849</v>
      </c>
      <c r="C16" s="42">
        <v>-0.20101435699839915</v>
      </c>
      <c r="D16" s="46">
        <v>-1.5728062399199434</v>
      </c>
      <c r="L16" s="1">
        <v>-5.9819706840751496E-2</v>
      </c>
      <c r="M16" s="1">
        <v>-0.38127336106933896</v>
      </c>
    </row>
    <row r="17" spans="1:18" x14ac:dyDescent="0.3">
      <c r="A17" s="9">
        <v>0.79649842518679737</v>
      </c>
      <c r="B17" s="2">
        <v>0.79697801769410559</v>
      </c>
      <c r="C17" s="42">
        <v>-0.92724624213115348</v>
      </c>
      <c r="D17" s="46">
        <v>0.69062010409976304</v>
      </c>
      <c r="L17" s="1">
        <v>-0.47570383011254158</v>
      </c>
      <c r="M17" s="1">
        <v>-0.13043074204898564</v>
      </c>
    </row>
    <row r="18" spans="1:18" x14ac:dyDescent="0.3">
      <c r="A18" s="9">
        <v>-0.60775472253589846</v>
      </c>
      <c r="B18" s="2">
        <v>-0.25729211594849033</v>
      </c>
      <c r="C18" s="42">
        <v>0.8121861066616799</v>
      </c>
      <c r="D18" s="46">
        <v>-0.72402136091255365</v>
      </c>
      <c r="L18" s="1">
        <v>-2.2743064902456749</v>
      </c>
      <c r="M18" s="1">
        <v>-0.21801670193227451</v>
      </c>
    </row>
    <row r="19" spans="1:18" x14ac:dyDescent="0.3">
      <c r="A19" s="9">
        <v>0.20761807291598947</v>
      </c>
      <c r="B19" s="2">
        <v>0.45810547473755664</v>
      </c>
      <c r="C19" s="42">
        <v>-0.49931064257285829</v>
      </c>
      <c r="D19" s="46">
        <v>5.4031444844220705E-2</v>
      </c>
    </row>
    <row r="20" spans="1:18" x14ac:dyDescent="0.3">
      <c r="A20" s="9">
        <v>1.1588863342765257</v>
      </c>
      <c r="B20" s="2">
        <v>1.0981980558777047</v>
      </c>
      <c r="C20" s="42">
        <v>-0.31429142746971256</v>
      </c>
      <c r="D20" s="46">
        <v>0.99712575485243182</v>
      </c>
      <c r="L20" s="82" t="s">
        <v>64</v>
      </c>
      <c r="M20" s="82">
        <f>SUM(M4:M18)</f>
        <v>-1.0086326027853572</v>
      </c>
    </row>
    <row r="21" spans="1:18" x14ac:dyDescent="0.3">
      <c r="A21" s="9">
        <v>0.77384918086868948</v>
      </c>
      <c r="B21" s="2">
        <v>0.72167300814820579</v>
      </c>
      <c r="C21" s="42">
        <v>-0.96122936327254649</v>
      </c>
      <c r="D21" s="46">
        <v>0.78492953510058416</v>
      </c>
    </row>
    <row r="22" spans="1:18" x14ac:dyDescent="0.3">
      <c r="A22" s="9">
        <v>0.50205824905139318</v>
      </c>
      <c r="B22" s="2">
        <v>0.68402050337525599</v>
      </c>
      <c r="C22" s="42">
        <v>2.679841806057548E-2</v>
      </c>
      <c r="D22" s="46">
        <v>0.21907294909565747</v>
      </c>
      <c r="L22" s="82" t="s">
        <v>65</v>
      </c>
      <c r="M22" s="82">
        <f>M20/(B8-B9-1)</f>
        <v>-9.1693872980487021E-2</v>
      </c>
    </row>
    <row r="23" spans="1:18" x14ac:dyDescent="0.3">
      <c r="A23" s="9">
        <v>0.81914766950490525</v>
      </c>
      <c r="B23" s="2">
        <v>0.26984295087280763</v>
      </c>
      <c r="C23" s="42">
        <v>-0.38477493798519707</v>
      </c>
      <c r="D23" s="46">
        <v>0.54915595759853142</v>
      </c>
    </row>
    <row r="24" spans="1:18" x14ac:dyDescent="0.3">
      <c r="A24" s="9">
        <v>-0.83424716571697866</v>
      </c>
      <c r="B24" s="2">
        <v>-0.97268970663453769</v>
      </c>
      <c r="C24" s="42">
        <v>0.10483373327414668</v>
      </c>
      <c r="D24" s="46">
        <v>-0.48824778341050085</v>
      </c>
    </row>
    <row r="25" spans="1:18" ht="15" thickBot="1" x14ac:dyDescent="0.35">
      <c r="A25" s="9">
        <v>-1.8874370265090538E-2</v>
      </c>
      <c r="B25" s="2">
        <v>-0.18198710640259055</v>
      </c>
      <c r="C25" s="42">
        <v>2.0368371018682137</v>
      </c>
      <c r="D25" s="46">
        <v>-0.44109306791009045</v>
      </c>
      <c r="L25" s="32"/>
      <c r="M25" s="32"/>
      <c r="N25" s="32"/>
      <c r="O25" s="32"/>
      <c r="P25" s="32"/>
      <c r="Q25" s="32"/>
    </row>
    <row r="26" spans="1:18" ht="18.600000000000001" thickBot="1" x14ac:dyDescent="0.4">
      <c r="A26" s="9">
        <v>-0.56245623389968258</v>
      </c>
      <c r="B26" s="2">
        <v>-0.33259712549439008</v>
      </c>
      <c r="C26" s="42">
        <v>-1.3904235969471894</v>
      </c>
      <c r="D26" s="46">
        <v>-0.60613457216152722</v>
      </c>
      <c r="L26" s="83" t="s">
        <v>3</v>
      </c>
      <c r="M26" s="113" t="s">
        <v>19</v>
      </c>
      <c r="N26" s="114"/>
      <c r="O26" s="115"/>
    </row>
    <row r="27" spans="1:18" ht="15" thickBot="1" x14ac:dyDescent="0.35">
      <c r="A27" s="10">
        <v>-2.3743957793483226</v>
      </c>
      <c r="B27" s="11">
        <v>-2.6293999166443309</v>
      </c>
      <c r="C27" s="43">
        <v>-2.2286739184349078</v>
      </c>
      <c r="D27" s="47">
        <v>-2.4923231921779494</v>
      </c>
      <c r="L27" s="102" t="s">
        <v>20</v>
      </c>
      <c r="M27" s="102"/>
      <c r="N27" s="102"/>
      <c r="O27" s="102"/>
      <c r="P27" s="102"/>
      <c r="Q27" s="102"/>
      <c r="R27" s="102"/>
    </row>
    <row r="28" spans="1:18" ht="15" thickBot="1" x14ac:dyDescent="0.35">
      <c r="L28" s="74" t="s">
        <v>21</v>
      </c>
      <c r="M28" s="74" t="s">
        <v>22</v>
      </c>
    </row>
    <row r="29" spans="1:18" ht="21.6" thickBot="1" x14ac:dyDescent="0.45">
      <c r="A29" s="103" t="s">
        <v>51</v>
      </c>
      <c r="B29" s="104"/>
      <c r="C29" s="104"/>
      <c r="D29" s="105"/>
      <c r="L29" s="46">
        <f t="array" ref="L29:L37">MMULT(A30:C38,J4:J6)*$F$41+$F$40</f>
        <v>18.553083645359731</v>
      </c>
      <c r="M29" s="45">
        <f t="array" ref="M29:M37">(F30:F38-L29:L37)^2</f>
        <v>2.8178734046776883E-3</v>
      </c>
      <c r="O29" s="75" t="s">
        <v>23</v>
      </c>
      <c r="P29" s="76"/>
      <c r="Q29" s="77">
        <f>SUM(M29:M37)/9</f>
        <v>1.9639200802161529</v>
      </c>
    </row>
    <row r="30" spans="1:18" x14ac:dyDescent="0.3">
      <c r="A30" s="9">
        <v>1.2494833115489574</v>
      </c>
      <c r="B30" s="2">
        <v>1.6253331226990022</v>
      </c>
      <c r="C30" s="42">
        <v>-0.54839737311042758</v>
      </c>
      <c r="D30" s="46">
        <v>1.5158276253569476</v>
      </c>
      <c r="F30" s="4">
        <v>18.5</v>
      </c>
      <c r="L30" s="46">
        <v>14.833731906527452</v>
      </c>
      <c r="M30" s="46">
        <v>4.9895582302387691</v>
      </c>
    </row>
    <row r="31" spans="1:18" x14ac:dyDescent="0.3">
      <c r="A31" s="9">
        <v>0.29821505018842154</v>
      </c>
      <c r="B31" s="2">
        <v>0.94758803678590509</v>
      </c>
      <c r="C31" s="42">
        <v>0.9732912735542163</v>
      </c>
      <c r="D31" s="46">
        <v>0.12476351809483628</v>
      </c>
      <c r="F31" s="4">
        <v>12.6</v>
      </c>
      <c r="L31" s="46">
        <v>16.646861354579965</v>
      </c>
      <c r="M31" s="46">
        <v>0.72784554830913251</v>
      </c>
    </row>
    <row r="32" spans="1:18" x14ac:dyDescent="0.3">
      <c r="A32" s="9">
        <v>0.97769237973166156</v>
      </c>
      <c r="B32" s="2">
        <v>0.49575797951050654</v>
      </c>
      <c r="C32" s="42">
        <v>-6.1305970083779408E-2</v>
      </c>
      <c r="D32" s="46">
        <v>1.280054047854895</v>
      </c>
      <c r="F32" s="4">
        <v>17.5</v>
      </c>
      <c r="L32" s="46">
        <v>6.5395434285776934</v>
      </c>
      <c r="M32" s="46">
        <v>2.688102654192297</v>
      </c>
    </row>
    <row r="33" spans="1:13" x14ac:dyDescent="0.3">
      <c r="A33" s="9">
        <v>-1.5816722282145426</v>
      </c>
      <c r="B33" s="2">
        <v>-1.5374772782287853</v>
      </c>
      <c r="C33" s="42">
        <v>-0.64908810241826176</v>
      </c>
      <c r="D33" s="46">
        <v>-1.6906930286709698</v>
      </c>
      <c r="F33" s="4">
        <v>4.9000000000000004</v>
      </c>
      <c r="L33" s="46">
        <v>15.851048126804042</v>
      </c>
      <c r="M33" s="46">
        <v>2.3962858893932333E-3</v>
      </c>
    </row>
    <row r="34" spans="1:13" x14ac:dyDescent="0.3">
      <c r="A34" s="9">
        <v>0.68325220359625738</v>
      </c>
      <c r="B34" s="2">
        <v>0.68402050337525599</v>
      </c>
      <c r="C34" s="42">
        <v>0.56423518574113796</v>
      </c>
      <c r="D34" s="46">
        <v>0.90281632385161059</v>
      </c>
      <c r="F34" s="4">
        <v>15.9</v>
      </c>
      <c r="L34" s="46">
        <v>9.2206112326955019</v>
      </c>
      <c r="M34" s="46">
        <v>0.51928054868693074</v>
      </c>
    </row>
    <row r="35" spans="1:13" x14ac:dyDescent="0.3">
      <c r="A35" s="9">
        <v>-0.94749338730751864</v>
      </c>
      <c r="B35" s="2">
        <v>-0.82207968754273819</v>
      </c>
      <c r="C35" s="42">
        <v>0.23195577902528716</v>
      </c>
      <c r="D35" s="46">
        <v>-0.84190814966357996</v>
      </c>
      <c r="F35" s="4">
        <v>8.5</v>
      </c>
      <c r="L35" s="46">
        <v>10.447953637747222</v>
      </c>
      <c r="M35" s="46">
        <v>2.3118096274302828E-2</v>
      </c>
    </row>
    <row r="36" spans="1:13" x14ac:dyDescent="0.3">
      <c r="A36" s="9">
        <v>-0.65305321117211468</v>
      </c>
      <c r="B36" s="2">
        <v>-0.52085964935913953</v>
      </c>
      <c r="C36" s="42">
        <v>8.9730123877971829E-2</v>
      </c>
      <c r="D36" s="46">
        <v>-0.34678363690926928</v>
      </c>
      <c r="F36" s="4">
        <v>10.6</v>
      </c>
      <c r="L36" s="46">
        <v>16.411996020901629</v>
      </c>
      <c r="M36" s="46">
        <v>6.3101240090256159</v>
      </c>
    </row>
    <row r="37" spans="1:13" ht="15" thickBot="1" x14ac:dyDescent="0.35">
      <c r="A37" s="9">
        <v>0.84179691382301325</v>
      </c>
      <c r="B37" s="2">
        <v>0.72167300814820579</v>
      </c>
      <c r="C37" s="42">
        <v>-0.15822079704257019</v>
      </c>
      <c r="D37" s="46">
        <v>0.43126916884750505</v>
      </c>
      <c r="F37" s="4">
        <v>13.9</v>
      </c>
      <c r="L37" s="47">
        <v>13.34692644220428</v>
      </c>
      <c r="M37" s="47">
        <v>2.4120374759242562</v>
      </c>
    </row>
    <row r="38" spans="1:13" ht="15" thickBot="1" x14ac:dyDescent="0.35">
      <c r="A38" s="10">
        <v>0.11702109564355738</v>
      </c>
      <c r="B38" s="11">
        <v>-3.1377087310791432E-2</v>
      </c>
      <c r="C38" s="43">
        <v>1.9663535913527295</v>
      </c>
      <c r="D38" s="47">
        <v>0.66704274634955785</v>
      </c>
      <c r="F38" s="4">
        <v>14.9</v>
      </c>
    </row>
    <row r="40" spans="1:13" x14ac:dyDescent="0.3">
      <c r="E40" t="s">
        <v>66</v>
      </c>
      <c r="F40">
        <f>AVERAGE(F30:F38)</f>
        <v>13.033333333333335</v>
      </c>
    </row>
    <row r="41" spans="1:13" x14ac:dyDescent="0.3">
      <c r="E41" t="s">
        <v>49</v>
      </c>
      <c r="F41">
        <f>STDEV(F30:F38)</f>
        <v>4.4031238910573398</v>
      </c>
    </row>
  </sheetData>
  <mergeCells count="7">
    <mergeCell ref="A3:C3"/>
    <mergeCell ref="A10:D10"/>
    <mergeCell ref="A12:C12"/>
    <mergeCell ref="O2:Q2"/>
    <mergeCell ref="A29:D29"/>
    <mergeCell ref="M26:O26"/>
    <mergeCell ref="L27:R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4d5a05-beb2-456a-93b5-5f3e2eb45599" xsi:nil="true"/>
    <lcf76f155ced4ddcb4097134ff3c332f xmlns="f9bedc30-4342-40af-928b-b3397f58523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37F17E451EC43BD6F489C98DBF25D" ma:contentTypeVersion="11" ma:contentTypeDescription="Crée un document." ma:contentTypeScope="" ma:versionID="eb706b8fceafde208e4cb0a1547a688d">
  <xsd:schema xmlns:xsd="http://www.w3.org/2001/XMLSchema" xmlns:xs="http://www.w3.org/2001/XMLSchema" xmlns:p="http://schemas.microsoft.com/office/2006/metadata/properties" xmlns:ns2="a14d5a05-beb2-456a-93b5-5f3e2eb45599" xmlns:ns3="f9bedc30-4342-40af-928b-b3397f585232" targetNamespace="http://schemas.microsoft.com/office/2006/metadata/properties" ma:root="true" ma:fieldsID="732a364cbf38cb4b3d1a8bd7b6414603" ns2:_="" ns3:_="">
    <xsd:import namespace="a14d5a05-beb2-456a-93b5-5f3e2eb45599"/>
    <xsd:import namespace="f9bedc30-4342-40af-928b-b3397f5852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d5a05-beb2-456a-93b5-5f3e2eb455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95a3a1a-e634-49d7-9eb9-1c48c3f60773}" ma:internalName="TaxCatchAll" ma:showField="CatchAllData" ma:web="a14d5a05-beb2-456a-93b5-5f3e2eb45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edc30-4342-40af-928b-b3397f585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1CD648-E7C2-4306-BF0A-15BC8AA370C1}">
  <ds:schemaRefs>
    <ds:schemaRef ds:uri="http://schemas.microsoft.com/office/2006/metadata/properties"/>
    <ds:schemaRef ds:uri="http://schemas.microsoft.com/office/infopath/2007/PartnerControls"/>
    <ds:schemaRef ds:uri="a14d5a05-beb2-456a-93b5-5f3e2eb45599"/>
    <ds:schemaRef ds:uri="f9bedc30-4342-40af-928b-b3397f585232"/>
  </ds:schemaRefs>
</ds:datastoreItem>
</file>

<file path=customXml/itemProps2.xml><?xml version="1.0" encoding="utf-8"?>
<ds:datastoreItem xmlns:ds="http://schemas.openxmlformats.org/officeDocument/2006/customXml" ds:itemID="{8A772C65-F039-4E71-9BBB-FC6047773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d5a05-beb2-456a-93b5-5f3e2eb45599"/>
    <ds:schemaRef ds:uri="f9bedc30-4342-40af-928b-b3397f5852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353330-C178-4984-AD07-390FD8515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Entrainement - Estimateur MCO</vt:lpstr>
      <vt:lpstr>Entrainement - Données centrées</vt:lpstr>
      <vt:lpstr>Ridge avec lambda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Nisrine Fortin</dc:creator>
  <cp:keywords/>
  <dc:description/>
  <cp:lastModifiedBy>Pauly Alexandre</cp:lastModifiedBy>
  <cp:revision/>
  <dcterms:created xsi:type="dcterms:W3CDTF">2021-11-01T08:03:08Z</dcterms:created>
  <dcterms:modified xsi:type="dcterms:W3CDTF">2023-11-28T15:31:18Z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0x01010049437F17E451EC43BD6F489C98DBF25D</vt:lpwstr>
  </property>
  <property fmtid="{D5CDD505-2E9C-101B-9397-08002B2CF9AE}" pid="3" name="MediaServiceImageTags">
    <vt:lpwstr/>
  </property>
</Properties>
</file>