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837623f5703f51/Área de Trabalho/"/>
    </mc:Choice>
  </mc:AlternateContent>
  <xr:revisionPtr revIDLastSave="19" documentId="8_{33586F15-B5D2-4E0E-B303-477AEFA36D91}" xr6:coauthVersionLast="47" xr6:coauthVersionMax="47" xr10:uidLastSave="{B651F50C-5305-4121-8769-09D95CBE3C4D}"/>
  <bookViews>
    <workbookView xWindow="-110" yWindow="-110" windowWidth="19420" windowHeight="10300" xr2:uid="{7172CF4F-AE7D-43D7-B27D-7F468EA79A39}"/>
  </bookViews>
  <sheets>
    <sheet name="Section 3 Results" sheetId="2" r:id="rId1"/>
    <sheet name="Section 4 Results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3" l="1"/>
  <c r="L5" i="3" s="1"/>
  <c r="F5" i="3"/>
  <c r="G5" i="3" s="1"/>
  <c r="H5" i="3" s="1"/>
  <c r="F6" i="3"/>
  <c r="G6" i="3" s="1"/>
  <c r="H6" i="3" s="1"/>
  <c r="F7" i="3"/>
  <c r="F8" i="3"/>
  <c r="G8" i="3" s="1"/>
  <c r="F9" i="3"/>
  <c r="G9" i="3" s="1"/>
  <c r="H9" i="3" s="1"/>
  <c r="F10" i="3"/>
  <c r="G10" i="3" s="1"/>
  <c r="F11" i="3"/>
  <c r="G11" i="3" s="1"/>
  <c r="F12" i="3"/>
  <c r="G12" i="3" s="1"/>
  <c r="H12" i="3" s="1"/>
  <c r="F13" i="3"/>
  <c r="G13" i="3" s="1"/>
  <c r="H13" i="3" s="1"/>
  <c r="F14" i="3"/>
  <c r="G14" i="3" s="1"/>
  <c r="F15" i="3"/>
  <c r="F16" i="3"/>
  <c r="K6" i="3"/>
  <c r="L6" i="3" s="1"/>
  <c r="K7" i="3"/>
  <c r="L7" i="3" s="1"/>
  <c r="K8" i="3"/>
  <c r="L8" i="3" s="1"/>
  <c r="K9" i="3"/>
  <c r="L9" i="3" s="1"/>
  <c r="K10" i="3"/>
  <c r="L10" i="3" s="1"/>
  <c r="K11" i="3"/>
  <c r="L11" i="3" s="1"/>
  <c r="K12" i="3"/>
  <c r="L12" i="3" s="1"/>
  <c r="K13" i="3"/>
  <c r="L13" i="3" s="1"/>
  <c r="K14" i="3"/>
  <c r="L14" i="3" s="1"/>
  <c r="K15" i="3"/>
  <c r="L15" i="3" s="1"/>
  <c r="K16" i="3"/>
  <c r="L16" i="3" s="1"/>
  <c r="H16" i="3"/>
  <c r="H8" i="3" l="1"/>
  <c r="H14" i="3"/>
  <c r="G15" i="3"/>
  <c r="H15" i="3" s="1"/>
  <c r="G7" i="3"/>
  <c r="H7" i="3" s="1"/>
  <c r="H11" i="3"/>
  <c r="H10" i="3"/>
  <c r="J10" i="2" l="1"/>
  <c r="O10" i="2" s="1"/>
  <c r="T10" i="2" l="1"/>
  <c r="S10" i="2"/>
  <c r="X10" i="2" s="1"/>
  <c r="R10" i="2"/>
  <c r="Q10" i="2"/>
  <c r="F10" i="2"/>
  <c r="G10" i="2" s="1"/>
  <c r="H10" i="2" s="1"/>
  <c r="I10" i="2" s="1"/>
  <c r="T9" i="2"/>
  <c r="S9" i="2"/>
  <c r="X9" i="2" s="1"/>
  <c r="R9" i="2"/>
  <c r="Q9" i="2"/>
  <c r="J9" i="2"/>
  <c r="O9" i="2" s="1"/>
  <c r="F9" i="2"/>
  <c r="G9" i="2" s="1"/>
  <c r="H9" i="2" s="1"/>
  <c r="I9" i="2" s="1"/>
  <c r="T8" i="2"/>
  <c r="S8" i="2"/>
  <c r="X8" i="2" s="1"/>
  <c r="R8" i="2"/>
  <c r="Q8" i="2"/>
  <c r="J8" i="2"/>
  <c r="O8" i="2" s="1"/>
  <c r="F8" i="2"/>
  <c r="G8" i="2" s="1"/>
  <c r="H8" i="2" s="1"/>
  <c r="I8" i="2" s="1"/>
  <c r="T7" i="2"/>
  <c r="S7" i="2"/>
  <c r="X7" i="2" s="1"/>
  <c r="R7" i="2"/>
  <c r="Q7" i="2"/>
  <c r="J7" i="2"/>
  <c r="O7" i="2" s="1"/>
  <c r="F7" i="2"/>
  <c r="G7" i="2" s="1"/>
  <c r="H7" i="2" s="1"/>
  <c r="I7" i="2" s="1"/>
  <c r="T6" i="2"/>
  <c r="S6" i="2"/>
  <c r="V6" i="2" s="1"/>
  <c r="R6" i="2"/>
  <c r="Q6" i="2"/>
  <c r="J6" i="2"/>
  <c r="O6" i="2" s="1"/>
  <c r="F6" i="2"/>
  <c r="G6" i="2" l="1"/>
  <c r="H6" i="2" s="1"/>
  <c r="I6" i="2" s="1"/>
  <c r="L6" i="2" s="1"/>
  <c r="X6" i="2"/>
  <c r="V10" i="2"/>
  <c r="V9" i="2"/>
  <c r="V8" i="2"/>
  <c r="V7" i="2"/>
  <c r="L7" i="2"/>
  <c r="K7" i="2"/>
  <c r="L8" i="2"/>
  <c r="K8" i="2"/>
  <c r="L10" i="2"/>
  <c r="K10" i="2"/>
  <c r="L9" i="2"/>
  <c r="K9" i="2"/>
  <c r="K6" i="2" l="1"/>
</calcChain>
</file>

<file path=xl/sharedStrings.xml><?xml version="1.0" encoding="utf-8"?>
<sst xmlns="http://schemas.openxmlformats.org/spreadsheetml/2006/main" count="75" uniqueCount="70">
  <si>
    <t>p (Ω.m)</t>
  </si>
  <si>
    <t>Cg (m)</t>
  </si>
  <si>
    <t>pcu(Ω/mm².km)</t>
  </si>
  <si>
    <t>A (mm²)</t>
  </si>
  <si>
    <t>Rs (Ω/km)</t>
  </si>
  <si>
    <t xml:space="preserve">Zs (Ω/km) </t>
  </si>
  <si>
    <t>1,3439069021425247+0,5298764706375344i</t>
  </si>
  <si>
    <t>3,582376770583496+0,7067946590924175i</t>
  </si>
  <si>
    <t>59,91921539522289+0,7443470526300021i</t>
  </si>
  <si>
    <t>116,79795067665087+0,6319137801647258i</t>
  </si>
  <si>
    <t>6,04335854491927+2,965067414146472i</t>
  </si>
  <si>
    <t>Parameter k survey</t>
  </si>
  <si>
    <t>Results obtained by computer simulation of the case study in COMSOL</t>
  </si>
  <si>
    <r>
      <rPr>
        <b/>
        <sz val="11"/>
        <color theme="1"/>
        <rFont val="Calibri"/>
        <family val="2"/>
      </rPr>
      <t>ρ</t>
    </r>
    <r>
      <rPr>
        <b/>
        <sz val="11"/>
        <color theme="1"/>
        <rFont val="Calibri"/>
        <family val="2"/>
        <scheme val="minor"/>
      </rPr>
      <t xml:space="preserve"> (m)</t>
    </r>
  </si>
  <si>
    <t>Results obtained by computer simulation of the case study using COMSOL ( Electromagnetic Field Modeling ) and ATP ( Lumped Parameter Modeling )</t>
  </si>
  <si>
    <t>Where:</t>
  </si>
  <si>
    <t>h is the depth of burial (m)</t>
  </si>
  <si>
    <t>h (m)</t>
  </si>
  <si>
    <t>L (m)</t>
  </si>
  <si>
    <t>ρ is the medium earth resistivity (Ω.m)</t>
  </si>
  <si>
    <t>Cg is the geometric mean radius of the electrode (m)</t>
  </si>
  <si>
    <t>Zs is the horizontal electrodes self-impedance (Ω)</t>
  </si>
  <si>
    <t>Rp is the horizontal electrodes grounding resistance (Ω)</t>
  </si>
  <si>
    <t>Rf corresponds to the turbine grounding resistance (Ω)</t>
  </si>
  <si>
    <t>L is the length of the horizontal electrode (m)</t>
  </si>
  <si>
    <t>A is the cross-sectional area of the horizontal eletrode (mm2)</t>
  </si>
  <si>
    <t>pcu is the resistivity of copper (Ω/mm².km)</t>
  </si>
  <si>
    <r>
      <t>Rs is the series resistance of the horizontal electrode   (</t>
    </r>
    <r>
      <rPr>
        <sz val="11"/>
        <color theme="1"/>
        <rFont val="Calibri"/>
        <family val="2"/>
      </rPr>
      <t>Ω</t>
    </r>
    <r>
      <rPr>
        <sz val="11"/>
        <color theme="1"/>
        <rFont val="Arial"/>
        <family val="2"/>
      </rPr>
      <t>/km)</t>
    </r>
  </si>
  <si>
    <t>Zs_lumped (Ω)</t>
  </si>
  <si>
    <t>Rp_lumped (Ω)</t>
  </si>
  <si>
    <t>Rs_lumped (Ω)</t>
  </si>
  <si>
    <t>Lp_lumped (H)</t>
  </si>
  <si>
    <t>INPUT PARAMETERS</t>
  </si>
  <si>
    <t>Rc (Ω)</t>
  </si>
  <si>
    <t>k</t>
  </si>
  <si>
    <t>Project data</t>
  </si>
  <si>
    <t>Lumped parameter modeling using ATP</t>
  </si>
  <si>
    <t>Electromagnetic Field Modeling using COMSOL</t>
  </si>
  <si>
    <t>Lumped parameter modeling according Section 3</t>
  </si>
  <si>
    <t>Rf (Ω)</t>
  </si>
  <si>
    <t>Lumped port impedance (Ω)</t>
  </si>
  <si>
    <t>R (Ω)</t>
  </si>
  <si>
    <t>X (Ω)</t>
  </si>
  <si>
    <t>|Zmed| (Ω)</t>
  </si>
  <si>
    <t>θ (°)</t>
  </si>
  <si>
    <t>|Zmed|(Ω) [23]</t>
  </si>
  <si>
    <t>Erro (%) [23]</t>
  </si>
  <si>
    <t>Erro (%) [Proposed]</t>
  </si>
  <si>
    <t>|Zmed|(Ω) [Proposed]</t>
  </si>
  <si>
    <t>COMPUTACIONAL SIMULATION RESULTS</t>
  </si>
  <si>
    <t>Rc is the resistance parallel to the measurement loop to represent the mutual resistance between the turbine grounding under test and its adjacent horizontal electrode</t>
  </si>
  <si>
    <t>k is the adjustment parameter introduced to tuning the model</t>
  </si>
  <si>
    <t>AE</t>
  </si>
  <si>
    <t>AE is the expected absolute error caused by mutual coupling between nearby electrodes and modeling of the horizontal electrode through lumped parameter (%).</t>
  </si>
  <si>
    <t>L is the length of the horizontal electrode (m).</t>
  </si>
  <si>
    <t>ρ is the medium earth resistivity (Ω.m).</t>
  </si>
  <si>
    <t>Rp (Ω)</t>
  </si>
  <si>
    <t>2.Rp (Ω)</t>
  </si>
  <si>
    <t>Semisphere_rp(Ω)</t>
  </si>
  <si>
    <t>Rmed_wire_10L (Ω)</t>
  </si>
  <si>
    <t>Rmed_wire_11.4m (Ω)</t>
  </si>
  <si>
    <t>Rmed_lumped_10L  (Ω)</t>
  </si>
  <si>
    <t>Rmed_lumped_11.4m (Ω)</t>
  </si>
  <si>
    <t>Rmed_wire_10L  is the clamp-on reading taken with a distance of 10L between the turbine grounding and the horizontal electrode wire (Ω).</t>
  </si>
  <si>
    <t>Rmed_wire_11.4m is the clamp-on reading taken with a distance of 11.4 m between the turbine grounding and the horizontal electrode wire (Ω).</t>
  </si>
  <si>
    <t>Semisphere_rp is the radius of the two semi-spherical electrodes that represent a horizontal electrode according to the lumped parameter modeling (m) .</t>
  </si>
  <si>
    <t>Rmed_lumped_10L is the clamp-on reading taken with a distance of 10L between the turbine grounding and the horizontal electrode represented by semi-spheres (Ω) .</t>
  </si>
  <si>
    <t>Rmed_lumped_11.4m is the clamp-on reading taken with a distance of 11.4 m between the turbine grounding and the horizontal electrode represented by semi-spheres (Ω) .</t>
  </si>
  <si>
    <t>Rf  is the grounding resistance of the turbine grounding (Ω).</t>
  </si>
  <si>
    <t>Rp is the grounding resistance of the horizontal electrode  (Ω).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</si>
</sst>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000"/>
    <numFmt numFmtId="166" formatCode="0.0E+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4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7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6">
    <xf numFmtId="0" fontId="0" fillId="0" borderId="0" xfId="0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9" fillId="0" borderId="0" xfId="0" applyFont="1"/>
    <xf numFmtId="0" fontId="6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11" fontId="7" fillId="3" borderId="1" xfId="0" applyNumberFormat="1" applyFon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0" fontId="0" fillId="2" borderId="1" xfId="1" applyNumberFormat="1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 wrapText="1"/>
    </xf>
    <xf numFmtId="165" fontId="0" fillId="3" borderId="6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11" fontId="0" fillId="3" borderId="8" xfId="0" applyNumberFormat="1" applyFill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  <xf numFmtId="165" fontId="0" fillId="3" borderId="9" xfId="0" applyNumberForma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0" fontId="0" fillId="2" borderId="6" xfId="1" applyNumberFormat="1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0" fontId="0" fillId="2" borderId="8" xfId="1" applyNumberFormat="1" applyFont="1" applyFill="1" applyBorder="1" applyAlignment="1">
      <alignment horizontal="center"/>
    </xf>
    <xf numFmtId="10" fontId="0" fillId="2" borderId="9" xfId="1" applyNumberFormat="1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 wrapText="1"/>
    </xf>
    <xf numFmtId="0" fontId="7" fillId="3" borderId="8" xfId="0" applyFont="1" applyFill="1" applyBorder="1" applyAlignment="1">
      <alignment horizontal="center"/>
    </xf>
    <xf numFmtId="2" fontId="7" fillId="3" borderId="8" xfId="0" applyNumberFormat="1" applyFont="1" applyFill="1" applyBorder="1" applyAlignment="1">
      <alignment horizontal="center"/>
    </xf>
    <xf numFmtId="11" fontId="7" fillId="3" borderId="8" xfId="0" applyNumberFormat="1" applyFont="1" applyFill="1" applyBorder="1" applyAlignment="1">
      <alignment horizontal="center"/>
    </xf>
    <xf numFmtId="0" fontId="0" fillId="3" borderId="6" xfId="0" applyFill="1" applyBorder="1"/>
    <xf numFmtId="0" fontId="0" fillId="3" borderId="9" xfId="0" applyFill="1" applyBorder="1"/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3" xfId="0" applyFill="1" applyBorder="1"/>
    <xf numFmtId="0" fontId="0" fillId="3" borderId="4" xfId="0" applyFill="1" applyBorder="1"/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4" borderId="1" xfId="2" applyNumberFormat="1" applyFont="1" applyFill="1" applyBorder="1" applyAlignment="1">
      <alignment horizontal="center"/>
    </xf>
    <xf numFmtId="0" fontId="11" fillId="0" borderId="0" xfId="0" applyFont="1"/>
    <xf numFmtId="1" fontId="0" fillId="4" borderId="1" xfId="0" applyNumberForma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2" fontId="2" fillId="5" borderId="11" xfId="0" applyNumberFormat="1" applyFont="1" applyFill="1" applyBorder="1" applyAlignment="1">
      <alignment horizontal="center"/>
    </xf>
    <xf numFmtId="2" fontId="2" fillId="5" borderId="11" xfId="0" applyNumberFormat="1" applyFont="1" applyFill="1" applyBorder="1" applyAlignment="1">
      <alignment horizontal="center" wrapText="1"/>
    </xf>
    <xf numFmtId="2" fontId="2" fillId="5" borderId="12" xfId="0" applyNumberFormat="1" applyFont="1" applyFill="1" applyBorder="1" applyAlignment="1">
      <alignment horizontal="center"/>
    </xf>
    <xf numFmtId="1" fontId="0" fillId="4" borderId="13" xfId="0" applyNumberForma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1" fontId="0" fillId="4" borderId="15" xfId="0" applyNumberFormat="1" applyFill="1" applyBorder="1" applyAlignment="1">
      <alignment horizontal="center"/>
    </xf>
    <xf numFmtId="1" fontId="0" fillId="4" borderId="16" xfId="0" applyNumberFormat="1" applyFill="1" applyBorder="1" applyAlignment="1">
      <alignment horizontal="center"/>
    </xf>
    <xf numFmtId="2" fontId="0" fillId="4" borderId="16" xfId="0" applyNumberFormat="1" applyFill="1" applyBorder="1" applyAlignment="1">
      <alignment horizontal="center"/>
    </xf>
    <xf numFmtId="2" fontId="0" fillId="4" borderId="16" xfId="2" applyNumberFormat="1" applyFont="1" applyFill="1" applyBorder="1" applyAlignment="1">
      <alignment horizontal="center"/>
    </xf>
    <xf numFmtId="2" fontId="0" fillId="0" borderId="17" xfId="0" applyNumberFormat="1" applyBorder="1" applyAlignment="1">
      <alignment horizontal="center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4</xdr:row>
          <xdr:rowOff>0</xdr:rowOff>
        </xdr:from>
        <xdr:to>
          <xdr:col>6</xdr:col>
          <xdr:colOff>127000</xdr:colOff>
          <xdr:row>4</xdr:row>
          <xdr:rowOff>12700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4</xdr:row>
          <xdr:rowOff>0</xdr:rowOff>
        </xdr:from>
        <xdr:to>
          <xdr:col>4</xdr:col>
          <xdr:colOff>139700</xdr:colOff>
          <xdr:row>4</xdr:row>
          <xdr:rowOff>12700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4</xdr:row>
          <xdr:rowOff>0</xdr:rowOff>
        </xdr:from>
        <xdr:to>
          <xdr:col>3</xdr:col>
          <xdr:colOff>133350</xdr:colOff>
          <xdr:row>4</xdr:row>
          <xdr:rowOff>31750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4</xdr:row>
          <xdr:rowOff>0</xdr:rowOff>
        </xdr:from>
        <xdr:to>
          <xdr:col>6</xdr:col>
          <xdr:colOff>127000</xdr:colOff>
          <xdr:row>4</xdr:row>
          <xdr:rowOff>12700</xdr:rowOff>
        </xdr:to>
        <xdr:sp macro="" textlink="">
          <xdr:nvSpPr>
            <xdr:cNvPr id="2058" name="Object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4</xdr:row>
          <xdr:rowOff>0</xdr:rowOff>
        </xdr:from>
        <xdr:to>
          <xdr:col>4</xdr:col>
          <xdr:colOff>139700</xdr:colOff>
          <xdr:row>4</xdr:row>
          <xdr:rowOff>12700</xdr:rowOff>
        </xdr:to>
        <xdr:sp macro="" textlink="">
          <xdr:nvSpPr>
            <xdr:cNvPr id="2059" name="Object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4</xdr:row>
          <xdr:rowOff>0</xdr:rowOff>
        </xdr:from>
        <xdr:to>
          <xdr:col>3</xdr:col>
          <xdr:colOff>133350</xdr:colOff>
          <xdr:row>4</xdr:row>
          <xdr:rowOff>31750</xdr:rowOff>
        </xdr:to>
        <xdr:sp macro="" textlink="">
          <xdr:nvSpPr>
            <xdr:cNvPr id="2060" name="Object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26837623f5703f51/&#193;rea%20de%20Trabalho/Mutual%20resistance%20paper/principal_1.xlsx" TargetMode="External"/><Relationship Id="rId1" Type="http://schemas.openxmlformats.org/officeDocument/2006/relationships/externalLinkPath" Target="Mutual%20resistance%20paper/principal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eral"/>
      <sheetName val="0,011or1mHE"/>
      <sheetName val="Planilha1"/>
      <sheetName val="L_topology_width1m"/>
      <sheetName val="Entendendo_a_Mutua_width_1m"/>
      <sheetName val="eletrodos_horizontais"/>
      <sheetName val="T_topology_width1m"/>
      <sheetName val="Planilha2"/>
      <sheetName val="T_topology_width3m"/>
      <sheetName val="Delta_erro"/>
      <sheetName val="lenght_300_mag"/>
      <sheetName val="1572Hz"/>
      <sheetName val="DC_fine"/>
      <sheetName val="DC_finer"/>
      <sheetName val="60_1572_25000"/>
    </sheetNames>
    <sheetDataSet>
      <sheetData sheetId="0"/>
      <sheetData sheetId="1"/>
      <sheetData sheetId="2"/>
      <sheetData sheetId="3"/>
      <sheetData sheetId="4">
        <row r="191">
          <cell r="A191">
            <v>10</v>
          </cell>
          <cell r="H191">
            <v>1.0040465815490019E-2</v>
          </cell>
          <cell r="M191">
            <v>-6.9339488610386302E-2</v>
          </cell>
          <cell r="R191">
            <v>0.36861442839884295</v>
          </cell>
        </row>
        <row r="192">
          <cell r="A192">
            <v>20</v>
          </cell>
          <cell r="H192">
            <v>0.18985856339322249</v>
          </cell>
          <cell r="M192">
            <v>-6.3946855546360398E-2</v>
          </cell>
          <cell r="R192">
            <v>0.98233375864969352</v>
          </cell>
        </row>
        <row r="193">
          <cell r="A193">
            <v>30</v>
          </cell>
          <cell r="H193">
            <v>0.43451045047073678</v>
          </cell>
          <cell r="M193">
            <v>-5.6144894489975172E-2</v>
          </cell>
          <cell r="R193">
            <v>1.7199266909378175</v>
          </cell>
        </row>
        <row r="194">
          <cell r="A194">
            <v>40</v>
          </cell>
          <cell r="H194">
            <v>0.73723048327219953</v>
          </cell>
          <cell r="M194">
            <v>-4.7230617120347387E-2</v>
          </cell>
          <cell r="R194">
            <v>2.7331567417781333</v>
          </cell>
        </row>
        <row r="195">
          <cell r="A195">
            <v>50</v>
          </cell>
          <cell r="H195">
            <v>1.0760132597443359</v>
          </cell>
          <cell r="M195">
            <v>-3.769669479341814E-2</v>
          </cell>
          <cell r="R195">
            <v>3.7939520646257594</v>
          </cell>
        </row>
        <row r="196">
          <cell r="A196">
            <v>60</v>
          </cell>
          <cell r="H196">
            <v>1.4652035554199845</v>
          </cell>
          <cell r="M196">
            <v>-2.7008264407689463E-2</v>
          </cell>
          <cell r="R196">
            <v>5.0870891637898552</v>
          </cell>
        </row>
        <row r="197">
          <cell r="A197">
            <v>70</v>
          </cell>
          <cell r="H197">
            <v>1.9316443541008166</v>
          </cell>
          <cell r="M197">
            <v>-1.7017019162537263E-2</v>
          </cell>
          <cell r="R197">
            <v>7.3021999248824727</v>
          </cell>
        </row>
        <row r="198">
          <cell r="A198">
            <v>80</v>
          </cell>
          <cell r="H198">
            <v>2.2996593677766439</v>
          </cell>
          <cell r="M198">
            <v>-5.3269083231655906E-3</v>
          </cell>
          <cell r="R198">
            <v>7.9991130753821142</v>
          </cell>
        </row>
        <row r="199">
          <cell r="A199">
            <v>90</v>
          </cell>
          <cell r="H199">
            <v>2.793368330036524</v>
          </cell>
          <cell r="M199">
            <v>5.2241829749568149E-3</v>
          </cell>
          <cell r="R199">
            <v>9.7874423595009006</v>
          </cell>
        </row>
        <row r="200">
          <cell r="A200">
            <v>100</v>
          </cell>
          <cell r="H200">
            <v>3.278190380995615</v>
          </cell>
          <cell r="M200">
            <v>1.6392074549994737E-2</v>
          </cell>
          <cell r="R200">
            <v>12.101141093471156</v>
          </cell>
        </row>
        <row r="201">
          <cell r="A201">
            <v>150</v>
          </cell>
          <cell r="H201">
            <v>5.8795089066894777</v>
          </cell>
          <cell r="M201">
            <v>7.1245198513595606E-2</v>
          </cell>
          <cell r="R201">
            <v>23.781244195634692</v>
          </cell>
        </row>
        <row r="202">
          <cell r="A202">
            <v>200</v>
          </cell>
          <cell r="H202">
            <v>8.5651822226090353</v>
          </cell>
          <cell r="M202">
            <v>0.13202954962470789</v>
          </cell>
          <cell r="R202">
            <v>32.729917759453372</v>
          </cell>
        </row>
        <row r="203">
          <cell r="A203">
            <v>250</v>
          </cell>
          <cell r="H203">
            <v>11.674682194004108</v>
          </cell>
          <cell r="M203">
            <v>0.1863465090160237</v>
          </cell>
          <cell r="R203">
            <v>43.292628944877308</v>
          </cell>
        </row>
        <row r="204">
          <cell r="A204">
            <v>300</v>
          </cell>
          <cell r="H204">
            <v>14.189026594383311</v>
          </cell>
          <cell r="M204">
            <v>0.23831380658954071</v>
          </cell>
          <cell r="R204">
            <v>48.879634356835467</v>
          </cell>
        </row>
        <row r="205">
          <cell r="A205">
            <v>350</v>
          </cell>
          <cell r="H205">
            <v>15.864075984983042</v>
          </cell>
          <cell r="M205">
            <v>0.29704338284622084</v>
          </cell>
          <cell r="R205">
            <v>52.033622175413711</v>
          </cell>
        </row>
        <row r="206">
          <cell r="A206">
            <v>400</v>
          </cell>
          <cell r="H206">
            <v>18.435060499390612</v>
          </cell>
          <cell r="M206">
            <v>0.33117676361350062</v>
          </cell>
          <cell r="R206">
            <v>57.14569569897651</v>
          </cell>
        </row>
        <row r="207">
          <cell r="A207">
            <v>500</v>
          </cell>
          <cell r="H207">
            <v>22.602547169358065</v>
          </cell>
          <cell r="M207">
            <v>0.44692175191612327</v>
          </cell>
          <cell r="R207">
            <v>62.609044743056636</v>
          </cell>
        </row>
        <row r="208">
          <cell r="A208">
            <v>600</v>
          </cell>
          <cell r="H208">
            <v>26.783068953550664</v>
          </cell>
          <cell r="M208">
            <v>0.50857246039153037</v>
          </cell>
          <cell r="R208">
            <v>65.898689247835549</v>
          </cell>
        </row>
        <row r="209">
          <cell r="A209">
            <v>800</v>
          </cell>
          <cell r="H209">
            <v>32.494710910036702</v>
          </cell>
          <cell r="M209">
            <v>0.72560055872290785</v>
          </cell>
          <cell r="R209">
            <v>70.295113409827565</v>
          </cell>
        </row>
        <row r="210">
          <cell r="A210">
            <v>1000</v>
          </cell>
          <cell r="H210">
            <v>37.823873901401463</v>
          </cell>
          <cell r="M210">
            <v>0.87477190177440212</v>
          </cell>
          <cell r="R210">
            <v>72.835402624761016</v>
          </cell>
        </row>
        <row r="211">
          <cell r="A211">
            <v>1500</v>
          </cell>
          <cell r="H211">
            <v>51.180122091224128</v>
          </cell>
          <cell r="M211">
            <v>1.2376061640574063</v>
          </cell>
          <cell r="R211">
            <v>77.751946811223675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wmf"/><Relationship Id="rId11" Type="http://schemas.openxmlformats.org/officeDocument/2006/relationships/oleObject" Target="../embeddings/oleObject6.bin"/><Relationship Id="rId5" Type="http://schemas.openxmlformats.org/officeDocument/2006/relationships/oleObject" Target="../embeddings/oleObject2.bin"/><Relationship Id="rId10" Type="http://schemas.openxmlformats.org/officeDocument/2006/relationships/oleObject" Target="../embeddings/oleObject5.bin"/><Relationship Id="rId4" Type="http://schemas.openxmlformats.org/officeDocument/2006/relationships/image" Target="../media/image1.wmf"/><Relationship Id="rId9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4E7EC-159B-42E0-98A3-78DA4C6D2FB2}">
  <dimension ref="A1:X30"/>
  <sheetViews>
    <sheetView tabSelected="1" workbookViewId="0">
      <selection activeCell="G14" sqref="G14"/>
    </sheetView>
  </sheetViews>
  <sheetFormatPr defaultColWidth="10.81640625" defaultRowHeight="14.5" x14ac:dyDescent="0.35"/>
  <cols>
    <col min="2" max="2" width="5.26953125" bestFit="1" customWidth="1"/>
    <col min="3" max="3" width="7.1796875" bestFit="1" customWidth="1"/>
    <col min="4" max="4" width="6.81640625" bestFit="1" customWidth="1"/>
    <col min="5" max="5" width="14.453125" bestFit="1" customWidth="1"/>
    <col min="6" max="6" width="7.6328125" bestFit="1" customWidth="1"/>
    <col min="7" max="7" width="9.26953125" bestFit="1" customWidth="1"/>
    <col min="8" max="8" width="35.7265625" bestFit="1" customWidth="1"/>
    <col min="9" max="9" width="36.7265625" bestFit="1" customWidth="1"/>
    <col min="10" max="10" width="13.54296875" bestFit="1" customWidth="1"/>
    <col min="11" max="11" width="13.26953125" bestFit="1" customWidth="1"/>
    <col min="12" max="12" width="13.1796875" bestFit="1" customWidth="1"/>
    <col min="13" max="13" width="8.26953125" bestFit="1" customWidth="1"/>
    <col min="14" max="14" width="3.26953125" bestFit="1" customWidth="1"/>
    <col min="15" max="15" width="8.26953125" bestFit="1" customWidth="1"/>
    <col min="16" max="16" width="37.81640625" bestFit="1" customWidth="1"/>
    <col min="17" max="17" width="8.26953125" bestFit="1" customWidth="1"/>
    <col min="18" max="18" width="6.26953125" bestFit="1" customWidth="1"/>
    <col min="19" max="19" width="10.453125" bestFit="1" customWidth="1"/>
    <col min="20" max="20" width="4.90625" customWidth="1"/>
    <col min="21" max="21" width="13.81640625" bestFit="1" customWidth="1"/>
    <col min="22" max="22" width="11.26953125" bestFit="1" customWidth="1"/>
    <col min="23" max="23" width="19.90625" style="2" bestFit="1" customWidth="1"/>
    <col min="24" max="24" width="17.453125" style="2" bestFit="1" customWidth="1"/>
  </cols>
  <sheetData>
    <row r="1" spans="1:24" ht="18.5" x14ac:dyDescent="0.45">
      <c r="A1" s="1" t="s">
        <v>14</v>
      </c>
      <c r="W1"/>
      <c r="X1"/>
    </row>
    <row r="2" spans="1:24" ht="15" thickBot="1" x14ac:dyDescent="0.4"/>
    <row r="3" spans="1:24" ht="15.5" thickTop="1" thickBot="1" x14ac:dyDescent="0.4">
      <c r="A3" s="53" t="s">
        <v>32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5"/>
      <c r="P3" s="48" t="s">
        <v>49</v>
      </c>
      <c r="Q3" s="51"/>
      <c r="R3" s="51"/>
      <c r="S3" s="51"/>
      <c r="T3" s="51"/>
      <c r="U3" s="51"/>
      <c r="V3" s="51"/>
      <c r="W3" s="51"/>
      <c r="X3" s="52"/>
    </row>
    <row r="4" spans="1:24" ht="15" thickTop="1" x14ac:dyDescent="0.35">
      <c r="A4" s="53" t="s">
        <v>35</v>
      </c>
      <c r="B4" s="58"/>
      <c r="C4" s="58"/>
      <c r="D4" s="58"/>
      <c r="E4" s="58"/>
      <c r="F4" s="58"/>
      <c r="G4" s="58"/>
      <c r="H4" s="59"/>
      <c r="I4" s="53" t="s">
        <v>38</v>
      </c>
      <c r="J4" s="56"/>
      <c r="K4" s="56"/>
      <c r="L4" s="56"/>
      <c r="M4" s="56"/>
      <c r="N4" s="56"/>
      <c r="O4" s="57"/>
      <c r="P4" s="48" t="s">
        <v>37</v>
      </c>
      <c r="Q4" s="49"/>
      <c r="R4" s="49"/>
      <c r="S4" s="49"/>
      <c r="T4" s="50"/>
      <c r="U4" s="48" t="s">
        <v>36</v>
      </c>
      <c r="V4" s="49"/>
      <c r="W4" s="49"/>
      <c r="X4" s="50"/>
    </row>
    <row r="5" spans="1:24" x14ac:dyDescent="0.35">
      <c r="A5" s="31" t="s">
        <v>18</v>
      </c>
      <c r="B5" s="5" t="s">
        <v>17</v>
      </c>
      <c r="C5" s="5" t="s">
        <v>0</v>
      </c>
      <c r="D5" s="5" t="s">
        <v>1</v>
      </c>
      <c r="E5" s="5" t="s">
        <v>2</v>
      </c>
      <c r="F5" s="5" t="s">
        <v>3</v>
      </c>
      <c r="G5" s="5" t="s">
        <v>4</v>
      </c>
      <c r="H5" s="17" t="s">
        <v>5</v>
      </c>
      <c r="I5" s="31" t="s">
        <v>28</v>
      </c>
      <c r="J5" s="5" t="s">
        <v>29</v>
      </c>
      <c r="K5" s="5" t="s">
        <v>30</v>
      </c>
      <c r="L5" s="5" t="s">
        <v>31</v>
      </c>
      <c r="M5" s="5" t="s">
        <v>39</v>
      </c>
      <c r="N5" s="5" t="s">
        <v>34</v>
      </c>
      <c r="O5" s="17" t="s">
        <v>33</v>
      </c>
      <c r="P5" s="23" t="s">
        <v>40</v>
      </c>
      <c r="Q5" s="13" t="s">
        <v>41</v>
      </c>
      <c r="R5" s="13" t="s">
        <v>42</v>
      </c>
      <c r="S5" s="13" t="s">
        <v>43</v>
      </c>
      <c r="T5" s="42" t="s">
        <v>44</v>
      </c>
      <c r="U5" s="45" t="s">
        <v>45</v>
      </c>
      <c r="V5" s="13" t="s">
        <v>46</v>
      </c>
      <c r="W5" s="14" t="s">
        <v>48</v>
      </c>
      <c r="X5" s="24" t="s">
        <v>47</v>
      </c>
    </row>
    <row r="6" spans="1:24" x14ac:dyDescent="0.35">
      <c r="A6" s="32">
        <v>300</v>
      </c>
      <c r="B6" s="6">
        <v>1</v>
      </c>
      <c r="C6" s="7">
        <v>100</v>
      </c>
      <c r="D6" s="7">
        <v>5.4999999999999997E-3</v>
      </c>
      <c r="E6" s="7">
        <v>17.2</v>
      </c>
      <c r="F6" s="8">
        <f t="shared" ref="F6:F10" si="0">D6^2*PI()*1000^2</f>
        <v>95.033177771091232</v>
      </c>
      <c r="G6" s="9">
        <f>E6/F6</f>
        <v>0.18098942288797357</v>
      </c>
      <c r="H6" s="38" t="str">
        <f t="shared" ref="H6:H10" si="1">IMSUM(IMPRODUCT(COMPLEX(49.3,62.8*LN(93.2*SQRT(C6)/D6)),10^-3),G6)</f>
        <v>0,230289422887974+0,75613335208976i</v>
      </c>
      <c r="I6" s="40" t="str">
        <f t="shared" ref="I6:I10" si="2">IMPRODUCT(H6,A6/1000)</f>
        <v>0,0690868268663922+0,226840005626928i</v>
      </c>
      <c r="J6" s="10">
        <f t="shared" ref="J6:J9" si="3">C6/(2*PI()*A6)*LN((2*A6^2)/(D6*2*(B6+D6))-1.3)</f>
        <v>0.88092723218853519</v>
      </c>
      <c r="K6" s="10">
        <f t="shared" ref="K6:K10" si="4">IMREAL(I6)</f>
        <v>6.9086826866392198E-2</v>
      </c>
      <c r="L6" s="11">
        <f>(IMAGINARY(I6))/(2*PI()*1572)</f>
        <v>2.2966099355291948E-5</v>
      </c>
      <c r="M6" s="10">
        <v>1.2168000000000001</v>
      </c>
      <c r="N6" s="12">
        <v>0.7</v>
      </c>
      <c r="O6" s="18">
        <f>(M6+(1/(1/(2*J6)+1/(2*J6))))*N6/(1-N6)</f>
        <v>4.8946968751065816</v>
      </c>
      <c r="P6" s="25" t="s">
        <v>6</v>
      </c>
      <c r="Q6" s="15">
        <f t="shared" ref="Q6:Q10" si="5">IMREAL(P6)</f>
        <v>1.3439069021425201</v>
      </c>
      <c r="R6" s="15">
        <f t="shared" ref="R6:R10" si="6">IMAGINARY(P6)</f>
        <v>0.52987647063753396</v>
      </c>
      <c r="S6" s="15">
        <f t="shared" ref="S6:S10" si="7">IMABS(P6)</f>
        <v>1.4445950421351978</v>
      </c>
      <c r="T6" s="43">
        <f>DEGREES(IMARGUMENT(P6))</f>
        <v>21.518357593909553</v>
      </c>
      <c r="U6" s="46">
        <v>1.7433000000000001</v>
      </c>
      <c r="V6" s="16">
        <f>(U6-S6)/S6</f>
        <v>0.20677418179651125</v>
      </c>
      <c r="W6" s="15">
        <v>1.2892999999999999</v>
      </c>
      <c r="X6" s="26">
        <f>(W6-S6)/S6</f>
        <v>-0.10750074422632837</v>
      </c>
    </row>
    <row r="7" spans="1:24" x14ac:dyDescent="0.35">
      <c r="A7" s="32">
        <v>300</v>
      </c>
      <c r="B7" s="6">
        <v>1</v>
      </c>
      <c r="C7" s="7">
        <v>300</v>
      </c>
      <c r="D7" s="7">
        <v>5.4999999999999997E-3</v>
      </c>
      <c r="E7" s="7">
        <v>17.2</v>
      </c>
      <c r="F7" s="8">
        <f t="shared" si="0"/>
        <v>95.033177771091232</v>
      </c>
      <c r="G7" s="9">
        <f t="shared" ref="G7:G10" si="8">E7/F7</f>
        <v>0.18098942288797357</v>
      </c>
      <c r="H7" s="38" t="str">
        <f t="shared" si="1"/>
        <v>0,230289422887974+0,790629777953939i</v>
      </c>
      <c r="I7" s="40" t="str">
        <f t="shared" si="2"/>
        <v>0,0690868268663922+0,237188933386182i</v>
      </c>
      <c r="J7" s="10">
        <f t="shared" si="3"/>
        <v>2.6427816965656055</v>
      </c>
      <c r="K7" s="10">
        <f t="shared" si="4"/>
        <v>6.9086826866392198E-2</v>
      </c>
      <c r="L7" s="11">
        <f>(IMAGINARY(I7))/(2*PI()*1572)</f>
        <v>2.4013862083400223E-5</v>
      </c>
      <c r="M7" s="10">
        <v>3.6503999999999999</v>
      </c>
      <c r="N7" s="12">
        <v>0.7</v>
      </c>
      <c r="O7" s="18">
        <f t="shared" ref="O7:O10" si="9">(M7+(1/(1/(2*J7)+1/(2*J7))))*N7/(1-N7)</f>
        <v>14.684090625319744</v>
      </c>
      <c r="P7" s="25" t="s">
        <v>7</v>
      </c>
      <c r="Q7" s="15">
        <f t="shared" si="5"/>
        <v>3.5823767705834899</v>
      </c>
      <c r="R7" s="15">
        <f t="shared" si="6"/>
        <v>0.70679465909241701</v>
      </c>
      <c r="S7" s="15">
        <f t="shared" si="7"/>
        <v>3.6514356103507781</v>
      </c>
      <c r="T7" s="43">
        <f>DEGREES(IMARGUMENT(P7))</f>
        <v>11.160979443407944</v>
      </c>
      <c r="U7" s="46">
        <v>4.7934000000000001</v>
      </c>
      <c r="V7" s="16">
        <f>(U7-S7)/S7</f>
        <v>0.31274394827395524</v>
      </c>
      <c r="W7" s="15">
        <v>3.4971999999999999</v>
      </c>
      <c r="X7" s="26">
        <f>(W7-S7)/S7</f>
        <v>-4.2239717965603531E-2</v>
      </c>
    </row>
    <row r="8" spans="1:24" x14ac:dyDescent="0.35">
      <c r="A8" s="32">
        <v>300</v>
      </c>
      <c r="B8" s="6">
        <v>1</v>
      </c>
      <c r="C8" s="7">
        <v>5252</v>
      </c>
      <c r="D8" s="7">
        <v>5.4999999999999997E-3</v>
      </c>
      <c r="E8" s="7">
        <v>17.2</v>
      </c>
      <c r="F8" s="8">
        <f t="shared" si="0"/>
        <v>95.033177771091232</v>
      </c>
      <c r="G8" s="9">
        <f t="shared" si="8"/>
        <v>0.18098942288797357</v>
      </c>
      <c r="H8" s="38" t="str">
        <f t="shared" si="1"/>
        <v>0,230289422887974+0,880514845242007i</v>
      </c>
      <c r="I8" s="40" t="str">
        <f t="shared" si="2"/>
        <v>0,0690868268663922+0,264154453572602i</v>
      </c>
      <c r="J8" s="10">
        <f t="shared" si="3"/>
        <v>46.266298234541871</v>
      </c>
      <c r="K8" s="10">
        <f t="shared" si="4"/>
        <v>6.9086826866392198E-2</v>
      </c>
      <c r="L8" s="11">
        <f>(IMAGINARY(I8))/(2*PI()*1572)</f>
        <v>2.6743948489706221E-5</v>
      </c>
      <c r="M8" s="10">
        <v>63.906999999999996</v>
      </c>
      <c r="N8" s="12">
        <v>0.7</v>
      </c>
      <c r="O8" s="18">
        <f t="shared" si="9"/>
        <v>257.07102921393096</v>
      </c>
      <c r="P8" s="25" t="s">
        <v>8</v>
      </c>
      <c r="Q8" s="15">
        <f t="shared" si="5"/>
        <v>59.9192153952228</v>
      </c>
      <c r="R8" s="15">
        <f t="shared" si="6"/>
        <v>0.744347052630002</v>
      </c>
      <c r="S8" s="15">
        <f t="shared" si="7"/>
        <v>59.923838546223529</v>
      </c>
      <c r="T8" s="43">
        <f>DEGREES(IMARGUMENT(P8))</f>
        <v>0.71172078502610525</v>
      </c>
      <c r="U8" s="46">
        <v>80.533100000000005</v>
      </c>
      <c r="V8" s="16">
        <f>(U8-S8)/S8</f>
        <v>0.34392425374884961</v>
      </c>
      <c r="W8" s="15">
        <v>59.456000000000003</v>
      </c>
      <c r="X8" s="26">
        <f>(W8-S8)/S8</f>
        <v>-7.8072192565342468E-3</v>
      </c>
    </row>
    <row r="9" spans="1:24" x14ac:dyDescent="0.35">
      <c r="A9" s="32">
        <v>300</v>
      </c>
      <c r="B9" s="6">
        <v>1</v>
      </c>
      <c r="C9" s="7">
        <v>10240</v>
      </c>
      <c r="D9" s="7">
        <v>5.4999999999999997E-3</v>
      </c>
      <c r="E9" s="7">
        <v>17.2</v>
      </c>
      <c r="F9" s="8">
        <f t="shared" si="0"/>
        <v>95.033177771091232</v>
      </c>
      <c r="G9" s="9">
        <f t="shared" si="8"/>
        <v>0.18098942288797357</v>
      </c>
      <c r="H9" s="38" t="str">
        <f t="shared" si="1"/>
        <v>0,230289422887974+0,90148039486557i</v>
      </c>
      <c r="I9" s="40" t="str">
        <f t="shared" si="2"/>
        <v>0,0690868268663922+0,270444118459671i</v>
      </c>
      <c r="J9" s="10">
        <f t="shared" si="3"/>
        <v>90.206948576106015</v>
      </c>
      <c r="K9" s="10">
        <f t="shared" si="4"/>
        <v>6.9086826866392198E-2</v>
      </c>
      <c r="L9" s="11">
        <f>(IMAGINARY(I9))/(2*PI()*1572)</f>
        <v>2.738073682123838E-5</v>
      </c>
      <c r="M9" s="10">
        <v>124.6</v>
      </c>
      <c r="N9" s="12">
        <v>0.7</v>
      </c>
      <c r="O9" s="18">
        <f t="shared" si="9"/>
        <v>501.21621334424725</v>
      </c>
      <c r="P9" s="25" t="s">
        <v>9</v>
      </c>
      <c r="Q9" s="15">
        <f t="shared" si="5"/>
        <v>116.79795067665</v>
      </c>
      <c r="R9" s="15">
        <f t="shared" si="6"/>
        <v>0.63191378016472499</v>
      </c>
      <c r="S9" s="15">
        <f t="shared" si="7"/>
        <v>116.79966009064722</v>
      </c>
      <c r="T9" s="43">
        <f>DEGREES(IMARGUMENT(P9))</f>
        <v>0.30998522789106286</v>
      </c>
      <c r="U9" s="46">
        <v>154.32220000000001</v>
      </c>
      <c r="V9" s="16">
        <f>(U9-S9)/S9</f>
        <v>0.32125555742398448</v>
      </c>
      <c r="W9" s="15">
        <v>115.91</v>
      </c>
      <c r="X9" s="26">
        <f>(W9-S9)/S9</f>
        <v>-7.6169749976735222E-3</v>
      </c>
    </row>
    <row r="10" spans="1:24" ht="15" thickBot="1" x14ac:dyDescent="0.4">
      <c r="A10" s="33">
        <v>300</v>
      </c>
      <c r="B10" s="34">
        <v>1</v>
      </c>
      <c r="C10" s="35">
        <v>2100</v>
      </c>
      <c r="D10" s="35">
        <v>5.4999999999999997E-3</v>
      </c>
      <c r="E10" s="35">
        <v>17.2</v>
      </c>
      <c r="F10" s="36">
        <f t="shared" si="0"/>
        <v>95.033177771091232</v>
      </c>
      <c r="G10" s="37">
        <f t="shared" si="8"/>
        <v>0.18098942288797357</v>
      </c>
      <c r="H10" s="39" t="str">
        <f t="shared" si="1"/>
        <v>0,230289422887974+0,851731356634276i</v>
      </c>
      <c r="I10" s="41" t="str">
        <f t="shared" si="2"/>
        <v>0,0690868268663922+0,255519406990283i</v>
      </c>
      <c r="J10" s="19">
        <f>C10/(2*PI()*A10)*LN((2*A10^2)/(D10*2*(B10+D10))-1.3)</f>
        <v>18.499471875959241</v>
      </c>
      <c r="K10" s="19">
        <f t="shared" si="4"/>
        <v>6.9086826866392198E-2</v>
      </c>
      <c r="L10" s="20">
        <f>(IMAGINARY(I10))/(2*PI()*1572)</f>
        <v>2.5869705266166247E-5</v>
      </c>
      <c r="M10" s="19">
        <v>4.1898999999999997</v>
      </c>
      <c r="N10" s="21">
        <v>0.7</v>
      </c>
      <c r="O10" s="22">
        <f t="shared" si="9"/>
        <v>52.941867710571543</v>
      </c>
      <c r="P10" s="27" t="s">
        <v>10</v>
      </c>
      <c r="Q10" s="28">
        <f t="shared" si="5"/>
        <v>6.0433585449192702</v>
      </c>
      <c r="R10" s="28">
        <f t="shared" si="6"/>
        <v>2.9650674141464699</v>
      </c>
      <c r="S10" s="28">
        <f t="shared" si="7"/>
        <v>6.7315531100097532</v>
      </c>
      <c r="T10" s="44">
        <f>DEGREES(IMARGUMENT(P10))</f>
        <v>26.13406448932459</v>
      </c>
      <c r="U10" s="47">
        <v>8.8542000000000005</v>
      </c>
      <c r="V10" s="29">
        <f>(U10-S10)/S10</f>
        <v>0.31532795705554079</v>
      </c>
      <c r="W10" s="28">
        <v>5.9889999999999999</v>
      </c>
      <c r="X10" s="30">
        <f>(W10-S10)/S10</f>
        <v>-0.11030932949271159</v>
      </c>
    </row>
    <row r="11" spans="1:24" ht="15" thickTop="1" x14ac:dyDescent="0.35"/>
    <row r="13" spans="1:24" x14ac:dyDescent="0.35">
      <c r="A13" t="s">
        <v>15</v>
      </c>
    </row>
    <row r="14" spans="1:24" x14ac:dyDescent="0.35">
      <c r="A14" t="s">
        <v>24</v>
      </c>
      <c r="R14" s="2"/>
      <c r="S14" s="2"/>
      <c r="W14"/>
      <c r="X14"/>
    </row>
    <row r="15" spans="1:24" x14ac:dyDescent="0.35">
      <c r="A15" t="s">
        <v>16</v>
      </c>
      <c r="H15" s="4"/>
    </row>
    <row r="16" spans="1:24" x14ac:dyDescent="0.35">
      <c r="A16" t="s">
        <v>19</v>
      </c>
      <c r="R16" s="2"/>
      <c r="S16" s="2"/>
      <c r="W16"/>
      <c r="X16"/>
    </row>
    <row r="17" spans="1:24" x14ac:dyDescent="0.35">
      <c r="A17" t="s">
        <v>20</v>
      </c>
      <c r="R17" s="2"/>
      <c r="S17" s="2"/>
      <c r="W17"/>
      <c r="X17"/>
    </row>
    <row r="18" spans="1:24" x14ac:dyDescent="0.35">
      <c r="A18" t="s">
        <v>26</v>
      </c>
      <c r="R18" s="2"/>
      <c r="S18" s="2"/>
      <c r="W18"/>
      <c r="X18"/>
    </row>
    <row r="19" spans="1:24" x14ac:dyDescent="0.35">
      <c r="A19" t="s">
        <v>25</v>
      </c>
    </row>
    <row r="20" spans="1:24" x14ac:dyDescent="0.35">
      <c r="A20" t="s">
        <v>21</v>
      </c>
      <c r="R20" s="2"/>
      <c r="S20" s="2"/>
      <c r="W20"/>
      <c r="X20"/>
    </row>
    <row r="21" spans="1:24" x14ac:dyDescent="0.35">
      <c r="A21" t="s">
        <v>22</v>
      </c>
      <c r="R21" s="2"/>
      <c r="S21" s="2"/>
      <c r="W21"/>
      <c r="X21"/>
    </row>
    <row r="22" spans="1:24" x14ac:dyDescent="0.35">
      <c r="A22" t="s">
        <v>23</v>
      </c>
    </row>
    <row r="23" spans="1:24" x14ac:dyDescent="0.35">
      <c r="A23" t="s">
        <v>27</v>
      </c>
    </row>
    <row r="24" spans="1:24" x14ac:dyDescent="0.35">
      <c r="A24" t="s">
        <v>50</v>
      </c>
    </row>
    <row r="25" spans="1:24" x14ac:dyDescent="0.35">
      <c r="A25" t="s">
        <v>51</v>
      </c>
    </row>
    <row r="27" spans="1:24" x14ac:dyDescent="0.35">
      <c r="A27" s="3"/>
    </row>
    <row r="28" spans="1:24" x14ac:dyDescent="0.35">
      <c r="A28" s="3"/>
    </row>
    <row r="29" spans="1:24" x14ac:dyDescent="0.35">
      <c r="A29" s="3"/>
    </row>
    <row r="30" spans="1:24" x14ac:dyDescent="0.35">
      <c r="A30" s="3"/>
    </row>
  </sheetData>
  <mergeCells count="6">
    <mergeCell ref="U4:X4"/>
    <mergeCell ref="P3:X3"/>
    <mergeCell ref="P4:T4"/>
    <mergeCell ref="A3:O3"/>
    <mergeCell ref="I4:O4"/>
    <mergeCell ref="A4:H4"/>
  </mergeCells>
  <pageMargins left="0.511811024" right="0.511811024" top="0.78740157499999996" bottom="0.78740157499999996" header="0.31496062000000002" footer="0.31496062000000002"/>
  <drawing r:id="rId1"/>
  <legacyDrawing r:id="rId2"/>
  <oleObjects>
    <mc:AlternateContent xmlns:mc="http://schemas.openxmlformats.org/markup-compatibility/2006">
      <mc:Choice Requires="x14">
        <oleObject progId="Equation.3" shapeId="2055" r:id="rId3">
          <objectPr defaultSize="0" autoPict="0" r:id="rId4">
            <anchor moveWithCells="1" sizeWithCells="1">
              <from>
                <xdr:col>6</xdr:col>
                <xdr:colOff>0</xdr:colOff>
                <xdr:row>4</xdr:row>
                <xdr:rowOff>0</xdr:rowOff>
              </from>
              <to>
                <xdr:col>6</xdr:col>
                <xdr:colOff>127000</xdr:colOff>
                <xdr:row>4</xdr:row>
                <xdr:rowOff>12700</xdr:rowOff>
              </to>
            </anchor>
          </objectPr>
        </oleObject>
      </mc:Choice>
      <mc:Fallback>
        <oleObject progId="Equation.3" shapeId="2055" r:id="rId3"/>
      </mc:Fallback>
    </mc:AlternateContent>
    <mc:AlternateContent xmlns:mc="http://schemas.openxmlformats.org/markup-compatibility/2006">
      <mc:Choice Requires="x14">
        <oleObject progId="Equation.3" shapeId="2056" r:id="rId5">
          <objectPr defaultSize="0" autoPict="0" r:id="rId6">
            <anchor moveWithCells="1" sizeWithCells="1">
              <from>
                <xdr:col>4</xdr:col>
                <xdr:colOff>0</xdr:colOff>
                <xdr:row>4</xdr:row>
                <xdr:rowOff>0</xdr:rowOff>
              </from>
              <to>
                <xdr:col>4</xdr:col>
                <xdr:colOff>139700</xdr:colOff>
                <xdr:row>4</xdr:row>
                <xdr:rowOff>12700</xdr:rowOff>
              </to>
            </anchor>
          </objectPr>
        </oleObject>
      </mc:Choice>
      <mc:Fallback>
        <oleObject progId="Equation.3" shapeId="2056" r:id="rId5"/>
      </mc:Fallback>
    </mc:AlternateContent>
    <mc:AlternateContent xmlns:mc="http://schemas.openxmlformats.org/markup-compatibility/2006">
      <mc:Choice Requires="x14">
        <oleObject progId="Equation.3" shapeId="2057" r:id="rId7">
          <objectPr defaultSize="0" autoPict="0" r:id="rId8">
            <anchor moveWithCells="1" sizeWithCells="1">
              <from>
                <xdr:col>3</xdr:col>
                <xdr:colOff>0</xdr:colOff>
                <xdr:row>4</xdr:row>
                <xdr:rowOff>0</xdr:rowOff>
              </from>
              <to>
                <xdr:col>3</xdr:col>
                <xdr:colOff>133350</xdr:colOff>
                <xdr:row>4</xdr:row>
                <xdr:rowOff>31750</xdr:rowOff>
              </to>
            </anchor>
          </objectPr>
        </oleObject>
      </mc:Choice>
      <mc:Fallback>
        <oleObject progId="Equation.3" shapeId="2057" r:id="rId7"/>
      </mc:Fallback>
    </mc:AlternateContent>
    <mc:AlternateContent xmlns:mc="http://schemas.openxmlformats.org/markup-compatibility/2006">
      <mc:Choice Requires="x14">
        <oleObject progId="Equation.3" shapeId="2058" r:id="rId9">
          <objectPr defaultSize="0" autoPict="0" r:id="rId4">
            <anchor moveWithCells="1" sizeWithCells="1">
              <from>
                <xdr:col>6</xdr:col>
                <xdr:colOff>0</xdr:colOff>
                <xdr:row>4</xdr:row>
                <xdr:rowOff>0</xdr:rowOff>
              </from>
              <to>
                <xdr:col>6</xdr:col>
                <xdr:colOff>127000</xdr:colOff>
                <xdr:row>4</xdr:row>
                <xdr:rowOff>12700</xdr:rowOff>
              </to>
            </anchor>
          </objectPr>
        </oleObject>
      </mc:Choice>
      <mc:Fallback>
        <oleObject progId="Equation.3" shapeId="2058" r:id="rId9"/>
      </mc:Fallback>
    </mc:AlternateContent>
    <mc:AlternateContent xmlns:mc="http://schemas.openxmlformats.org/markup-compatibility/2006">
      <mc:Choice Requires="x14">
        <oleObject progId="Equation.3" shapeId="2059" r:id="rId10">
          <objectPr defaultSize="0" autoPict="0" r:id="rId6">
            <anchor moveWithCells="1" sizeWithCells="1">
              <from>
                <xdr:col>4</xdr:col>
                <xdr:colOff>0</xdr:colOff>
                <xdr:row>4</xdr:row>
                <xdr:rowOff>0</xdr:rowOff>
              </from>
              <to>
                <xdr:col>4</xdr:col>
                <xdr:colOff>139700</xdr:colOff>
                <xdr:row>4</xdr:row>
                <xdr:rowOff>12700</xdr:rowOff>
              </to>
            </anchor>
          </objectPr>
        </oleObject>
      </mc:Choice>
      <mc:Fallback>
        <oleObject progId="Equation.3" shapeId="2059" r:id="rId10"/>
      </mc:Fallback>
    </mc:AlternateContent>
    <mc:AlternateContent xmlns:mc="http://schemas.openxmlformats.org/markup-compatibility/2006">
      <mc:Choice Requires="x14">
        <oleObject progId="Equation.3" shapeId="2060" r:id="rId11">
          <objectPr defaultSize="0" autoPict="0" r:id="rId8">
            <anchor moveWithCells="1" sizeWithCells="1">
              <from>
                <xdr:col>3</xdr:col>
                <xdr:colOff>0</xdr:colOff>
                <xdr:row>4</xdr:row>
                <xdr:rowOff>0</xdr:rowOff>
              </from>
              <to>
                <xdr:col>3</xdr:col>
                <xdr:colOff>133350</xdr:colOff>
                <xdr:row>4</xdr:row>
                <xdr:rowOff>31750</xdr:rowOff>
              </to>
            </anchor>
          </objectPr>
        </oleObject>
      </mc:Choice>
      <mc:Fallback>
        <oleObject progId="Equation.3" shapeId="2060" r:id="rId1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8639B-B27E-4856-8C82-30A748BFDAA9}">
  <dimension ref="A1:L35"/>
  <sheetViews>
    <sheetView zoomScale="90" zoomScaleNormal="90" workbookViewId="0">
      <selection activeCell="D30" sqref="D30"/>
    </sheetView>
  </sheetViews>
  <sheetFormatPr defaultRowHeight="14.5" x14ac:dyDescent="0.35"/>
  <cols>
    <col min="1" max="1" width="11.36328125" customWidth="1"/>
    <col min="2" max="2" width="8.453125" bestFit="1" customWidth="1"/>
    <col min="3" max="3" width="17.6328125" bestFit="1" customWidth="1"/>
    <col min="4" max="4" width="20" bestFit="1" customWidth="1"/>
    <col min="5" max="5" width="8.26953125" bestFit="1" customWidth="1"/>
    <col min="6" max="6" width="8.7265625" bestFit="1" customWidth="1"/>
    <col min="7" max="7" width="10.26953125" bestFit="1" customWidth="1"/>
    <col min="8" max="8" width="16.26953125" bestFit="1" customWidth="1"/>
    <col min="9" max="9" width="20.90625" bestFit="1" customWidth="1"/>
    <col min="10" max="10" width="22.81640625" bestFit="1" customWidth="1"/>
    <col min="11" max="11" width="6.90625" bestFit="1" customWidth="1"/>
  </cols>
  <sheetData>
    <row r="1" spans="1:12" ht="18.5" x14ac:dyDescent="0.45">
      <c r="A1" s="1" t="s">
        <v>11</v>
      </c>
    </row>
    <row r="2" spans="1:12" ht="18.5" x14ac:dyDescent="0.45">
      <c r="A2" s="1" t="s">
        <v>12</v>
      </c>
    </row>
    <row r="3" spans="1:12" ht="19" thickBot="1" x14ac:dyDescent="0.5">
      <c r="A3" s="1"/>
    </row>
    <row r="4" spans="1:12" x14ac:dyDescent="0.35">
      <c r="A4" s="64" t="s">
        <v>18</v>
      </c>
      <c r="B4" s="65" t="s">
        <v>13</v>
      </c>
      <c r="C4" s="66" t="s">
        <v>59</v>
      </c>
      <c r="D4" s="66" t="s">
        <v>60</v>
      </c>
      <c r="E4" s="66" t="s">
        <v>39</v>
      </c>
      <c r="F4" s="66" t="s">
        <v>56</v>
      </c>
      <c r="G4" s="66" t="s">
        <v>57</v>
      </c>
      <c r="H4" s="67" t="s">
        <v>58</v>
      </c>
      <c r="I4" s="66" t="s">
        <v>61</v>
      </c>
      <c r="J4" s="66" t="s">
        <v>62</v>
      </c>
      <c r="K4" s="66" t="s">
        <v>52</v>
      </c>
      <c r="L4" s="68" t="s">
        <v>34</v>
      </c>
    </row>
    <row r="5" spans="1:12" x14ac:dyDescent="0.35">
      <c r="A5" s="69">
        <v>80</v>
      </c>
      <c r="B5" s="63">
        <v>5252</v>
      </c>
      <c r="C5" s="60">
        <v>128.56644535826999</v>
      </c>
      <c r="D5" s="60">
        <v>91.668327919793697</v>
      </c>
      <c r="E5" s="60">
        <v>62.706808786094101</v>
      </c>
      <c r="F5" s="60">
        <f>C5-E5</f>
        <v>65.859636572175887</v>
      </c>
      <c r="G5" s="60">
        <f>F5*2</f>
        <v>131.71927314435177</v>
      </c>
      <c r="H5" s="60">
        <f>B5/(2*PI()*G5)</f>
        <v>6.3459335992735673</v>
      </c>
      <c r="I5" s="60">
        <v>131.78</v>
      </c>
      <c r="J5" s="60">
        <v>94.667000000000002</v>
      </c>
      <c r="K5" s="61">
        <f>(J5-C5)/C5</f>
        <v>-0.26367257229368063</v>
      </c>
      <c r="L5" s="70">
        <f>1+K5</f>
        <v>0.73632742770631943</v>
      </c>
    </row>
    <row r="6" spans="1:12" x14ac:dyDescent="0.35">
      <c r="A6" s="69">
        <v>90</v>
      </c>
      <c r="B6" s="63">
        <v>5252</v>
      </c>
      <c r="C6" s="60">
        <v>122.97873477375001</v>
      </c>
      <c r="D6" s="60">
        <v>87.017250103302004</v>
      </c>
      <c r="E6" s="60">
        <v>62.706808786094101</v>
      </c>
      <c r="F6" s="60">
        <f>C6-E6</f>
        <v>60.271925987655905</v>
      </c>
      <c r="G6" s="60">
        <f>F6*2</f>
        <v>120.54385197531181</v>
      </c>
      <c r="H6" s="60">
        <f>B6/(2*PI()*G6)</f>
        <v>6.9342546087695007</v>
      </c>
      <c r="I6" s="60">
        <v>125.9</v>
      </c>
      <c r="J6" s="60">
        <v>89.864999999999995</v>
      </c>
      <c r="K6" s="61">
        <f>(J6-C6)/C6</f>
        <v>-0.26926390838766529</v>
      </c>
      <c r="L6" s="70">
        <f t="shared" ref="L6:L16" si="0">1+K6</f>
        <v>0.73073609161233466</v>
      </c>
    </row>
    <row r="7" spans="1:12" x14ac:dyDescent="0.35">
      <c r="A7" s="69">
        <v>100</v>
      </c>
      <c r="B7" s="63">
        <v>5252</v>
      </c>
      <c r="C7" s="60">
        <v>114.81956435901201</v>
      </c>
      <c r="D7" s="60">
        <v>83.711312581376802</v>
      </c>
      <c r="E7" s="60">
        <v>62.706808786094101</v>
      </c>
      <c r="F7" s="60">
        <f>C7-E7</f>
        <v>52.112755572917905</v>
      </c>
      <c r="G7" s="60">
        <f>F7*2</f>
        <v>104.22551114583581</v>
      </c>
      <c r="H7" s="60">
        <f>B7/(2*PI()*G7)</f>
        <v>8.0199343896624367</v>
      </c>
      <c r="I7" s="60">
        <v>117.42</v>
      </c>
      <c r="J7" s="60">
        <v>82.653000000000006</v>
      </c>
      <c r="K7" s="61">
        <f>(J7-C7)/C7</f>
        <v>-0.2801488103406769</v>
      </c>
      <c r="L7" s="70">
        <f t="shared" si="0"/>
        <v>0.71985118965932315</v>
      </c>
    </row>
    <row r="8" spans="1:12" x14ac:dyDescent="0.35">
      <c r="A8" s="69">
        <v>150</v>
      </c>
      <c r="B8" s="63">
        <v>5252</v>
      </c>
      <c r="C8" s="60">
        <v>97.251555883371907</v>
      </c>
      <c r="D8" s="60">
        <v>72.4683748312098</v>
      </c>
      <c r="E8" s="60">
        <v>62.706808786094101</v>
      </c>
      <c r="F8" s="60">
        <f>C8-E8</f>
        <v>34.544747097277806</v>
      </c>
      <c r="G8" s="60">
        <f>F8*2</f>
        <v>69.089494194555613</v>
      </c>
      <c r="H8" s="60">
        <f>B8/(2*PI()*G8)</f>
        <v>12.098536410829643</v>
      </c>
      <c r="I8" s="60">
        <v>98.998999999999995</v>
      </c>
      <c r="J8" s="60">
        <v>68.004999999999995</v>
      </c>
      <c r="K8" s="61">
        <f>(J8-C8)/C8</f>
        <v>-0.30073098181015834</v>
      </c>
      <c r="L8" s="70">
        <f t="shared" si="0"/>
        <v>0.69926901818984166</v>
      </c>
    </row>
    <row r="9" spans="1:12" x14ac:dyDescent="0.35">
      <c r="A9" s="69">
        <v>200</v>
      </c>
      <c r="B9" s="63">
        <v>5252</v>
      </c>
      <c r="C9" s="60">
        <v>89.469108135853801</v>
      </c>
      <c r="D9" s="60">
        <v>68.786849654426405</v>
      </c>
      <c r="E9" s="60">
        <v>62.706808786094101</v>
      </c>
      <c r="F9" s="60">
        <f>C9-E9</f>
        <v>26.762299349759701</v>
      </c>
      <c r="G9" s="60">
        <f>F9*2</f>
        <v>53.524598699519402</v>
      </c>
      <c r="H9" s="60">
        <f>B9/(2*PI()*G9)</f>
        <v>15.61677773263043</v>
      </c>
      <c r="I9" s="60">
        <v>90.751000000000005</v>
      </c>
      <c r="J9" s="60">
        <v>63.1</v>
      </c>
      <c r="K9" s="61">
        <f>(J9-C9)/C9</f>
        <v>-0.29472863522696341</v>
      </c>
      <c r="L9" s="70">
        <f t="shared" si="0"/>
        <v>0.70527136477303665</v>
      </c>
    </row>
    <row r="10" spans="1:12" x14ac:dyDescent="0.35">
      <c r="A10" s="69">
        <v>250</v>
      </c>
      <c r="B10" s="63">
        <v>5252</v>
      </c>
      <c r="C10" s="60">
        <v>83.314674885960898</v>
      </c>
      <c r="D10" s="60">
        <v>65.493125597519594</v>
      </c>
      <c r="E10" s="60">
        <v>62.706808786094101</v>
      </c>
      <c r="F10" s="60">
        <f>C10-E10</f>
        <v>20.607866099866797</v>
      </c>
      <c r="G10" s="60">
        <f>F10*2</f>
        <v>41.215732199733594</v>
      </c>
      <c r="H10" s="60">
        <f>B10/(2*PI()*G10)</f>
        <v>20.280648104658376</v>
      </c>
      <c r="I10" s="60">
        <v>84.340999999999994</v>
      </c>
      <c r="J10" s="60">
        <v>60.195</v>
      </c>
      <c r="K10" s="61">
        <f>(J10-C10)/C10</f>
        <v>-0.27749823086516928</v>
      </c>
      <c r="L10" s="70">
        <f t="shared" si="0"/>
        <v>0.72250176913483077</v>
      </c>
    </row>
    <row r="11" spans="1:12" x14ac:dyDescent="0.35">
      <c r="A11" s="69">
        <v>300</v>
      </c>
      <c r="B11" s="63">
        <v>5252</v>
      </c>
      <c r="C11" s="60">
        <v>80.617747994157</v>
      </c>
      <c r="D11" s="60">
        <v>63.8901726163134</v>
      </c>
      <c r="E11" s="60">
        <v>62.706808786094101</v>
      </c>
      <c r="F11" s="60">
        <f>C11-E11</f>
        <v>17.910939208062899</v>
      </c>
      <c r="G11" s="60">
        <f>F11*2</f>
        <v>35.821878416125799</v>
      </c>
      <c r="H11" s="60">
        <f>B11/(2*PI()*G11)</f>
        <v>23.334392222780497</v>
      </c>
      <c r="I11" s="60">
        <v>80.778000000000006</v>
      </c>
      <c r="J11" s="60">
        <v>56.61</v>
      </c>
      <c r="K11" s="61">
        <f>(J11-C11)/C11</f>
        <v>-0.29779730383807085</v>
      </c>
      <c r="L11" s="70">
        <f t="shared" si="0"/>
        <v>0.70220269616192921</v>
      </c>
    </row>
    <row r="12" spans="1:12" x14ac:dyDescent="0.35">
      <c r="A12" s="69">
        <v>350</v>
      </c>
      <c r="B12" s="63">
        <v>5252</v>
      </c>
      <c r="C12" s="60">
        <v>78.6422067879992</v>
      </c>
      <c r="D12" s="60">
        <v>61.247605154672598</v>
      </c>
      <c r="E12" s="60">
        <v>62.706808786094101</v>
      </c>
      <c r="F12" s="60">
        <f>C12-E12</f>
        <v>15.935398001905099</v>
      </c>
      <c r="G12" s="60">
        <f>F12*2</f>
        <v>31.870796003810199</v>
      </c>
      <c r="H12" s="60">
        <f>B12/(2*PI()*G12)</f>
        <v>26.227200632789447</v>
      </c>
      <c r="I12" s="60">
        <v>79.361000000000004</v>
      </c>
      <c r="J12" s="60">
        <v>54.192</v>
      </c>
      <c r="K12" s="61">
        <f>(J12-C12)/C12</f>
        <v>-0.31090438311212676</v>
      </c>
      <c r="L12" s="70">
        <f t="shared" si="0"/>
        <v>0.68909561688787324</v>
      </c>
    </row>
    <row r="13" spans="1:12" x14ac:dyDescent="0.35">
      <c r="A13" s="69">
        <v>400</v>
      </c>
      <c r="B13" s="63">
        <v>5252</v>
      </c>
      <c r="C13" s="60">
        <v>76.127863623273896</v>
      </c>
      <c r="D13" s="60">
        <v>60.010832720446501</v>
      </c>
      <c r="E13" s="60">
        <v>62.706808786094101</v>
      </c>
      <c r="F13" s="60">
        <f>C13-E13</f>
        <v>13.421054837179796</v>
      </c>
      <c r="G13" s="60">
        <f>F13*2</f>
        <v>26.842109674359591</v>
      </c>
      <c r="H13" s="60">
        <f>B13/(2*PI()*G13)</f>
        <v>31.140687943656467</v>
      </c>
      <c r="I13" s="60">
        <v>76.751000000000005</v>
      </c>
      <c r="J13" s="60">
        <v>52.558999999999997</v>
      </c>
      <c r="K13" s="61">
        <f>(J13-C13)/C13</f>
        <v>-0.30959575773604658</v>
      </c>
      <c r="L13" s="70">
        <f t="shared" si="0"/>
        <v>0.69040424226395336</v>
      </c>
    </row>
    <row r="14" spans="1:12" x14ac:dyDescent="0.35">
      <c r="A14" s="69">
        <v>500</v>
      </c>
      <c r="B14" s="63">
        <v>5252</v>
      </c>
      <c r="C14" s="60">
        <v>73.409302115584495</v>
      </c>
      <c r="D14" s="60">
        <v>58.960803012291201</v>
      </c>
      <c r="E14" s="60">
        <v>62.706808786094101</v>
      </c>
      <c r="F14" s="60">
        <f>C14-E14</f>
        <v>10.702493329490395</v>
      </c>
      <c r="G14" s="60">
        <f>F14*2</f>
        <v>21.404986658980789</v>
      </c>
      <c r="H14" s="60">
        <f>B14/(2*PI()*G14)</f>
        <v>39.050795706426072</v>
      </c>
      <c r="I14" s="60">
        <v>73.888000000000005</v>
      </c>
      <c r="J14" s="60">
        <v>50.89</v>
      </c>
      <c r="K14" s="61">
        <f>(J14-C14)/C14</f>
        <v>-0.30676360442886896</v>
      </c>
      <c r="L14" s="70">
        <f t="shared" si="0"/>
        <v>0.69323639557113104</v>
      </c>
    </row>
    <row r="15" spans="1:12" x14ac:dyDescent="0.35">
      <c r="A15" s="69">
        <v>600</v>
      </c>
      <c r="B15" s="63">
        <v>5252</v>
      </c>
      <c r="C15" s="60">
        <v>72.325257972434997</v>
      </c>
      <c r="D15" s="60">
        <v>59.053380748238098</v>
      </c>
      <c r="E15" s="60">
        <v>62.706808786094101</v>
      </c>
      <c r="F15" s="60">
        <f>C15-E15</f>
        <v>9.6184491863408965</v>
      </c>
      <c r="G15" s="60">
        <f>F15*2</f>
        <v>19.236898372681793</v>
      </c>
      <c r="H15" s="60">
        <f>B15/(2*PI()*G15)</f>
        <v>43.452002756622406</v>
      </c>
      <c r="I15" s="60">
        <v>72.700999999999993</v>
      </c>
      <c r="J15" s="60">
        <v>50.76</v>
      </c>
      <c r="K15" s="61">
        <f>(J15-C15)/C15</f>
        <v>-0.29817049502476811</v>
      </c>
      <c r="L15" s="70">
        <f t="shared" si="0"/>
        <v>0.70182950497523189</v>
      </c>
    </row>
    <row r="16" spans="1:12" ht="15" thickBot="1" x14ac:dyDescent="0.4">
      <c r="A16" s="71">
        <v>800</v>
      </c>
      <c r="B16" s="72">
        <v>5252</v>
      </c>
      <c r="C16" s="73">
        <v>69.222306477104397</v>
      </c>
      <c r="D16" s="73">
        <v>57.018768551799702</v>
      </c>
      <c r="E16" s="73">
        <v>62.706808786094101</v>
      </c>
      <c r="F16" s="73">
        <f>C16-E16</f>
        <v>6.515497691010296</v>
      </c>
      <c r="G16" s="73">
        <v>13.030995382020592</v>
      </c>
      <c r="H16" s="73">
        <f>B16/(2*PI()*G16)</f>
        <v>64.145657074818345</v>
      </c>
      <c r="I16" s="73">
        <v>69.643000000000001</v>
      </c>
      <c r="J16" s="73">
        <v>48.728999999999999</v>
      </c>
      <c r="K16" s="74">
        <f>(J16-C16)/C16</f>
        <v>-0.2960506160522498</v>
      </c>
      <c r="L16" s="75">
        <f t="shared" si="0"/>
        <v>0.7039493839477502</v>
      </c>
    </row>
    <row r="19" spans="1:1" x14ac:dyDescent="0.35">
      <c r="A19" t="s">
        <v>15</v>
      </c>
    </row>
    <row r="20" spans="1:1" x14ac:dyDescent="0.35">
      <c r="A20" t="s">
        <v>54</v>
      </c>
    </row>
    <row r="21" spans="1:1" x14ac:dyDescent="0.35">
      <c r="A21" t="s">
        <v>55</v>
      </c>
    </row>
    <row r="22" spans="1:1" x14ac:dyDescent="0.35">
      <c r="A22" t="s">
        <v>63</v>
      </c>
    </row>
    <row r="23" spans="1:1" x14ac:dyDescent="0.35">
      <c r="A23" t="s">
        <v>64</v>
      </c>
    </row>
    <row r="24" spans="1:1" x14ac:dyDescent="0.35">
      <c r="A24" t="s">
        <v>68</v>
      </c>
    </row>
    <row r="25" spans="1:1" x14ac:dyDescent="0.35">
      <c r="A25" t="s">
        <v>69</v>
      </c>
    </row>
    <row r="26" spans="1:1" x14ac:dyDescent="0.35">
      <c r="A26" t="s">
        <v>65</v>
      </c>
    </row>
    <row r="27" spans="1:1" x14ac:dyDescent="0.35">
      <c r="A27" t="s">
        <v>66</v>
      </c>
    </row>
    <row r="28" spans="1:1" x14ac:dyDescent="0.35">
      <c r="A28" t="s">
        <v>67</v>
      </c>
    </row>
    <row r="29" spans="1:1" x14ac:dyDescent="0.35">
      <c r="A29" t="s">
        <v>53</v>
      </c>
    </row>
    <row r="30" spans="1:1" x14ac:dyDescent="0.35">
      <c r="A30" t="s">
        <v>51</v>
      </c>
    </row>
    <row r="31" spans="1:1" x14ac:dyDescent="0.35">
      <c r="A31" s="62"/>
    </row>
    <row r="32" spans="1:1" x14ac:dyDescent="0.35">
      <c r="A32" s="62"/>
    </row>
    <row r="33" spans="1:1" x14ac:dyDescent="0.35">
      <c r="A33" s="62"/>
    </row>
    <row r="34" spans="1:1" x14ac:dyDescent="0.35">
      <c r="A34" s="62"/>
    </row>
    <row r="35" spans="1:1" x14ac:dyDescent="0.35">
      <c r="A35" s="6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Section 3 Results</vt:lpstr>
      <vt:lpstr>Section 4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Giacomelli Leal</dc:creator>
  <cp:lastModifiedBy>Alexandre Giacomelli Leal</cp:lastModifiedBy>
  <dcterms:created xsi:type="dcterms:W3CDTF">2023-05-13T17:19:45Z</dcterms:created>
  <dcterms:modified xsi:type="dcterms:W3CDTF">2023-05-17T00:56:14Z</dcterms:modified>
</cp:coreProperties>
</file>