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C:\Users\Utilisateur\Desktop\03-COMPETITIONS\01-INTERNES AU BCJ\2024-2025\INTERNE BCJ\"/>
    </mc:Choice>
  </mc:AlternateContent>
  <xr:revisionPtr revIDLastSave="0" documentId="13_ncr:1_{549099A9-EEB5-4EF7-83BE-4AB6D7D7BA44}" xr6:coauthVersionLast="36" xr6:coauthVersionMax="45" xr10:uidLastSave="{00000000-0000-0000-0000-000000000000}"/>
  <bookViews>
    <workbookView xWindow="225" yWindow="555" windowWidth="17520" windowHeight="13875" activeTab="1" xr2:uid="{00000000-000D-0000-FFFF-FFFF00000000}"/>
  </bookViews>
  <sheets>
    <sheet name="Bande 23 Joueurs" sheetId="2" r:id="rId1"/>
    <sheet name="Classement" sheetId="3" r:id="rId2"/>
  </sheets>
  <definedNames>
    <definedName name="Annee">'Bande 23 Joueurs'!$CR$1</definedName>
    <definedName name="Competition">'Bande 23 Joueurs'!$O$1</definedName>
    <definedName name="Exaequo">'Bande 23 Joueurs'!$D$103</definedName>
    <definedName name="Gagne">'Bande 23 Joueurs'!$D$99</definedName>
    <definedName name="Handicap1">'Bande 23 Joueurs'!$C$4</definedName>
    <definedName name="Handicap10">'Bande 23 Joueurs'!$AM$40</definedName>
    <definedName name="Handicap11">'Bande 23 Joueurs'!$AQ$44</definedName>
    <definedName name="Handicap12">'Bande 23 Joueurs'!$AU$48</definedName>
    <definedName name="Handicap13">'Bande 23 Joueurs'!$AY$52</definedName>
    <definedName name="hANDICAP14">'Bande 23 Joueurs'!$BC$56</definedName>
    <definedName name="Handicap15">'Bande 23 Joueurs'!$BG$60</definedName>
    <definedName name="Handicap16">'Bande 23 Joueurs'!$BK$64</definedName>
    <definedName name="Handicap17">'Bande 23 Joueurs'!$BO$68</definedName>
    <definedName name="Handicap18">'Bande 23 Joueurs'!$BS$72</definedName>
    <definedName name="Handicap19">'Bande 23 Joueurs'!$BW$76</definedName>
    <definedName name="Handicap2">'Bande 23 Joueurs'!$G$8</definedName>
    <definedName name="Handicap20">'Bande 23 Joueurs'!$CA$80</definedName>
    <definedName name="Handicap21">'Bande 23 Joueurs'!$CE$84</definedName>
    <definedName name="Handicap22">'Bande 23 Joueurs'!$CI$88</definedName>
    <definedName name="Handicap23">'Bande 23 Joueurs'!$CM$92</definedName>
    <definedName name="Handicap3">'Bande 23 Joueurs'!$K$12</definedName>
    <definedName name="Handicap4">'Bande 23 Joueurs'!$O$16</definedName>
    <definedName name="Handicap5">'Bande 23 Joueurs'!$S$20</definedName>
    <definedName name="Handicap6">'Bande 23 Joueurs'!$W$24</definedName>
    <definedName name="Handicap7">'Bande 23 Joueurs'!$AA$28</definedName>
    <definedName name="Handicap8">'Bande 23 Joueurs'!$AE$32</definedName>
    <definedName name="Handicap9">'Bande 23 Joueurs'!$AI$36</definedName>
    <definedName name="Joueur_numéro_1" comment="Handicap1">'Bande 23 Joueurs'!$C$4</definedName>
    <definedName name="Joueur1">'Bande 23 Joueurs'!$B$4</definedName>
    <definedName name="Joueur10">'Bande 23 Joueurs'!$B$40</definedName>
    <definedName name="Joueur11">'Bande 23 Joueurs'!$B$44</definedName>
    <definedName name="Joueur12">'Bande 23 Joueurs'!$B$48</definedName>
    <definedName name="Joueur13">'Bande 23 Joueurs'!$B$52</definedName>
    <definedName name="Joueur14">'Bande 23 Joueurs'!$B$56</definedName>
    <definedName name="Joueur15">'Bande 23 Joueurs'!$B$60</definedName>
    <definedName name="Joueur16">'Bande 23 Joueurs'!$B$64</definedName>
    <definedName name="Joueur17">'Bande 23 Joueurs'!$B$68</definedName>
    <definedName name="Joueur18">'Bande 23 Joueurs'!$B$72</definedName>
    <definedName name="Joueur19">'Bande 23 Joueurs'!$B$76</definedName>
    <definedName name="Joueur2">'Bande 23 Joueurs'!$B$8</definedName>
    <definedName name="Joueur20">'Bande 23 Joueurs'!$B$80</definedName>
    <definedName name="Joueur21">'Bande 23 Joueurs'!$B$84</definedName>
    <definedName name="Joueur22">'Bande 23 Joueurs'!$B$88</definedName>
    <definedName name="Joueur23">'Bande 23 Joueurs'!$B$92</definedName>
    <definedName name="Joueur3">'Bande 23 Joueurs'!$B$12</definedName>
    <definedName name="Joueur4">'Bande 23 Joueurs'!$B$16</definedName>
    <definedName name="Joueur5">'Bande 23 Joueurs'!$B$20</definedName>
    <definedName name="Joueur6">'Bande 23 Joueurs'!$B$24</definedName>
    <definedName name="Joueur7">'Bande 23 Joueurs'!$B$28</definedName>
    <definedName name="Joueur8">'Bande 23 Joueurs'!$B$32</definedName>
    <definedName name="Joueur9">'Bande 23 Joueurs'!$B$36</definedName>
    <definedName name="Non_effect">'Bande 23 Joueurs'!$D$105</definedName>
    <definedName name="Perdu">'Bande 23 Joueurs'!$D$101</definedName>
    <definedName name="Rep">'Bande 23 Joueurs'!$BC$56</definedName>
    <definedName name="toto">'Bande 23 Joueurs'!$BC$56</definedName>
  </definedNames>
  <calcPr calcId="191029"/>
</workbook>
</file>

<file path=xl/calcChain.xml><?xml version="1.0" encoding="utf-8"?>
<calcChain xmlns="http://schemas.openxmlformats.org/spreadsheetml/2006/main">
  <c r="E25" i="3" l="1"/>
  <c r="E27" i="3"/>
  <c r="E20" i="3"/>
  <c r="E19" i="3"/>
  <c r="E23" i="3"/>
  <c r="E9" i="3"/>
  <c r="E13" i="3"/>
  <c r="E29" i="3"/>
  <c r="E28" i="3"/>
  <c r="B29" i="3" l="1"/>
  <c r="B12" i="3"/>
  <c r="B24" i="3"/>
  <c r="B21" i="3"/>
  <c r="B27" i="3"/>
  <c r="B20" i="3"/>
  <c r="B8" i="3"/>
  <c r="B11" i="3"/>
  <c r="B19" i="3"/>
  <c r="B18" i="3"/>
  <c r="B10" i="3"/>
  <c r="B26" i="3"/>
  <c r="B14" i="3"/>
  <c r="B9" i="3"/>
  <c r="B22" i="3"/>
  <c r="B15" i="3"/>
  <c r="B7" i="3"/>
  <c r="B23" i="3"/>
  <c r="B13" i="3"/>
  <c r="B25" i="3"/>
  <c r="B17" i="3"/>
  <c r="B28" i="3"/>
  <c r="B16" i="3"/>
  <c r="C3" i="3"/>
  <c r="C1" i="3"/>
  <c r="CL93" i="2" l="1"/>
  <c r="CP89" i="2"/>
  <c r="CJ93" i="2"/>
  <c r="CN89" i="2"/>
  <c r="CM89" i="2"/>
  <c r="CI95" i="2"/>
  <c r="CI93" i="2"/>
  <c r="CE93" i="2"/>
  <c r="CF93" i="2"/>
  <c r="CH93" i="2"/>
  <c r="CE95" i="2"/>
  <c r="CM91" i="2"/>
  <c r="CP85" i="2"/>
  <c r="CN85" i="2"/>
  <c r="CM85" i="2"/>
  <c r="CM87" i="2"/>
  <c r="CD93" i="2"/>
  <c r="CP81" i="2"/>
  <c r="CB93" i="2"/>
  <c r="CN81" i="2"/>
  <c r="CM81" i="2"/>
  <c r="CA95" i="2"/>
  <c r="CA93" i="2"/>
  <c r="CM83" i="2"/>
  <c r="BZ93" i="2"/>
  <c r="CP77" i="2"/>
  <c r="BX93" i="2"/>
  <c r="CN77" i="2"/>
  <c r="CM77" i="2"/>
  <c r="BW95" i="2"/>
  <c r="BW93" i="2"/>
  <c r="CM79" i="2"/>
  <c r="BV93" i="2"/>
  <c r="CP73" i="2"/>
  <c r="BT93" i="2"/>
  <c r="CN73" i="2"/>
  <c r="CM73" i="2"/>
  <c r="BS95" i="2"/>
  <c r="BS93" i="2"/>
  <c r="CM75" i="2"/>
  <c r="BR93" i="2" l="1"/>
  <c r="CP69" i="2"/>
  <c r="BP93" i="2"/>
  <c r="CN69" i="2"/>
  <c r="CM69" i="2"/>
  <c r="BO95" i="2"/>
  <c r="BO93" i="2"/>
  <c r="CM71" i="2"/>
  <c r="BN93" i="2"/>
  <c r="CP65" i="2"/>
  <c r="BL93" i="2"/>
  <c r="CN65" i="2"/>
  <c r="BK95" i="2"/>
  <c r="BK93" i="2"/>
  <c r="CM65" i="2"/>
  <c r="CM67" i="2"/>
  <c r="BJ93" i="2"/>
  <c r="CP61" i="2"/>
  <c r="BH93" i="2"/>
  <c r="CN61" i="2"/>
  <c r="BG95" i="2"/>
  <c r="BG93" i="2"/>
  <c r="CM61" i="2"/>
  <c r="CM63" i="2"/>
  <c r="CP57" i="2" l="1"/>
  <c r="BF93" i="2"/>
  <c r="BD93" i="2"/>
  <c r="CN57" i="2"/>
  <c r="BC95" i="2"/>
  <c r="BC93" i="2"/>
  <c r="CM57" i="2"/>
  <c r="CM59" i="2"/>
  <c r="BB93" i="2"/>
  <c r="CP53" i="2"/>
  <c r="AZ93" i="2"/>
  <c r="CN53" i="2"/>
  <c r="AY95" i="2"/>
  <c r="AY93" i="2"/>
  <c r="CM53" i="2"/>
  <c r="CM55" i="2"/>
  <c r="CP49" i="2"/>
  <c r="AX93" i="2"/>
  <c r="CN49" i="2"/>
  <c r="AV93" i="2"/>
  <c r="AU95" i="2"/>
  <c r="AU93" i="2"/>
  <c r="CM49" i="2"/>
  <c r="CM51" i="2"/>
  <c r="AT93" i="2"/>
  <c r="CP45" i="2"/>
  <c r="AR93" i="2"/>
  <c r="CN45" i="2"/>
  <c r="AQ95" i="2"/>
  <c r="AQ93" i="2"/>
  <c r="CM45" i="2"/>
  <c r="CM47" i="2"/>
  <c r="AP93" i="2"/>
  <c r="CP41" i="2"/>
  <c r="AN93" i="2"/>
  <c r="CN41" i="2"/>
  <c r="AM95" i="2"/>
  <c r="AM93" i="2"/>
  <c r="CM41" i="2"/>
  <c r="CM43" i="2"/>
  <c r="AL93" i="2"/>
  <c r="CP37" i="2"/>
  <c r="AJ93" i="2"/>
  <c r="CN37" i="2"/>
  <c r="AI95" i="2"/>
  <c r="AI93" i="2"/>
  <c r="CM37" i="2"/>
  <c r="CM39" i="2"/>
  <c r="AH93" i="2"/>
  <c r="CP33" i="2"/>
  <c r="AF93" i="2"/>
  <c r="CN33" i="2"/>
  <c r="AE95" i="2"/>
  <c r="AE93" i="2"/>
  <c r="CM33" i="2"/>
  <c r="CM35" i="2"/>
  <c r="AD93" i="2"/>
  <c r="CN29" i="2"/>
  <c r="CP29" i="2"/>
  <c r="AB93" i="2"/>
  <c r="AA95" i="2"/>
  <c r="AA93" i="2"/>
  <c r="CM29" i="2"/>
  <c r="CM31" i="2"/>
  <c r="Z93" i="2"/>
  <c r="CP25" i="2"/>
  <c r="X93" i="2"/>
  <c r="CN25" i="2"/>
  <c r="W95" i="2"/>
  <c r="W93" i="2"/>
  <c r="CM25" i="2"/>
  <c r="CM27" i="2"/>
  <c r="V93" i="2"/>
  <c r="CP21" i="2"/>
  <c r="T93" i="2"/>
  <c r="CN21" i="2"/>
  <c r="S95" i="2"/>
  <c r="S93" i="2"/>
  <c r="CM21" i="2"/>
  <c r="CM23" i="2"/>
  <c r="R93" i="2"/>
  <c r="CP17" i="2"/>
  <c r="P93" i="2"/>
  <c r="CM17" i="2"/>
  <c r="CN17" i="2"/>
  <c r="O95" i="2"/>
  <c r="O93" i="2"/>
  <c r="CM19" i="2"/>
  <c r="N93" i="2"/>
  <c r="L93" i="2"/>
  <c r="CN13" i="2"/>
  <c r="K95" i="2"/>
  <c r="K93" i="2"/>
  <c r="CP13" i="2"/>
  <c r="CM9" i="2"/>
  <c r="CM13" i="2"/>
  <c r="CM5" i="2"/>
  <c r="CM15" i="2"/>
  <c r="CP9" i="2"/>
  <c r="H93" i="2"/>
  <c r="CN9" i="2"/>
  <c r="G93" i="2"/>
  <c r="C93" i="2"/>
  <c r="J93" i="2"/>
  <c r="G95" i="2"/>
  <c r="CM11" i="2"/>
  <c r="CP5" i="2"/>
  <c r="D93" i="2"/>
  <c r="F93" i="2"/>
  <c r="CN5" i="2"/>
  <c r="CM3" i="2" l="1"/>
  <c r="C95" i="2"/>
  <c r="CM7" i="2"/>
  <c r="CA3" i="2"/>
  <c r="CS92" i="2" l="1"/>
  <c r="CS95" i="2" s="1"/>
  <c r="D29" i="3" s="1"/>
  <c r="CV93" i="2"/>
  <c r="CV95" i="2"/>
  <c r="CS93" i="2"/>
  <c r="C29" i="3" s="1"/>
  <c r="CV92" i="2"/>
  <c r="CL85" i="2"/>
  <c r="CH89" i="2"/>
  <c r="CJ85" i="2"/>
  <c r="CF89" i="2"/>
  <c r="CI87" i="2"/>
  <c r="CE91" i="2"/>
  <c r="CL81" i="2"/>
  <c r="CD89" i="2"/>
  <c r="CJ81" i="2"/>
  <c r="CB89" i="2"/>
  <c r="CI83" i="2"/>
  <c r="CA91" i="2"/>
  <c r="CL77" i="2"/>
  <c r="BZ89" i="2"/>
  <c r="CJ77" i="2"/>
  <c r="BX89" i="2"/>
  <c r="CI79" i="2"/>
  <c r="BW91" i="2"/>
  <c r="CL73" i="2"/>
  <c r="BV89" i="2"/>
  <c r="CJ73" i="2"/>
  <c r="BT89" i="2"/>
  <c r="CI75" i="2"/>
  <c r="BS91" i="2"/>
  <c r="CL69" i="2"/>
  <c r="BR89" i="2"/>
  <c r="CJ69" i="2"/>
  <c r="BP89" i="2"/>
  <c r="CI71" i="2"/>
  <c r="BO91" i="2"/>
  <c r="CL65" i="2"/>
  <c r="BN89" i="2"/>
  <c r="CJ65" i="2"/>
  <c r="BL89" i="2"/>
  <c r="CI67" i="2"/>
  <c r="BK91" i="2"/>
  <c r="CL61" i="2"/>
  <c r="BJ89" i="2"/>
  <c r="CJ61" i="2"/>
  <c r="BH89" i="2"/>
  <c r="CI63" i="2"/>
  <c r="BG91" i="2"/>
  <c r="CL57" i="2"/>
  <c r="BF89" i="2"/>
  <c r="CJ57" i="2"/>
  <c r="BD89" i="2"/>
  <c r="CI59" i="2"/>
  <c r="BC91" i="2"/>
  <c r="CL53" i="2"/>
  <c r="CJ53" i="2"/>
  <c r="AZ89" i="2"/>
  <c r="CI55" i="2"/>
  <c r="AY91" i="2"/>
  <c r="CL49" i="2"/>
  <c r="CJ49" i="2"/>
  <c r="AV89" i="2"/>
  <c r="CI51" i="2"/>
  <c r="AU91" i="2"/>
  <c r="CL45" i="2"/>
  <c r="AT89" i="2"/>
  <c r="CJ45" i="2"/>
  <c r="AR89" i="2"/>
  <c r="CI47" i="2"/>
  <c r="AQ91" i="2"/>
  <c r="CL41" i="2"/>
  <c r="AP89" i="2"/>
  <c r="CJ41" i="2"/>
  <c r="AN89" i="2"/>
  <c r="CI43" i="2"/>
  <c r="AM91" i="2"/>
  <c r="CL37" i="2"/>
  <c r="AL89" i="2"/>
  <c r="CJ37" i="2"/>
  <c r="AJ89" i="2"/>
  <c r="CI39" i="2"/>
  <c r="AI91" i="2"/>
  <c r="CL33" i="2"/>
  <c r="AH89" i="2"/>
  <c r="CJ33" i="2"/>
  <c r="AF89" i="2"/>
  <c r="CI35" i="2"/>
  <c r="CW93" i="2" l="1"/>
  <c r="CW95" i="2"/>
  <c r="CW92" i="2"/>
  <c r="AE91" i="2"/>
  <c r="CL29" i="2"/>
  <c r="AD89" i="2"/>
  <c r="CJ29" i="2"/>
  <c r="AB89" i="2"/>
  <c r="AA91" i="2"/>
  <c r="CI31" i="2"/>
  <c r="CL25" i="2"/>
  <c r="Z89" i="2"/>
  <c r="CJ25" i="2"/>
  <c r="X89" i="2"/>
  <c r="W91" i="2"/>
  <c r="CI27" i="2"/>
  <c r="CL21" i="2"/>
  <c r="V89" i="2"/>
  <c r="CJ21" i="2"/>
  <c r="T89" i="2"/>
  <c r="S91" i="2"/>
  <c r="CI23" i="2"/>
  <c r="CL17" i="2"/>
  <c r="R89" i="2"/>
  <c r="CJ17" i="2"/>
  <c r="P89" i="2"/>
  <c r="O91" i="2"/>
  <c r="CI19" i="2"/>
  <c r="CL13" i="2"/>
  <c r="N89" i="2"/>
  <c r="CJ13" i="2"/>
  <c r="L89" i="2"/>
  <c r="K91" i="2"/>
  <c r="CI15" i="2"/>
  <c r="CL9" i="2"/>
  <c r="J89" i="2"/>
  <c r="CJ9" i="2"/>
  <c r="H89" i="2"/>
  <c r="G91" i="2"/>
  <c r="CI11" i="2"/>
  <c r="CL5" i="2"/>
  <c r="F89" i="2"/>
  <c r="CJ5" i="2"/>
  <c r="D89" i="2"/>
  <c r="C91" i="2"/>
  <c r="CI3" i="2"/>
  <c r="CH81" i="2"/>
  <c r="CD85" i="2"/>
  <c r="CF81" i="2"/>
  <c r="CB85" i="2"/>
  <c r="CE83" i="2"/>
  <c r="CA87" i="2"/>
  <c r="CH77" i="2"/>
  <c r="BZ85" i="2"/>
  <c r="CF77" i="2"/>
  <c r="BX85" i="2"/>
  <c r="CE79" i="2"/>
  <c r="BW87" i="2"/>
  <c r="CH73" i="2"/>
  <c r="BV85" i="2"/>
  <c r="CF73" i="2"/>
  <c r="BT85" i="2"/>
  <c r="CE75" i="2"/>
  <c r="BS87" i="2"/>
  <c r="CH69" i="2"/>
  <c r="BR85" i="2"/>
  <c r="CF69" i="2"/>
  <c r="BP85" i="2"/>
  <c r="CE71" i="2"/>
  <c r="BO87" i="2"/>
  <c r="CH65" i="2"/>
  <c r="BN85" i="2"/>
  <c r="CF65" i="2"/>
  <c r="BL85" i="2"/>
  <c r="CE67" i="2"/>
  <c r="BK87" i="2"/>
  <c r="CH61" i="2"/>
  <c r="BJ85" i="2"/>
  <c r="CF61" i="2"/>
  <c r="BH85" i="2"/>
  <c r="CE63" i="2"/>
  <c r="BG87" i="2"/>
  <c r="CH57" i="2"/>
  <c r="BF85" i="2"/>
  <c r="CF57" i="2"/>
  <c r="BD85" i="2"/>
  <c r="CE59" i="2"/>
  <c r="BC87" i="2"/>
  <c r="CH53" i="2"/>
  <c r="BB85" i="2"/>
  <c r="CF53" i="2"/>
  <c r="AZ85" i="2"/>
  <c r="CE55" i="2"/>
  <c r="AY87" i="2"/>
  <c r="CH49" i="2"/>
  <c r="AX85" i="2"/>
  <c r="CF49" i="2"/>
  <c r="AV85" i="2"/>
  <c r="CE51" i="2"/>
  <c r="AU87" i="2"/>
  <c r="CH45" i="2"/>
  <c r="AT85" i="2"/>
  <c r="CF45" i="2"/>
  <c r="AR85" i="2"/>
  <c r="CE47" i="2"/>
  <c r="AQ87" i="2"/>
  <c r="CH41" i="2"/>
  <c r="AP85" i="2"/>
  <c r="CF41" i="2"/>
  <c r="AN85" i="2"/>
  <c r="CE43" i="2"/>
  <c r="AM87" i="2"/>
  <c r="CH37" i="2"/>
  <c r="AL85" i="2"/>
  <c r="CF37" i="2"/>
  <c r="AJ85" i="2"/>
  <c r="CE39" i="2"/>
  <c r="AI87" i="2"/>
  <c r="CH33" i="2"/>
  <c r="AH85" i="2"/>
  <c r="CF33" i="2"/>
  <c r="AF85" i="2"/>
  <c r="CE35" i="2"/>
  <c r="AE87" i="2"/>
  <c r="CH29" i="2"/>
  <c r="AD85" i="2"/>
  <c r="CF29" i="2"/>
  <c r="AB85" i="2"/>
  <c r="CE31" i="2"/>
  <c r="AA87" i="2"/>
  <c r="CH25" i="2"/>
  <c r="Z85" i="2"/>
  <c r="CF25" i="2"/>
  <c r="X85" i="2"/>
  <c r="CE27" i="2"/>
  <c r="W87" i="2"/>
  <c r="CH21" i="2"/>
  <c r="V85" i="2"/>
  <c r="CF21" i="2"/>
  <c r="T85" i="2"/>
  <c r="S87" i="2"/>
  <c r="CE23" i="2"/>
  <c r="CH17" i="2"/>
  <c r="R85" i="2"/>
  <c r="CF17" i="2"/>
  <c r="P85" i="2"/>
  <c r="O87" i="2"/>
  <c r="CE19" i="2"/>
  <c r="CH13" i="2"/>
  <c r="N85" i="2"/>
  <c r="CF13" i="2"/>
  <c r="L85" i="2"/>
  <c r="CE15" i="2"/>
  <c r="K87" i="2"/>
  <c r="CH9" i="2"/>
  <c r="J85" i="2"/>
  <c r="CF9" i="2"/>
  <c r="H85" i="2"/>
  <c r="G87" i="2"/>
  <c r="CE11" i="2"/>
  <c r="CH5" i="2"/>
  <c r="F85" i="2"/>
  <c r="CF5" i="2"/>
  <c r="D85" i="2"/>
  <c r="C87" i="2"/>
  <c r="CE3" i="2"/>
  <c r="CD77" i="2"/>
  <c r="BZ81" i="2"/>
  <c r="CB77" i="2"/>
  <c r="BX81" i="2"/>
  <c r="CA79" i="2"/>
  <c r="BW83" i="2"/>
  <c r="CD73" i="2"/>
  <c r="BV81" i="2"/>
  <c r="CB73" i="2"/>
  <c r="BT81" i="2"/>
  <c r="CA75" i="2"/>
  <c r="BS83" i="2"/>
  <c r="CD69" i="2"/>
  <c r="BR81" i="2"/>
  <c r="CB69" i="2"/>
  <c r="BP81" i="2"/>
  <c r="CA71" i="2"/>
  <c r="BO83" i="2"/>
  <c r="CD65" i="2"/>
  <c r="BN81" i="2"/>
  <c r="CB65" i="2"/>
  <c r="BL81" i="2"/>
  <c r="CA67" i="2"/>
  <c r="BK83" i="2"/>
  <c r="CD61" i="2"/>
  <c r="BJ81" i="2"/>
  <c r="CB61" i="2"/>
  <c r="BH81" i="2"/>
  <c r="CA63" i="2"/>
  <c r="BG83" i="2"/>
  <c r="CD57" i="2"/>
  <c r="BF81" i="2"/>
  <c r="CB57" i="2"/>
  <c r="BD81" i="2"/>
  <c r="CA59" i="2"/>
  <c r="BC83" i="2"/>
  <c r="CD53" i="2"/>
  <c r="BB81" i="2"/>
  <c r="CB53" i="2"/>
  <c r="AZ81" i="2"/>
  <c r="CA55" i="2"/>
  <c r="AY83" i="2"/>
  <c r="AX81" i="2"/>
  <c r="CD49" i="2"/>
  <c r="CB49" i="2"/>
  <c r="AV81" i="2"/>
  <c r="CA51" i="2"/>
  <c r="AU83" i="2"/>
  <c r="CD45" i="2"/>
  <c r="AT81" i="2"/>
  <c r="CB45" i="2"/>
  <c r="AR81" i="2"/>
  <c r="CA47" i="2"/>
  <c r="AQ83" i="2"/>
  <c r="CV84" i="2" l="1"/>
  <c r="CV85" i="2"/>
  <c r="CS84" i="2"/>
  <c r="CS85" i="2"/>
  <c r="C24" i="3" s="1"/>
  <c r="CV87" i="2"/>
  <c r="CD41" i="2"/>
  <c r="AP81" i="2"/>
  <c r="CB41" i="2"/>
  <c r="AN81" i="2"/>
  <c r="CA43" i="2"/>
  <c r="AM83" i="2"/>
  <c r="CD37" i="2"/>
  <c r="AL81" i="2"/>
  <c r="CB37" i="2"/>
  <c r="AJ81" i="2"/>
  <c r="CA39" i="2"/>
  <c r="AI83" i="2"/>
  <c r="CD33" i="2"/>
  <c r="AH81" i="2"/>
  <c r="CB33" i="2"/>
  <c r="AF81" i="2"/>
  <c r="CA35" i="2"/>
  <c r="AE83" i="2"/>
  <c r="CD29" i="2"/>
  <c r="AD81" i="2"/>
  <c r="CB29" i="2"/>
  <c r="AB81" i="2"/>
  <c r="CA31" i="2"/>
  <c r="AA83" i="2"/>
  <c r="CD25" i="2"/>
  <c r="Z81" i="2"/>
  <c r="CB25" i="2"/>
  <c r="X81" i="2"/>
  <c r="CA27" i="2"/>
  <c r="W83" i="2"/>
  <c r="CD21" i="2"/>
  <c r="V81" i="2"/>
  <c r="CB21" i="2"/>
  <c r="T81" i="2"/>
  <c r="CA23" i="2"/>
  <c r="S83" i="2"/>
  <c r="CD17" i="2"/>
  <c r="N81" i="2"/>
  <c r="CB17" i="2"/>
  <c r="P81" i="2"/>
  <c r="O83" i="2"/>
  <c r="R81" i="2"/>
  <c r="CA19" i="2"/>
  <c r="CD13" i="2"/>
  <c r="CB13" i="2"/>
  <c r="L81" i="2"/>
  <c r="K83" i="2"/>
  <c r="CA15" i="2"/>
  <c r="CD9" i="2"/>
  <c r="J81" i="2"/>
  <c r="CB9" i="2"/>
  <c r="H81" i="2"/>
  <c r="G83" i="2"/>
  <c r="CA11" i="2"/>
  <c r="CD5" i="2"/>
  <c r="F81" i="2"/>
  <c r="D81" i="2"/>
  <c r="C83" i="2"/>
  <c r="BZ73" i="2"/>
  <c r="BV77" i="2"/>
  <c r="BX73" i="2"/>
  <c r="BT77" i="2"/>
  <c r="BW75" i="2"/>
  <c r="BS79" i="2"/>
  <c r="BZ69" i="2"/>
  <c r="BR77" i="2"/>
  <c r="BX69" i="2"/>
  <c r="BP77" i="2"/>
  <c r="BW71" i="2"/>
  <c r="BO79" i="2"/>
  <c r="BZ65" i="2"/>
  <c r="BN77" i="2"/>
  <c r="BX65" i="2"/>
  <c r="BL77" i="2"/>
  <c r="BW67" i="2"/>
  <c r="BK79" i="2"/>
  <c r="BZ61" i="2"/>
  <c r="BJ77" i="2"/>
  <c r="BX61" i="2"/>
  <c r="BH77" i="2"/>
  <c r="BW63" i="2"/>
  <c r="BG79" i="2"/>
  <c r="BZ57" i="2"/>
  <c r="BF77" i="2"/>
  <c r="BX57" i="2"/>
  <c r="BD77" i="2"/>
  <c r="BW59" i="2"/>
  <c r="BC79" i="2"/>
  <c r="BZ53" i="2"/>
  <c r="BB77" i="2"/>
  <c r="BX53" i="2"/>
  <c r="AZ77" i="2"/>
  <c r="BW55" i="2"/>
  <c r="AY79" i="2"/>
  <c r="BZ49" i="2"/>
  <c r="AX77" i="2"/>
  <c r="BX49" i="2"/>
  <c r="AV77" i="2"/>
  <c r="BW51" i="2"/>
  <c r="AU79" i="2"/>
  <c r="BZ45" i="2"/>
  <c r="AT77" i="2"/>
  <c r="BX45" i="2"/>
  <c r="AR77" i="2"/>
  <c r="BW47" i="2"/>
  <c r="AQ79" i="2"/>
  <c r="BZ41" i="2"/>
  <c r="AP77" i="2"/>
  <c r="BX41" i="2"/>
  <c r="AN77" i="2"/>
  <c r="BW43" i="2"/>
  <c r="AM79" i="2"/>
  <c r="BZ37" i="2"/>
  <c r="AL77" i="2"/>
  <c r="BX37" i="2"/>
  <c r="AJ77" i="2"/>
  <c r="BW39" i="2"/>
  <c r="AI79" i="2"/>
  <c r="BZ33" i="2"/>
  <c r="AH77" i="2"/>
  <c r="BX33" i="2"/>
  <c r="AF77" i="2"/>
  <c r="BW35" i="2"/>
  <c r="AE79" i="2"/>
  <c r="BZ29" i="2"/>
  <c r="AD77" i="2"/>
  <c r="BX29" i="2"/>
  <c r="AB77" i="2"/>
  <c r="BW31" i="2"/>
  <c r="AA79" i="2"/>
  <c r="CS87" i="2" l="1"/>
  <c r="D24" i="3" s="1"/>
  <c r="E24" i="3"/>
  <c r="CV81" i="2"/>
  <c r="CW84" i="2"/>
  <c r="CW85" i="2"/>
  <c r="CW87" i="2"/>
  <c r="CV83" i="2"/>
  <c r="CS81" i="2"/>
  <c r="C21" i="3" s="1"/>
  <c r="CV80" i="2"/>
  <c r="CS80" i="2"/>
  <c r="E21" i="3" s="1"/>
  <c r="BZ25" i="2"/>
  <c r="Z77" i="2"/>
  <c r="BX25" i="2"/>
  <c r="X77" i="2"/>
  <c r="BW27" i="2"/>
  <c r="W79" i="2"/>
  <c r="BZ21" i="2"/>
  <c r="V77" i="2"/>
  <c r="BX21" i="2"/>
  <c r="T77" i="2"/>
  <c r="BW23" i="2"/>
  <c r="S79" i="2"/>
  <c r="BZ17" i="2"/>
  <c r="R77" i="2"/>
  <c r="BX17" i="2"/>
  <c r="P77" i="2"/>
  <c r="BW19" i="2"/>
  <c r="O79" i="2"/>
  <c r="BZ13" i="2"/>
  <c r="N77" i="2"/>
  <c r="BX13" i="2"/>
  <c r="L77" i="2"/>
  <c r="K79" i="2"/>
  <c r="BW15" i="2"/>
  <c r="BZ9" i="2"/>
  <c r="J77" i="2"/>
  <c r="H77" i="2"/>
  <c r="G79" i="2"/>
  <c r="BW11" i="2"/>
  <c r="BX9" i="2"/>
  <c r="BZ5" i="2"/>
  <c r="F77" i="2"/>
  <c r="BX5" i="2"/>
  <c r="BW3" i="2"/>
  <c r="D77" i="2"/>
  <c r="C79" i="2"/>
  <c r="BV69" i="2"/>
  <c r="BR73" i="2"/>
  <c r="BT69" i="2"/>
  <c r="BP73" i="2"/>
  <c r="BS71" i="2"/>
  <c r="BO75" i="2"/>
  <c r="BV65" i="2"/>
  <c r="BN73" i="2"/>
  <c r="BT65" i="2"/>
  <c r="BL73" i="2"/>
  <c r="BS67" i="2"/>
  <c r="BK75" i="2"/>
  <c r="BV61" i="2"/>
  <c r="BJ73" i="2"/>
  <c r="BT61" i="2"/>
  <c r="BH73" i="2"/>
  <c r="BS63" i="2"/>
  <c r="BG75" i="2"/>
  <c r="BV57" i="2"/>
  <c r="BF73" i="2"/>
  <c r="BT57" i="2"/>
  <c r="BD73" i="2"/>
  <c r="BS59" i="2"/>
  <c r="BC75" i="2"/>
  <c r="BV53" i="2"/>
  <c r="BB73" i="2"/>
  <c r="BT53" i="2"/>
  <c r="AZ73" i="2"/>
  <c r="BS55" i="2"/>
  <c r="AY75" i="2"/>
  <c r="BV49" i="2"/>
  <c r="AX73" i="2"/>
  <c r="BT49" i="2"/>
  <c r="AV73" i="2"/>
  <c r="BS51" i="2"/>
  <c r="AU75" i="2"/>
  <c r="BV45" i="2"/>
  <c r="AT73" i="2"/>
  <c r="BT45" i="2"/>
  <c r="BS47" i="2"/>
  <c r="AQ75" i="2"/>
  <c r="BV41" i="2"/>
  <c r="AP73" i="2"/>
  <c r="BT41" i="2"/>
  <c r="AN73" i="2"/>
  <c r="BS43" i="2"/>
  <c r="AM75" i="2"/>
  <c r="BV37" i="2"/>
  <c r="AL73" i="2"/>
  <c r="BT37" i="2"/>
  <c r="AJ73" i="2"/>
  <c r="BS39" i="2"/>
  <c r="AI75" i="2"/>
  <c r="BV33" i="2"/>
  <c r="AH73" i="2"/>
  <c r="BT33" i="2"/>
  <c r="AF73" i="2"/>
  <c r="BS35" i="2"/>
  <c r="AE75" i="2"/>
  <c r="BV29" i="2"/>
  <c r="AD73" i="2"/>
  <c r="BT29" i="2"/>
  <c r="AB73" i="2"/>
  <c r="BS31" i="2"/>
  <c r="AA75" i="2"/>
  <c r="BV25" i="2"/>
  <c r="Z73" i="2"/>
  <c r="BT25" i="2"/>
  <c r="X73" i="2"/>
  <c r="BS27" i="2"/>
  <c r="W75" i="2"/>
  <c r="BV21" i="2"/>
  <c r="V73" i="2"/>
  <c r="BT21" i="2"/>
  <c r="T73" i="2"/>
  <c r="BS23" i="2"/>
  <c r="S75" i="2"/>
  <c r="BV17" i="2"/>
  <c r="R73" i="2"/>
  <c r="BT17" i="2"/>
  <c r="P73" i="2"/>
  <c r="BS19" i="2"/>
  <c r="O75" i="2"/>
  <c r="BV13" i="2"/>
  <c r="N73" i="2"/>
  <c r="BT13" i="2"/>
  <c r="L73" i="2"/>
  <c r="BS15" i="2"/>
  <c r="K75" i="2"/>
  <c r="BV9" i="2"/>
  <c r="J73" i="2"/>
  <c r="BT9" i="2"/>
  <c r="H73" i="2"/>
  <c r="BS11" i="2"/>
  <c r="G75" i="2"/>
  <c r="CW81" i="2" l="1"/>
  <c r="CS83" i="2"/>
  <c r="D21" i="3" s="1"/>
  <c r="CV77" i="2"/>
  <c r="CW83" i="2"/>
  <c r="CW80" i="2"/>
  <c r="CV76" i="2"/>
  <c r="CS77" i="2"/>
  <c r="C27" i="3" s="1"/>
  <c r="CV79" i="2"/>
  <c r="CS76" i="2"/>
  <c r="CS79" i="2" s="1"/>
  <c r="D27" i="3" s="1"/>
  <c r="BV5" i="2"/>
  <c r="F73" i="2"/>
  <c r="BT5" i="2"/>
  <c r="D73" i="2"/>
  <c r="C75" i="2"/>
  <c r="BS3" i="2"/>
  <c r="BR65" i="2"/>
  <c r="BN69" i="2"/>
  <c r="BP65" i="2"/>
  <c r="BL69" i="2"/>
  <c r="BO67" i="2"/>
  <c r="BK71" i="2"/>
  <c r="BR61" i="2"/>
  <c r="BJ69" i="2"/>
  <c r="BP61" i="2"/>
  <c r="BH69" i="2"/>
  <c r="BO63" i="2"/>
  <c r="BG71" i="2"/>
  <c r="BR57" i="2"/>
  <c r="BF69" i="2"/>
  <c r="BP57" i="2"/>
  <c r="BD69" i="2"/>
  <c r="BO59" i="2"/>
  <c r="BC71" i="2"/>
  <c r="BR53" i="2"/>
  <c r="BB69" i="2"/>
  <c r="BP53" i="2"/>
  <c r="AZ69" i="2"/>
  <c r="BO55" i="2"/>
  <c r="AY71" i="2"/>
  <c r="AV69" i="2"/>
  <c r="BR49" i="2"/>
  <c r="AX69" i="2"/>
  <c r="BP49" i="2"/>
  <c r="BO51" i="2"/>
  <c r="AU71" i="2"/>
  <c r="BR45" i="2"/>
  <c r="AT69" i="2"/>
  <c r="BP45" i="2"/>
  <c r="AR69" i="2"/>
  <c r="BO47" i="2"/>
  <c r="AQ71" i="2"/>
  <c r="BR41" i="2"/>
  <c r="AP69" i="2"/>
  <c r="BP41" i="2"/>
  <c r="AN69" i="2"/>
  <c r="BO43" i="2"/>
  <c r="AM71" i="2"/>
  <c r="CI7" i="2"/>
  <c r="CE7" i="2"/>
  <c r="CA7" i="2"/>
  <c r="CB5" i="2"/>
  <c r="BW7" i="2"/>
  <c r="BS7" i="2"/>
  <c r="BR37" i="2"/>
  <c r="AL69" i="2"/>
  <c r="BP37" i="2"/>
  <c r="AJ69" i="2"/>
  <c r="BO39" i="2"/>
  <c r="AI71" i="2"/>
  <c r="BR33" i="2"/>
  <c r="AH69" i="2"/>
  <c r="BP33" i="2"/>
  <c r="AF69" i="2"/>
  <c r="BO35" i="2"/>
  <c r="AE71" i="2"/>
  <c r="BR29" i="2"/>
  <c r="AD69" i="2"/>
  <c r="BP29" i="2"/>
  <c r="AB69" i="2"/>
  <c r="BO31" i="2"/>
  <c r="AA71" i="2"/>
  <c r="BR25" i="2"/>
  <c r="Z69" i="2"/>
  <c r="BP25" i="2"/>
  <c r="X69" i="2"/>
  <c r="BO27" i="2"/>
  <c r="W71" i="2"/>
  <c r="BR21" i="2"/>
  <c r="V69" i="2"/>
  <c r="BP21" i="2"/>
  <c r="T69" i="2"/>
  <c r="BO23" i="2"/>
  <c r="S71" i="2"/>
  <c r="BR17" i="2"/>
  <c r="R69" i="2"/>
  <c r="BP17" i="2"/>
  <c r="P69" i="2"/>
  <c r="BO19" i="2"/>
  <c r="O71" i="2"/>
  <c r="BR13" i="2"/>
  <c r="N69" i="2"/>
  <c r="BP13" i="2"/>
  <c r="L69" i="2"/>
  <c r="BO15" i="2"/>
  <c r="BL13" i="2"/>
  <c r="BN13" i="2"/>
  <c r="BK15" i="2"/>
  <c r="K71" i="2"/>
  <c r="BR9" i="2"/>
  <c r="J69" i="2"/>
  <c r="BP9" i="2"/>
  <c r="H69" i="2"/>
  <c r="G71" i="2"/>
  <c r="BO11" i="2"/>
  <c r="BR5" i="2"/>
  <c r="F69" i="2"/>
  <c r="BP5" i="2"/>
  <c r="D69" i="2"/>
  <c r="C71" i="2"/>
  <c r="BO7" i="2"/>
  <c r="BO3" i="2"/>
  <c r="BN61" i="2"/>
  <c r="BJ65" i="2"/>
  <c r="BL61" i="2"/>
  <c r="BH65" i="2"/>
  <c r="BK63" i="2"/>
  <c r="BG67" i="2"/>
  <c r="BN57" i="2"/>
  <c r="BF65" i="2"/>
  <c r="BL57" i="2"/>
  <c r="BD65" i="2"/>
  <c r="BK59" i="2"/>
  <c r="BC67" i="2"/>
  <c r="BN53" i="2"/>
  <c r="BB65" i="2"/>
  <c r="BL53" i="2"/>
  <c r="AZ65" i="2"/>
  <c r="BK55" i="2"/>
  <c r="AY67" i="2"/>
  <c r="BN49" i="2"/>
  <c r="AX65" i="2"/>
  <c r="BL49" i="2"/>
  <c r="AV65" i="2"/>
  <c r="BK51" i="2"/>
  <c r="AU67" i="2"/>
  <c r="BN45" i="2"/>
  <c r="AT65" i="2"/>
  <c r="BL45" i="2"/>
  <c r="AR65" i="2"/>
  <c r="BK47" i="2"/>
  <c r="AQ67" i="2"/>
  <c r="BN41" i="2"/>
  <c r="AP65" i="2"/>
  <c r="BL41" i="2"/>
  <c r="AN65" i="2"/>
  <c r="BK43" i="2"/>
  <c r="AM67" i="2"/>
  <c r="BN37" i="2"/>
  <c r="AL65" i="2"/>
  <c r="BL37" i="2"/>
  <c r="AJ65" i="2"/>
  <c r="BK39" i="2"/>
  <c r="AI67" i="2"/>
  <c r="BN33" i="2"/>
  <c r="AH65" i="2"/>
  <c r="BL33" i="2"/>
  <c r="AF65" i="2"/>
  <c r="BK35" i="2"/>
  <c r="AE67" i="2"/>
  <c r="BN29" i="2"/>
  <c r="AD65" i="2"/>
  <c r="BL29" i="2"/>
  <c r="AB65" i="2"/>
  <c r="BK31" i="2"/>
  <c r="AA67" i="2"/>
  <c r="BN25" i="2"/>
  <c r="Z65" i="2"/>
  <c r="BL25" i="2"/>
  <c r="X65" i="2"/>
  <c r="BK27" i="2"/>
  <c r="W67" i="2"/>
  <c r="BN21" i="2"/>
  <c r="V65" i="2"/>
  <c r="BL21" i="2"/>
  <c r="T65" i="2"/>
  <c r="BK23" i="2"/>
  <c r="S67" i="2"/>
  <c r="BN17" i="2"/>
  <c r="R65" i="2"/>
  <c r="BL17" i="2"/>
  <c r="P65" i="2"/>
  <c r="BK19" i="2"/>
  <c r="O67" i="2"/>
  <c r="N65" i="2"/>
  <c r="L65" i="2"/>
  <c r="K67" i="2"/>
  <c r="BN9" i="2"/>
  <c r="J65" i="2"/>
  <c r="BL9" i="2"/>
  <c r="H65" i="2"/>
  <c r="BK11" i="2"/>
  <c r="G67" i="2"/>
  <c r="BN5" i="2"/>
  <c r="F65" i="2"/>
  <c r="BL5" i="2"/>
  <c r="D65" i="2"/>
  <c r="C67" i="2"/>
  <c r="BK7" i="2"/>
  <c r="BK3" i="2"/>
  <c r="BJ57" i="2"/>
  <c r="BF61" i="2"/>
  <c r="BH57" i="2"/>
  <c r="BD61" i="2"/>
  <c r="BG59" i="2"/>
  <c r="BC63" i="2"/>
  <c r="BJ53" i="2"/>
  <c r="BB61" i="2"/>
  <c r="BH53" i="2"/>
  <c r="AZ61" i="2"/>
  <c r="BG55" i="2"/>
  <c r="AY63" i="2"/>
  <c r="BJ49" i="2"/>
  <c r="AX61" i="2"/>
  <c r="BH49" i="2"/>
  <c r="AV61" i="2"/>
  <c r="BG51" i="2"/>
  <c r="AU63" i="2"/>
  <c r="BJ45" i="2"/>
  <c r="AT61" i="2"/>
  <c r="BH45" i="2"/>
  <c r="AR61" i="2"/>
  <c r="BG47" i="2"/>
  <c r="AQ63" i="2"/>
  <c r="BJ41" i="2"/>
  <c r="AP61" i="2"/>
  <c r="BH41" i="2"/>
  <c r="AN61" i="2"/>
  <c r="BG43" i="2"/>
  <c r="AM63" i="2"/>
  <c r="BJ37" i="2"/>
  <c r="AL61" i="2"/>
  <c r="BH37" i="2"/>
  <c r="AJ61" i="2"/>
  <c r="BG39" i="2"/>
  <c r="AI63" i="2"/>
  <c r="BJ33" i="2"/>
  <c r="AH61" i="2"/>
  <c r="BH33" i="2"/>
  <c r="AF61" i="2"/>
  <c r="BG35" i="2"/>
  <c r="AE63" i="2"/>
  <c r="BJ29" i="2"/>
  <c r="AD61" i="2"/>
  <c r="BH29" i="2"/>
  <c r="AB61" i="2"/>
  <c r="BG31" i="2"/>
  <c r="AA63" i="2"/>
  <c r="BJ25" i="2"/>
  <c r="Z61" i="2"/>
  <c r="BH25" i="2"/>
  <c r="X61" i="2"/>
  <c r="BG27" i="2"/>
  <c r="W63" i="2"/>
  <c r="BJ21" i="2"/>
  <c r="V61" i="2"/>
  <c r="BH21" i="2"/>
  <c r="T61" i="2"/>
  <c r="BG23" i="2"/>
  <c r="S63" i="2"/>
  <c r="BJ17" i="2"/>
  <c r="R61" i="2"/>
  <c r="BH17" i="2"/>
  <c r="P61" i="2"/>
  <c r="BG19" i="2"/>
  <c r="O63" i="2"/>
  <c r="BJ13" i="2"/>
  <c r="N61" i="2"/>
  <c r="BH13" i="2"/>
  <c r="L61" i="2"/>
  <c r="BG15" i="2"/>
  <c r="K63" i="2"/>
  <c r="BJ9" i="2"/>
  <c r="J61" i="2"/>
  <c r="BH9" i="2"/>
  <c r="H61" i="2"/>
  <c r="BG11" i="2"/>
  <c r="G63" i="2"/>
  <c r="BJ5" i="2"/>
  <c r="F61" i="2"/>
  <c r="BH5" i="2"/>
  <c r="D61" i="2"/>
  <c r="C63" i="2"/>
  <c r="BG7" i="2"/>
  <c r="BG3" i="2"/>
  <c r="CV69" i="2" l="1"/>
  <c r="CW79" i="2"/>
  <c r="CW77" i="2"/>
  <c r="CW76" i="2"/>
  <c r="CV68" i="2"/>
  <c r="CS68" i="2"/>
  <c r="E8" i="3" s="1"/>
  <c r="CS69" i="2"/>
  <c r="C8" i="3" s="1"/>
  <c r="CV71" i="2"/>
  <c r="CV75" i="2"/>
  <c r="CS73" i="2"/>
  <c r="C20" i="3" s="1"/>
  <c r="CS72" i="2"/>
  <c r="CS75" i="2" s="1"/>
  <c r="D20" i="3" s="1"/>
  <c r="CV73" i="2"/>
  <c r="CV72" i="2"/>
  <c r="CV67" i="2"/>
  <c r="CV65" i="2"/>
  <c r="CS65" i="2"/>
  <c r="C11" i="3" s="1"/>
  <c r="CV64" i="2"/>
  <c r="CS64" i="2"/>
  <c r="CV61" i="2"/>
  <c r="CV60" i="2"/>
  <c r="CS61" i="2"/>
  <c r="C19" i="3" s="1"/>
  <c r="CV63" i="2"/>
  <c r="CS60" i="2"/>
  <c r="CS63" i="2" s="1"/>
  <c r="D19" i="3" s="1"/>
  <c r="BF53" i="2"/>
  <c r="BB57" i="2"/>
  <c r="BD53" i="2"/>
  <c r="AZ57" i="2"/>
  <c r="BC55" i="2"/>
  <c r="AY59" i="2"/>
  <c r="BF49" i="2"/>
  <c r="AX57" i="2"/>
  <c r="BD49" i="2"/>
  <c r="BC51" i="2"/>
  <c r="AV57" i="2"/>
  <c r="AU59" i="2"/>
  <c r="BF45" i="2"/>
  <c r="AT57" i="2"/>
  <c r="BD45" i="2"/>
  <c r="AR57" i="2"/>
  <c r="BC47" i="2"/>
  <c r="AQ59" i="2"/>
  <c r="BF41" i="2"/>
  <c r="AP57" i="2"/>
  <c r="BD41" i="2"/>
  <c r="AN57" i="2"/>
  <c r="BC43" i="2"/>
  <c r="AM59" i="2"/>
  <c r="BF37" i="2"/>
  <c r="AL57" i="2"/>
  <c r="BD37" i="2"/>
  <c r="AJ57" i="2"/>
  <c r="BC39" i="2"/>
  <c r="AI59" i="2"/>
  <c r="BF33" i="2"/>
  <c r="AH57" i="2"/>
  <c r="BD33" i="2"/>
  <c r="AF57" i="2"/>
  <c r="BC35" i="2"/>
  <c r="AE59" i="2"/>
  <c r="BF29" i="2"/>
  <c r="AD57" i="2"/>
  <c r="BD29" i="2"/>
  <c r="AB57" i="2"/>
  <c r="BC31" i="2"/>
  <c r="AA59" i="2"/>
  <c r="BF25" i="2"/>
  <c r="Z57" i="2"/>
  <c r="BD25" i="2"/>
  <c r="X57" i="2"/>
  <c r="BC27" i="2"/>
  <c r="W59" i="2"/>
  <c r="BF21" i="2"/>
  <c r="V57" i="2"/>
  <c r="BD21" i="2"/>
  <c r="T57" i="2"/>
  <c r="BC23" i="2"/>
  <c r="S59" i="2"/>
  <c r="BF17" i="2"/>
  <c r="R57" i="2"/>
  <c r="BD17" i="2"/>
  <c r="P57" i="2"/>
  <c r="BC19" i="2"/>
  <c r="O59" i="2"/>
  <c r="BF13" i="2"/>
  <c r="N57" i="2"/>
  <c r="BD13" i="2"/>
  <c r="L57" i="2"/>
  <c r="BC15" i="2"/>
  <c r="K59" i="2"/>
  <c r="BF9" i="2"/>
  <c r="J57" i="2"/>
  <c r="BD9" i="2"/>
  <c r="H57" i="2"/>
  <c r="BC11" i="2"/>
  <c r="G59" i="2"/>
  <c r="BF5" i="2"/>
  <c r="F57" i="2"/>
  <c r="BD5" i="2"/>
  <c r="BC7" i="2"/>
  <c r="D57" i="2"/>
  <c r="BC3" i="2"/>
  <c r="C59" i="2"/>
  <c r="BB49" i="2"/>
  <c r="AX53" i="2"/>
  <c r="AZ49" i="2"/>
  <c r="AV53" i="2"/>
  <c r="AY51" i="2"/>
  <c r="AU55" i="2"/>
  <c r="BB45" i="2"/>
  <c r="AT53" i="2"/>
  <c r="AZ45" i="2"/>
  <c r="AR53" i="2"/>
  <c r="AY47" i="2"/>
  <c r="AV45" i="2"/>
  <c r="AX45" i="2"/>
  <c r="AU47" i="2"/>
  <c r="AQ55" i="2"/>
  <c r="BB41" i="2"/>
  <c r="AP53" i="2"/>
  <c r="AZ41" i="2"/>
  <c r="AN53" i="2"/>
  <c r="AY43" i="2"/>
  <c r="AM55" i="2"/>
  <c r="BB37" i="2"/>
  <c r="AL53" i="2"/>
  <c r="AZ37" i="2"/>
  <c r="AJ53" i="2"/>
  <c r="AY39" i="2"/>
  <c r="AI55" i="2"/>
  <c r="BB33" i="2"/>
  <c r="AH53" i="2"/>
  <c r="AF53" i="2"/>
  <c r="AZ33" i="2"/>
  <c r="AY35" i="2"/>
  <c r="AE55" i="2"/>
  <c r="BB29" i="2"/>
  <c r="AD53" i="2"/>
  <c r="AZ29" i="2"/>
  <c r="AB53" i="2"/>
  <c r="AY31" i="2"/>
  <c r="AA55" i="2"/>
  <c r="BB25" i="2"/>
  <c r="Z53" i="2"/>
  <c r="AZ25" i="2"/>
  <c r="X53" i="2"/>
  <c r="AY27" i="2"/>
  <c r="W55" i="2"/>
  <c r="CS67" i="2" l="1"/>
  <c r="D11" i="3" s="1"/>
  <c r="E11" i="3"/>
  <c r="CW69" i="2"/>
  <c r="CS71" i="2"/>
  <c r="D8" i="3" s="1"/>
  <c r="CW68" i="2"/>
  <c r="CV56" i="2"/>
  <c r="CW71" i="2"/>
  <c r="CS56" i="2"/>
  <c r="CV57" i="2"/>
  <c r="CV59" i="2"/>
  <c r="CS57" i="2"/>
  <c r="C18" i="3" s="1"/>
  <c r="CW75" i="2"/>
  <c r="CW72" i="2"/>
  <c r="CW73" i="2"/>
  <c r="CW65" i="2"/>
  <c r="CW67" i="2"/>
  <c r="CW64" i="2"/>
  <c r="CW63" i="2"/>
  <c r="CW61" i="2"/>
  <c r="CW60" i="2"/>
  <c r="BB21" i="2"/>
  <c r="V53" i="2"/>
  <c r="AZ21" i="2"/>
  <c r="T53" i="2"/>
  <c r="AY23" i="2"/>
  <c r="S55" i="2"/>
  <c r="BB17" i="2"/>
  <c r="R53" i="2"/>
  <c r="AZ17" i="2"/>
  <c r="P53" i="2"/>
  <c r="AY19" i="2"/>
  <c r="O55" i="2"/>
  <c r="BB13" i="2"/>
  <c r="N53" i="2"/>
  <c r="AZ13" i="2"/>
  <c r="L53" i="2"/>
  <c r="AY15" i="2"/>
  <c r="K55" i="2"/>
  <c r="BB9" i="2"/>
  <c r="J53" i="2"/>
  <c r="AZ9" i="2"/>
  <c r="H53" i="2"/>
  <c r="AY11" i="2"/>
  <c r="G55" i="2"/>
  <c r="BB5" i="2"/>
  <c r="F53" i="2"/>
  <c r="AZ5" i="2"/>
  <c r="D53" i="2"/>
  <c r="CV52" i="2" s="1"/>
  <c r="C55" i="2"/>
  <c r="AY7" i="2"/>
  <c r="AY3" i="2"/>
  <c r="AT49" i="2"/>
  <c r="AR49" i="2"/>
  <c r="AQ51" i="2"/>
  <c r="AX41" i="2"/>
  <c r="AP49" i="2"/>
  <c r="AV41" i="2"/>
  <c r="AN49" i="2"/>
  <c r="AU43" i="2"/>
  <c r="AM51" i="2"/>
  <c r="AX37" i="2"/>
  <c r="AL49" i="2"/>
  <c r="AV37" i="2"/>
  <c r="AJ49" i="2"/>
  <c r="AU39" i="2"/>
  <c r="AI51" i="2"/>
  <c r="AX33" i="2"/>
  <c r="AH49" i="2"/>
  <c r="AV33" i="2"/>
  <c r="AF49" i="2"/>
  <c r="AU35" i="2"/>
  <c r="AE51" i="2"/>
  <c r="AX29" i="2"/>
  <c r="AD49" i="2"/>
  <c r="AV29" i="2"/>
  <c r="AB49" i="2"/>
  <c r="AU31" i="2"/>
  <c r="AA51" i="2"/>
  <c r="AX25" i="2"/>
  <c r="Z49" i="2"/>
  <c r="AV25" i="2"/>
  <c r="X49" i="2"/>
  <c r="AU27" i="2"/>
  <c r="W51" i="2"/>
  <c r="AX21" i="2"/>
  <c r="V49" i="2"/>
  <c r="AV21" i="2"/>
  <c r="T49" i="2"/>
  <c r="AU23" i="2"/>
  <c r="S51" i="2"/>
  <c r="AX17" i="2"/>
  <c r="R49" i="2"/>
  <c r="AV17" i="2"/>
  <c r="P49" i="2"/>
  <c r="AU19" i="2"/>
  <c r="O51" i="2"/>
  <c r="AX13" i="2"/>
  <c r="N49" i="2"/>
  <c r="AV13" i="2"/>
  <c r="L49" i="2"/>
  <c r="AU15" i="2"/>
  <c r="K51" i="2"/>
  <c r="AX9" i="2"/>
  <c r="J49" i="2"/>
  <c r="AV9" i="2"/>
  <c r="H49" i="2"/>
  <c r="AU11" i="2"/>
  <c r="G51" i="2"/>
  <c r="AX5" i="2"/>
  <c r="F49" i="2"/>
  <c r="D49" i="2"/>
  <c r="AV5" i="2"/>
  <c r="AU3" i="2"/>
  <c r="AQ3" i="2"/>
  <c r="C51" i="2"/>
  <c r="AU7" i="2"/>
  <c r="AT41" i="2"/>
  <c r="AP45" i="2"/>
  <c r="AN45" i="2"/>
  <c r="AR41" i="2"/>
  <c r="AQ43" i="2"/>
  <c r="AM47" i="2"/>
  <c r="AT37" i="2"/>
  <c r="AL45" i="2"/>
  <c r="AR37" i="2"/>
  <c r="AJ45" i="2"/>
  <c r="AQ39" i="2"/>
  <c r="AI47" i="2"/>
  <c r="AT33" i="2"/>
  <c r="AH45" i="2"/>
  <c r="AR33" i="2"/>
  <c r="AF45" i="2"/>
  <c r="AQ35" i="2"/>
  <c r="AE47" i="2"/>
  <c r="AT29" i="2"/>
  <c r="AD45" i="2"/>
  <c r="AR29" i="2"/>
  <c r="AB45" i="2"/>
  <c r="AQ31" i="2"/>
  <c r="AA47" i="2"/>
  <c r="AT25" i="2"/>
  <c r="Z45" i="2"/>
  <c r="AR25" i="2"/>
  <c r="X45" i="2"/>
  <c r="AQ27" i="2"/>
  <c r="W47" i="2"/>
  <c r="AT21" i="2"/>
  <c r="V45" i="2"/>
  <c r="AR21" i="2"/>
  <c r="T45" i="2"/>
  <c r="CS59" i="2" l="1"/>
  <c r="D18" i="3" s="1"/>
  <c r="E18" i="3"/>
  <c r="CW56" i="2"/>
  <c r="CW59" i="2"/>
  <c r="CW57" i="2"/>
  <c r="CV49" i="2"/>
  <c r="CS48" i="2"/>
  <c r="CS49" i="2"/>
  <c r="C26" i="3" s="1"/>
  <c r="CV51" i="2"/>
  <c r="CV55" i="2"/>
  <c r="CV53" i="2"/>
  <c r="CV48" i="2"/>
  <c r="CS53" i="2"/>
  <c r="C10" i="3" s="1"/>
  <c r="CS52" i="2"/>
  <c r="E10" i="3" s="1"/>
  <c r="CW51" i="2"/>
  <c r="AQ23" i="2"/>
  <c r="S47" i="2"/>
  <c r="AT17" i="2"/>
  <c r="R45" i="2"/>
  <c r="AR17" i="2"/>
  <c r="P45" i="2"/>
  <c r="AQ19" i="2"/>
  <c r="O47" i="2"/>
  <c r="AT13" i="2"/>
  <c r="N45" i="2"/>
  <c r="AR13" i="2"/>
  <c r="L45" i="2"/>
  <c r="AQ15" i="2"/>
  <c r="K47" i="2"/>
  <c r="J45" i="2"/>
  <c r="AT5" i="2"/>
  <c r="F45" i="2"/>
  <c r="AT9" i="2"/>
  <c r="AR9" i="2"/>
  <c r="H45" i="2"/>
  <c r="AQ11" i="2"/>
  <c r="G47" i="2"/>
  <c r="D45" i="2"/>
  <c r="AR5" i="2"/>
  <c r="AQ7" i="2"/>
  <c r="C47" i="2"/>
  <c r="AP37" i="2"/>
  <c r="AL41" i="2"/>
  <c r="AN37" i="2"/>
  <c r="AJ41" i="2"/>
  <c r="AM39" i="2"/>
  <c r="AI43" i="2"/>
  <c r="AP33" i="2"/>
  <c r="AH41" i="2"/>
  <c r="AN33" i="2"/>
  <c r="AF41" i="2"/>
  <c r="AM35" i="2"/>
  <c r="AE43" i="2"/>
  <c r="AP29" i="2"/>
  <c r="AD41" i="2"/>
  <c r="AN29" i="2"/>
  <c r="AB41" i="2"/>
  <c r="AM31" i="2"/>
  <c r="AA43" i="2"/>
  <c r="AP25" i="2"/>
  <c r="Z41" i="2"/>
  <c r="AN25" i="2"/>
  <c r="X41" i="2"/>
  <c r="AM27" i="2"/>
  <c r="W43" i="2"/>
  <c r="AP21" i="2"/>
  <c r="V41" i="2"/>
  <c r="AN21" i="2"/>
  <c r="T41" i="2"/>
  <c r="AM23" i="2"/>
  <c r="S43" i="2"/>
  <c r="CS51" i="2" l="1"/>
  <c r="D26" i="3" s="1"/>
  <c r="E26" i="3"/>
  <c r="CW49" i="2"/>
  <c r="CW48" i="2"/>
  <c r="CW55" i="2"/>
  <c r="CS55" i="2"/>
  <c r="D10" i="3" s="1"/>
  <c r="CW52" i="2"/>
  <c r="CW53" i="2"/>
  <c r="CV47" i="2"/>
  <c r="CS45" i="2"/>
  <c r="C14" i="3" s="1"/>
  <c r="CS44" i="2"/>
  <c r="CV45" i="2"/>
  <c r="CV44" i="2"/>
  <c r="R41" i="2"/>
  <c r="AP17" i="2"/>
  <c r="AN17" i="2"/>
  <c r="AM19" i="2"/>
  <c r="P41" i="2"/>
  <c r="O43" i="2"/>
  <c r="AP13" i="2"/>
  <c r="N41" i="2"/>
  <c r="AN13" i="2"/>
  <c r="AM15" i="2"/>
  <c r="L41" i="2"/>
  <c r="K43" i="2"/>
  <c r="AP9" i="2"/>
  <c r="J41" i="2"/>
  <c r="AN9" i="2"/>
  <c r="AM11" i="2"/>
  <c r="H41" i="2"/>
  <c r="G43" i="2"/>
  <c r="AP5" i="2"/>
  <c r="F41" i="2"/>
  <c r="AN5" i="2"/>
  <c r="AM7" i="2"/>
  <c r="D41" i="2"/>
  <c r="C43" i="2"/>
  <c r="AM3" i="2"/>
  <c r="AL33" i="2"/>
  <c r="AH37" i="2"/>
  <c r="AJ33" i="2"/>
  <c r="AI35" i="2"/>
  <c r="AF37" i="2"/>
  <c r="AE39" i="2"/>
  <c r="AL29" i="2"/>
  <c r="AD37" i="2"/>
  <c r="AJ29" i="2"/>
  <c r="AI31" i="2"/>
  <c r="AB37" i="2"/>
  <c r="AA39" i="2"/>
  <c r="AL25" i="2"/>
  <c r="Z37" i="2"/>
  <c r="AJ25" i="2"/>
  <c r="AI27" i="2"/>
  <c r="X37" i="2"/>
  <c r="W39" i="2"/>
  <c r="AL21" i="2"/>
  <c r="V37" i="2"/>
  <c r="AJ21" i="2"/>
  <c r="AI23" i="2"/>
  <c r="T37" i="2"/>
  <c r="S39" i="2"/>
  <c r="AL17" i="2"/>
  <c r="R37" i="2"/>
  <c r="AJ17" i="2"/>
  <c r="AI19" i="2"/>
  <c r="P37" i="2"/>
  <c r="O39" i="2"/>
  <c r="AL13" i="2"/>
  <c r="N37" i="2"/>
  <c r="AJ13" i="2"/>
  <c r="AI15" i="2"/>
  <c r="L37" i="2"/>
  <c r="K39" i="2"/>
  <c r="AL9" i="2"/>
  <c r="J37" i="2"/>
  <c r="AJ9" i="2"/>
  <c r="AI11" i="2"/>
  <c r="H37" i="2"/>
  <c r="G39" i="2"/>
  <c r="F37" i="2"/>
  <c r="AL5" i="2"/>
  <c r="AJ5" i="2"/>
  <c r="AI7" i="2"/>
  <c r="D37" i="2"/>
  <c r="C39" i="2"/>
  <c r="AI3" i="2"/>
  <c r="AH29" i="2"/>
  <c r="AD33" i="2"/>
  <c r="AF29" i="2"/>
  <c r="AE31" i="2"/>
  <c r="AB33" i="2"/>
  <c r="AA35" i="2"/>
  <c r="AH25" i="2"/>
  <c r="Z33" i="2"/>
  <c r="AF25" i="2"/>
  <c r="AE27" i="2"/>
  <c r="X33" i="2"/>
  <c r="W35" i="2"/>
  <c r="AH21" i="2"/>
  <c r="V33" i="2"/>
  <c r="AF21" i="2"/>
  <c r="AE23" i="2"/>
  <c r="T33" i="2"/>
  <c r="S35" i="2"/>
  <c r="AH17" i="2"/>
  <c r="R33" i="2"/>
  <c r="AF17" i="2"/>
  <c r="AE19" i="2"/>
  <c r="P33" i="2"/>
  <c r="O35" i="2"/>
  <c r="AH13" i="2"/>
  <c r="N33" i="2"/>
  <c r="AF13" i="2"/>
  <c r="AE15" i="2"/>
  <c r="L33" i="2"/>
  <c r="K35" i="2"/>
  <c r="AH9" i="2"/>
  <c r="J33" i="2"/>
  <c r="AF9" i="2"/>
  <c r="AE11" i="2"/>
  <c r="H33" i="2"/>
  <c r="G35" i="2"/>
  <c r="AH5" i="2"/>
  <c r="F33" i="2"/>
  <c r="AF5" i="2"/>
  <c r="AE7" i="2"/>
  <c r="D33" i="2"/>
  <c r="C35" i="2"/>
  <c r="AE3" i="2"/>
  <c r="AA3" i="2"/>
  <c r="AD25" i="2"/>
  <c r="Z29" i="2"/>
  <c r="AB25" i="2"/>
  <c r="AA27" i="2"/>
  <c r="X29" i="2"/>
  <c r="W31" i="2"/>
  <c r="AD21" i="2"/>
  <c r="V29" i="2"/>
  <c r="AB21" i="2"/>
  <c r="AA23" i="2"/>
  <c r="T29" i="2"/>
  <c r="S31" i="2"/>
  <c r="AD17" i="2"/>
  <c r="R29" i="2"/>
  <c r="P29" i="2"/>
  <c r="AB17" i="2"/>
  <c r="AA19" i="2"/>
  <c r="O31" i="2"/>
  <c r="AD13" i="2"/>
  <c r="N29" i="2"/>
  <c r="AB13" i="2"/>
  <c r="AA15" i="2"/>
  <c r="L29" i="2"/>
  <c r="K31" i="2"/>
  <c r="AD9" i="2"/>
  <c r="J29" i="2"/>
  <c r="AD5" i="2"/>
  <c r="F29" i="2"/>
  <c r="AB9" i="2"/>
  <c r="AA11" i="2"/>
  <c r="H29" i="2"/>
  <c r="G31" i="2"/>
  <c r="AB5" i="2"/>
  <c r="AA7" i="2"/>
  <c r="D29" i="2"/>
  <c r="C31" i="2"/>
  <c r="Z21" i="2"/>
  <c r="V25" i="2"/>
  <c r="X21" i="2"/>
  <c r="W23" i="2"/>
  <c r="T25" i="2"/>
  <c r="S27" i="2"/>
  <c r="Z17" i="2"/>
  <c r="R25" i="2"/>
  <c r="X17" i="2"/>
  <c r="W19" i="2"/>
  <c r="P25" i="2"/>
  <c r="O27" i="2"/>
  <c r="Z13" i="2"/>
  <c r="N25" i="2"/>
  <c r="X13" i="2"/>
  <c r="W15" i="2"/>
  <c r="L25" i="2"/>
  <c r="K27" i="2"/>
  <c r="Z9" i="2"/>
  <c r="J25" i="2"/>
  <c r="X9" i="2"/>
  <c r="W11" i="2"/>
  <c r="H25" i="2"/>
  <c r="G27" i="2"/>
  <c r="Z5" i="2"/>
  <c r="F25" i="2"/>
  <c r="T5" i="2"/>
  <c r="X5" i="2"/>
  <c r="W7" i="2"/>
  <c r="D25" i="2"/>
  <c r="C27" i="2"/>
  <c r="W3" i="2"/>
  <c r="V17" i="2"/>
  <c r="R21" i="2"/>
  <c r="T17" i="2"/>
  <c r="S19" i="2"/>
  <c r="P21" i="2"/>
  <c r="O23" i="2"/>
  <c r="V13" i="2"/>
  <c r="N21" i="2"/>
  <c r="T13" i="2"/>
  <c r="S15" i="2"/>
  <c r="L21" i="2"/>
  <c r="K23" i="2"/>
  <c r="V9" i="2"/>
  <c r="J21" i="2"/>
  <c r="H21" i="2"/>
  <c r="D21" i="2"/>
  <c r="T9" i="2"/>
  <c r="S11" i="2"/>
  <c r="G23" i="2"/>
  <c r="V5" i="2"/>
  <c r="F21" i="2"/>
  <c r="C23" i="2"/>
  <c r="CS47" i="2" l="1"/>
  <c r="D14" i="3" s="1"/>
  <c r="E14" i="3"/>
  <c r="CV41" i="2"/>
  <c r="CV40" i="2"/>
  <c r="CV43" i="2"/>
  <c r="CS41" i="2"/>
  <c r="C9" i="3" s="1"/>
  <c r="CS40" i="2"/>
  <c r="CW47" i="2"/>
  <c r="CW45" i="2"/>
  <c r="CW44" i="2"/>
  <c r="CV39" i="2"/>
  <c r="CS37" i="2"/>
  <c r="C22" i="3" s="1"/>
  <c r="CS36" i="2"/>
  <c r="CV37" i="2"/>
  <c r="CV36" i="2"/>
  <c r="CV33" i="2"/>
  <c r="CV32" i="2"/>
  <c r="CV35" i="2"/>
  <c r="CS33" i="2"/>
  <c r="C15" i="3" s="1"/>
  <c r="CS32" i="2"/>
  <c r="CV31" i="2"/>
  <c r="CV28" i="2"/>
  <c r="CV29" i="2"/>
  <c r="CS28" i="2"/>
  <c r="CS29" i="2"/>
  <c r="C7" i="3" s="1"/>
  <c r="CS24" i="2"/>
  <c r="CS27" i="2" s="1"/>
  <c r="D23" i="3" s="1"/>
  <c r="CV25" i="2"/>
  <c r="CV27" i="2"/>
  <c r="CS25" i="2"/>
  <c r="C23" i="3" s="1"/>
  <c r="CV24" i="2"/>
  <c r="CW24" i="2" s="1"/>
  <c r="CV23" i="2"/>
  <c r="CV21" i="2"/>
  <c r="CV20" i="2"/>
  <c r="CS20" i="2"/>
  <c r="CS23" i="2" s="1"/>
  <c r="D13" i="3" s="1"/>
  <c r="CS21" i="2"/>
  <c r="C13" i="3" s="1"/>
  <c r="CV91" i="2"/>
  <c r="S7" i="2"/>
  <c r="S3" i="2"/>
  <c r="R13" i="2"/>
  <c r="N17" i="2"/>
  <c r="L17" i="2"/>
  <c r="P13" i="2"/>
  <c r="O15" i="2"/>
  <c r="K19" i="2"/>
  <c r="CS35" i="2" l="1"/>
  <c r="D15" i="3" s="1"/>
  <c r="E15" i="3"/>
  <c r="CS39" i="2"/>
  <c r="D22" i="3" s="1"/>
  <c r="E22" i="3"/>
  <c r="CS31" i="2"/>
  <c r="D7" i="3" s="1"/>
  <c r="E7" i="3"/>
  <c r="CS43" i="2"/>
  <c r="D9" i="3" s="1"/>
  <c r="CW27" i="2"/>
  <c r="CW43" i="2"/>
  <c r="CW41" i="2"/>
  <c r="CW40" i="2"/>
  <c r="CS89" i="2"/>
  <c r="C12" i="3" s="1"/>
  <c r="CS88" i="2"/>
  <c r="CV89" i="2"/>
  <c r="CV88" i="2"/>
  <c r="CW35" i="2"/>
  <c r="CW32" i="2"/>
  <c r="CW33" i="2"/>
  <c r="CW39" i="2"/>
  <c r="CW37" i="2"/>
  <c r="CW36" i="2"/>
  <c r="CW31" i="2"/>
  <c r="CW28" i="2"/>
  <c r="CW29" i="2"/>
  <c r="CW25" i="2"/>
  <c r="CW23" i="2"/>
  <c r="CW21" i="2"/>
  <c r="CW20" i="2"/>
  <c r="R9" i="2"/>
  <c r="J17" i="2"/>
  <c r="H17" i="2"/>
  <c r="G19" i="2"/>
  <c r="N9" i="2"/>
  <c r="P9" i="2"/>
  <c r="O11" i="2"/>
  <c r="O3" i="2"/>
  <c r="K3" i="2"/>
  <c r="CS91" i="2" l="1"/>
  <c r="D12" i="3" s="1"/>
  <c r="E12" i="3"/>
  <c r="CW89" i="2"/>
  <c r="CW88" i="2"/>
  <c r="CW91" i="2"/>
  <c r="F17" i="2"/>
  <c r="R5" i="2"/>
  <c r="J13" i="2"/>
  <c r="F13" i="2"/>
  <c r="N5" i="2"/>
  <c r="F9" i="2" l="1"/>
  <c r="J5" i="2"/>
  <c r="P5" i="2"/>
  <c r="O7" i="2"/>
  <c r="D17" i="2"/>
  <c r="C19" i="2"/>
  <c r="H13" i="2"/>
  <c r="G15" i="2"/>
  <c r="D13" i="2"/>
  <c r="C15" i="2"/>
  <c r="L9" i="2"/>
  <c r="K11" i="2"/>
  <c r="D9" i="2"/>
  <c r="L5" i="2"/>
  <c r="H5" i="2"/>
  <c r="CV17" i="2" l="1"/>
  <c r="CV19" i="2"/>
  <c r="CS16" i="2"/>
  <c r="CS19" i="2" s="1"/>
  <c r="D25" i="3" s="1"/>
  <c r="CV16" i="2"/>
  <c r="CS17" i="2"/>
  <c r="C25" i="3" s="1"/>
  <c r="CV15" i="2"/>
  <c r="CS13" i="2"/>
  <c r="C17" i="3" s="1"/>
  <c r="CS12" i="2"/>
  <c r="CV13" i="2"/>
  <c r="CV12" i="2"/>
  <c r="CV9" i="2"/>
  <c r="CV8" i="2"/>
  <c r="CS9" i="2"/>
  <c r="C28" i="3" s="1"/>
  <c r="CS8" i="2"/>
  <c r="CS11" i="2" s="1"/>
  <c r="D28" i="3" s="1"/>
  <c r="CV11" i="2"/>
  <c r="CS5" i="2"/>
  <c r="C16" i="3" s="1"/>
  <c r="CV7" i="2"/>
  <c r="CS4" i="2"/>
  <c r="CV5" i="2"/>
  <c r="CV4" i="2"/>
  <c r="K7" i="2"/>
  <c r="G7" i="2"/>
  <c r="G3" i="2"/>
  <c r="C3" i="2"/>
  <c r="C11" i="2"/>
  <c r="CS97" i="2" l="1"/>
  <c r="E16" i="3"/>
  <c r="CS15" i="2"/>
  <c r="D17" i="3" s="1"/>
  <c r="E17" i="3"/>
  <c r="CW97" i="2"/>
  <c r="CS7" i="2"/>
  <c r="D16" i="3" s="1"/>
  <c r="CW11" i="2"/>
  <c r="CW16" i="2"/>
  <c r="CW19" i="2"/>
  <c r="CW17" i="2"/>
  <c r="CW9" i="2"/>
  <c r="CW8" i="2"/>
  <c r="CW15" i="2"/>
  <c r="CW13" i="2"/>
  <c r="CW12" i="2"/>
  <c r="CW7" i="2"/>
  <c r="CW4" i="2"/>
  <c r="CW5" i="2"/>
</calcChain>
</file>

<file path=xl/sharedStrings.xml><?xml version="1.0" encoding="utf-8"?>
<sst xmlns="http://schemas.openxmlformats.org/spreadsheetml/2006/main" count="1224" uniqueCount="57">
  <si>
    <t>Sér</t>
  </si>
  <si>
    <t>G</t>
  </si>
  <si>
    <t>P</t>
  </si>
  <si>
    <t>Ex</t>
  </si>
  <si>
    <t>Handicap</t>
  </si>
  <si>
    <t>Moyenne :</t>
  </si>
  <si>
    <t>Points :</t>
  </si>
  <si>
    <t>B.C.J.</t>
  </si>
  <si>
    <t xml:space="preserve">Match Gagné = </t>
  </si>
  <si>
    <t xml:space="preserve">Match Perdu = </t>
  </si>
  <si>
    <t xml:space="preserve">Ex aequo = </t>
  </si>
  <si>
    <t>Matchs :</t>
  </si>
  <si>
    <t>Remarques :</t>
  </si>
  <si>
    <t>Légende :</t>
  </si>
  <si>
    <t xml:space="preserve">Non effectué = </t>
  </si>
  <si>
    <t>Saisir dans la colonne (B) le NOM et Prénom de chaque joueur Alphabétiquement de préférence (Plus facile pour se retrouver dans la liste) ainsi que son handicap.</t>
  </si>
  <si>
    <t>Points</t>
  </si>
  <si>
    <t>Point</t>
  </si>
  <si>
    <t>Résultats Cumulés</t>
  </si>
  <si>
    <t xml:space="preserve">Pour chaque Match, saisir la valeur de la plus forte série (Sér) du joueur. </t>
  </si>
  <si>
    <t>Pour Chaque Match, saisir le nombre de points (Pts) et le nombre de reprises (Rep) du joueur, le calcul de la Moyenne (Moy) est automatique. (une vérification automatique est effectuée et affiche une Erreur éventuelle)</t>
  </si>
  <si>
    <t>Pour chaque Joueur, le résultat du Match (Gagné, Perdu, Exaequo) est calculé et affiché automatiquement.</t>
  </si>
  <si>
    <t>Pts</t>
  </si>
  <si>
    <t>Rep</t>
  </si>
  <si>
    <t xml:space="preserve"> Compétition Interne : </t>
  </si>
  <si>
    <t>Joueur 23</t>
  </si>
  <si>
    <t xml:space="preserve">Total Matchs Joués : </t>
  </si>
  <si>
    <t>Moyenne</t>
  </si>
  <si>
    <t>Classement</t>
  </si>
  <si>
    <t>Challenge</t>
  </si>
  <si>
    <t>Nom du Joueur</t>
  </si>
  <si>
    <t xml:space="preserve"> =</t>
  </si>
  <si>
    <t>Année 2024-2025</t>
  </si>
  <si>
    <t>CARVALHO Raul</t>
  </si>
  <si>
    <t>CHAS Thierry</t>
  </si>
  <si>
    <t>CHAUVIN Roland</t>
  </si>
  <si>
    <t>CONCHON  J-Pierre</t>
  </si>
  <si>
    <t>CRUZ Luis</t>
  </si>
  <si>
    <t>DENIS Didier</t>
  </si>
  <si>
    <t>DEVAUD Marcel</t>
  </si>
  <si>
    <t>DOS REIS José</t>
  </si>
  <si>
    <t>GUEGAN   J-Marie</t>
  </si>
  <si>
    <t>LARCHET Guy</t>
  </si>
  <si>
    <t>LE NOACH Patrick</t>
  </si>
  <si>
    <t>LEGROS Philippe</t>
  </si>
  <si>
    <t>LEON Michel</t>
  </si>
  <si>
    <t>MARILLAUD Pierre</t>
  </si>
  <si>
    <t>PALLUS Claude</t>
  </si>
  <si>
    <t>REFAUVELET Christian</t>
  </si>
  <si>
    <t>PARIS Michel</t>
  </si>
  <si>
    <t>BARICAULT j-Christophe</t>
  </si>
  <si>
    <t>BOURE Laurent</t>
  </si>
  <si>
    <t>ROJA  René</t>
  </si>
  <si>
    <t>SOARES J-Manuel</t>
  </si>
  <si>
    <t>VACHER J-René</t>
  </si>
  <si>
    <t>1 Bande       (22 Joueurs)</t>
  </si>
  <si>
    <t>Nb matchs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</si>
</sst>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sz val="11"/>
      <color rgb="FFFF0000"/>
      <name val="Calibri"/>
      <family val="2"/>
      <scheme val="minor"/>
    </font>
    <font>
      <sz val="11"/>
      <color theme="3"/>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sz val="11"/>
      <name val="Calibri"/>
      <family val="2"/>
      <scheme val="minor"/>
    </font>
    <font>
      <b/>
      <sz val="14"/>
      <color theme="1"/>
      <name val="Calibri"/>
      <family val="2"/>
      <scheme val="minor"/>
    </font>
    <font>
      <sz val="20"/>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6"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5" borderId="1" applyBorder="0" applyAlignment="0">
      <alignment horizontal="center" vertical="top"/>
    </xf>
  </cellStyleXfs>
  <cellXfs count="121">
    <xf numFmtId="0" fontId="0" fillId="0" borderId="0" xfId="0"/>
    <xf numFmtId="0" fontId="0" fillId="0" borderId="0" xfId="0" applyAlignment="1">
      <alignment horizontal="center"/>
    </xf>
    <xf numFmtId="0" fontId="0" fillId="0" borderId="4" xfId="0" applyBorder="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right"/>
    </xf>
    <xf numFmtId="0" fontId="7" fillId="0" borderId="0" xfId="0" applyFont="1"/>
    <xf numFmtId="0" fontId="3" fillId="0" borderId="1" xfId="0" applyFont="1" applyBorder="1" applyAlignment="1">
      <alignment horizontal="right"/>
    </xf>
    <xf numFmtId="0" fontId="3" fillId="0" borderId="6" xfId="0" applyFont="1" applyBorder="1" applyAlignment="1">
      <alignment horizontal="right"/>
    </xf>
    <xf numFmtId="0" fontId="0" fillId="0" borderId="4" xfId="0" applyBorder="1" applyAlignment="1">
      <alignment horizontal="center" vertical="top"/>
    </xf>
    <xf numFmtId="0" fontId="6" fillId="3" borderId="9" xfId="0" applyFont="1" applyFill="1" applyBorder="1" applyAlignment="1">
      <alignment horizontal="center"/>
    </xf>
    <xf numFmtId="0" fontId="3" fillId="0" borderId="0" xfId="0" applyFont="1" applyFill="1" applyBorder="1" applyAlignment="1">
      <alignment horizontal="center"/>
    </xf>
    <xf numFmtId="0" fontId="0" fillId="0" borderId="0" xfId="0" applyFont="1"/>
    <xf numFmtId="0" fontId="9" fillId="0" borderId="0" xfId="0" applyFont="1" applyFill="1"/>
    <xf numFmtId="0" fontId="3" fillId="0" borderId="2" xfId="0" applyFont="1" applyBorder="1" applyAlignment="1">
      <alignment horizontal="center"/>
    </xf>
    <xf numFmtId="0" fontId="3" fillId="0" borderId="2" xfId="0" applyFont="1" applyBorder="1" applyAlignment="1">
      <alignment horizontal="center" vertical="center"/>
    </xf>
    <xf numFmtId="10" fontId="0" fillId="0" borderId="3" xfId="0" applyNumberFormat="1" applyBorder="1"/>
    <xf numFmtId="164" fontId="3" fillId="0" borderId="7" xfId="0" applyNumberFormat="1" applyFont="1" applyBorder="1" applyAlignment="1">
      <alignment horizontal="center"/>
    </xf>
    <xf numFmtId="0" fontId="3" fillId="0" borderId="7" xfId="0" applyFont="1" applyBorder="1" applyAlignment="1">
      <alignment horizontal="center" vertical="center"/>
    </xf>
    <xf numFmtId="10" fontId="0" fillId="0" borderId="8" xfId="0" applyNumberFormat="1" applyBorder="1"/>
    <xf numFmtId="0" fontId="10" fillId="3" borderId="9" xfId="0" applyFont="1" applyFill="1" applyBorder="1" applyAlignment="1">
      <alignment horizontal="center" vertical="center" wrapText="1"/>
    </xf>
    <xf numFmtId="0" fontId="0" fillId="0" borderId="0" xfId="0" applyAlignment="1">
      <alignment horizontal="center"/>
    </xf>
    <xf numFmtId="0" fontId="0" fillId="0" borderId="7" xfId="0" applyBorder="1" applyAlignment="1">
      <alignment horizontal="center" vertical="center"/>
    </xf>
    <xf numFmtId="0" fontId="0" fillId="0" borderId="2" xfId="0" applyBorder="1" applyAlignment="1">
      <alignment horizontal="center" vertical="center"/>
    </xf>
    <xf numFmtId="0" fontId="3" fillId="6" borderId="14"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7" xfId="0" applyFont="1" applyFill="1" applyBorder="1" applyAlignment="1">
      <alignment horizontal="center" vertical="center"/>
    </xf>
    <xf numFmtId="0" fontId="3" fillId="0" borderId="0" xfId="0" applyFont="1" applyBorder="1" applyAlignment="1">
      <alignment horizontal="center" vertical="center" wrapText="1"/>
    </xf>
    <xf numFmtId="0" fontId="0" fillId="0" borderId="0" xfId="0" applyBorder="1"/>
    <xf numFmtId="0" fontId="1" fillId="0" borderId="4" xfId="0" applyFont="1" applyBorder="1" applyAlignment="1">
      <alignment horizontal="center" vertical="center"/>
    </xf>
    <xf numFmtId="0" fontId="7" fillId="3" borderId="14" xfId="0" applyFont="1" applyFill="1" applyBorder="1"/>
    <xf numFmtId="0" fontId="6" fillId="3" borderId="14" xfId="0" applyFont="1" applyFill="1" applyBorder="1"/>
    <xf numFmtId="0" fontId="7" fillId="3" borderId="15" xfId="0" applyFont="1" applyFill="1" applyBorder="1"/>
    <xf numFmtId="0" fontId="10" fillId="0" borderId="0" xfId="0" applyFont="1"/>
    <xf numFmtId="0" fontId="8" fillId="0" borderId="0" xfId="0" applyFont="1"/>
    <xf numFmtId="0" fontId="10" fillId="0" borderId="0" xfId="0" applyFont="1" applyAlignment="1">
      <alignment horizontal="center"/>
    </xf>
    <xf numFmtId="0" fontId="10" fillId="0" borderId="0" xfId="0" applyNumberFormat="1" applyFont="1" applyAlignment="1">
      <alignment horizontal="left"/>
    </xf>
    <xf numFmtId="0" fontId="10" fillId="0" borderId="0" xfId="0" applyFont="1" applyAlignment="1">
      <alignment horizontal="left"/>
    </xf>
    <xf numFmtId="0" fontId="10" fillId="0" borderId="9" xfId="0" applyFont="1" applyBorder="1" applyAlignment="1">
      <alignment horizontal="center"/>
    </xf>
    <xf numFmtId="0" fontId="5" fillId="0" borderId="9" xfId="0" applyFont="1" applyBorder="1" applyAlignment="1">
      <alignment horizontal="left" vertical="center"/>
    </xf>
    <xf numFmtId="0" fontId="5" fillId="0" borderId="9" xfId="0" applyFont="1" applyBorder="1" applyAlignment="1">
      <alignment horizontal="center" vertical="center"/>
    </xf>
    <xf numFmtId="164" fontId="5" fillId="0" borderId="9" xfId="0" applyNumberFormat="1" applyFont="1" applyBorder="1" applyAlignment="1">
      <alignment horizontal="center" vertical="center"/>
    </xf>
    <xf numFmtId="0" fontId="4" fillId="3" borderId="13" xfId="0" applyFont="1" applyFill="1" applyBorder="1"/>
    <xf numFmtId="1" fontId="5" fillId="0" borderId="9" xfId="0" applyNumberFormat="1" applyFont="1" applyBorder="1" applyAlignment="1">
      <alignment horizontal="center" vertical="center"/>
    </xf>
    <xf numFmtId="15" fontId="10" fillId="0" borderId="0" xfId="0" applyNumberFormat="1" applyFont="1"/>
    <xf numFmtId="0" fontId="1" fillId="0" borderId="11" xfId="0" applyFont="1" applyBorder="1" applyAlignment="1">
      <alignment horizontal="center" vertical="center"/>
    </xf>
    <xf numFmtId="0" fontId="1" fillId="0" borderId="1" xfId="0" applyFont="1" applyBorder="1"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center" vertical="center"/>
    </xf>
    <xf numFmtId="0" fontId="0" fillId="0" borderId="3" xfId="0" applyBorder="1" applyAlignment="1">
      <alignment horizontal="center" vertical="center"/>
    </xf>
    <xf numFmtId="0" fontId="8" fillId="0" borderId="1" xfId="0" applyFont="1" applyBorder="1" applyAlignment="1">
      <alignment horizontal="center" vertical="top"/>
    </xf>
    <xf numFmtId="0" fontId="8" fillId="0" borderId="3" xfId="0" applyFont="1" applyBorder="1" applyAlignment="1"/>
    <xf numFmtId="0" fontId="8" fillId="0" borderId="6" xfId="0" applyFont="1" applyBorder="1" applyAlignment="1"/>
    <xf numFmtId="0" fontId="8" fillId="0" borderId="8" xfId="0" applyFont="1" applyBorder="1" applyAlignment="1"/>
    <xf numFmtId="2" fontId="0" fillId="0" borderId="6" xfId="0" applyNumberFormat="1" applyBorder="1" applyAlignment="1">
      <alignment horizontal="center" vertical="center"/>
    </xf>
    <xf numFmtId="0" fontId="0" fillId="0" borderId="7" xfId="0" applyBorder="1" applyAlignment="1">
      <alignment horizontal="center" vertical="center"/>
    </xf>
    <xf numFmtId="0" fontId="6" fillId="0" borderId="4" xfId="0" applyFont="1" applyBorder="1" applyAlignment="1">
      <alignment horizontal="center"/>
    </xf>
    <xf numFmtId="0" fontId="0" fillId="0" borderId="0" xfId="0" applyAlignment="1">
      <alignment horizontal="center"/>
    </xf>
    <xf numFmtId="0" fontId="0" fillId="0" borderId="8" xfId="0" applyBorder="1" applyAlignment="1">
      <alignment horizontal="center" vertical="center"/>
    </xf>
    <xf numFmtId="10" fontId="0" fillId="0" borderId="5" xfId="0" applyNumberFormat="1" applyBorder="1" applyAlignment="1"/>
    <xf numFmtId="0" fontId="3" fillId="4" borderId="13" xfId="0" applyFont="1" applyFill="1" applyBorder="1" applyAlignment="1">
      <alignment horizontal="center" vertical="center"/>
    </xf>
    <xf numFmtId="0" fontId="0" fillId="0" borderId="15" xfId="0" applyBorder="1" applyAlignment="1">
      <alignment horizontal="center" vertical="center"/>
    </xf>
    <xf numFmtId="0" fontId="3" fillId="2" borderId="13" xfId="0" applyFont="1" applyFill="1" applyBorder="1" applyAlignment="1">
      <alignment horizontal="center" vertical="center"/>
    </xf>
    <xf numFmtId="0" fontId="3" fillId="0" borderId="4" xfId="0" applyFont="1" applyBorder="1" applyAlignment="1">
      <alignment horizontal="right"/>
    </xf>
    <xf numFmtId="0" fontId="0" fillId="0" borderId="4" xfId="0" applyBorder="1" applyAlignment="1">
      <alignment horizontal="right"/>
    </xf>
    <xf numFmtId="0" fontId="3" fillId="0" borderId="0" xfId="0" applyFont="1" applyBorder="1" applyAlignment="1">
      <alignment horizontal="center"/>
    </xf>
    <xf numFmtId="0" fontId="0" fillId="0" borderId="0" xfId="0" applyBorder="1" applyAlignment="1">
      <alignment horizontal="center"/>
    </xf>
    <xf numFmtId="0" fontId="0" fillId="5" borderId="1" xfId="0" applyFill="1"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5" borderId="8" xfId="0" applyFill="1" applyBorder="1" applyAlignment="1">
      <alignment horizontal="center" vertical="center"/>
    </xf>
    <xf numFmtId="0" fontId="3" fillId="0" borderId="4" xfId="0" applyFont="1" applyBorder="1" applyAlignment="1">
      <alignment horizontal="center" vertical="center"/>
    </xf>
    <xf numFmtId="0" fontId="8" fillId="0" borderId="3" xfId="0" applyFont="1" applyBorder="1" applyAlignment="1">
      <alignment horizontal="center" vertical="top"/>
    </xf>
    <xf numFmtId="0" fontId="8" fillId="0" borderId="6" xfId="0" applyFont="1" applyBorder="1" applyAlignment="1">
      <alignment horizontal="center" vertical="top"/>
    </xf>
    <xf numFmtId="0" fontId="8" fillId="0" borderId="8" xfId="0" applyFont="1" applyBorder="1" applyAlignment="1">
      <alignment horizontal="center" vertical="top"/>
    </xf>
    <xf numFmtId="2" fontId="0" fillId="0" borderId="7" xfId="0" applyNumberFormat="1" applyBorder="1" applyAlignment="1">
      <alignment horizontal="center" vertical="center"/>
    </xf>
    <xf numFmtId="0" fontId="3" fillId="6" borderId="13"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5" fillId="7" borderId="10"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3" fillId="5" borderId="13" xfId="0" applyFont="1" applyFill="1" applyBorder="1" applyAlignment="1">
      <alignment horizontal="center" vertical="center"/>
    </xf>
    <xf numFmtId="0" fontId="0" fillId="0" borderId="13" xfId="0" applyBorder="1" applyAlignment="1">
      <alignment horizontal="right"/>
    </xf>
    <xf numFmtId="0" fontId="0" fillId="0" borderId="15" xfId="0" applyBorder="1" applyAlignment="1"/>
    <xf numFmtId="0" fontId="4" fillId="3" borderId="13"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11" fillId="0" borderId="14" xfId="0" applyFont="1" applyBorder="1" applyAlignment="1">
      <alignment wrapText="1"/>
    </xf>
    <xf numFmtId="0" fontId="11" fillId="0" borderId="15" xfId="0" applyFont="1" applyBorder="1" applyAlignment="1">
      <alignment wrapText="1"/>
    </xf>
    <xf numFmtId="0" fontId="7" fillId="0" borderId="4" xfId="0" applyFont="1" applyBorder="1" applyAlignment="1">
      <alignment horizontal="center" vertical="center"/>
    </xf>
    <xf numFmtId="0" fontId="7" fillId="0" borderId="0" xfId="0" applyFont="1" applyAlignment="1">
      <alignment horizontal="center" vertical="center"/>
    </xf>
    <xf numFmtId="10" fontId="0" fillId="0" borderId="10" xfId="0" applyNumberFormat="1" applyBorder="1" applyAlignment="1">
      <alignment horizontal="center" vertical="center"/>
    </xf>
    <xf numFmtId="10" fontId="0" fillId="0" borderId="11" xfId="0" applyNumberFormat="1" applyBorder="1" applyAlignment="1">
      <alignment horizontal="center" vertical="center"/>
    </xf>
    <xf numFmtId="10" fontId="0" fillId="0" borderId="12" xfId="0" applyNumberFormat="1" applyBorder="1" applyAlignment="1">
      <alignment horizontal="center" vertical="center"/>
    </xf>
    <xf numFmtId="0" fontId="3" fillId="0" borderId="1" xfId="0" applyFont="1" applyFill="1"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xf numFmtId="0" fontId="3" fillId="0" borderId="3" xfId="0" applyFont="1" applyBorder="1" applyAlignment="1">
      <alignment horizontal="center" vertical="center"/>
    </xf>
    <xf numFmtId="0" fontId="0" fillId="0" borderId="5" xfId="0" applyBorder="1" applyAlignment="1">
      <alignment horizontal="center" vertical="center"/>
    </xf>
    <xf numFmtId="0" fontId="6" fillId="3" borderId="13" xfId="0" applyFont="1" applyFill="1" applyBorder="1" applyAlignment="1">
      <alignment horizontal="center"/>
    </xf>
    <xf numFmtId="0" fontId="3" fillId="3" borderId="14" xfId="0" applyFont="1" applyFill="1" applyBorder="1" applyAlignment="1">
      <alignment horizontal="center"/>
    </xf>
    <xf numFmtId="0" fontId="3" fillId="3" borderId="15" xfId="0" applyFont="1" applyFill="1" applyBorder="1" applyAlignment="1">
      <alignment horizontal="center"/>
    </xf>
  </cellXfs>
  <cellStyles count="2">
    <cellStyle name="Normal" xfId="0" builtinId="0"/>
    <cellStyle name="Style 1" xfId="1" xr:uid="{00000000-0005-0000-0000-000001000000}"/>
  </cellStyles>
  <dxfs count="1518">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
      <font>
        <color auto="1"/>
      </font>
      <fill>
        <patternFill>
          <bgColor rgb="FFFF0000"/>
        </patternFill>
      </fill>
    </dxf>
    <dxf>
      <fill>
        <patternFill>
          <bgColor rgb="FF00B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W109"/>
  <sheetViews>
    <sheetView topLeftCell="A25" zoomScale="62" zoomScaleNormal="62" workbookViewId="0">
      <selection activeCell="AS60" sqref="AS60:AT60"/>
    </sheetView>
  </sheetViews>
  <sheetFormatPr baseColWidth="10" defaultRowHeight="15" x14ac:dyDescent="0.25"/>
  <cols>
    <col min="1" max="1" width="1.42578125" customWidth="1"/>
    <col min="3" max="3" width="4.42578125" style="1" customWidth="1"/>
    <col min="4" max="4" width="1.42578125" style="1" customWidth="1"/>
    <col min="5" max="5" width="1.42578125" customWidth="1"/>
    <col min="6" max="6" width="4" style="1" customWidth="1"/>
    <col min="7" max="7" width="4.42578125" customWidth="1"/>
    <col min="8" max="9" width="1.42578125" customWidth="1"/>
    <col min="10" max="10" width="4" bestFit="1" customWidth="1"/>
    <col min="11" max="11" width="4.42578125" customWidth="1"/>
    <col min="12" max="13" width="1.42578125" customWidth="1"/>
    <col min="14" max="14" width="4" customWidth="1"/>
    <col min="15" max="15" width="4.42578125" customWidth="1"/>
    <col min="16" max="17" width="1.42578125" customWidth="1"/>
    <col min="18" max="18" width="4" customWidth="1"/>
    <col min="19" max="19" width="4.42578125" customWidth="1"/>
    <col min="20" max="21" width="1.42578125" customWidth="1"/>
    <col min="22" max="22" width="4" customWidth="1"/>
    <col min="23" max="23" width="4.42578125" customWidth="1"/>
    <col min="24" max="25" width="1.42578125" customWidth="1"/>
    <col min="26" max="26" width="4" customWidth="1"/>
    <col min="27" max="27" width="4.42578125" customWidth="1"/>
    <col min="28" max="29" width="1.42578125" customWidth="1"/>
    <col min="30" max="30" width="4" customWidth="1"/>
    <col min="31" max="31" width="4.42578125" customWidth="1"/>
    <col min="32" max="33" width="1.42578125" customWidth="1"/>
    <col min="34" max="34" width="4" customWidth="1"/>
    <col min="35" max="35" width="4.42578125" customWidth="1"/>
    <col min="36" max="37" width="1.42578125" customWidth="1"/>
    <col min="38" max="38" width="4" customWidth="1"/>
    <col min="39" max="39" width="4.42578125" customWidth="1"/>
    <col min="40" max="41" width="1.42578125" customWidth="1"/>
    <col min="42" max="42" width="4" customWidth="1"/>
    <col min="43" max="43" width="4.42578125" customWidth="1"/>
    <col min="44" max="45" width="1.42578125" customWidth="1"/>
    <col min="46" max="46" width="4" customWidth="1"/>
    <col min="47" max="47" width="4.42578125" customWidth="1"/>
    <col min="48" max="49" width="1.42578125" customWidth="1"/>
    <col min="50" max="50" width="4" customWidth="1"/>
    <col min="51" max="51" width="4.42578125" customWidth="1"/>
    <col min="52" max="53" width="1.42578125" customWidth="1"/>
    <col min="54" max="54" width="4" customWidth="1"/>
    <col min="55" max="55" width="4.42578125" customWidth="1"/>
    <col min="56" max="57" width="1.42578125" customWidth="1"/>
    <col min="58" max="58" width="4" customWidth="1"/>
    <col min="59" max="59" width="4.42578125" customWidth="1"/>
    <col min="60" max="60" width="1.42578125" customWidth="1"/>
    <col min="61" max="61" width="1.5703125" customWidth="1"/>
    <col min="62" max="62" width="4" customWidth="1"/>
    <col min="63" max="63" width="4.42578125" customWidth="1"/>
    <col min="64" max="64" width="1.42578125" customWidth="1"/>
    <col min="65" max="65" width="1.5703125" customWidth="1"/>
    <col min="66" max="66" width="4" customWidth="1"/>
    <col min="67" max="67" width="4.5703125" customWidth="1"/>
    <col min="68" max="68" width="1.42578125" customWidth="1"/>
    <col min="69" max="69" width="1.5703125" customWidth="1"/>
    <col min="70" max="70" width="4" customWidth="1"/>
    <col min="71" max="71" width="4.42578125" customWidth="1"/>
    <col min="72" max="72" width="1.42578125" customWidth="1"/>
    <col min="73" max="73" width="1.5703125" customWidth="1"/>
    <col min="74" max="74" width="4" customWidth="1"/>
    <col min="75" max="75" width="4.42578125" customWidth="1"/>
    <col min="76" max="76" width="1.42578125" customWidth="1"/>
    <col min="77" max="77" width="1.5703125" customWidth="1"/>
    <col min="78" max="78" width="4" customWidth="1"/>
    <col min="79" max="79" width="4.42578125" customWidth="1"/>
    <col min="80" max="80" width="1.42578125" customWidth="1"/>
    <col min="81" max="81" width="1.5703125" customWidth="1"/>
    <col min="82" max="82" width="4" customWidth="1"/>
    <col min="83" max="83" width="4.42578125" customWidth="1"/>
    <col min="84" max="84" width="1.42578125" customWidth="1"/>
    <col min="85" max="85" width="1.5703125" customWidth="1"/>
    <col min="86" max="86" width="4" customWidth="1"/>
    <col min="87" max="87" width="4.42578125" customWidth="1"/>
    <col min="88" max="88" width="1.42578125" customWidth="1"/>
    <col min="89" max="89" width="1.5703125" customWidth="1"/>
    <col min="90" max="90" width="4" customWidth="1"/>
    <col min="91" max="91" width="4.42578125" customWidth="1"/>
    <col min="92" max="92" width="1.42578125" customWidth="1"/>
    <col min="93" max="93" width="1.5703125" customWidth="1"/>
    <col min="94" max="94" width="4" customWidth="1"/>
    <col min="95" max="95" width="1" customWidth="1"/>
    <col min="96" max="96" width="10.42578125" bestFit="1" customWidth="1"/>
    <col min="97" max="97" width="7.42578125" style="3" bestFit="1" customWidth="1"/>
    <col min="98" max="98" width="1.5703125" customWidth="1"/>
    <col min="99" max="99" width="1.42578125" customWidth="1"/>
    <col min="100" max="100" width="3.85546875" customWidth="1"/>
    <col min="101" max="101" width="9" bestFit="1" customWidth="1"/>
    <col min="102" max="102" width="2.85546875" customWidth="1"/>
  </cols>
  <sheetData>
    <row r="1" spans="2:101" s="6" customFormat="1" ht="26.25" x14ac:dyDescent="0.4">
      <c r="B1" s="10" t="s">
        <v>7</v>
      </c>
      <c r="C1" s="57" t="s">
        <v>24</v>
      </c>
      <c r="D1" s="58"/>
      <c r="E1" s="58"/>
      <c r="F1" s="58"/>
      <c r="G1" s="58"/>
      <c r="H1" s="58"/>
      <c r="I1" s="58"/>
      <c r="J1" s="58"/>
      <c r="K1" s="58"/>
      <c r="L1" s="58"/>
      <c r="M1" s="58"/>
      <c r="N1" s="58"/>
      <c r="O1" s="43" t="s">
        <v>55</v>
      </c>
      <c r="P1" s="31"/>
      <c r="Q1" s="31"/>
      <c r="R1" s="31"/>
      <c r="S1" s="31"/>
      <c r="T1" s="31"/>
      <c r="U1" s="31"/>
      <c r="V1" s="31"/>
      <c r="W1" s="32"/>
      <c r="X1" s="32"/>
      <c r="Y1" s="31"/>
      <c r="Z1" s="31"/>
      <c r="AA1" s="31"/>
      <c r="AB1" s="31"/>
      <c r="AC1" s="31"/>
      <c r="AD1" s="31"/>
      <c r="AE1" s="31"/>
      <c r="AF1" s="31"/>
      <c r="AG1" s="31"/>
      <c r="AH1" s="33"/>
      <c r="CR1" s="118" t="s">
        <v>32</v>
      </c>
      <c r="CS1" s="119"/>
      <c r="CT1" s="119"/>
      <c r="CU1" s="119"/>
      <c r="CV1" s="119"/>
      <c r="CW1" s="120"/>
    </row>
    <row r="2" spans="2:101" ht="9" customHeight="1" x14ac:dyDescent="0.25"/>
    <row r="3" spans="2:101" s="12" customFormat="1" ht="45" customHeight="1" x14ac:dyDescent="0.4">
      <c r="B3" s="20" t="s">
        <v>4</v>
      </c>
      <c r="C3" s="77" t="str">
        <f>Joueur1</f>
        <v>BARICAULT j-Christophe</v>
      </c>
      <c r="D3" s="78"/>
      <c r="E3" s="78"/>
      <c r="F3" s="79"/>
      <c r="G3" s="95" t="str">
        <f>Joueur2</f>
        <v>BOURE Laurent</v>
      </c>
      <c r="H3" s="96"/>
      <c r="I3" s="96"/>
      <c r="J3" s="97"/>
      <c r="K3" s="77" t="str">
        <f>Joueur3</f>
        <v>CARVALHO Raul</v>
      </c>
      <c r="L3" s="78"/>
      <c r="M3" s="78"/>
      <c r="N3" s="79"/>
      <c r="O3" s="95" t="str">
        <f>Joueur4</f>
        <v>CHAS Thierry</v>
      </c>
      <c r="P3" s="96"/>
      <c r="Q3" s="96"/>
      <c r="R3" s="97"/>
      <c r="S3" s="77" t="str">
        <f>Joueur5</f>
        <v>CHAUVIN Roland</v>
      </c>
      <c r="T3" s="78"/>
      <c r="U3" s="78"/>
      <c r="V3" s="79"/>
      <c r="W3" s="95" t="str">
        <f>Joueur6</f>
        <v>CONCHON  J-Pierre</v>
      </c>
      <c r="X3" s="96"/>
      <c r="Y3" s="96"/>
      <c r="Z3" s="97"/>
      <c r="AA3" s="77" t="str">
        <f>Joueur7</f>
        <v>CRUZ Luis</v>
      </c>
      <c r="AB3" s="78"/>
      <c r="AC3" s="78"/>
      <c r="AD3" s="79"/>
      <c r="AE3" s="95" t="str">
        <f>Joueur8</f>
        <v>DENIS Didier</v>
      </c>
      <c r="AF3" s="96"/>
      <c r="AG3" s="96"/>
      <c r="AH3" s="97"/>
      <c r="AI3" s="77" t="str">
        <f>Joueur9</f>
        <v>DEVAUD Marcel</v>
      </c>
      <c r="AJ3" s="78"/>
      <c r="AK3" s="78"/>
      <c r="AL3" s="79"/>
      <c r="AM3" s="95" t="str">
        <f>Joueur10</f>
        <v>DOS REIS José</v>
      </c>
      <c r="AN3" s="96"/>
      <c r="AO3" s="96"/>
      <c r="AP3" s="97"/>
      <c r="AQ3" s="77" t="str">
        <f>Joueur11</f>
        <v>GUEGAN   J-Marie</v>
      </c>
      <c r="AR3" s="78"/>
      <c r="AS3" s="78"/>
      <c r="AT3" s="79"/>
      <c r="AU3" s="95" t="str">
        <f>Joueur12</f>
        <v>LARCHET Guy</v>
      </c>
      <c r="AV3" s="96"/>
      <c r="AW3" s="96"/>
      <c r="AX3" s="97"/>
      <c r="AY3" s="77" t="str">
        <f>Joueur13</f>
        <v>LE NOACH Patrick</v>
      </c>
      <c r="AZ3" s="78"/>
      <c r="BA3" s="78"/>
      <c r="BB3" s="79"/>
      <c r="BC3" s="95" t="str">
        <f>Joueur14</f>
        <v>LEGROS Philippe</v>
      </c>
      <c r="BD3" s="96"/>
      <c r="BE3" s="96"/>
      <c r="BF3" s="97"/>
      <c r="BG3" s="77" t="str">
        <f>Joueur15</f>
        <v>LEON Michel</v>
      </c>
      <c r="BH3" s="78"/>
      <c r="BI3" s="78"/>
      <c r="BJ3" s="79"/>
      <c r="BK3" s="95" t="str">
        <f>Joueur16</f>
        <v>MARILLAUD Pierre</v>
      </c>
      <c r="BL3" s="96"/>
      <c r="BM3" s="96"/>
      <c r="BN3" s="97"/>
      <c r="BO3" s="77" t="str">
        <f>Joueur17</f>
        <v>PALLUS Claude</v>
      </c>
      <c r="BP3" s="78"/>
      <c r="BQ3" s="78"/>
      <c r="BR3" s="79"/>
      <c r="BS3" s="95" t="str">
        <f>Joueur18</f>
        <v>PARIS Michel</v>
      </c>
      <c r="BT3" s="96"/>
      <c r="BU3" s="96"/>
      <c r="BV3" s="97"/>
      <c r="BW3" s="77" t="str">
        <f>Joueur19</f>
        <v>REFAUVELET Christian</v>
      </c>
      <c r="BX3" s="78"/>
      <c r="BY3" s="78"/>
      <c r="BZ3" s="79"/>
      <c r="CA3" s="95" t="str">
        <f>Joueur20</f>
        <v>ROJA  René</v>
      </c>
      <c r="CB3" s="96"/>
      <c r="CC3" s="96"/>
      <c r="CD3" s="97"/>
      <c r="CE3" s="77" t="str">
        <f>Joueur21</f>
        <v>SOARES J-Manuel</v>
      </c>
      <c r="CF3" s="78"/>
      <c r="CG3" s="78"/>
      <c r="CH3" s="79"/>
      <c r="CI3" s="95" t="str">
        <f>Joueur22</f>
        <v>VACHER J-René</v>
      </c>
      <c r="CJ3" s="96"/>
      <c r="CK3" s="96"/>
      <c r="CL3" s="97"/>
      <c r="CM3" s="77" t="str">
        <f>Joueur23</f>
        <v>Joueur 23</v>
      </c>
      <c r="CN3" s="78"/>
      <c r="CO3" s="78"/>
      <c r="CP3" s="79"/>
      <c r="CQ3" s="24"/>
      <c r="CR3" s="104" t="s">
        <v>18</v>
      </c>
      <c r="CS3" s="105"/>
      <c r="CT3" s="106"/>
      <c r="CU3" s="106"/>
      <c r="CV3" s="106"/>
      <c r="CW3" s="107"/>
    </row>
    <row r="4" spans="2:101" ht="15" customHeight="1" x14ac:dyDescent="0.25">
      <c r="B4" s="98" t="s">
        <v>50</v>
      </c>
      <c r="C4" s="83">
        <v>30</v>
      </c>
      <c r="D4" s="84"/>
      <c r="E4" s="84"/>
      <c r="F4" s="85"/>
      <c r="G4" s="47" t="s">
        <v>22</v>
      </c>
      <c r="H4" s="48"/>
      <c r="I4" s="49" t="s">
        <v>23</v>
      </c>
      <c r="J4" s="50"/>
      <c r="K4" s="47" t="s">
        <v>22</v>
      </c>
      <c r="L4" s="48"/>
      <c r="M4" s="49" t="s">
        <v>23</v>
      </c>
      <c r="N4" s="50"/>
      <c r="O4" s="47" t="s">
        <v>22</v>
      </c>
      <c r="P4" s="48"/>
      <c r="Q4" s="49" t="s">
        <v>23</v>
      </c>
      <c r="R4" s="50"/>
      <c r="S4" s="47" t="s">
        <v>22</v>
      </c>
      <c r="T4" s="48"/>
      <c r="U4" s="49" t="s">
        <v>23</v>
      </c>
      <c r="V4" s="50"/>
      <c r="W4" s="47" t="s">
        <v>22</v>
      </c>
      <c r="X4" s="48"/>
      <c r="Y4" s="49" t="s">
        <v>23</v>
      </c>
      <c r="Z4" s="50"/>
      <c r="AA4" s="47" t="s">
        <v>22</v>
      </c>
      <c r="AB4" s="48"/>
      <c r="AC4" s="49" t="s">
        <v>23</v>
      </c>
      <c r="AD4" s="50"/>
      <c r="AE4" s="47">
        <v>30</v>
      </c>
      <c r="AF4" s="48"/>
      <c r="AG4" s="49">
        <v>38</v>
      </c>
      <c r="AH4" s="50"/>
      <c r="AI4" s="47" t="s">
        <v>22</v>
      </c>
      <c r="AJ4" s="48"/>
      <c r="AK4" s="49" t="s">
        <v>23</v>
      </c>
      <c r="AL4" s="50"/>
      <c r="AM4" s="47">
        <v>30</v>
      </c>
      <c r="AN4" s="48"/>
      <c r="AO4" s="49">
        <v>35</v>
      </c>
      <c r="AP4" s="50"/>
      <c r="AQ4" s="47" t="s">
        <v>22</v>
      </c>
      <c r="AR4" s="48"/>
      <c r="AS4" s="49" t="s">
        <v>23</v>
      </c>
      <c r="AT4" s="50"/>
      <c r="AU4" s="47" t="s">
        <v>22</v>
      </c>
      <c r="AV4" s="48"/>
      <c r="AW4" s="49" t="s">
        <v>23</v>
      </c>
      <c r="AX4" s="50"/>
      <c r="AY4" s="47">
        <v>18</v>
      </c>
      <c r="AZ4" s="48"/>
      <c r="BA4" s="49">
        <v>28</v>
      </c>
      <c r="BB4" s="50"/>
      <c r="BC4" s="47">
        <v>30</v>
      </c>
      <c r="BD4" s="48"/>
      <c r="BE4" s="49">
        <v>55</v>
      </c>
      <c r="BF4" s="50"/>
      <c r="BG4" s="47" t="s">
        <v>22</v>
      </c>
      <c r="BH4" s="48"/>
      <c r="BI4" s="49" t="s">
        <v>23</v>
      </c>
      <c r="BJ4" s="50"/>
      <c r="BK4" s="47">
        <v>30</v>
      </c>
      <c r="BL4" s="48"/>
      <c r="BM4" s="49">
        <v>47</v>
      </c>
      <c r="BN4" s="50"/>
      <c r="BO4" s="47">
        <v>16</v>
      </c>
      <c r="BP4" s="48"/>
      <c r="BQ4" s="49">
        <v>30</v>
      </c>
      <c r="BR4" s="50"/>
      <c r="BS4" s="47" t="s">
        <v>22</v>
      </c>
      <c r="BT4" s="48"/>
      <c r="BU4" s="49" t="s">
        <v>23</v>
      </c>
      <c r="BV4" s="50"/>
      <c r="BW4" s="47" t="s">
        <v>22</v>
      </c>
      <c r="BX4" s="48"/>
      <c r="BY4" s="49" t="s">
        <v>23</v>
      </c>
      <c r="BZ4" s="50"/>
      <c r="CA4" s="47" t="s">
        <v>22</v>
      </c>
      <c r="CB4" s="48"/>
      <c r="CC4" s="49" t="s">
        <v>23</v>
      </c>
      <c r="CD4" s="50"/>
      <c r="CE4" s="47" t="s">
        <v>22</v>
      </c>
      <c r="CF4" s="48"/>
      <c r="CG4" s="49" t="s">
        <v>23</v>
      </c>
      <c r="CH4" s="50"/>
      <c r="CI4" s="47">
        <v>19</v>
      </c>
      <c r="CJ4" s="48"/>
      <c r="CK4" s="49">
        <v>44</v>
      </c>
      <c r="CL4" s="50"/>
      <c r="CM4" s="47" t="s">
        <v>22</v>
      </c>
      <c r="CN4" s="48"/>
      <c r="CO4" s="49" t="s">
        <v>23</v>
      </c>
      <c r="CP4" s="50"/>
      <c r="CQ4" s="23"/>
      <c r="CR4" s="7" t="s">
        <v>11</v>
      </c>
      <c r="CS4" s="14">
        <f>COUNTIF(C5:CN5,"G")+COUNTIF(C5:CN5,"Ex")+COUNTIF(C5:CN5,"P")</f>
        <v>7</v>
      </c>
      <c r="CT4" s="63" t="s">
        <v>1</v>
      </c>
      <c r="CU4" s="62"/>
      <c r="CV4" s="15">
        <f>COUNTIF(C5:CN5,"G")</f>
        <v>4</v>
      </c>
      <c r="CW4" s="16">
        <f>IF(CS4&gt;0,CV4/CS4,0)</f>
        <v>0.5714285714285714</v>
      </c>
    </row>
    <row r="5" spans="2:101" ht="7.5" customHeight="1" x14ac:dyDescent="0.25">
      <c r="B5" s="81"/>
      <c r="C5" s="86"/>
      <c r="D5" s="87"/>
      <c r="E5" s="87"/>
      <c r="F5" s="88"/>
      <c r="G5" s="9"/>
      <c r="H5" s="51" t="str">
        <f>IF(N(G4)&gt;0,IF(G4&lt;Handicap1, Perdu,IF(G4=Handicap1,IF(C8=Handicap2,Exaequo,Gagne))),"")</f>
        <v/>
      </c>
      <c r="I5" s="52"/>
      <c r="J5" s="46" t="str">
        <f>IF(N(E8)&gt;0,IF(N(I4)=E8,"-","Err"),"")</f>
        <v/>
      </c>
      <c r="K5" s="9"/>
      <c r="L5" s="51" t="str">
        <f>IF(N(K4)&gt;0,IF(K4&lt;Handicap1, Perdu,IF(K4=Handicap1,IF(C12=Handicap3,Exaequo,Gagne))),"")</f>
        <v/>
      </c>
      <c r="M5" s="52"/>
      <c r="N5" s="46" t="str">
        <f>IF(N(E12)&gt;0,IF(N(M4)=E12,"-","Err"),"")</f>
        <v/>
      </c>
      <c r="O5" s="9"/>
      <c r="P5" s="51" t="str">
        <f>IF(N(O4)&gt;0,IF(O4&lt;Handicap1, Perdu,IF(O4=Handicap1,IF(C16=Handicap4,Exaequo,Gagne))),"")</f>
        <v/>
      </c>
      <c r="Q5" s="52"/>
      <c r="R5" s="46" t="str">
        <f>IF(N(E16)&gt;0,IF(N(Q4)=E16,"-","Err"),"")</f>
        <v/>
      </c>
      <c r="S5" s="9"/>
      <c r="T5" s="51" t="str">
        <f>IF(N(S4)&gt;0,IF(S4&lt;Handicap1, Perdu,IF(S4=Handicap1,IF(C20=Handicap5,Exaequo,Gagne))),"")</f>
        <v/>
      </c>
      <c r="U5" s="52"/>
      <c r="V5" s="46" t="str">
        <f>IF(N(E20)&gt;0,IF(N(U4)=E20,"-","Err"),"")</f>
        <v/>
      </c>
      <c r="W5" s="9"/>
      <c r="X5" s="51" t="str">
        <f>IF(N(W4)&gt;0,IF(W4&lt;Handicap1, Perdu,IF(W4=Handicap1,IF(C24=Handicap6,Exaequo,Gagne))),"")</f>
        <v/>
      </c>
      <c r="Y5" s="52"/>
      <c r="Z5" s="46" t="str">
        <f>IF(N(E24)&gt;0,IF(N(Y4)=E24,"-","Err"),"")</f>
        <v/>
      </c>
      <c r="AA5" s="9"/>
      <c r="AB5" s="51" t="str">
        <f>IF(N(AA4)&gt;0,IF(AA4&lt;Handicap1, Perdu,IF(AA4=Handicap1,IF(C28=Handicap7,Exaequo,Gagne))),"")</f>
        <v/>
      </c>
      <c r="AC5" s="52"/>
      <c r="AD5" s="46" t="str">
        <f>IF(N(E28)&gt;0,IF(N(AC4)=E28,"-","Err"),"")</f>
        <v/>
      </c>
      <c r="AE5" s="9"/>
      <c r="AF5" s="51" t="str">
        <f>IF(N(AE4)&gt;0,IF(AE4&lt;Handicap1, Perdu,IF(AE4=Handicap1,IF(C32=Handicap8,Exaequo,Gagne))),"")</f>
        <v>G</v>
      </c>
      <c r="AG5" s="52"/>
      <c r="AH5" s="46" t="str">
        <f>IF(N(E32)&gt;0,IF(N(AG4)=E32,"-","Err"),"")</f>
        <v>-</v>
      </c>
      <c r="AI5" s="9"/>
      <c r="AJ5" s="51" t="str">
        <f>IF(N(AI4)&gt;0,IF(AI4&lt;Handicap1, Perdu,IF(AI4=Handicap1,IF(C36=Handicap9,Exaequo,Gagne))),"")</f>
        <v/>
      </c>
      <c r="AK5" s="52"/>
      <c r="AL5" s="46" t="str">
        <f>IF(N(E36)&gt;0,IF(N(AK4)=E36,"-","Err"),"")</f>
        <v/>
      </c>
      <c r="AM5" s="9"/>
      <c r="AN5" s="51" t="str">
        <f>IF(N(AM4)&gt;0,IF(AM4&lt;Handicap1, Perdu,IF(AM4=Handicap1,IF(C40=Handicap10,Exaequo,Gagne))),"")</f>
        <v>G</v>
      </c>
      <c r="AO5" s="52"/>
      <c r="AP5" s="46" t="str">
        <f>IF(N(E40)&gt;0,IF(N(AO4)=E40,"-","Err"),"")</f>
        <v>-</v>
      </c>
      <c r="AQ5" s="9"/>
      <c r="AR5" s="51" t="str">
        <f>IF(N(AQ4)&gt;0,IF(AQ4&lt;Handicap1, Perdu,IF(AQ4=Handicap1,IF(C44=Handicap11,Exaequo,Gagne))),"")</f>
        <v/>
      </c>
      <c r="AS5" s="52"/>
      <c r="AT5" s="46" t="str">
        <f>IF(N(E44)&gt;0,IF(N(AS4)=E44,"-","Err"),"")</f>
        <v/>
      </c>
      <c r="AU5" s="9"/>
      <c r="AV5" s="51" t="str">
        <f>IF(N(AU4)&gt;0,IF(AU4&lt;Handicap1, Perdu,IF(AU4=Handicap1,IF(C48=Handicap12,Exaequo,Gagne))),"")</f>
        <v/>
      </c>
      <c r="AW5" s="52"/>
      <c r="AX5" s="46" t="str">
        <f>IF(N(E48)&gt;0,IF(N(AW4)=E48,"-","Err"),"")</f>
        <v/>
      </c>
      <c r="AY5" s="9"/>
      <c r="AZ5" s="51" t="str">
        <f>IF(N(AY4)&gt;0,IF(AY4&lt;Handicap1, Perdu,IF(AY4=Handicap1,IF(C52=Handicap13,Exaequo,Gagne))),"")</f>
        <v>P</v>
      </c>
      <c r="BA5" s="52"/>
      <c r="BB5" s="46" t="str">
        <f>IF(N(E52)&gt;0,IF(N(BA4)=E52,"-","Err"),"")</f>
        <v>-</v>
      </c>
      <c r="BC5" s="9"/>
      <c r="BD5" s="51" t="str">
        <f>IF(N(BC4)&gt;0,IF(BC4&lt;Handicap1, Perdu,IF(BC4=Handicap1,IF(C56=hANDICAP14,Exaequo,Gagne))),"")</f>
        <v>G</v>
      </c>
      <c r="BE5" s="52"/>
      <c r="BF5" s="46" t="str">
        <f>IF(N(E56)&gt;0,IF(N(BE4)=E56,"-","Err"),"")</f>
        <v>-</v>
      </c>
      <c r="BG5" s="9"/>
      <c r="BH5" s="51" t="str">
        <f>IF(N(BG4)&gt;0,IF(BG4&lt;Handicap1, Perdu,IF(BG4=Handicap1,IF(C60=Handicap15,Exaequo,Gagne))),"")</f>
        <v/>
      </c>
      <c r="BI5" s="52"/>
      <c r="BJ5" s="46" t="str">
        <f>IF(N(E60)&gt;0,IF(N(BI4)=E60,"-","Err"),"")</f>
        <v/>
      </c>
      <c r="BK5" s="9"/>
      <c r="BL5" s="51" t="str">
        <f>IF(N(BK4)&gt;0,IF(BK4&lt;Handicap1, Perdu,IF(BK4=Handicap1,IF(C64=Handicap16,Exaequo,Gagne))),"")</f>
        <v>G</v>
      </c>
      <c r="BM5" s="52"/>
      <c r="BN5" s="46" t="str">
        <f>IF(N(E64)&gt;0,IF(N(BM4)=E64,"-","Err"),"")</f>
        <v>-</v>
      </c>
      <c r="BO5" s="9"/>
      <c r="BP5" s="51" t="str">
        <f>IF(N(BO4)&gt;0,IF(BO4&lt;Handicap1, Perdu,IF(BO4=Handicap1,IF(C68=Handicap17,Exaequo,Gagne))),"")</f>
        <v>P</v>
      </c>
      <c r="BQ5" s="52"/>
      <c r="BR5" s="46" t="str">
        <f>IF(N(E68)&gt;0,IF(N(BQ4)=E68,"-","Err"),"")</f>
        <v>-</v>
      </c>
      <c r="BS5" s="9"/>
      <c r="BT5" s="51" t="str">
        <f>IF(N(BS4)&gt;0,IF(BS4&lt;Handicap1, Perdu,IF(BS4=Handicap1,IF(C72=Handicap18,Exaequo,Gagne))),"")</f>
        <v/>
      </c>
      <c r="BU5" s="52"/>
      <c r="BV5" s="46" t="str">
        <f>IF(N(E72)&gt;0,IF(N(BU4)=E72,"-","Err"),"")</f>
        <v/>
      </c>
      <c r="BW5" s="9"/>
      <c r="BX5" s="51" t="str">
        <f>IF(N(BW4)&gt;0,IF(BW4&lt;Handicap1, Perdu,IF(BW4=Handicap1,IF(C76=Handicap19,Exaequo,Gagne))),"")</f>
        <v/>
      </c>
      <c r="BY5" s="52"/>
      <c r="BZ5" s="46" t="str">
        <f>IF(N(E76)&gt;0,IF(N(BY4)=E76,"-","Err"),"")</f>
        <v/>
      </c>
      <c r="CA5" s="9"/>
      <c r="CB5" s="51" t="str">
        <f>IF(N(CA4)&gt;0,IF(CA4&lt;Handicap1, Perdu,IF(CA4=Handicap1,IF(O68=Handicap17,Exaequo,Gagne))),"")</f>
        <v/>
      </c>
      <c r="CC5" s="52"/>
      <c r="CD5" s="46" t="str">
        <f>IF(N(E80)&gt;0,IF(N(CC4)=E80,"-","Err"),"")</f>
        <v/>
      </c>
      <c r="CE5" s="9"/>
      <c r="CF5" s="51" t="str">
        <f>IF(N(CE4)&gt;0,IF(CE4&lt;Handicap1, Perdu,IF(CE4=Handicap1,IF(C84=Handicap21,Exaequo,Gagne))),"")</f>
        <v/>
      </c>
      <c r="CG5" s="52"/>
      <c r="CH5" s="46" t="str">
        <f>IF(N(E84)&gt;0,IF(N(CG4)=E84,"-","Err"),"")</f>
        <v/>
      </c>
      <c r="CI5" s="9"/>
      <c r="CJ5" s="51" t="str">
        <f>IF(N(CI4)&gt;0,IF(CI4&lt;Handicap1, Perdu,IF(CI4=Handicap1,IF(C88=Handicap22,Exaequo,Gagne))),"")</f>
        <v>P</v>
      </c>
      <c r="CK5" s="52"/>
      <c r="CL5" s="46" t="str">
        <f>IF(N(E88)&gt;0,IF(N(CK4)=E88,"-","Err"),"")</f>
        <v>-</v>
      </c>
      <c r="CM5" s="46" t="str">
        <f>IF(N(CM4)&gt;Handicap1,"Err","-")</f>
        <v>-</v>
      </c>
      <c r="CN5" s="51" t="str">
        <f>IF(N(CM4)&gt;0,IF(CM4&lt;Handicap1, Perdu,IF(CM4=Handicap1,IF(C92=Handicap23,Exaequo,Gagne))),"")</f>
        <v/>
      </c>
      <c r="CO5" s="52"/>
      <c r="CP5" s="46" t="str">
        <f>IF(N(E92)&gt;0,IF(N(CO4)=E92,"-","Err"),"")</f>
        <v/>
      </c>
      <c r="CQ5" s="30"/>
      <c r="CR5" s="64" t="s">
        <v>6</v>
      </c>
      <c r="CS5" s="66">
        <f>(COUNTIF(C5:CP5,"G")*3)+(COUNTIF(C5:CP5,"Ex")*2)+COUNTIF(C5:CP5,"P")</f>
        <v>15</v>
      </c>
      <c r="CT5" s="68" t="s">
        <v>2</v>
      </c>
      <c r="CU5" s="69"/>
      <c r="CV5" s="72">
        <f>COUNTIF(C5:CN5,"P")</f>
        <v>3</v>
      </c>
      <c r="CW5" s="60">
        <f>IF(CS4&gt;0,CV5/CS4,0)</f>
        <v>0.42857142857142855</v>
      </c>
    </row>
    <row r="6" spans="2:101" ht="7.5" customHeight="1" x14ac:dyDescent="0.25">
      <c r="B6" s="81"/>
      <c r="C6" s="86"/>
      <c r="D6" s="87"/>
      <c r="E6" s="87"/>
      <c r="F6" s="88"/>
      <c r="G6" s="2"/>
      <c r="H6" s="53"/>
      <c r="I6" s="54"/>
      <c r="J6" s="46"/>
      <c r="K6" s="2"/>
      <c r="L6" s="53"/>
      <c r="M6" s="54"/>
      <c r="N6" s="46"/>
      <c r="O6" s="2"/>
      <c r="P6" s="53"/>
      <c r="Q6" s="54"/>
      <c r="R6" s="46"/>
      <c r="S6" s="2"/>
      <c r="T6" s="53"/>
      <c r="U6" s="54"/>
      <c r="V6" s="46"/>
      <c r="W6" s="2"/>
      <c r="X6" s="53"/>
      <c r="Y6" s="54"/>
      <c r="Z6" s="46"/>
      <c r="AA6" s="2"/>
      <c r="AB6" s="53"/>
      <c r="AC6" s="54"/>
      <c r="AD6" s="46"/>
      <c r="AE6" s="2"/>
      <c r="AF6" s="53"/>
      <c r="AG6" s="54"/>
      <c r="AH6" s="46"/>
      <c r="AI6" s="2"/>
      <c r="AJ6" s="53"/>
      <c r="AK6" s="54"/>
      <c r="AL6" s="46"/>
      <c r="AM6" s="2"/>
      <c r="AN6" s="53"/>
      <c r="AO6" s="54"/>
      <c r="AP6" s="46"/>
      <c r="AQ6" s="2"/>
      <c r="AR6" s="53"/>
      <c r="AS6" s="54"/>
      <c r="AT6" s="46"/>
      <c r="AU6" s="2"/>
      <c r="AV6" s="53"/>
      <c r="AW6" s="54"/>
      <c r="AX6" s="46"/>
      <c r="AY6" s="2"/>
      <c r="AZ6" s="53"/>
      <c r="BA6" s="54"/>
      <c r="BB6" s="46"/>
      <c r="BC6" s="2"/>
      <c r="BD6" s="53"/>
      <c r="BE6" s="54"/>
      <c r="BF6" s="46"/>
      <c r="BG6" s="2"/>
      <c r="BH6" s="53"/>
      <c r="BI6" s="54"/>
      <c r="BJ6" s="46"/>
      <c r="BK6" s="2"/>
      <c r="BL6" s="53"/>
      <c r="BM6" s="54"/>
      <c r="BN6" s="46"/>
      <c r="BO6" s="2"/>
      <c r="BP6" s="53"/>
      <c r="BQ6" s="54"/>
      <c r="BR6" s="46"/>
      <c r="BS6" s="2"/>
      <c r="BT6" s="53"/>
      <c r="BU6" s="54"/>
      <c r="BV6" s="46"/>
      <c r="BW6" s="2"/>
      <c r="BX6" s="53"/>
      <c r="BY6" s="54"/>
      <c r="BZ6" s="46"/>
      <c r="CA6" s="2"/>
      <c r="CB6" s="53"/>
      <c r="CC6" s="54"/>
      <c r="CD6" s="46"/>
      <c r="CE6" s="2"/>
      <c r="CF6" s="53"/>
      <c r="CG6" s="54"/>
      <c r="CH6" s="46"/>
      <c r="CI6" s="2"/>
      <c r="CJ6" s="53"/>
      <c r="CK6" s="54"/>
      <c r="CL6" s="46"/>
      <c r="CM6" s="46"/>
      <c r="CN6" s="53"/>
      <c r="CO6" s="54"/>
      <c r="CP6" s="46"/>
      <c r="CQ6" s="30"/>
      <c r="CR6" s="65"/>
      <c r="CS6" s="67"/>
      <c r="CT6" s="70"/>
      <c r="CU6" s="71"/>
      <c r="CV6" s="72"/>
      <c r="CW6" s="60"/>
    </row>
    <row r="7" spans="2:101" ht="15" customHeight="1" x14ac:dyDescent="0.25">
      <c r="B7" s="82"/>
      <c r="C7" s="89"/>
      <c r="D7" s="90"/>
      <c r="E7" s="90"/>
      <c r="F7" s="91"/>
      <c r="G7" s="55" t="str">
        <f>IF(COUNT(G4:I4)=2,G4/I4,"Moy")</f>
        <v>Moy</v>
      </c>
      <c r="H7" s="56"/>
      <c r="I7" s="56" t="s">
        <v>0</v>
      </c>
      <c r="J7" s="59"/>
      <c r="K7" s="55" t="str">
        <f>IF(COUNT(K4:M4)=2,K4/M4,"Moy")</f>
        <v>Moy</v>
      </c>
      <c r="L7" s="56"/>
      <c r="M7" s="56" t="s">
        <v>0</v>
      </c>
      <c r="N7" s="59"/>
      <c r="O7" s="55" t="str">
        <f>IF(COUNT(O4:Q4)=2,O4/Q4,"Moy")</f>
        <v>Moy</v>
      </c>
      <c r="P7" s="56"/>
      <c r="Q7" s="56" t="s">
        <v>0</v>
      </c>
      <c r="R7" s="59"/>
      <c r="S7" s="55" t="str">
        <f>IF(COUNT(S4:U4)=2,S4/U4,"Moy")</f>
        <v>Moy</v>
      </c>
      <c r="T7" s="56"/>
      <c r="U7" s="56" t="s">
        <v>0</v>
      </c>
      <c r="V7" s="59"/>
      <c r="W7" s="55" t="str">
        <f>IF(COUNT(W4:Y4)=2,W4/Y4,"Moy")</f>
        <v>Moy</v>
      </c>
      <c r="X7" s="56"/>
      <c r="Y7" s="56" t="s">
        <v>0</v>
      </c>
      <c r="Z7" s="59"/>
      <c r="AA7" s="55" t="str">
        <f>IF(COUNT(AA4:AC4)=2,AA4/AC4,"Moy")</f>
        <v>Moy</v>
      </c>
      <c r="AB7" s="56"/>
      <c r="AC7" s="56" t="s">
        <v>0</v>
      </c>
      <c r="AD7" s="59"/>
      <c r="AE7" s="55">
        <f>IF(COUNT(AE4:AG4)=2,AE4/AG4,"Moy")</f>
        <v>0.78947368421052633</v>
      </c>
      <c r="AF7" s="56"/>
      <c r="AG7" s="56">
        <v>4</v>
      </c>
      <c r="AH7" s="59"/>
      <c r="AI7" s="55" t="str">
        <f>IF(COUNT(AI4:AK4)=2,AI4/AK4,"Moy")</f>
        <v>Moy</v>
      </c>
      <c r="AJ7" s="56"/>
      <c r="AK7" s="56" t="s">
        <v>0</v>
      </c>
      <c r="AL7" s="59"/>
      <c r="AM7" s="55">
        <f>IF(COUNT(AM4:AO4)=2,AM4/AO4,"Moy")</f>
        <v>0.8571428571428571</v>
      </c>
      <c r="AN7" s="56"/>
      <c r="AO7" s="56">
        <v>5</v>
      </c>
      <c r="AP7" s="59"/>
      <c r="AQ7" s="55" t="str">
        <f>IF(COUNT(AQ4:AS4)=2,AQ4/AS4,"Moy")</f>
        <v>Moy</v>
      </c>
      <c r="AR7" s="56"/>
      <c r="AS7" s="56" t="s">
        <v>0</v>
      </c>
      <c r="AT7" s="59"/>
      <c r="AU7" s="55" t="str">
        <f>IF(COUNT(AU4:AW4)=2,AU4/AW4,"Moy")</f>
        <v>Moy</v>
      </c>
      <c r="AV7" s="56"/>
      <c r="AW7" s="56" t="s">
        <v>0</v>
      </c>
      <c r="AX7" s="59"/>
      <c r="AY7" s="55">
        <f>IF(COUNT(AY4:BA4)=2,AY4/BA4,"Moy")</f>
        <v>0.6428571428571429</v>
      </c>
      <c r="AZ7" s="56"/>
      <c r="BA7" s="56">
        <v>6</v>
      </c>
      <c r="BB7" s="59"/>
      <c r="BC7" s="55">
        <f>IF(COUNT(BC4:BE4)=2,BC4/BE4,"Moy")</f>
        <v>0.54545454545454541</v>
      </c>
      <c r="BD7" s="56"/>
      <c r="BE7" s="56">
        <v>3</v>
      </c>
      <c r="BF7" s="59"/>
      <c r="BG7" s="55" t="str">
        <f>IF(COUNT(BG4:BI4)=2,BG4/BI4,"Moy")</f>
        <v>Moy</v>
      </c>
      <c r="BH7" s="56"/>
      <c r="BI7" s="56" t="s">
        <v>0</v>
      </c>
      <c r="BJ7" s="59"/>
      <c r="BK7" s="55">
        <f>IF(COUNT(BK4:BM4)=2,BK4/BM4,"Moy")</f>
        <v>0.63829787234042556</v>
      </c>
      <c r="BL7" s="56"/>
      <c r="BM7" s="56">
        <v>4</v>
      </c>
      <c r="BN7" s="59"/>
      <c r="BO7" s="55">
        <f>IF(COUNT(BO4:BQ4)=2,BO4/BQ4,"Moy")</f>
        <v>0.53333333333333333</v>
      </c>
      <c r="BP7" s="56"/>
      <c r="BQ7" s="56">
        <v>3</v>
      </c>
      <c r="BR7" s="59"/>
      <c r="BS7" s="55" t="str">
        <f>IF(COUNT(BS4:BU4)=2,BS4/BU4,"Moy")</f>
        <v>Moy</v>
      </c>
      <c r="BT7" s="56"/>
      <c r="BU7" s="56" t="s">
        <v>0</v>
      </c>
      <c r="BV7" s="59"/>
      <c r="BW7" s="55" t="str">
        <f>IF(COUNT(BW4:BY4)=2,BW4/BY4,"Moy")</f>
        <v>Moy</v>
      </c>
      <c r="BX7" s="56"/>
      <c r="BY7" s="56" t="s">
        <v>0</v>
      </c>
      <c r="BZ7" s="59"/>
      <c r="CA7" s="55" t="str">
        <f>IF(COUNT(CA4:CC4)=2,CA4/CC4,"Moy")</f>
        <v>Moy</v>
      </c>
      <c r="CB7" s="56"/>
      <c r="CC7" s="56" t="s">
        <v>0</v>
      </c>
      <c r="CD7" s="59"/>
      <c r="CE7" s="55" t="str">
        <f>IF(COUNT(CE4:CG4)=2,CE4/CG4,"Moy")</f>
        <v>Moy</v>
      </c>
      <c r="CF7" s="56"/>
      <c r="CG7" s="56" t="s">
        <v>0</v>
      </c>
      <c r="CH7" s="59"/>
      <c r="CI7" s="55">
        <f>IF(COUNT(CI4:CK4)=2,CI4/CK4,"Moy")</f>
        <v>0.43181818181818182</v>
      </c>
      <c r="CJ7" s="56"/>
      <c r="CK7" s="56">
        <v>2</v>
      </c>
      <c r="CL7" s="59"/>
      <c r="CM7" s="55" t="str">
        <f>IF(COUNT(CM4:CO4)=2,CM4/CO4,"Moy")</f>
        <v>Moy</v>
      </c>
      <c r="CN7" s="56"/>
      <c r="CO7" s="56" t="s">
        <v>0</v>
      </c>
      <c r="CP7" s="59"/>
      <c r="CQ7" s="22"/>
      <c r="CR7" s="8" t="s">
        <v>5</v>
      </c>
      <c r="CS7" s="17">
        <f>IF(CS4&gt;0,((N(C7)+N(G7)+N(K7)+N(O7)+N(S7)+N(W7)+N(AA7)+N(AE7)+N(AI7)+N(AM7)+N(AQ7)+N(AU7)+N(AY7)+N(BC7)+N(BG7)+N(BK7)+N(BO7)+N(BS7)+N(BW7)+N(CA7)+N(CE7)+N(CI7))+N(CM7))/CS4,0)</f>
        <v>0.63405394530814452</v>
      </c>
      <c r="CT7" s="61" t="s">
        <v>3</v>
      </c>
      <c r="CU7" s="62"/>
      <c r="CV7" s="18">
        <f>COUNTIF(C5:CN5,"Ex")</f>
        <v>0</v>
      </c>
      <c r="CW7" s="19">
        <f>IF(CS4&gt;0,CV7/CS4,0)</f>
        <v>0</v>
      </c>
    </row>
    <row r="8" spans="2:101" ht="15" customHeight="1" x14ac:dyDescent="0.25">
      <c r="B8" s="92" t="s">
        <v>51</v>
      </c>
      <c r="C8" s="47"/>
      <c r="D8" s="48"/>
      <c r="E8" s="49" t="s">
        <v>23</v>
      </c>
      <c r="F8" s="50"/>
      <c r="G8" s="83">
        <v>20</v>
      </c>
      <c r="H8" s="84"/>
      <c r="I8" s="84"/>
      <c r="J8" s="85"/>
      <c r="K8" s="47" t="s">
        <v>22</v>
      </c>
      <c r="L8" s="48"/>
      <c r="M8" s="49" t="s">
        <v>23</v>
      </c>
      <c r="N8" s="50"/>
      <c r="O8" s="47" t="s">
        <v>22</v>
      </c>
      <c r="P8" s="48"/>
      <c r="Q8" s="49" t="s">
        <v>23</v>
      </c>
      <c r="R8" s="50"/>
      <c r="S8" s="47" t="s">
        <v>22</v>
      </c>
      <c r="T8" s="48"/>
      <c r="U8" s="49" t="s">
        <v>23</v>
      </c>
      <c r="V8" s="50"/>
      <c r="W8" s="47" t="s">
        <v>22</v>
      </c>
      <c r="X8" s="48"/>
      <c r="Y8" s="49" t="s">
        <v>23</v>
      </c>
      <c r="Z8" s="50"/>
      <c r="AA8" s="47" t="s">
        <v>22</v>
      </c>
      <c r="AB8" s="48"/>
      <c r="AC8" s="49" t="s">
        <v>23</v>
      </c>
      <c r="AD8" s="50"/>
      <c r="AE8" s="47" t="s">
        <v>22</v>
      </c>
      <c r="AF8" s="48"/>
      <c r="AG8" s="49" t="s">
        <v>23</v>
      </c>
      <c r="AH8" s="50"/>
      <c r="AI8" s="47" t="s">
        <v>22</v>
      </c>
      <c r="AJ8" s="48"/>
      <c r="AK8" s="49" t="s">
        <v>23</v>
      </c>
      <c r="AL8" s="50"/>
      <c r="AM8" s="47" t="s">
        <v>22</v>
      </c>
      <c r="AN8" s="48"/>
      <c r="AO8" s="49" t="s">
        <v>23</v>
      </c>
      <c r="AP8" s="50"/>
      <c r="AQ8" s="47" t="s">
        <v>22</v>
      </c>
      <c r="AR8" s="48"/>
      <c r="AS8" s="49" t="s">
        <v>23</v>
      </c>
      <c r="AT8" s="50"/>
      <c r="AU8" s="47" t="s">
        <v>22</v>
      </c>
      <c r="AV8" s="48"/>
      <c r="AW8" s="49" t="s">
        <v>23</v>
      </c>
      <c r="AX8" s="50"/>
      <c r="AY8" s="47" t="s">
        <v>22</v>
      </c>
      <c r="AZ8" s="48"/>
      <c r="BA8" s="49" t="s">
        <v>23</v>
      </c>
      <c r="BB8" s="50"/>
      <c r="BC8" s="47" t="s">
        <v>22</v>
      </c>
      <c r="BD8" s="48"/>
      <c r="BE8" s="49" t="s">
        <v>23</v>
      </c>
      <c r="BF8" s="50"/>
      <c r="BG8" s="47" t="s">
        <v>22</v>
      </c>
      <c r="BH8" s="48"/>
      <c r="BI8" s="49" t="s">
        <v>23</v>
      </c>
      <c r="BJ8" s="50"/>
      <c r="BK8" s="47" t="s">
        <v>22</v>
      </c>
      <c r="BL8" s="48"/>
      <c r="BM8" s="49" t="s">
        <v>23</v>
      </c>
      <c r="BN8" s="50"/>
      <c r="BO8" s="47" t="s">
        <v>22</v>
      </c>
      <c r="BP8" s="48"/>
      <c r="BQ8" s="49" t="s">
        <v>23</v>
      </c>
      <c r="BR8" s="50"/>
      <c r="BS8" s="47" t="s">
        <v>22</v>
      </c>
      <c r="BT8" s="48"/>
      <c r="BU8" s="49" t="s">
        <v>23</v>
      </c>
      <c r="BV8" s="50"/>
      <c r="BW8" s="47" t="s">
        <v>22</v>
      </c>
      <c r="BX8" s="48"/>
      <c r="BY8" s="49" t="s">
        <v>23</v>
      </c>
      <c r="BZ8" s="50"/>
      <c r="CA8" s="47" t="s">
        <v>22</v>
      </c>
      <c r="CB8" s="48"/>
      <c r="CC8" s="49" t="s">
        <v>23</v>
      </c>
      <c r="CD8" s="50"/>
      <c r="CE8" s="47" t="s">
        <v>22</v>
      </c>
      <c r="CF8" s="48"/>
      <c r="CG8" s="49" t="s">
        <v>23</v>
      </c>
      <c r="CH8" s="50"/>
      <c r="CI8" s="47" t="s">
        <v>22</v>
      </c>
      <c r="CJ8" s="48"/>
      <c r="CK8" s="49" t="s">
        <v>23</v>
      </c>
      <c r="CL8" s="50"/>
      <c r="CM8" s="47" t="s">
        <v>22</v>
      </c>
      <c r="CN8" s="48"/>
      <c r="CO8" s="49" t="s">
        <v>23</v>
      </c>
      <c r="CP8" s="50"/>
      <c r="CQ8" s="23"/>
      <c r="CR8" s="7" t="s">
        <v>11</v>
      </c>
      <c r="CS8" s="14">
        <f>COUNTIF(C9:CN9,"G")+COUNTIF(C9:CN9,"Ex")+COUNTIF(C9:CN9,"P")</f>
        <v>0</v>
      </c>
      <c r="CT8" s="63" t="s">
        <v>1</v>
      </c>
      <c r="CU8" s="62"/>
      <c r="CV8" s="15">
        <f>COUNTIF(C9:CN9,"G")</f>
        <v>0</v>
      </c>
      <c r="CW8" s="16">
        <f>IF(CS8&gt;0,CV8/CS8,0)</f>
        <v>0</v>
      </c>
    </row>
    <row r="9" spans="2:101" ht="7.5" customHeight="1" x14ac:dyDescent="0.25">
      <c r="B9" s="93"/>
      <c r="C9" s="9"/>
      <c r="D9" s="51" t="str">
        <f>IF(N(C8)&gt;0,IF(C8&lt;Handicap2, Perdu,IF(C8=Handicap2,IF(G4=Handicap1,Exaequo,Gagne))),"")</f>
        <v/>
      </c>
      <c r="E9" s="52"/>
      <c r="F9" s="46" t="str">
        <f>IF(N(I4)&gt;0,IF(N(E8)=I4,"-","Err"),"")</f>
        <v/>
      </c>
      <c r="G9" s="86"/>
      <c r="H9" s="87"/>
      <c r="I9" s="87"/>
      <c r="J9" s="88"/>
      <c r="K9" s="9"/>
      <c r="L9" s="51" t="str">
        <f>IF(N(K8)&gt;0,IF(K8&lt;Handicap2, Perdu,IF(K8=Handicap2,IF(G12=Handicap3,Exaequo,Gagne))),"")</f>
        <v/>
      </c>
      <c r="M9" s="52"/>
      <c r="N9" s="46" t="str">
        <f>IF(N(I12)&gt;0,IF(N(M8)=I12,"-","Err"),"")</f>
        <v/>
      </c>
      <c r="O9" s="9"/>
      <c r="P9" s="51" t="str">
        <f>IF(N(O8)&gt;0,IF(O8&lt;Handicap2, Perdu,IF(O8=Handicap2,IF(G16=Handicap4,Exaequo,Gagne))),"")</f>
        <v/>
      </c>
      <c r="Q9" s="52"/>
      <c r="R9" s="46" t="str">
        <f>IF(N(I16)&gt;0,IF(N(Q8)=I16,"-","Err"),"")</f>
        <v/>
      </c>
      <c r="S9" s="9"/>
      <c r="T9" s="51" t="str">
        <f>IF(N(S8)&gt;0,IF(S8&lt;Handicap2, Perdu,IF(S8=Handicap2,IF(G20=Handicap5,Exaequo,Gagne))),"")</f>
        <v/>
      </c>
      <c r="U9" s="52"/>
      <c r="V9" s="46" t="str">
        <f>IF(N(I20)&gt;0,IF(N(U8)=I20,"-","Err"),"")</f>
        <v/>
      </c>
      <c r="W9" s="9"/>
      <c r="X9" s="51" t="str">
        <f>IF(N(W8)&gt;0,IF(W8&lt;Handicap2, Perdu,IF(W8=Handicap2,IF(G24=Handicap6,Exaequo,Gagne))),"")</f>
        <v/>
      </c>
      <c r="Y9" s="52"/>
      <c r="Z9" s="46" t="str">
        <f>IF(N(I24)&gt;0,IF(N(Y8)=I24,"-","Err"),"")</f>
        <v/>
      </c>
      <c r="AA9" s="9"/>
      <c r="AB9" s="51" t="str">
        <f>IF(N(AA8)&gt;0,IF(AA8&lt;Handicap2, Perdu,IF(AA8=Handicap2,IF(G28=Handicap7,Exaequo,Gagne))),"")</f>
        <v/>
      </c>
      <c r="AC9" s="52"/>
      <c r="AD9" s="46" t="str">
        <f>IF(N(I28)&gt;0,IF(N(AC8)=I28,"-","Err"),"")</f>
        <v/>
      </c>
      <c r="AE9" s="9"/>
      <c r="AF9" s="51" t="str">
        <f>IF(N(AE8)&gt;0,IF(AE8&lt;Handicap2, Perdu,IF(AE8=Handicap2,IF(G32=Handicap8,Exaequo,Gagne))),"")</f>
        <v/>
      </c>
      <c r="AG9" s="52"/>
      <c r="AH9" s="46" t="str">
        <f>IF(N(I32)&gt;0,IF(N(AG8)=I32,"-","Err"),"")</f>
        <v/>
      </c>
      <c r="AI9" s="9"/>
      <c r="AJ9" s="51" t="str">
        <f>IF(N(AI8)&gt;0,IF(AI8&lt;Handicap2, Perdu,IF(AI8=Handicap2,IF(G36=Handicap9,Exaequo,Gagne))),"")</f>
        <v/>
      </c>
      <c r="AK9" s="52"/>
      <c r="AL9" s="46" t="str">
        <f>IF(N(I36)&gt;0,IF(N(AK8)=I36,"-","Err"),"")</f>
        <v/>
      </c>
      <c r="AM9" s="9"/>
      <c r="AN9" s="51" t="str">
        <f>IF(N(AM8)&gt;0,IF(AM8&lt;Handicap2, Perdu,IF(AM8=Handicap2,IF(G40=Handicap10,Exaequo,Gagne))),"")</f>
        <v/>
      </c>
      <c r="AO9" s="52"/>
      <c r="AP9" s="46" t="str">
        <f>IF(N(I40)&gt;0,IF(N(AO8)=I40,"-","Err"),"")</f>
        <v/>
      </c>
      <c r="AQ9" s="9"/>
      <c r="AR9" s="51" t="str">
        <f>IF(N(AQ8)&gt;0,IF(AQ8&lt;Handicap2, Perdu,IF(AQ8=Handicap2,IF(G44=Handicap11,Exaequo,Gagne))),"")</f>
        <v/>
      </c>
      <c r="AS9" s="52"/>
      <c r="AT9" s="46" t="str">
        <f>IF(N(I44)&gt;0,IF(N(AS8)=I44,"-","Err"),"")</f>
        <v/>
      </c>
      <c r="AU9" s="9"/>
      <c r="AV9" s="51" t="str">
        <f>IF(N(AU8)&gt;0,IF(AU8&lt;Handicap2, Perdu,IF(AU8=Handicap2,IF(G48=Handicap12,Exaequo,Gagne))),"")</f>
        <v/>
      </c>
      <c r="AW9" s="52"/>
      <c r="AX9" s="46" t="str">
        <f>IF(N(I48)&gt;0,IF(N(AW8)=I48,"-","Err"),"")</f>
        <v/>
      </c>
      <c r="AY9" s="9"/>
      <c r="AZ9" s="51" t="str">
        <f>IF(N(AY8)&gt;0,IF(AY8&lt;Handicap2, Perdu,IF(AY8=Handicap2,IF(G52=Handicap13,Exaequo,Gagne))),"")</f>
        <v/>
      </c>
      <c r="BA9" s="52"/>
      <c r="BB9" s="46" t="str">
        <f>IF(N(I52)&gt;0,IF(N(BA8)=I52,"-","Err"),"")</f>
        <v/>
      </c>
      <c r="BC9" s="9"/>
      <c r="BD9" s="51" t="str">
        <f>IF(N(BC8)&gt;0,IF(BC8&lt;Handicap2, Perdu,IF(BC8=Handicap2,IF(G56=hANDICAP14,Exaequo,Gagne))),"")</f>
        <v/>
      </c>
      <c r="BE9" s="52"/>
      <c r="BF9" s="46" t="str">
        <f>IF(N(I56)&gt;0,IF(N(BE8)=I56,"-","Err"),"")</f>
        <v/>
      </c>
      <c r="BG9" s="9"/>
      <c r="BH9" s="51" t="str">
        <f>IF(N(BG8)&gt;0,IF(BG8&lt;Handicap2, Perdu,IF(BG8=Handicap2,IF(G60=Handicap15,Exaequo,Gagne))),"")</f>
        <v/>
      </c>
      <c r="BI9" s="52"/>
      <c r="BJ9" s="46" t="str">
        <f>IF(N(I60)&gt;0,IF(N(BI8)=I60,"-","Err"),"")</f>
        <v/>
      </c>
      <c r="BK9" s="9"/>
      <c r="BL9" s="51" t="str">
        <f>IF(N(BK8)&gt;0,IF(BK8&lt;Handicap2, Perdu,IF(BK8=Handicap2,IF(G64=Handicap16,Exaequo,Gagne))),"")</f>
        <v/>
      </c>
      <c r="BM9" s="52"/>
      <c r="BN9" s="46" t="str">
        <f>IF(N(I64)&gt;0,IF(N(BM8)=I64,"-","Err"),"")</f>
        <v/>
      </c>
      <c r="BO9" s="9"/>
      <c r="BP9" s="51" t="str">
        <f>IF(N(BO8)&gt;0,IF(BO8&lt;Handicap2, Perdu,IF(BO8=Handicap2,IF(G68=Handicap17,Exaequo,Gagne))),"")</f>
        <v/>
      </c>
      <c r="BQ9" s="52"/>
      <c r="BR9" s="46" t="str">
        <f>IF(N(I68)&gt;0,IF(N(BQ8)=I68,"-","Err"),"")</f>
        <v/>
      </c>
      <c r="BS9" s="9"/>
      <c r="BT9" s="51" t="str">
        <f>IF(N(BS8)&gt;0,IF(BS8&lt;Handicap2, Perdu,IF(BS8=Handicap2,IF(G72=Handicap18,Exaequo,Gagne))),"")</f>
        <v/>
      </c>
      <c r="BU9" s="52"/>
      <c r="BV9" s="46" t="str">
        <f>IF(N(I72)&gt;0,IF(N(BU8)=I72,"-","Err"),"")</f>
        <v/>
      </c>
      <c r="BW9" s="9"/>
      <c r="BX9" s="51" t="str">
        <f>IF(N(BW8)&gt;0,IF(BW8&lt;Handicap2, Perdu,IF(BW8=Handicap2,IF(K72=Handicap18,Exaequo,Gagne))),"")</f>
        <v/>
      </c>
      <c r="BY9" s="52"/>
      <c r="BZ9" s="46" t="str">
        <f>IF(N(I76)&gt;0,IF(N(BY8)=I76,"-","Err"),"")</f>
        <v/>
      </c>
      <c r="CA9" s="9"/>
      <c r="CB9" s="51" t="str">
        <f>IF(N(CA8)&gt;0,IF(CA8&lt;Handicap2, Perdu,IF(CA8=Handicap2,IF(G80=Handicap20,Exaequo,Gagne))),"")</f>
        <v/>
      </c>
      <c r="CC9" s="52"/>
      <c r="CD9" s="46" t="str">
        <f>IF(N(I80)&gt;0,IF(N(CC8)=I80,"-","Err"),"")</f>
        <v/>
      </c>
      <c r="CE9" s="9"/>
      <c r="CF9" s="51" t="str">
        <f>IF(N(CE8)&gt;0,IF(CE8&lt;Handicap2, Perdu,IF(CE8=Handicap2,IF(G84=Handicap21,Exaequo,Gagne))),"")</f>
        <v/>
      </c>
      <c r="CG9" s="52"/>
      <c r="CH9" s="46" t="str">
        <f>IF(N(I84)&gt;0,IF(N(CG8)=I84,"-","Err"),"")</f>
        <v/>
      </c>
      <c r="CI9" s="9"/>
      <c r="CJ9" s="51" t="str">
        <f>IF(N(CI8)&gt;0,IF(CI8&lt;Handicap2, Perdu,IF(CI8=Handicap2,IF(G88=Handicap22,Exaequo,Gagne))),"")</f>
        <v/>
      </c>
      <c r="CK9" s="52"/>
      <c r="CL9" s="46" t="str">
        <f>IF(N(I88)&gt;0,IF(N(CK8)=I88,"-","Err"),"")</f>
        <v/>
      </c>
      <c r="CM9" s="46" t="str">
        <f>IF(N(CM8)&gt;Handicap2,"Err","-")</f>
        <v>-</v>
      </c>
      <c r="CN9" s="51" t="str">
        <f>IF(N(CM8)&gt;0,IF(CM8&lt;Handicap2, Perdu,IF(CM8=Handicap2,IF(G92=Handicap23,Exaequo,Gagne))),"")</f>
        <v/>
      </c>
      <c r="CO9" s="52"/>
      <c r="CP9" s="46" t="str">
        <f>IF(N(I92)&gt;0,IF(N(CO8)=I92,"-","Err"),"")</f>
        <v/>
      </c>
      <c r="CQ9" s="30"/>
      <c r="CR9" s="64" t="s">
        <v>6</v>
      </c>
      <c r="CS9" s="66">
        <f>(COUNTIF(C9:CP9,"G")*3)+(COUNTIF(C9:CP9,"Ex")*2)+COUNTIF(C9:CP9,"P")</f>
        <v>0</v>
      </c>
      <c r="CT9" s="68" t="s">
        <v>2</v>
      </c>
      <c r="CU9" s="69"/>
      <c r="CV9" s="72">
        <f>COUNTIF(C9:CN9,"P")</f>
        <v>0</v>
      </c>
      <c r="CW9" s="60">
        <f>IF(CS8&gt;0,CV9/CS8,0)</f>
        <v>0</v>
      </c>
    </row>
    <row r="10" spans="2:101" ht="7.5" customHeight="1" x14ac:dyDescent="0.25">
      <c r="B10" s="93"/>
      <c r="C10" s="2"/>
      <c r="D10" s="53"/>
      <c r="E10" s="54"/>
      <c r="F10" s="46"/>
      <c r="G10" s="86"/>
      <c r="H10" s="87"/>
      <c r="I10" s="87"/>
      <c r="J10" s="88"/>
      <c r="K10" s="2"/>
      <c r="L10" s="53"/>
      <c r="M10" s="54"/>
      <c r="N10" s="46"/>
      <c r="O10" s="2"/>
      <c r="P10" s="53"/>
      <c r="Q10" s="54"/>
      <c r="R10" s="46"/>
      <c r="S10" s="2"/>
      <c r="T10" s="53"/>
      <c r="U10" s="54"/>
      <c r="V10" s="46"/>
      <c r="W10" s="2"/>
      <c r="X10" s="53"/>
      <c r="Y10" s="54"/>
      <c r="Z10" s="46"/>
      <c r="AA10" s="2"/>
      <c r="AB10" s="53"/>
      <c r="AC10" s="54"/>
      <c r="AD10" s="46"/>
      <c r="AE10" s="2"/>
      <c r="AF10" s="53"/>
      <c r="AG10" s="54"/>
      <c r="AH10" s="46"/>
      <c r="AI10" s="2"/>
      <c r="AJ10" s="53"/>
      <c r="AK10" s="54"/>
      <c r="AL10" s="46"/>
      <c r="AM10" s="2"/>
      <c r="AN10" s="53"/>
      <c r="AO10" s="54"/>
      <c r="AP10" s="46"/>
      <c r="AQ10" s="2"/>
      <c r="AR10" s="53"/>
      <c r="AS10" s="54"/>
      <c r="AT10" s="46"/>
      <c r="AU10" s="2"/>
      <c r="AV10" s="53"/>
      <c r="AW10" s="54"/>
      <c r="AX10" s="46"/>
      <c r="AY10" s="2"/>
      <c r="AZ10" s="53"/>
      <c r="BA10" s="54"/>
      <c r="BB10" s="46"/>
      <c r="BC10" s="2"/>
      <c r="BD10" s="53"/>
      <c r="BE10" s="54"/>
      <c r="BF10" s="46"/>
      <c r="BG10" s="2"/>
      <c r="BH10" s="53"/>
      <c r="BI10" s="54"/>
      <c r="BJ10" s="46"/>
      <c r="BK10" s="2"/>
      <c r="BL10" s="53"/>
      <c r="BM10" s="54"/>
      <c r="BN10" s="46"/>
      <c r="BO10" s="2"/>
      <c r="BP10" s="53"/>
      <c r="BQ10" s="54"/>
      <c r="BR10" s="46"/>
      <c r="BS10" s="2"/>
      <c r="BT10" s="53"/>
      <c r="BU10" s="54"/>
      <c r="BV10" s="46"/>
      <c r="BW10" s="2"/>
      <c r="BX10" s="53"/>
      <c r="BY10" s="54"/>
      <c r="BZ10" s="46"/>
      <c r="CA10" s="2"/>
      <c r="CB10" s="53"/>
      <c r="CC10" s="54"/>
      <c r="CD10" s="46"/>
      <c r="CE10" s="2"/>
      <c r="CF10" s="53"/>
      <c r="CG10" s="54"/>
      <c r="CH10" s="46"/>
      <c r="CI10" s="2"/>
      <c r="CJ10" s="53"/>
      <c r="CK10" s="54"/>
      <c r="CL10" s="46"/>
      <c r="CM10" s="46"/>
      <c r="CN10" s="53"/>
      <c r="CO10" s="54"/>
      <c r="CP10" s="46"/>
      <c r="CQ10" s="30"/>
      <c r="CR10" s="65"/>
      <c r="CS10" s="67"/>
      <c r="CT10" s="70"/>
      <c r="CU10" s="71"/>
      <c r="CV10" s="72"/>
      <c r="CW10" s="60"/>
    </row>
    <row r="11" spans="2:101" ht="15" customHeight="1" x14ac:dyDescent="0.25">
      <c r="B11" s="94"/>
      <c r="C11" s="55" t="str">
        <f>IF(COUNT(C8:E8)=2,C8/E8,"Moy")</f>
        <v>Moy</v>
      </c>
      <c r="D11" s="56"/>
      <c r="E11" s="56" t="s">
        <v>0</v>
      </c>
      <c r="F11" s="59"/>
      <c r="G11" s="89"/>
      <c r="H11" s="90"/>
      <c r="I11" s="90"/>
      <c r="J11" s="91"/>
      <c r="K11" s="55" t="str">
        <f>IF(COUNT(K8:M8)=2,K8/M8,"Moy")</f>
        <v>Moy</v>
      </c>
      <c r="L11" s="56"/>
      <c r="M11" s="56" t="s">
        <v>0</v>
      </c>
      <c r="N11" s="59"/>
      <c r="O11" s="55" t="str">
        <f>IF(COUNT(O8:Q8)=2,O8/Q8,"Moy")</f>
        <v>Moy</v>
      </c>
      <c r="P11" s="56"/>
      <c r="Q11" s="56" t="s">
        <v>0</v>
      </c>
      <c r="R11" s="59"/>
      <c r="S11" s="55" t="str">
        <f>IF(COUNT(S8:U8)=2,S8/U8,"Moy")</f>
        <v>Moy</v>
      </c>
      <c r="T11" s="56"/>
      <c r="U11" s="56" t="s">
        <v>0</v>
      </c>
      <c r="V11" s="59"/>
      <c r="W11" s="55" t="str">
        <f>IF(COUNT(W8:Y8)=2,W8/Y8,"Moy")</f>
        <v>Moy</v>
      </c>
      <c r="X11" s="56"/>
      <c r="Y11" s="56" t="s">
        <v>0</v>
      </c>
      <c r="Z11" s="59"/>
      <c r="AA11" s="55" t="str">
        <f>IF(COUNT(AA8:AC8)=2,AA8/AC8,"Moy")</f>
        <v>Moy</v>
      </c>
      <c r="AB11" s="56"/>
      <c r="AC11" s="56" t="s">
        <v>0</v>
      </c>
      <c r="AD11" s="59"/>
      <c r="AE11" s="55" t="str">
        <f>IF(COUNT(AE8:AG8)=2,AE8/AG8,"Moy")</f>
        <v>Moy</v>
      </c>
      <c r="AF11" s="56"/>
      <c r="AG11" s="56" t="s">
        <v>0</v>
      </c>
      <c r="AH11" s="59"/>
      <c r="AI11" s="55" t="str">
        <f>IF(COUNT(AI8:AK8)=2,AI8/AK8,"Moy")</f>
        <v>Moy</v>
      </c>
      <c r="AJ11" s="56"/>
      <c r="AK11" s="56" t="s">
        <v>0</v>
      </c>
      <c r="AL11" s="59"/>
      <c r="AM11" s="55" t="str">
        <f>IF(COUNT(AM8:AO8)=2,AM8/AO8,"Moy")</f>
        <v>Moy</v>
      </c>
      <c r="AN11" s="56"/>
      <c r="AO11" s="56" t="s">
        <v>0</v>
      </c>
      <c r="AP11" s="59"/>
      <c r="AQ11" s="55" t="str">
        <f>IF(COUNT(AQ8:AS8)=2,AQ8/AS8,"Moy")</f>
        <v>Moy</v>
      </c>
      <c r="AR11" s="56"/>
      <c r="AS11" s="56" t="s">
        <v>0</v>
      </c>
      <c r="AT11" s="59"/>
      <c r="AU11" s="55" t="str">
        <f>IF(COUNT(AU8:AW8)=2,AU8/AW8,"Moy")</f>
        <v>Moy</v>
      </c>
      <c r="AV11" s="56"/>
      <c r="AW11" s="56" t="s">
        <v>0</v>
      </c>
      <c r="AX11" s="59"/>
      <c r="AY11" s="55" t="str">
        <f>IF(COUNT(AY8:BA8)=2,AY8/BA8,"Moy")</f>
        <v>Moy</v>
      </c>
      <c r="AZ11" s="56"/>
      <c r="BA11" s="56" t="s">
        <v>0</v>
      </c>
      <c r="BB11" s="59"/>
      <c r="BC11" s="55" t="str">
        <f>IF(COUNT(BC8:BE8)=2,BC8/BE8,"Moy")</f>
        <v>Moy</v>
      </c>
      <c r="BD11" s="56"/>
      <c r="BE11" s="56" t="s">
        <v>0</v>
      </c>
      <c r="BF11" s="59"/>
      <c r="BG11" s="55" t="str">
        <f>IF(COUNT(BG8:BI8)=2,BG8/BI8,"Moy")</f>
        <v>Moy</v>
      </c>
      <c r="BH11" s="56"/>
      <c r="BI11" s="56" t="s">
        <v>0</v>
      </c>
      <c r="BJ11" s="59"/>
      <c r="BK11" s="55" t="str">
        <f>IF(COUNT(BK8:BM8)=2,BK8/BM8,"Moy")</f>
        <v>Moy</v>
      </c>
      <c r="BL11" s="56"/>
      <c r="BM11" s="56" t="s">
        <v>0</v>
      </c>
      <c r="BN11" s="59"/>
      <c r="BO11" s="55" t="str">
        <f>IF(COUNT(BO8:BQ8)=2,BO8/BQ8,"Moy")</f>
        <v>Moy</v>
      </c>
      <c r="BP11" s="56"/>
      <c r="BQ11" s="56" t="s">
        <v>0</v>
      </c>
      <c r="BR11" s="59"/>
      <c r="BS11" s="55" t="str">
        <f>IF(COUNT(BS8:BU8)=2,BS8/BU8,"Moy")</f>
        <v>Moy</v>
      </c>
      <c r="BT11" s="56"/>
      <c r="BU11" s="56" t="s">
        <v>0</v>
      </c>
      <c r="BV11" s="59"/>
      <c r="BW11" s="55" t="str">
        <f>IF(COUNT(BW8:BY8)=2,BW8/BY8,"Moy")</f>
        <v>Moy</v>
      </c>
      <c r="BX11" s="56"/>
      <c r="BY11" s="56" t="s">
        <v>0</v>
      </c>
      <c r="BZ11" s="59"/>
      <c r="CA11" s="55" t="str">
        <f>IF(COUNT(CA8:CC8)=2,CA8/CC8,"Moy")</f>
        <v>Moy</v>
      </c>
      <c r="CB11" s="56"/>
      <c r="CC11" s="56" t="s">
        <v>0</v>
      </c>
      <c r="CD11" s="59"/>
      <c r="CE11" s="55" t="str">
        <f>IF(COUNT(CE8:CG8)=2,CE8/CG8,"Moy")</f>
        <v>Moy</v>
      </c>
      <c r="CF11" s="56"/>
      <c r="CG11" s="56" t="s">
        <v>0</v>
      </c>
      <c r="CH11" s="59"/>
      <c r="CI11" s="55" t="str">
        <f>IF(COUNT(CI8:CK8)=2,CI8/CK8,"Moy")</f>
        <v>Moy</v>
      </c>
      <c r="CJ11" s="56"/>
      <c r="CK11" s="56" t="s">
        <v>0</v>
      </c>
      <c r="CL11" s="59"/>
      <c r="CM11" s="55" t="str">
        <f>IF(COUNT(CM8:CO8)=2,CM8/CO8,"Moy")</f>
        <v>Moy</v>
      </c>
      <c r="CN11" s="56"/>
      <c r="CO11" s="56" t="s">
        <v>0</v>
      </c>
      <c r="CP11" s="59"/>
      <c r="CQ11" s="22"/>
      <c r="CR11" s="8" t="s">
        <v>5</v>
      </c>
      <c r="CS11" s="17">
        <f>IF(CS8&gt;0,((N(C11)+N(G11)+N(K11)+N(O11)+N(S11)+N(W11)+N(AA11)+N(AE11)+N(AI11)+N(AM11)+N(AQ11)+N(AU11)+N(AY11)+N(BC11)+N(BG11)+N(BK11)+N(BO11)+N(BS11)+N(BW11)+N(CA11)+N(CE11)+N(CI11))+N(CM11))/CS8,0)</f>
        <v>0</v>
      </c>
      <c r="CT11" s="61" t="s">
        <v>3</v>
      </c>
      <c r="CU11" s="62"/>
      <c r="CV11" s="18">
        <f>COUNTIF(C9:CN9,"Ex")</f>
        <v>0</v>
      </c>
      <c r="CW11" s="19">
        <f>IF(CS8&gt;0,CV11/CS8,0)</f>
        <v>0</v>
      </c>
    </row>
    <row r="12" spans="2:101" ht="15" customHeight="1" x14ac:dyDescent="0.25">
      <c r="B12" s="98" t="s">
        <v>33</v>
      </c>
      <c r="C12" s="47" t="s">
        <v>22</v>
      </c>
      <c r="D12" s="48"/>
      <c r="E12" s="49" t="s">
        <v>23</v>
      </c>
      <c r="F12" s="50"/>
      <c r="G12" s="47" t="s">
        <v>22</v>
      </c>
      <c r="H12" s="48"/>
      <c r="I12" s="49" t="s">
        <v>23</v>
      </c>
      <c r="J12" s="50"/>
      <c r="K12" s="83">
        <v>50</v>
      </c>
      <c r="L12" s="84"/>
      <c r="M12" s="84"/>
      <c r="N12" s="85"/>
      <c r="O12" s="47" t="s">
        <v>22</v>
      </c>
      <c r="P12" s="48"/>
      <c r="Q12" s="49" t="s">
        <v>23</v>
      </c>
      <c r="R12" s="50"/>
      <c r="S12" s="47" t="s">
        <v>22</v>
      </c>
      <c r="T12" s="48"/>
      <c r="U12" s="49" t="s">
        <v>23</v>
      </c>
      <c r="V12" s="50"/>
      <c r="W12" s="47" t="s">
        <v>22</v>
      </c>
      <c r="X12" s="48"/>
      <c r="Y12" s="49" t="s">
        <v>23</v>
      </c>
      <c r="Z12" s="50"/>
      <c r="AA12" s="47">
        <v>11</v>
      </c>
      <c r="AB12" s="48"/>
      <c r="AC12" s="49">
        <v>21</v>
      </c>
      <c r="AD12" s="50"/>
      <c r="AE12" s="47">
        <v>50</v>
      </c>
      <c r="AF12" s="48"/>
      <c r="AG12" s="49">
        <v>54</v>
      </c>
      <c r="AH12" s="50"/>
      <c r="AI12" s="47" t="s">
        <v>22</v>
      </c>
      <c r="AJ12" s="48"/>
      <c r="AK12" s="49" t="s">
        <v>23</v>
      </c>
      <c r="AL12" s="50"/>
      <c r="AM12" s="47">
        <v>21</v>
      </c>
      <c r="AN12" s="48"/>
      <c r="AO12" s="49">
        <v>37</v>
      </c>
      <c r="AP12" s="50"/>
      <c r="AQ12" s="47">
        <v>50</v>
      </c>
      <c r="AR12" s="48"/>
      <c r="AS12" s="49">
        <v>52</v>
      </c>
      <c r="AT12" s="50"/>
      <c r="AU12" s="47" t="s">
        <v>22</v>
      </c>
      <c r="AV12" s="48"/>
      <c r="AW12" s="49" t="s">
        <v>23</v>
      </c>
      <c r="AX12" s="50"/>
      <c r="AY12" s="47" t="s">
        <v>22</v>
      </c>
      <c r="AZ12" s="48"/>
      <c r="BA12" s="49" t="s">
        <v>23</v>
      </c>
      <c r="BB12" s="50"/>
      <c r="BC12" s="47">
        <v>50</v>
      </c>
      <c r="BD12" s="48"/>
      <c r="BE12" s="49">
        <v>68</v>
      </c>
      <c r="BF12" s="50"/>
      <c r="BG12" s="47" t="s">
        <v>22</v>
      </c>
      <c r="BH12" s="48"/>
      <c r="BI12" s="49" t="s">
        <v>23</v>
      </c>
      <c r="BJ12" s="50"/>
      <c r="BK12" s="47">
        <v>26</v>
      </c>
      <c r="BL12" s="48"/>
      <c r="BM12" s="49">
        <v>49</v>
      </c>
      <c r="BN12" s="50"/>
      <c r="BO12" s="47">
        <v>37</v>
      </c>
      <c r="BP12" s="48"/>
      <c r="BQ12" s="49">
        <v>42</v>
      </c>
      <c r="BR12" s="50"/>
      <c r="BS12" s="47" t="s">
        <v>22</v>
      </c>
      <c r="BT12" s="48"/>
      <c r="BU12" s="49" t="s">
        <v>23</v>
      </c>
      <c r="BV12" s="50"/>
      <c r="BW12" s="47" t="s">
        <v>22</v>
      </c>
      <c r="BX12" s="48"/>
      <c r="BY12" s="49" t="s">
        <v>23</v>
      </c>
      <c r="BZ12" s="50"/>
      <c r="CA12" s="47" t="s">
        <v>22</v>
      </c>
      <c r="CB12" s="48"/>
      <c r="CC12" s="49" t="s">
        <v>23</v>
      </c>
      <c r="CD12" s="50"/>
      <c r="CE12" s="47" t="s">
        <v>22</v>
      </c>
      <c r="CF12" s="48"/>
      <c r="CG12" s="49" t="s">
        <v>23</v>
      </c>
      <c r="CH12" s="50"/>
      <c r="CI12" s="47">
        <v>46</v>
      </c>
      <c r="CJ12" s="48"/>
      <c r="CK12" s="49">
        <v>66</v>
      </c>
      <c r="CL12" s="50"/>
      <c r="CM12" s="47" t="s">
        <v>22</v>
      </c>
      <c r="CN12" s="48"/>
      <c r="CO12" s="49" t="s">
        <v>23</v>
      </c>
      <c r="CP12" s="50"/>
      <c r="CQ12" s="23"/>
      <c r="CR12" s="7" t="s">
        <v>11</v>
      </c>
      <c r="CS12" s="14">
        <f>COUNTIF(C13:CN13,"G")+COUNTIF(C13:CN13,"Ex")+COUNTIF(C13:CN13,"P")</f>
        <v>8</v>
      </c>
      <c r="CT12" s="63" t="s">
        <v>1</v>
      </c>
      <c r="CU12" s="62"/>
      <c r="CV12" s="15">
        <f>COUNTIF(C13:CN13,"G")</f>
        <v>2</v>
      </c>
      <c r="CW12" s="16">
        <f>IF(CS12&gt;0,CV12/CS12,0)</f>
        <v>0.25</v>
      </c>
    </row>
    <row r="13" spans="2:101" ht="7.5" customHeight="1" x14ac:dyDescent="0.25">
      <c r="B13" s="81"/>
      <c r="C13" s="9"/>
      <c r="D13" s="51" t="str">
        <f>IF(N(C12)&gt;0,IF(C12&lt;Handicap3, Perdu,IF(C12=Handicap3,IF(K4=Handicap1,Exaequo,Gagne))),"")</f>
        <v/>
      </c>
      <c r="E13" s="52"/>
      <c r="F13" s="46" t="str">
        <f>IF(N(M4)&gt;0,IF(N(E12)=M4,"-","Err"),"")</f>
        <v/>
      </c>
      <c r="G13" s="9"/>
      <c r="H13" s="51" t="str">
        <f>IF(N(G12)&gt;0,IF(G12&lt;Handicap3, Perdu,IF(G12=Handicap3,IF(K8=Handicap2,Exaequo,Gagne))),"")</f>
        <v/>
      </c>
      <c r="I13" s="52"/>
      <c r="J13" s="46" t="str">
        <f>IF(N(M8)&gt;0,IF(N(I12)=M8,"-","Err"),"")</f>
        <v/>
      </c>
      <c r="K13" s="86"/>
      <c r="L13" s="87"/>
      <c r="M13" s="87"/>
      <c r="N13" s="88"/>
      <c r="O13" s="9"/>
      <c r="P13" s="51" t="str">
        <f>IF(N(O12)&gt;0,IF(O12&lt;Handicap3, Perdu,IF(O12=Handicap3,IF(K16=Handicap4,Exaequo,Gagne))),"")</f>
        <v/>
      </c>
      <c r="Q13" s="52"/>
      <c r="R13" s="46" t="str">
        <f>IF(N(M16)&gt;0,IF(N(Q12)=M16,"-","Err"),"")</f>
        <v/>
      </c>
      <c r="S13" s="9"/>
      <c r="T13" s="51" t="str">
        <f>IF(N(S12)&gt;0,IF(S12&lt;Handicap3, Perdu,IF(S12=Handicap3,IF(K20=Handicap5,Exaequo,Gagne))),"")</f>
        <v/>
      </c>
      <c r="U13" s="52"/>
      <c r="V13" s="46" t="str">
        <f>IF(N(M20)&gt;0,IF(N(U12)=M20,"-","Err"),"")</f>
        <v/>
      </c>
      <c r="W13" s="9"/>
      <c r="X13" s="51" t="str">
        <f>IF(N(W12)&gt;0,IF(W12&lt;Handicap3, Perdu,IF(W12=Handicap3,IF(K24=Handicap6,Exaequo,Gagne))),"")</f>
        <v/>
      </c>
      <c r="Y13" s="52"/>
      <c r="Z13" s="46" t="str">
        <f>IF(N(M24)&gt;0,IF(N(Y12)=M24,"-","Err"),"")</f>
        <v/>
      </c>
      <c r="AA13" s="9"/>
      <c r="AB13" s="51" t="str">
        <f>IF(N(AA12)&gt;0,IF(AA12&lt;Handicap3, Perdu,IF(AA12=Handicap3,IF(K28=Handicap7,Exaequo,Gagne))),"")</f>
        <v>P</v>
      </c>
      <c r="AC13" s="52"/>
      <c r="AD13" s="46" t="str">
        <f>IF(N(M28)&gt;0,IF(N(AC12)=M28,"-","Err"),"")</f>
        <v>-</v>
      </c>
      <c r="AE13" s="9"/>
      <c r="AF13" s="51" t="str">
        <f>IF(N(AE12)&gt;0,IF(AE12&lt;Handicap3, Perdu,IF(AE12=Handicap3,IF(K32=Handicap8,Exaequo,Gagne))),"")</f>
        <v>G</v>
      </c>
      <c r="AG13" s="52"/>
      <c r="AH13" s="46" t="str">
        <f>IF(N(M32)&gt;0,IF(N(AG12)=M32,"-","Err"),"")</f>
        <v>-</v>
      </c>
      <c r="AI13" s="9"/>
      <c r="AJ13" s="51" t="str">
        <f>IF(N(AI12)&gt;0,IF(AI12&lt;Handicap3, Perdu,IF(AI12=Handicap3,IF(K36=Handicap9,Exaequo,Gagne))),"")</f>
        <v/>
      </c>
      <c r="AK13" s="52"/>
      <c r="AL13" s="46" t="str">
        <f>IF(N(M36)&gt;0,IF(N(AK12)=M36,"-","Err"),"")</f>
        <v/>
      </c>
      <c r="AM13" s="9"/>
      <c r="AN13" s="51" t="str">
        <f>IF(N(AM12)&gt;0,IF(AM12&lt;Handicap3, Perdu,IF(AM12=Handicap3,IF(K40=Handicap10,Exaequo,Gagne))),"")</f>
        <v>P</v>
      </c>
      <c r="AO13" s="52"/>
      <c r="AP13" s="46" t="str">
        <f>IF(N(M40)&gt;0,IF(N(AO12)=M40,"-","Err"),"")</f>
        <v>-</v>
      </c>
      <c r="AQ13" s="9"/>
      <c r="AR13" s="51" t="str">
        <f>IF(N(AQ12)&gt;0,IF(AQ12&lt;Handicap3, Perdu,IF(AQ12=Handicap3,IF(K44=Handicap11,Exaequo,Gagne))),"")</f>
        <v>Ex</v>
      </c>
      <c r="AS13" s="52"/>
      <c r="AT13" s="46" t="str">
        <f>IF(N(M44)&gt;0,IF(N(AS12)=M44,"-","Err"),"")</f>
        <v>-</v>
      </c>
      <c r="AU13" s="9"/>
      <c r="AV13" s="51" t="str">
        <f>IF(N(AU12)&gt;0,IF(AU12&lt;Handicap3, Perdu,IF(AU12=Handicap3,IF(K48=Handicap12,Exaequo,Gagne))),"")</f>
        <v/>
      </c>
      <c r="AW13" s="52"/>
      <c r="AX13" s="46" t="str">
        <f>IF(N(M48)&gt;0,IF(N(AW12)=M48,"-","Err"),"")</f>
        <v/>
      </c>
      <c r="AY13" s="9"/>
      <c r="AZ13" s="51" t="str">
        <f>IF(N(AY12)&gt;0,IF(AY12&lt;Handicap3, Perdu,IF(AY12=Handicap3,IF(K52=Handicap13,Exaequo,Gagne))),"")</f>
        <v/>
      </c>
      <c r="BA13" s="52"/>
      <c r="BB13" s="46" t="str">
        <f>IF(N(M52)&gt;0,IF(N(BA12)=M52,"-","Err"),"")</f>
        <v/>
      </c>
      <c r="BC13" s="9"/>
      <c r="BD13" s="51" t="str">
        <f>IF(N(BC12)&gt;0,IF(BC12&lt;Handicap3, Perdu,IF(BC12=Handicap3,IF(K56=hANDICAP14,Exaequo,Gagne))),"")</f>
        <v>G</v>
      </c>
      <c r="BE13" s="52"/>
      <c r="BF13" s="46" t="str">
        <f>IF(N(M56)&gt;0,IF(N(BE12)=M56,"-","Err"),"")</f>
        <v>-</v>
      </c>
      <c r="BG13" s="9"/>
      <c r="BH13" s="51" t="str">
        <f>IF(N(BG12)&gt;0,IF(BG12&lt;Handicap3, Perdu,IF(BG12=Handicap3,IF(K60=Handicap15,Exaequo,Gagne))),"")</f>
        <v/>
      </c>
      <c r="BI13" s="52"/>
      <c r="BJ13" s="46" t="str">
        <f>IF(N(M60)&gt;0,IF(N(BI12)=M60,"-","Err"),"")</f>
        <v/>
      </c>
      <c r="BK13" s="9"/>
      <c r="BL13" s="51" t="str">
        <f>IF(N(BK12)&gt;0,IF(BK12&lt;Handicap3, Perdu,IF(BK12=Handicap3,IF(K64=Handicap16,Exaequo,Gagne))),"")</f>
        <v>P</v>
      </c>
      <c r="BM13" s="73"/>
      <c r="BN13" s="46" t="str">
        <f>IF(N(M64)&gt;0,IF(N(BM12)=M64,"-","Err"),"")</f>
        <v>-</v>
      </c>
      <c r="BO13" s="9"/>
      <c r="BP13" s="51" t="str">
        <f>IF(N(BO12)&gt;0,IF(BO12&lt;Handicap3, Perdu,IF(BO12=Handicap3,IF(K68=Handicap17,Exaequo,Gagne))),"")</f>
        <v>P</v>
      </c>
      <c r="BQ13" s="73"/>
      <c r="BR13" s="46" t="str">
        <f>IF(N(M68)&gt;0,IF(N(BQ12)=M68,"-","Err"),"")</f>
        <v>-</v>
      </c>
      <c r="BS13" s="9"/>
      <c r="BT13" s="51" t="str">
        <f>IF(N(BS12)&gt;0,IF(BS12&lt;Handicap3, Perdu,IF(BS12=Handicap3,IF(K72=Handicap18,Exaequo,Gagne))),"")</f>
        <v/>
      </c>
      <c r="BU13" s="73"/>
      <c r="BV13" s="46" t="str">
        <f>IF(N(M72)&gt;0,IF(N(BU12)=M72,"-","Err"),"")</f>
        <v/>
      </c>
      <c r="BW13" s="9"/>
      <c r="BX13" s="51" t="str">
        <f>IF(N(BW12)&gt;0,IF(BW12&lt;Handicap3, Perdu,IF(BW12=Handicap3,IF(K76=Handicap19,Exaequo,Gagne))),"")</f>
        <v/>
      </c>
      <c r="BY13" s="73"/>
      <c r="BZ13" s="46" t="str">
        <f>IF(N(M76)&gt;0,IF(N(BY12)=M76,"-","Err"),"")</f>
        <v/>
      </c>
      <c r="CA13" s="9"/>
      <c r="CB13" s="51" t="str">
        <f>IF(N(CA12)&gt;0,IF(CA12&lt;Handicap3, Perdu,IF(CA12=Handicap3,IF(K80=Handicap20,Exaequo,Gagne))),"")</f>
        <v/>
      </c>
      <c r="CC13" s="73"/>
      <c r="CD13" s="46" t="str">
        <f>IF(N(M80)&gt;0,IF(N(CC12)=M80,"-","Err"),"")</f>
        <v/>
      </c>
      <c r="CE13" s="9"/>
      <c r="CF13" s="51" t="str">
        <f>IF(N(CE12)&gt;0,IF(CE12&lt;Handicap3, Perdu,IF(CE12=Handicap3,IF(K84=Handicap21,Exaequo,Gagne))),"")</f>
        <v/>
      </c>
      <c r="CG13" s="73"/>
      <c r="CH13" s="46" t="str">
        <f>IF(N(M84)&gt;0,IF(N(CG12)=M84,"-","Err"),"")</f>
        <v/>
      </c>
      <c r="CI13" s="9"/>
      <c r="CJ13" s="51" t="str">
        <f>IF(N(CI12)&gt;0,IF(CI12&lt;Handicap3, Perdu,IF(CI12=Handicap3,IF(K88=Handicap22,Exaequo,Gagne))),"")</f>
        <v>P</v>
      </c>
      <c r="CK13" s="73"/>
      <c r="CL13" s="46" t="str">
        <f>IF(N(M88)&gt;0,IF(N(CK12)=M88,"-","Err"),"")</f>
        <v>-</v>
      </c>
      <c r="CM13" s="46" t="str">
        <f>IF(N(CM12)&gt;Handicap3,"Err","-")</f>
        <v>-</v>
      </c>
      <c r="CN13" s="51" t="str">
        <f>IF(N(CM12)&gt;0,IF(CM12&lt;Handicap3, Perdu,IF(CM12=Handicap3,IF(K92=Handicap23,Exaequo,Gagne))),"")</f>
        <v/>
      </c>
      <c r="CO13" s="52"/>
      <c r="CP13" s="46" t="str">
        <f>IF(N(M92)&gt;0,IF(N(CO12)=M92,"-","Err"),"")</f>
        <v/>
      </c>
      <c r="CQ13" s="30"/>
      <c r="CR13" s="64" t="s">
        <v>6</v>
      </c>
      <c r="CS13" s="66">
        <f>(COUNTIF(C13:CP13,"G")*3)+(COUNTIF(C13:CP13,"Ex")*2)+COUNTIF(C13:CP13,"P")</f>
        <v>13</v>
      </c>
      <c r="CT13" s="68" t="s">
        <v>2</v>
      </c>
      <c r="CU13" s="69"/>
      <c r="CV13" s="72">
        <f>COUNTIF(C13:CN13,"P")</f>
        <v>5</v>
      </c>
      <c r="CW13" s="60">
        <f>IF(CS12&gt;0,CV13/CS12,0)</f>
        <v>0.625</v>
      </c>
    </row>
    <row r="14" spans="2:101" ht="7.5" customHeight="1" x14ac:dyDescent="0.25">
      <c r="B14" s="81"/>
      <c r="C14" s="2"/>
      <c r="D14" s="53"/>
      <c r="E14" s="54"/>
      <c r="F14" s="46"/>
      <c r="G14" s="2"/>
      <c r="H14" s="53"/>
      <c r="I14" s="54"/>
      <c r="J14" s="46"/>
      <c r="K14" s="86"/>
      <c r="L14" s="87"/>
      <c r="M14" s="87"/>
      <c r="N14" s="88"/>
      <c r="O14" s="2"/>
      <c r="P14" s="53"/>
      <c r="Q14" s="54"/>
      <c r="R14" s="46"/>
      <c r="S14" s="2"/>
      <c r="T14" s="53"/>
      <c r="U14" s="54"/>
      <c r="V14" s="46"/>
      <c r="W14" s="2"/>
      <c r="X14" s="53"/>
      <c r="Y14" s="54"/>
      <c r="Z14" s="46"/>
      <c r="AA14" s="2"/>
      <c r="AB14" s="53"/>
      <c r="AC14" s="54"/>
      <c r="AD14" s="46"/>
      <c r="AE14" s="2"/>
      <c r="AF14" s="53"/>
      <c r="AG14" s="54"/>
      <c r="AH14" s="46"/>
      <c r="AI14" s="2"/>
      <c r="AJ14" s="53"/>
      <c r="AK14" s="54"/>
      <c r="AL14" s="46"/>
      <c r="AM14" s="2"/>
      <c r="AN14" s="53"/>
      <c r="AO14" s="54"/>
      <c r="AP14" s="46"/>
      <c r="AQ14" s="2"/>
      <c r="AR14" s="53"/>
      <c r="AS14" s="54"/>
      <c r="AT14" s="46"/>
      <c r="AU14" s="2"/>
      <c r="AV14" s="53"/>
      <c r="AW14" s="54"/>
      <c r="AX14" s="46"/>
      <c r="AY14" s="2"/>
      <c r="AZ14" s="53"/>
      <c r="BA14" s="54"/>
      <c r="BB14" s="46"/>
      <c r="BC14" s="2"/>
      <c r="BD14" s="53"/>
      <c r="BE14" s="54"/>
      <c r="BF14" s="46"/>
      <c r="BG14" s="2"/>
      <c r="BH14" s="53"/>
      <c r="BI14" s="54"/>
      <c r="BJ14" s="46"/>
      <c r="BK14" s="2"/>
      <c r="BL14" s="74"/>
      <c r="BM14" s="75"/>
      <c r="BN14" s="46"/>
      <c r="BO14" s="2"/>
      <c r="BP14" s="74"/>
      <c r="BQ14" s="75"/>
      <c r="BR14" s="46"/>
      <c r="BS14" s="2"/>
      <c r="BT14" s="74"/>
      <c r="BU14" s="75"/>
      <c r="BV14" s="46"/>
      <c r="BW14" s="2"/>
      <c r="BX14" s="74"/>
      <c r="BY14" s="75"/>
      <c r="BZ14" s="46"/>
      <c r="CA14" s="2"/>
      <c r="CB14" s="74"/>
      <c r="CC14" s="75"/>
      <c r="CD14" s="46"/>
      <c r="CE14" s="2"/>
      <c r="CF14" s="74"/>
      <c r="CG14" s="75"/>
      <c r="CH14" s="46"/>
      <c r="CI14" s="2"/>
      <c r="CJ14" s="74"/>
      <c r="CK14" s="75"/>
      <c r="CL14" s="46"/>
      <c r="CM14" s="46"/>
      <c r="CN14" s="53"/>
      <c r="CO14" s="54"/>
      <c r="CP14" s="46"/>
      <c r="CQ14" s="30"/>
      <c r="CR14" s="65"/>
      <c r="CS14" s="67"/>
      <c r="CT14" s="70"/>
      <c r="CU14" s="71"/>
      <c r="CV14" s="72"/>
      <c r="CW14" s="60"/>
    </row>
    <row r="15" spans="2:101" ht="15" customHeight="1" x14ac:dyDescent="0.25">
      <c r="B15" s="82"/>
      <c r="C15" s="55" t="str">
        <f>IF(COUNT(C12:E12)=2,C12/E12,"Moy")</f>
        <v>Moy</v>
      </c>
      <c r="D15" s="56"/>
      <c r="E15" s="56" t="s">
        <v>0</v>
      </c>
      <c r="F15" s="59"/>
      <c r="G15" s="55" t="str">
        <f>IF(COUNT(G12:I12)=2,G12/I12,"Moy")</f>
        <v>Moy</v>
      </c>
      <c r="H15" s="56"/>
      <c r="I15" s="56" t="s">
        <v>0</v>
      </c>
      <c r="J15" s="59"/>
      <c r="K15" s="89"/>
      <c r="L15" s="90"/>
      <c r="M15" s="90"/>
      <c r="N15" s="91"/>
      <c r="O15" s="55" t="str">
        <f>IF(COUNT(O12:Q12)=2,O12/Q12,"Moy")</f>
        <v>Moy</v>
      </c>
      <c r="P15" s="56"/>
      <c r="Q15" s="56" t="s">
        <v>0</v>
      </c>
      <c r="R15" s="59"/>
      <c r="S15" s="55" t="str">
        <f>IF(COUNT(S12:U12)=2,S12/U12,"Moy")</f>
        <v>Moy</v>
      </c>
      <c r="T15" s="56"/>
      <c r="U15" s="56" t="s">
        <v>0</v>
      </c>
      <c r="V15" s="59"/>
      <c r="W15" s="55" t="str">
        <f>IF(COUNT(W12:Y12)=2,W12/Y12,"Moy")</f>
        <v>Moy</v>
      </c>
      <c r="X15" s="56"/>
      <c r="Y15" s="56" t="s">
        <v>0</v>
      </c>
      <c r="Z15" s="59"/>
      <c r="AA15" s="55">
        <f>IF(COUNT(AA12:AC12)=2,AA12/AC12,"Moy")</f>
        <v>0.52380952380952384</v>
      </c>
      <c r="AB15" s="56"/>
      <c r="AC15" s="56">
        <v>3</v>
      </c>
      <c r="AD15" s="59"/>
      <c r="AE15" s="55">
        <f>IF(COUNT(AE12:AG12)=2,AE12/AG12,"Moy")</f>
        <v>0.92592592592592593</v>
      </c>
      <c r="AF15" s="56"/>
      <c r="AG15" s="56">
        <v>7</v>
      </c>
      <c r="AH15" s="59"/>
      <c r="AI15" s="55" t="str">
        <f>IF(COUNT(AI12:AK12)=2,AI12/AK12,"Moy")</f>
        <v>Moy</v>
      </c>
      <c r="AJ15" s="56"/>
      <c r="AK15" s="56" t="s">
        <v>0</v>
      </c>
      <c r="AL15" s="59"/>
      <c r="AM15" s="55">
        <f>IF(COUNT(AM12:AO12)=2,AM12/AO12,"Moy")</f>
        <v>0.56756756756756754</v>
      </c>
      <c r="AN15" s="56"/>
      <c r="AO15" s="56">
        <v>3</v>
      </c>
      <c r="AP15" s="59"/>
      <c r="AQ15" s="55">
        <f>IF(COUNT(AQ12:AS12)=2,AQ12/AS12,"Moy")</f>
        <v>0.96153846153846156</v>
      </c>
      <c r="AR15" s="56"/>
      <c r="AS15" s="56">
        <v>4</v>
      </c>
      <c r="AT15" s="59"/>
      <c r="AU15" s="55" t="str">
        <f>IF(COUNT(AU12:AW12)=2,AU12/AW12,"Moy")</f>
        <v>Moy</v>
      </c>
      <c r="AV15" s="56"/>
      <c r="AW15" s="56" t="s">
        <v>0</v>
      </c>
      <c r="AX15" s="59"/>
      <c r="AY15" s="55" t="str">
        <f>IF(COUNT(AY12:BA12)=2,AY12/BA12,"Moy")</f>
        <v>Moy</v>
      </c>
      <c r="AZ15" s="56"/>
      <c r="BA15" s="56" t="s">
        <v>0</v>
      </c>
      <c r="BB15" s="59"/>
      <c r="BC15" s="55">
        <f>IF(COUNT(BC12:BE12)=2,BC12/BE12,"Moy")</f>
        <v>0.73529411764705888</v>
      </c>
      <c r="BD15" s="56"/>
      <c r="BE15" s="56">
        <v>4</v>
      </c>
      <c r="BF15" s="59"/>
      <c r="BG15" s="55" t="str">
        <f>IF(COUNT(BG12:BI12)=2,BG12/BI12,"Moy")</f>
        <v>Moy</v>
      </c>
      <c r="BH15" s="56"/>
      <c r="BI15" s="56" t="s">
        <v>0</v>
      </c>
      <c r="BJ15" s="59"/>
      <c r="BK15" s="55">
        <f>IF(COUNT(BK12:BM12)=2,BK12/BM12,"Moy")</f>
        <v>0.53061224489795922</v>
      </c>
      <c r="BL15" s="76"/>
      <c r="BM15" s="56">
        <v>2</v>
      </c>
      <c r="BN15" s="59"/>
      <c r="BO15" s="55">
        <f>IF(COUNT(BO12:BQ12)=2,BO12/BQ12,"Moy")</f>
        <v>0.88095238095238093</v>
      </c>
      <c r="BP15" s="76"/>
      <c r="BQ15" s="56">
        <v>5</v>
      </c>
      <c r="BR15" s="59"/>
      <c r="BS15" s="55" t="str">
        <f>IF(COUNT(BS12:BU12)=2,BS12/BU12,"Moy")</f>
        <v>Moy</v>
      </c>
      <c r="BT15" s="76"/>
      <c r="BU15" s="56" t="s">
        <v>0</v>
      </c>
      <c r="BV15" s="59"/>
      <c r="BW15" s="55" t="str">
        <f>IF(COUNT(BW12:BY12)=2,BW12/BY12,"Moy")</f>
        <v>Moy</v>
      </c>
      <c r="BX15" s="76"/>
      <c r="BY15" s="56" t="s">
        <v>0</v>
      </c>
      <c r="BZ15" s="59"/>
      <c r="CA15" s="55" t="str">
        <f>IF(COUNT(CA12:CC12)=2,CA12/CC12,"Moy")</f>
        <v>Moy</v>
      </c>
      <c r="CB15" s="76"/>
      <c r="CC15" s="56" t="s">
        <v>0</v>
      </c>
      <c r="CD15" s="59"/>
      <c r="CE15" s="55" t="str">
        <f>IF(COUNT(CE12:CG12)=2,CE12/CG12,"Moy")</f>
        <v>Moy</v>
      </c>
      <c r="CF15" s="76"/>
      <c r="CG15" s="56" t="s">
        <v>0</v>
      </c>
      <c r="CH15" s="59"/>
      <c r="CI15" s="55">
        <f>IF(COUNT(CI12:CK12)=2,CI12/CK12,"Moy")</f>
        <v>0.69696969696969702</v>
      </c>
      <c r="CJ15" s="76"/>
      <c r="CK15" s="56">
        <v>5</v>
      </c>
      <c r="CL15" s="59"/>
      <c r="CM15" s="55" t="str">
        <f>IF(COUNT(CM12:CO12)=2,CM12/CO12,"Moy")</f>
        <v>Moy</v>
      </c>
      <c r="CN15" s="56"/>
      <c r="CO15" s="56" t="s">
        <v>0</v>
      </c>
      <c r="CP15" s="59"/>
      <c r="CQ15" s="22"/>
      <c r="CR15" s="8" t="s">
        <v>5</v>
      </c>
      <c r="CS15" s="17">
        <f>IF(CS12&gt;0,((N(C15)+N(G15)+N(K15)+N(O15)+N(S15)+N(W15)+N(AA15)+N(AE15)+N(AI15)+N(AM15)+N(AQ15)+N(AU15)+N(AY15)+N(BC15)+N(BG15)+N(BK15)+N(BO15)+N(BS15)+N(BW15)+N(CA15)+N(CE15)+N(CI15))+N(CM15))/CS12,0)</f>
        <v>0.72783373991357192</v>
      </c>
      <c r="CT15" s="61" t="s">
        <v>3</v>
      </c>
      <c r="CU15" s="62"/>
      <c r="CV15" s="18">
        <f>COUNTIF(C13:CN13,"Ex")</f>
        <v>1</v>
      </c>
      <c r="CW15" s="19">
        <f>IF(CS12&gt;0,CV15/CS12,0)</f>
        <v>0.125</v>
      </c>
    </row>
    <row r="16" spans="2:101" ht="15" customHeight="1" x14ac:dyDescent="0.25">
      <c r="B16" s="92" t="s">
        <v>34</v>
      </c>
      <c r="C16" s="47" t="s">
        <v>22</v>
      </c>
      <c r="D16" s="48"/>
      <c r="E16" s="49" t="s">
        <v>23</v>
      </c>
      <c r="F16" s="50"/>
      <c r="G16" s="47" t="s">
        <v>22</v>
      </c>
      <c r="H16" s="48"/>
      <c r="I16" s="49" t="s">
        <v>23</v>
      </c>
      <c r="J16" s="50"/>
      <c r="K16" s="47" t="s">
        <v>22</v>
      </c>
      <c r="L16" s="48"/>
      <c r="M16" s="49" t="s">
        <v>23</v>
      </c>
      <c r="N16" s="50"/>
      <c r="O16" s="83">
        <v>20</v>
      </c>
      <c r="P16" s="84"/>
      <c r="Q16" s="84"/>
      <c r="R16" s="85"/>
      <c r="S16" s="47" t="s">
        <v>22</v>
      </c>
      <c r="T16" s="48"/>
      <c r="U16" s="49" t="s">
        <v>23</v>
      </c>
      <c r="V16" s="50"/>
      <c r="W16" s="47" t="s">
        <v>22</v>
      </c>
      <c r="X16" s="48"/>
      <c r="Y16" s="49" t="s">
        <v>23</v>
      </c>
      <c r="Z16" s="50"/>
      <c r="AA16" s="47" t="s">
        <v>22</v>
      </c>
      <c r="AB16" s="48"/>
      <c r="AC16" s="49" t="s">
        <v>23</v>
      </c>
      <c r="AD16" s="50"/>
      <c r="AE16" s="47">
        <v>20</v>
      </c>
      <c r="AF16" s="48"/>
      <c r="AG16" s="49">
        <v>38</v>
      </c>
      <c r="AH16" s="50"/>
      <c r="AI16" s="47" t="s">
        <v>22</v>
      </c>
      <c r="AJ16" s="48"/>
      <c r="AK16" s="49" t="s">
        <v>23</v>
      </c>
      <c r="AL16" s="50"/>
      <c r="AM16" s="47" t="s">
        <v>22</v>
      </c>
      <c r="AN16" s="48"/>
      <c r="AO16" s="49" t="s">
        <v>23</v>
      </c>
      <c r="AP16" s="50"/>
      <c r="AQ16" s="47" t="s">
        <v>22</v>
      </c>
      <c r="AR16" s="48"/>
      <c r="AS16" s="49" t="s">
        <v>23</v>
      </c>
      <c r="AT16" s="50"/>
      <c r="AU16" s="47" t="s">
        <v>22</v>
      </c>
      <c r="AV16" s="48"/>
      <c r="AW16" s="49" t="s">
        <v>23</v>
      </c>
      <c r="AX16" s="50"/>
      <c r="AY16" s="47">
        <v>19</v>
      </c>
      <c r="AZ16" s="48"/>
      <c r="BA16" s="49">
        <v>46</v>
      </c>
      <c r="BB16" s="50"/>
      <c r="BC16" s="47" t="s">
        <v>22</v>
      </c>
      <c r="BD16" s="48"/>
      <c r="BE16" s="49" t="s">
        <v>23</v>
      </c>
      <c r="BF16" s="50"/>
      <c r="BG16" s="47" t="s">
        <v>22</v>
      </c>
      <c r="BH16" s="48"/>
      <c r="BI16" s="49" t="s">
        <v>23</v>
      </c>
      <c r="BJ16" s="50"/>
      <c r="BK16" s="47" t="s">
        <v>22</v>
      </c>
      <c r="BL16" s="48"/>
      <c r="BM16" s="49" t="s">
        <v>23</v>
      </c>
      <c r="BN16" s="50"/>
      <c r="BO16" s="47" t="s">
        <v>22</v>
      </c>
      <c r="BP16" s="48"/>
      <c r="BQ16" s="49" t="s">
        <v>23</v>
      </c>
      <c r="BR16" s="50"/>
      <c r="BS16" s="47" t="s">
        <v>22</v>
      </c>
      <c r="BT16" s="48"/>
      <c r="BU16" s="49" t="s">
        <v>23</v>
      </c>
      <c r="BV16" s="50"/>
      <c r="BW16" s="47" t="s">
        <v>22</v>
      </c>
      <c r="BX16" s="48"/>
      <c r="BY16" s="49" t="s">
        <v>23</v>
      </c>
      <c r="BZ16" s="50"/>
      <c r="CA16" s="47" t="s">
        <v>22</v>
      </c>
      <c r="CB16" s="48"/>
      <c r="CC16" s="49" t="s">
        <v>23</v>
      </c>
      <c r="CD16" s="50"/>
      <c r="CE16" s="47" t="s">
        <v>22</v>
      </c>
      <c r="CF16" s="48"/>
      <c r="CG16" s="49" t="s">
        <v>23</v>
      </c>
      <c r="CH16" s="50"/>
      <c r="CI16" s="47" t="s">
        <v>22</v>
      </c>
      <c r="CJ16" s="48"/>
      <c r="CK16" s="49" t="s">
        <v>23</v>
      </c>
      <c r="CL16" s="50"/>
      <c r="CM16" s="47" t="s">
        <v>22</v>
      </c>
      <c r="CN16" s="48"/>
      <c r="CO16" s="49" t="s">
        <v>23</v>
      </c>
      <c r="CP16" s="50"/>
      <c r="CQ16" s="23"/>
      <c r="CR16" s="7" t="s">
        <v>11</v>
      </c>
      <c r="CS16" s="14">
        <f>COUNTIF(C17:CN17,"G")+COUNTIF(C17:CN17,"Ex")+COUNTIF(C17:CN17,"P")</f>
        <v>2</v>
      </c>
      <c r="CT16" s="63" t="s">
        <v>1</v>
      </c>
      <c r="CU16" s="62"/>
      <c r="CV16" s="15">
        <f>COUNTIF(C17:CN17,"G")</f>
        <v>1</v>
      </c>
      <c r="CW16" s="16">
        <f>IF(CS16&gt;0,CV16/CS16,0)</f>
        <v>0.5</v>
      </c>
    </row>
    <row r="17" spans="2:101" ht="7.5" customHeight="1" x14ac:dyDescent="0.25">
      <c r="B17" s="93"/>
      <c r="C17" s="9"/>
      <c r="D17" s="51" t="str">
        <f>IF(N(C16)&gt;0,IF(C16&lt;Handicap4, Perdu,IF(C16=Handicap4,IF(O4=Handicap1,Exaequo,Gagne))),"")</f>
        <v/>
      </c>
      <c r="E17" s="52"/>
      <c r="F17" s="46" t="str">
        <f>IF(N(Q4)&gt;0,IF(N(E16)=Q4,"-","Err"),"")</f>
        <v/>
      </c>
      <c r="G17" s="9"/>
      <c r="H17" s="51" t="str">
        <f>IF(N(G16)&gt;0,IF(G16&lt;Handicap4, Perdu,IF(G16=Handicap4,IF(O8=Handicap2,Exaequo,Gagne))),"")</f>
        <v/>
      </c>
      <c r="I17" s="52"/>
      <c r="J17" s="46" t="str">
        <f>IF(N(Q8)&gt;0,IF(N(I16)=Q8,"-","Err"),"")</f>
        <v/>
      </c>
      <c r="K17" s="9"/>
      <c r="L17" s="51" t="str">
        <f>IF(N(K16)&gt;0,IF(K16&lt;Handicap4, Perdu,IF(K16=Handicap4,IF(O12=Handicap3,Exaequo,Gagne))),"")</f>
        <v/>
      </c>
      <c r="M17" s="52"/>
      <c r="N17" s="46" t="str">
        <f>IF(N(Q12)&gt;0,IF(N(M16)=Q12,"-","Err"),"")</f>
        <v/>
      </c>
      <c r="O17" s="86"/>
      <c r="P17" s="87"/>
      <c r="Q17" s="87"/>
      <c r="R17" s="88"/>
      <c r="S17" s="9"/>
      <c r="T17" s="51" t="str">
        <f>IF(N(S16)&gt;0,IF(S16&lt;Handicap4, Perdu,IF(S16=Handicap4,IF(O20=Handicap5,Exaequo,Gagne))),"")</f>
        <v/>
      </c>
      <c r="U17" s="52"/>
      <c r="V17" s="46" t="str">
        <f>IF(N(Q20)&gt;0,IF(N(U16)=Q20,"-","Err"),"")</f>
        <v/>
      </c>
      <c r="W17" s="9"/>
      <c r="X17" s="51" t="str">
        <f>IF(N(W16)&gt;0,IF(W16&lt;Handicap4, Perdu,IF(W16=Handicap4,IF(O24=Handicap6,Exaequo,Gagne))),"")</f>
        <v/>
      </c>
      <c r="Y17" s="52"/>
      <c r="Z17" s="46" t="str">
        <f>IF(N(Q24)&gt;0,IF(N(Y16)=Q24,"-","Err"),"")</f>
        <v/>
      </c>
      <c r="AA17" s="9"/>
      <c r="AB17" s="51" t="str">
        <f>IF(N(AA16)&gt;0,IF(AA16&lt;Handicap4, Perdu,IF(AA16=Handicap4,IF(O28=Handicap7,Exaequo,Gagne))),"")</f>
        <v/>
      </c>
      <c r="AC17" s="52"/>
      <c r="AD17" s="46" t="str">
        <f>IF(N(Q28)&gt;0,IF(N(AC16)=Q28,"-","Err"),"")</f>
        <v/>
      </c>
      <c r="AE17" s="9"/>
      <c r="AF17" s="51" t="str">
        <f>IF(N(AE16)&gt;0,IF(AE16&lt;Handicap4, Perdu,IF(AE16=Handicap4,IF(O32=Handicap8,Exaequo,Gagne))),"")</f>
        <v>G</v>
      </c>
      <c r="AG17" s="52"/>
      <c r="AH17" s="46" t="str">
        <f>IF(N(Q32)&gt;0,IF(N(AG16)=Q32,"-","Err"),"")</f>
        <v>-</v>
      </c>
      <c r="AI17" s="9"/>
      <c r="AJ17" s="51" t="str">
        <f>IF(N(AI16)&gt;0,IF(AI16&lt;Handicap4, Perdu,IF(AI16=Handicap4,IF(O36=Handicap9,Exaequo,Gagne))),"")</f>
        <v/>
      </c>
      <c r="AK17" s="52"/>
      <c r="AL17" s="46" t="str">
        <f>IF(N(Q36)&gt;0,IF(N(AK16)=Q36,"-","Err"),"")</f>
        <v/>
      </c>
      <c r="AM17" s="9"/>
      <c r="AN17" s="51" t="str">
        <f>IF(N(AM16)&gt;0,IF(AM16&lt;Handicap4, Perdu,IF(AM16=Handicap4,IF(O40=Handicap10,Exaequo,Gagne))),"")</f>
        <v/>
      </c>
      <c r="AO17" s="52"/>
      <c r="AP17" s="46" t="str">
        <f>IF(N(Q40)&gt;0,IF(N(AO16)=Q40,"-","Err"),"")</f>
        <v/>
      </c>
      <c r="AQ17" s="9"/>
      <c r="AR17" s="51" t="str">
        <f>IF(N(AQ16)&gt;0,IF(AQ16&lt;Handicap4, Perdu,IF(AQ16=Handicap4,IF(O44=Handicap11,Exaequo,Gagne))),"")</f>
        <v/>
      </c>
      <c r="AS17" s="52"/>
      <c r="AT17" s="46" t="str">
        <f>IF(N(Q44)&gt;0,IF(N(AS16)=Q44,"-","Err"),"")</f>
        <v/>
      </c>
      <c r="AU17" s="9"/>
      <c r="AV17" s="51" t="str">
        <f>IF(N(AU16)&gt;0,IF(AU16&lt;Handicap4, Perdu,IF(AU16=Handicap4,IF(O48=Handicap12,Exaequo,Gagne))),"")</f>
        <v/>
      </c>
      <c r="AW17" s="52"/>
      <c r="AX17" s="46" t="str">
        <f>IF(N(Q48)&gt;0,IF(N(AW16)=Q48,"-","Err"),"")</f>
        <v/>
      </c>
      <c r="AY17" s="9"/>
      <c r="AZ17" s="51" t="str">
        <f>IF(N(AY16)&gt;0,IF(AY16&lt;Handicap4, Perdu,IF(AY16=Handicap4,IF(O52=Handicap13,Exaequo,Gagne))),"")</f>
        <v>P</v>
      </c>
      <c r="BA17" s="52"/>
      <c r="BB17" s="46" t="str">
        <f>IF(N(Q52)&gt;0,IF(N(BA16)=Q52,"-","Err"),"")</f>
        <v>-</v>
      </c>
      <c r="BC17" s="9"/>
      <c r="BD17" s="51" t="str">
        <f>IF(N(BC16)&gt;0,IF(BC16&lt;Handicap4, Perdu,IF(BC16=Handicap4,IF(O56=hANDICAP14,Exaequo,Gagne))),"")</f>
        <v/>
      </c>
      <c r="BE17" s="52"/>
      <c r="BF17" s="46" t="str">
        <f>IF(N(Q56)&gt;0,IF(N(BE16)=Q56,"-","Err"),"")</f>
        <v/>
      </c>
      <c r="BG17" s="9"/>
      <c r="BH17" s="51" t="str">
        <f>IF(N(BG16)&gt;0,IF(BG16&lt;Handicap4, Perdu,IF(BG16=Handicap4,IF(O60=Handicap15,Exaequo,Gagne))),"")</f>
        <v/>
      </c>
      <c r="BI17" s="52"/>
      <c r="BJ17" s="46" t="str">
        <f>IF(N(Q60)&gt;0,IF(N(BI16)=Q60,"-","Err"),"")</f>
        <v/>
      </c>
      <c r="BK17" s="9"/>
      <c r="BL17" s="51" t="str">
        <f>IF(N(BK16)&gt;0,IF(BK16&lt;Handicap4, Perdu,IF(BK16=Handicap4,IF(O64=Handicap16,Exaequo,Gagne))),"")</f>
        <v/>
      </c>
      <c r="BM17" s="52"/>
      <c r="BN17" s="46" t="str">
        <f>IF(N(Q64)&gt;0,IF(N(BM16)=Q64,"-","Err"),"")</f>
        <v/>
      </c>
      <c r="BO17" s="9"/>
      <c r="BP17" s="51" t="str">
        <f>IF(N(BO16)&gt;0,IF(BO16&lt;Handicap4, Perdu,IF(BO16=Handicap4,IF(O68=Handicap17,Exaequo,Gagne))),"")</f>
        <v/>
      </c>
      <c r="BQ17" s="52"/>
      <c r="BR17" s="46" t="str">
        <f>IF(N(Q68)&gt;0,IF(N(BQ16)=Q68,"-","Err"),"")</f>
        <v/>
      </c>
      <c r="BS17" s="9"/>
      <c r="BT17" s="51" t="str">
        <f>IF(N(BS16)&gt;0,IF(BS16&lt;Handicap4, Perdu,IF(BS16=Handicap4,IF(O72=Handicap18,Exaequo,Gagne))),"")</f>
        <v/>
      </c>
      <c r="BU17" s="52"/>
      <c r="BV17" s="46" t="str">
        <f>IF(N(Q72)&gt;0,IF(N(BU16)=Q72,"-","Err"),"")</f>
        <v/>
      </c>
      <c r="BW17" s="9"/>
      <c r="BX17" s="51" t="str">
        <f>IF(N(BW16)&gt;0,IF(BW16&lt;Handicap4, Perdu,IF(BW16=Handicap4,IF(O76=Handicap19,Exaequo,Gagne))),"")</f>
        <v/>
      </c>
      <c r="BY17" s="52"/>
      <c r="BZ17" s="46" t="str">
        <f>IF(N(Q76)&gt;0,IF(N(BY16)=Q76,"-","Err"),"")</f>
        <v/>
      </c>
      <c r="CA17" s="9"/>
      <c r="CB17" s="51" t="str">
        <f>IF(N(CA16)&gt;0,IF(CA16&lt;Handicap4, Perdu,IF(CA16=Handicap4,IF(O80=Handicap20,Exaequo,Gagne))),"")</f>
        <v/>
      </c>
      <c r="CC17" s="52"/>
      <c r="CD17" s="46" t="str">
        <f>IF(N(Q80)&gt;0,IF(N(CC16)=Q80,"-","Err"),"")</f>
        <v/>
      </c>
      <c r="CE17" s="9"/>
      <c r="CF17" s="51" t="str">
        <f>IF(N(CE16)&gt;0,IF(CE16&lt;Handicap4, Perdu,IF(CE16=Handicap4,IF(O84=Handicap21,Exaequo,Gagne))),"")</f>
        <v/>
      </c>
      <c r="CG17" s="52"/>
      <c r="CH17" s="46" t="str">
        <f>IF(N(Q84)&gt;0,IF(N(CG16)=Q84,"-","Err"),"")</f>
        <v/>
      </c>
      <c r="CI17" s="9"/>
      <c r="CJ17" s="51" t="str">
        <f>IF(N(CI16)&gt;0,IF(CI16&lt;Handicap4, Perdu,IF(CI16=Handicap4,IF(O88=Handicap22,Exaequo,Gagne))),"")</f>
        <v/>
      </c>
      <c r="CK17" s="52"/>
      <c r="CL17" s="46" t="str">
        <f>IF(N(Q88)&gt;0,IF(N(CK16)=Q88,"-","Err"),"")</f>
        <v/>
      </c>
      <c r="CM17" s="46" t="str">
        <f>IF(N(CM16)&gt;Handicap4,"Err","-")</f>
        <v>-</v>
      </c>
      <c r="CN17" s="51" t="str">
        <f>IF(N(CM16)&gt;0,IF(CM16&lt;Handicap4, Perdu,IF(CM16=Handicap4,IF(O92=Handicap23,Exaequo,Gagne))),"")</f>
        <v/>
      </c>
      <c r="CO17" s="52"/>
      <c r="CP17" s="46" t="str">
        <f>IF(N(Q92)&gt;0,IF(N(CO16)=Q92,"-","Err"),"")</f>
        <v/>
      </c>
      <c r="CQ17" s="30"/>
      <c r="CR17" s="64" t="s">
        <v>6</v>
      </c>
      <c r="CS17" s="66">
        <f>(COUNTIF(C17:CP17,"G")*3)+(COUNTIF(C17:CP17,"Ex")*2)+COUNTIF(C17:CP17,"P")</f>
        <v>4</v>
      </c>
      <c r="CT17" s="68" t="s">
        <v>2</v>
      </c>
      <c r="CU17" s="69"/>
      <c r="CV17" s="72">
        <f>COUNTIF(C17:CN17,"P")</f>
        <v>1</v>
      </c>
      <c r="CW17" s="60">
        <f>IF(CS16&gt;0,CV17/CS16,0)</f>
        <v>0.5</v>
      </c>
    </row>
    <row r="18" spans="2:101" ht="7.5" customHeight="1" x14ac:dyDescent="0.25">
      <c r="B18" s="93"/>
      <c r="C18" s="2"/>
      <c r="D18" s="53"/>
      <c r="E18" s="54"/>
      <c r="F18" s="46"/>
      <c r="G18" s="2"/>
      <c r="H18" s="53"/>
      <c r="I18" s="54"/>
      <c r="J18" s="46"/>
      <c r="K18" s="2"/>
      <c r="L18" s="53"/>
      <c r="M18" s="54"/>
      <c r="N18" s="46"/>
      <c r="O18" s="86"/>
      <c r="P18" s="87"/>
      <c r="Q18" s="87"/>
      <c r="R18" s="88"/>
      <c r="S18" s="2"/>
      <c r="T18" s="53"/>
      <c r="U18" s="54"/>
      <c r="V18" s="46"/>
      <c r="W18" s="2"/>
      <c r="X18" s="53"/>
      <c r="Y18" s="54"/>
      <c r="Z18" s="46"/>
      <c r="AA18" s="2"/>
      <c r="AB18" s="53"/>
      <c r="AC18" s="54"/>
      <c r="AD18" s="46"/>
      <c r="AE18" s="2"/>
      <c r="AF18" s="53"/>
      <c r="AG18" s="54"/>
      <c r="AH18" s="46"/>
      <c r="AI18" s="2"/>
      <c r="AJ18" s="53"/>
      <c r="AK18" s="54"/>
      <c r="AL18" s="46"/>
      <c r="AM18" s="2"/>
      <c r="AN18" s="53"/>
      <c r="AO18" s="54"/>
      <c r="AP18" s="46"/>
      <c r="AQ18" s="2"/>
      <c r="AR18" s="53"/>
      <c r="AS18" s="54"/>
      <c r="AT18" s="46"/>
      <c r="AU18" s="2"/>
      <c r="AV18" s="53"/>
      <c r="AW18" s="54"/>
      <c r="AX18" s="46"/>
      <c r="AY18" s="2"/>
      <c r="AZ18" s="53"/>
      <c r="BA18" s="54"/>
      <c r="BB18" s="46"/>
      <c r="BC18" s="2"/>
      <c r="BD18" s="53"/>
      <c r="BE18" s="54"/>
      <c r="BF18" s="46"/>
      <c r="BG18" s="2"/>
      <c r="BH18" s="53"/>
      <c r="BI18" s="54"/>
      <c r="BJ18" s="46"/>
      <c r="BK18" s="2"/>
      <c r="BL18" s="53"/>
      <c r="BM18" s="54"/>
      <c r="BN18" s="46"/>
      <c r="BO18" s="2"/>
      <c r="BP18" s="53"/>
      <c r="BQ18" s="54"/>
      <c r="BR18" s="46"/>
      <c r="BS18" s="2"/>
      <c r="BT18" s="53"/>
      <c r="BU18" s="54"/>
      <c r="BV18" s="46"/>
      <c r="BW18" s="2"/>
      <c r="BX18" s="53"/>
      <c r="BY18" s="54"/>
      <c r="BZ18" s="46"/>
      <c r="CA18" s="2"/>
      <c r="CB18" s="53"/>
      <c r="CC18" s="54"/>
      <c r="CD18" s="46"/>
      <c r="CE18" s="2"/>
      <c r="CF18" s="53"/>
      <c r="CG18" s="54"/>
      <c r="CH18" s="46"/>
      <c r="CI18" s="2"/>
      <c r="CJ18" s="53"/>
      <c r="CK18" s="54"/>
      <c r="CL18" s="46"/>
      <c r="CM18" s="46"/>
      <c r="CN18" s="53"/>
      <c r="CO18" s="54"/>
      <c r="CP18" s="46"/>
      <c r="CQ18" s="30"/>
      <c r="CR18" s="65"/>
      <c r="CS18" s="67"/>
      <c r="CT18" s="70"/>
      <c r="CU18" s="71"/>
      <c r="CV18" s="72"/>
      <c r="CW18" s="60"/>
    </row>
    <row r="19" spans="2:101" ht="15" customHeight="1" x14ac:dyDescent="0.25">
      <c r="B19" s="94"/>
      <c r="C19" s="55" t="str">
        <f>IF(COUNT(C16:E16)=2,C16/E16,"Moy")</f>
        <v>Moy</v>
      </c>
      <c r="D19" s="56"/>
      <c r="E19" s="56" t="s">
        <v>0</v>
      </c>
      <c r="F19" s="59"/>
      <c r="G19" s="55" t="str">
        <f>IF(COUNT(G16:I16)=2,G16/I16,"Moy")</f>
        <v>Moy</v>
      </c>
      <c r="H19" s="56"/>
      <c r="I19" s="56" t="s">
        <v>0</v>
      </c>
      <c r="J19" s="59"/>
      <c r="K19" s="55" t="str">
        <f>IF(COUNT(K16:M16)=2,K16/M16,"Moy")</f>
        <v>Moy</v>
      </c>
      <c r="L19" s="56"/>
      <c r="M19" s="56" t="s">
        <v>0</v>
      </c>
      <c r="N19" s="59"/>
      <c r="O19" s="89"/>
      <c r="P19" s="90"/>
      <c r="Q19" s="90"/>
      <c r="R19" s="91"/>
      <c r="S19" s="55" t="str">
        <f>IF(COUNT(S16:U16)=2,S16/U16,"Moy")</f>
        <v>Moy</v>
      </c>
      <c r="T19" s="56"/>
      <c r="U19" s="56" t="s">
        <v>0</v>
      </c>
      <c r="V19" s="59"/>
      <c r="W19" s="55" t="str">
        <f>IF(COUNT(W16:Y16)=2,W16/Y16,"Moy")</f>
        <v>Moy</v>
      </c>
      <c r="X19" s="56"/>
      <c r="Y19" s="56" t="s">
        <v>0</v>
      </c>
      <c r="Z19" s="59"/>
      <c r="AA19" s="55" t="str">
        <f>IF(COUNT(AA16:AC16)=2,AA16/AC16,"Moy")</f>
        <v>Moy</v>
      </c>
      <c r="AB19" s="56"/>
      <c r="AC19" s="56" t="s">
        <v>0</v>
      </c>
      <c r="AD19" s="59"/>
      <c r="AE19" s="55">
        <f>IF(COUNT(AE16:AG16)=2,AE16/AG16,"Moy")</f>
        <v>0.52631578947368418</v>
      </c>
      <c r="AF19" s="56"/>
      <c r="AG19" s="56">
        <v>2</v>
      </c>
      <c r="AH19" s="59"/>
      <c r="AI19" s="55" t="str">
        <f>IF(COUNT(AI16:AK16)=2,AI16/AK16,"Moy")</f>
        <v>Moy</v>
      </c>
      <c r="AJ19" s="56"/>
      <c r="AK19" s="56" t="s">
        <v>0</v>
      </c>
      <c r="AL19" s="59"/>
      <c r="AM19" s="55" t="str">
        <f>IF(COUNT(AM16:AO16)=2,AM16/AO16,"Moy")</f>
        <v>Moy</v>
      </c>
      <c r="AN19" s="56"/>
      <c r="AO19" s="56" t="s">
        <v>0</v>
      </c>
      <c r="AP19" s="59"/>
      <c r="AQ19" s="55" t="str">
        <f>IF(COUNT(AQ16:AS16)=2,AQ16/AS16,"Moy")</f>
        <v>Moy</v>
      </c>
      <c r="AR19" s="56"/>
      <c r="AS19" s="56" t="s">
        <v>0</v>
      </c>
      <c r="AT19" s="59"/>
      <c r="AU19" s="55" t="str">
        <f>IF(COUNT(AU16:AW16)=2,AU16/AW16,"Moy")</f>
        <v>Moy</v>
      </c>
      <c r="AV19" s="56"/>
      <c r="AW19" s="56" t="s">
        <v>0</v>
      </c>
      <c r="AX19" s="59"/>
      <c r="AY19" s="55">
        <f>IF(COUNT(AY16:BA16)=2,AY16/BA16,"Moy")</f>
        <v>0.41304347826086957</v>
      </c>
      <c r="AZ19" s="56"/>
      <c r="BA19" s="56">
        <v>3</v>
      </c>
      <c r="BB19" s="59"/>
      <c r="BC19" s="55" t="str">
        <f>IF(COUNT(BC16:BE16)=2,BC16/BE16,"Moy")</f>
        <v>Moy</v>
      </c>
      <c r="BD19" s="56"/>
      <c r="BE19" s="56" t="s">
        <v>0</v>
      </c>
      <c r="BF19" s="59"/>
      <c r="BG19" s="55" t="str">
        <f>IF(COUNT(BG16:BI16)=2,BG16/BI16,"Moy")</f>
        <v>Moy</v>
      </c>
      <c r="BH19" s="56"/>
      <c r="BI19" s="56" t="s">
        <v>0</v>
      </c>
      <c r="BJ19" s="59"/>
      <c r="BK19" s="55" t="str">
        <f>IF(COUNT(BK16:BM16)=2,BK16/BM16,"Moy")</f>
        <v>Moy</v>
      </c>
      <c r="BL19" s="56"/>
      <c r="BM19" s="56" t="s">
        <v>0</v>
      </c>
      <c r="BN19" s="59"/>
      <c r="BO19" s="55" t="str">
        <f>IF(COUNT(BO16:BQ16)=2,BO16/BQ16,"Moy")</f>
        <v>Moy</v>
      </c>
      <c r="BP19" s="56"/>
      <c r="BQ19" s="56" t="s">
        <v>0</v>
      </c>
      <c r="BR19" s="59"/>
      <c r="BS19" s="55" t="str">
        <f>IF(COUNT(BS16:BU16)=2,BS16/BU16,"Moy")</f>
        <v>Moy</v>
      </c>
      <c r="BT19" s="56"/>
      <c r="BU19" s="56" t="s">
        <v>0</v>
      </c>
      <c r="BV19" s="59"/>
      <c r="BW19" s="55" t="str">
        <f>IF(COUNT(BW16:BY16)=2,BW16/BY16,"Moy")</f>
        <v>Moy</v>
      </c>
      <c r="BX19" s="56"/>
      <c r="BY19" s="56" t="s">
        <v>0</v>
      </c>
      <c r="BZ19" s="59"/>
      <c r="CA19" s="55" t="str">
        <f>IF(COUNT(CA16:CC16)=2,CA16/CC16,"Moy")</f>
        <v>Moy</v>
      </c>
      <c r="CB19" s="56"/>
      <c r="CC19" s="56" t="s">
        <v>0</v>
      </c>
      <c r="CD19" s="59"/>
      <c r="CE19" s="55" t="str">
        <f>IF(COUNT(CE16:CG16)=2,CE16/CG16,"Moy")</f>
        <v>Moy</v>
      </c>
      <c r="CF19" s="56"/>
      <c r="CG19" s="56" t="s">
        <v>0</v>
      </c>
      <c r="CH19" s="59"/>
      <c r="CI19" s="55" t="str">
        <f>IF(COUNT(CI16:CK16)=2,CI16/CK16,"Moy")</f>
        <v>Moy</v>
      </c>
      <c r="CJ19" s="56"/>
      <c r="CK19" s="56" t="s">
        <v>0</v>
      </c>
      <c r="CL19" s="59"/>
      <c r="CM19" s="55" t="str">
        <f>IF(COUNT(CM16:CO16)=2,CM16/CO16,"Moy")</f>
        <v>Moy</v>
      </c>
      <c r="CN19" s="56"/>
      <c r="CO19" s="56" t="s">
        <v>0</v>
      </c>
      <c r="CP19" s="59"/>
      <c r="CQ19" s="22"/>
      <c r="CR19" s="8" t="s">
        <v>5</v>
      </c>
      <c r="CS19" s="17">
        <f>IF(CS16&gt;0,((N(C19)+N(G19)+N(K19)+N(O19)+N(S19)+N(W19)+N(AA19)+N(AE19)+N(AI19)+N(AM19)+N(AQ19)+N(AU19)+N(AY19)+N(BC19)+N(BG19)+N(BK19)+N(BO19)+N(BS19)+N(BW19)+N(CA19)+N(CE19)+N(CI19))+N(CM19))/CS16,0)</f>
        <v>0.46967963386727685</v>
      </c>
      <c r="CT19" s="61" t="s">
        <v>3</v>
      </c>
      <c r="CU19" s="62"/>
      <c r="CV19" s="18">
        <f>COUNTIF(C17:CN17,"Ex")</f>
        <v>0</v>
      </c>
      <c r="CW19" s="19">
        <f>IF(CS16&gt;0,CV19/CS16,0)</f>
        <v>0</v>
      </c>
    </row>
    <row r="20" spans="2:101" ht="15" customHeight="1" x14ac:dyDescent="0.25">
      <c r="B20" s="80" t="s">
        <v>35</v>
      </c>
      <c r="C20" s="47" t="s">
        <v>22</v>
      </c>
      <c r="D20" s="48"/>
      <c r="E20" s="49" t="s">
        <v>23</v>
      </c>
      <c r="F20" s="50"/>
      <c r="G20" s="47" t="s">
        <v>22</v>
      </c>
      <c r="H20" s="48"/>
      <c r="I20" s="49" t="s">
        <v>23</v>
      </c>
      <c r="J20" s="50"/>
      <c r="K20" s="47" t="s">
        <v>22</v>
      </c>
      <c r="L20" s="48"/>
      <c r="M20" s="49" t="s">
        <v>23</v>
      </c>
      <c r="N20" s="50"/>
      <c r="O20" s="47" t="s">
        <v>22</v>
      </c>
      <c r="P20" s="48"/>
      <c r="Q20" s="49" t="s">
        <v>23</v>
      </c>
      <c r="R20" s="50"/>
      <c r="S20" s="83">
        <v>30</v>
      </c>
      <c r="T20" s="84"/>
      <c r="U20" s="84"/>
      <c r="V20" s="85"/>
      <c r="W20" s="47" t="s">
        <v>22</v>
      </c>
      <c r="X20" s="48"/>
      <c r="Y20" s="49" t="s">
        <v>23</v>
      </c>
      <c r="Z20" s="50"/>
      <c r="AA20" s="47">
        <v>17</v>
      </c>
      <c r="AB20" s="48"/>
      <c r="AC20" s="49">
        <v>25</v>
      </c>
      <c r="AD20" s="50"/>
      <c r="AE20" s="47">
        <v>28</v>
      </c>
      <c r="AF20" s="48"/>
      <c r="AG20" s="49">
        <v>57</v>
      </c>
      <c r="AH20" s="50"/>
      <c r="AI20" s="47" t="s">
        <v>22</v>
      </c>
      <c r="AJ20" s="48"/>
      <c r="AK20" s="49" t="s">
        <v>23</v>
      </c>
      <c r="AL20" s="50"/>
      <c r="AM20" s="47">
        <v>23</v>
      </c>
      <c r="AN20" s="48"/>
      <c r="AO20" s="49">
        <v>44</v>
      </c>
      <c r="AP20" s="50"/>
      <c r="AQ20" s="47">
        <v>17</v>
      </c>
      <c r="AR20" s="48"/>
      <c r="AS20" s="49">
        <v>41</v>
      </c>
      <c r="AT20" s="50"/>
      <c r="AU20" s="47" t="s">
        <v>22</v>
      </c>
      <c r="AV20" s="48"/>
      <c r="AW20" s="49" t="s">
        <v>23</v>
      </c>
      <c r="AX20" s="50"/>
      <c r="AY20" s="47">
        <v>30</v>
      </c>
      <c r="AZ20" s="48"/>
      <c r="BA20" s="49">
        <v>42</v>
      </c>
      <c r="BB20" s="50"/>
      <c r="BC20" s="47">
        <v>13</v>
      </c>
      <c r="BD20" s="48"/>
      <c r="BE20" s="49">
        <v>32</v>
      </c>
      <c r="BF20" s="50"/>
      <c r="BG20" s="47" t="s">
        <v>22</v>
      </c>
      <c r="BH20" s="48"/>
      <c r="BI20" s="49" t="s">
        <v>23</v>
      </c>
      <c r="BJ20" s="50"/>
      <c r="BK20" s="47">
        <v>30</v>
      </c>
      <c r="BL20" s="48"/>
      <c r="BM20" s="49">
        <v>50</v>
      </c>
      <c r="BN20" s="50"/>
      <c r="BO20" s="47">
        <v>11</v>
      </c>
      <c r="BP20" s="48"/>
      <c r="BQ20" s="49">
        <v>34</v>
      </c>
      <c r="BR20" s="50"/>
      <c r="BS20" s="47" t="s">
        <v>22</v>
      </c>
      <c r="BT20" s="48"/>
      <c r="BU20" s="49" t="s">
        <v>23</v>
      </c>
      <c r="BV20" s="50"/>
      <c r="BW20" s="47" t="s">
        <v>22</v>
      </c>
      <c r="BX20" s="48"/>
      <c r="BY20" s="49" t="s">
        <v>23</v>
      </c>
      <c r="BZ20" s="50"/>
      <c r="CA20" s="47" t="s">
        <v>22</v>
      </c>
      <c r="CB20" s="48"/>
      <c r="CC20" s="49" t="s">
        <v>23</v>
      </c>
      <c r="CD20" s="50"/>
      <c r="CE20" s="47" t="s">
        <v>22</v>
      </c>
      <c r="CF20" s="48"/>
      <c r="CG20" s="49" t="s">
        <v>23</v>
      </c>
      <c r="CH20" s="50"/>
      <c r="CI20" s="47">
        <v>30</v>
      </c>
      <c r="CJ20" s="48"/>
      <c r="CK20" s="49">
        <v>47</v>
      </c>
      <c r="CL20" s="50"/>
      <c r="CM20" s="47" t="s">
        <v>22</v>
      </c>
      <c r="CN20" s="48"/>
      <c r="CO20" s="49" t="s">
        <v>23</v>
      </c>
      <c r="CP20" s="50"/>
      <c r="CQ20" s="23"/>
      <c r="CR20" s="7" t="s">
        <v>11</v>
      </c>
      <c r="CS20" s="14">
        <f>COUNTIF(C21:CN21,"G")+COUNTIF(C21:CN21,"Ex")+COUNTIF(C21:CN21,"P")</f>
        <v>9</v>
      </c>
      <c r="CT20" s="63" t="s">
        <v>1</v>
      </c>
      <c r="CU20" s="62"/>
      <c r="CV20" s="15">
        <f>COUNTIF(C21:CN21,"G")</f>
        <v>3</v>
      </c>
      <c r="CW20" s="16">
        <f>IF(CS20&gt;0,CV20/CS20,0)</f>
        <v>0.33333333333333331</v>
      </c>
    </row>
    <row r="21" spans="2:101" ht="7.5" customHeight="1" x14ac:dyDescent="0.25">
      <c r="B21" s="81"/>
      <c r="C21" s="9"/>
      <c r="D21" s="51" t="str">
        <f>IF(N(C20)&gt;0,IF(C20&lt;Handicap5, Perdu,IF(C20=Handicap5,IF(S4=Handicap1,Exaequo,Gagne))),"")</f>
        <v/>
      </c>
      <c r="E21" s="52"/>
      <c r="F21" s="46" t="str">
        <f>IF(N(U4)&gt;0,IF(N(E20)=U4,"-","Err"),"")</f>
        <v/>
      </c>
      <c r="G21" s="9"/>
      <c r="H21" s="51" t="str">
        <f>IF(N(G20)&gt;0,IF(G20&lt;Handicap5, Perdu,IF(G20=Handicap5,IF(S8=Handicap2,Exaequo,Gagne))),"")</f>
        <v/>
      </c>
      <c r="I21" s="52"/>
      <c r="J21" s="46" t="str">
        <f>IF(N(U8)&gt;0,IF(N(I20)=U8,"-","Err"),"")</f>
        <v/>
      </c>
      <c r="K21" s="9"/>
      <c r="L21" s="51" t="str">
        <f>IF(N(K20)&gt;0,IF(K20&lt;Handicap5, Perdu,IF(K20=Handicap5,IF(S12=Handicap3,Exaequo,Gagne))),"")</f>
        <v/>
      </c>
      <c r="M21" s="52"/>
      <c r="N21" s="46" t="str">
        <f>IF(N(U12)&gt;0,IF(N(M20)=U12,"-","Err"),"")</f>
        <v/>
      </c>
      <c r="O21" s="9"/>
      <c r="P21" s="51" t="str">
        <f>IF(N(O20)&gt;0,IF(O20&lt;Handicap5, Perdu,IF(O20=Handicap5,IF(S16=Handicap4,Exaequo,Gagne))),"")</f>
        <v/>
      </c>
      <c r="Q21" s="52"/>
      <c r="R21" s="46" t="str">
        <f>IF(N(U16)&gt;0,IF(N(Q20)=U16,"-","Err"),"")</f>
        <v/>
      </c>
      <c r="S21" s="86"/>
      <c r="T21" s="87"/>
      <c r="U21" s="87"/>
      <c r="V21" s="88"/>
      <c r="W21" s="9"/>
      <c r="X21" s="51" t="str">
        <f>IF(N(W20)&gt;0,IF(W20&lt;Handicap5, Perdu,IF(W20=Handicap5,IF(S24=Handicap6,Exaequo,Gagne))),"")</f>
        <v/>
      </c>
      <c r="Y21" s="52"/>
      <c r="Z21" s="46" t="str">
        <f>IF(N(U24)&gt;0,IF(N(Y20)=U24,"-","Err"),"")</f>
        <v/>
      </c>
      <c r="AA21" s="9"/>
      <c r="AB21" s="51" t="str">
        <f>IF(N(AA20)&gt;0,IF(AA20&lt;Handicap5, Perdu,IF(AA20=Handicap5,IF(S28=Handicap7,Exaequo,Gagne))),"")</f>
        <v>P</v>
      </c>
      <c r="AC21" s="52"/>
      <c r="AD21" s="46" t="str">
        <f>IF(N(U28)&gt;0,IF(N(AC20)=U28,"-","Err"),"")</f>
        <v>-</v>
      </c>
      <c r="AE21" s="9"/>
      <c r="AF21" s="51" t="str">
        <f>IF(N(AE20)&gt;0,IF(AE20&lt;Handicap5, Perdu,IF(AE20=Handicap5,IF(S32=Handicap8,Exaequo,Gagne))),"")</f>
        <v>P</v>
      </c>
      <c r="AG21" s="52"/>
      <c r="AH21" s="46" t="str">
        <f>IF(N(U32)&gt;0,IF(N(AG20)=U32,"-","Err"),"")</f>
        <v>-</v>
      </c>
      <c r="AI21" s="9"/>
      <c r="AJ21" s="51" t="str">
        <f>IF(N(AI20)&gt;0,IF(AI20&lt;Handicap5, Perdu,IF(AI20=Handicap5,IF(S36=Handicap9,Exaequo,Gagne))),"")</f>
        <v/>
      </c>
      <c r="AK21" s="52"/>
      <c r="AL21" s="46" t="str">
        <f>IF(N(U36)&gt;0,IF(N(AK20)=U36,"-","Err"),"")</f>
        <v/>
      </c>
      <c r="AM21" s="9"/>
      <c r="AN21" s="51" t="str">
        <f>IF(N(AM20)&gt;0,IF(AM20&lt;Handicap5, Perdu,IF(AM20=Handicap5,IF(S40=Handicap10,Exaequo,Gagne))),"")</f>
        <v>P</v>
      </c>
      <c r="AO21" s="52"/>
      <c r="AP21" s="46" t="str">
        <f>IF(N(U40)&gt;0,IF(N(AO20)=U40,"-","Err"),"")</f>
        <v>-</v>
      </c>
      <c r="AQ21" s="9"/>
      <c r="AR21" s="51" t="str">
        <f>IF(N(AQ20)&gt;0,IF(AQ20&lt;Handicap5, Perdu,IF(AQ20=Handicap5,IF(S44=Handicap11,Exaequo,Gagne))),"")</f>
        <v>P</v>
      </c>
      <c r="AS21" s="52"/>
      <c r="AT21" s="46" t="str">
        <f>IF(N(U44)&gt;0,IF(N(AS20)=U44,"-","Err"),"")</f>
        <v>-</v>
      </c>
      <c r="AU21" s="9"/>
      <c r="AV21" s="51" t="str">
        <f>IF(N(AU20)&gt;0,IF(AU20&lt;Handicap5, Perdu,IF(AU20=Handicap5,IF(S48=Handicap12,Exaequo,Gagne))),"")</f>
        <v/>
      </c>
      <c r="AW21" s="52"/>
      <c r="AX21" s="46" t="str">
        <f>IF(N(U48)&gt;0,IF(N(AW20)=U48,"-","Err"),"")</f>
        <v/>
      </c>
      <c r="AY21" s="9"/>
      <c r="AZ21" s="51" t="str">
        <f>IF(N(AY20)&gt;0,IF(AY20&lt;Handicap5, Perdu,IF(AY20=Handicap5,IF(S52=Handicap13,Exaequo,Gagne))),"")</f>
        <v>G</v>
      </c>
      <c r="BA21" s="52"/>
      <c r="BB21" s="46" t="str">
        <f>IF(N(U52)&gt;0,IF(N(BA20)=U52,"-","Err"),"")</f>
        <v>-</v>
      </c>
      <c r="BC21" s="9"/>
      <c r="BD21" s="51" t="str">
        <f>IF(N(BC20)&gt;0,IF(BC20&lt;Handicap5, Perdu,IF(BC20=Handicap5,IF(S56=hANDICAP14,Exaequo,Gagne))),"")</f>
        <v>P</v>
      </c>
      <c r="BE21" s="52"/>
      <c r="BF21" s="46" t="str">
        <f>IF(N(U56)&gt;0,IF(N(BE20)=U56,"-","Err"),"")</f>
        <v>-</v>
      </c>
      <c r="BG21" s="9"/>
      <c r="BH21" s="51" t="str">
        <f>IF(N(BG20)&gt;0,IF(BG20&lt;Handicap5, Perdu,IF(BG20=Handicap5,IF(S60=Handicap15,Exaequo,Gagne))),"")</f>
        <v/>
      </c>
      <c r="BI21" s="52"/>
      <c r="BJ21" s="46" t="str">
        <f>IF(N(U60)&gt;0,IF(N(BI20)=U60,"-","Err"),"")</f>
        <v/>
      </c>
      <c r="BK21" s="9"/>
      <c r="BL21" s="51" t="str">
        <f>IF(N(BK20)&gt;0,IF(BK20&lt;Handicap5, Perdu,IF(BK20=Handicap5,IF(S64=Handicap16,Exaequo,Gagne))),"")</f>
        <v>G</v>
      </c>
      <c r="BM21" s="52"/>
      <c r="BN21" s="46" t="str">
        <f>IF(N(U64)&gt;0,IF(N(BM20)=U64,"-","Err"),"")</f>
        <v>-</v>
      </c>
      <c r="BO21" s="9"/>
      <c r="BP21" s="51" t="str">
        <f>IF(N(BO20)&gt;0,IF(BO20&lt;Handicap5, Perdu,IF(BO20=Handicap5,IF(S68=Handicap17,Exaequo,Gagne))),"")</f>
        <v>P</v>
      </c>
      <c r="BQ21" s="52"/>
      <c r="BR21" s="46" t="str">
        <f>IF(N(U68)&gt;0,IF(N(BQ20)=U68,"-","Err"),"")</f>
        <v>-</v>
      </c>
      <c r="BS21" s="9"/>
      <c r="BT21" s="51" t="str">
        <f>IF(N(BS20)&gt;0,IF(BS20&lt;Handicap5, Perdu,IF(BS20=Handicap5,IF(S72=Handicap18,Exaequo,Gagne))),"")</f>
        <v/>
      </c>
      <c r="BU21" s="52"/>
      <c r="BV21" s="46" t="str">
        <f>IF(N(U72)&gt;0,IF(N(BU20)=U72,"-","Err"),"")</f>
        <v/>
      </c>
      <c r="BW21" s="9"/>
      <c r="BX21" s="51" t="str">
        <f>IF(N(BW20)&gt;0,IF(BW20&lt;Handicap5, Perdu,IF(BW20=Handicap5,IF(S76=Handicap19,Exaequo,Gagne))),"")</f>
        <v/>
      </c>
      <c r="BY21" s="52"/>
      <c r="BZ21" s="46" t="str">
        <f>IF(N(U76)&gt;0,IF(N(BY20)=U76,"-","Err"),"")</f>
        <v/>
      </c>
      <c r="CA21" s="9"/>
      <c r="CB21" s="51" t="str">
        <f>IF(N(CA20)&gt;0,IF(CA20&lt;Handicap5, Perdu,IF(CA20=Handicap5,IF(S80=Handicap20,Exaequo,Gagne))),"")</f>
        <v/>
      </c>
      <c r="CC21" s="52"/>
      <c r="CD21" s="46" t="str">
        <f>IF(N(U80)&gt;0,IF(N(CC20)=U80,"-","Err"),"")</f>
        <v/>
      </c>
      <c r="CE21" s="9"/>
      <c r="CF21" s="51" t="str">
        <f>IF(N(CE20)&gt;0,IF(CE20&lt;Handicap5, Perdu,IF(CE20=Handicap5,IF(S84=Handicap21,Exaequo,Gagne))),"")</f>
        <v/>
      </c>
      <c r="CG21" s="52"/>
      <c r="CH21" s="46" t="str">
        <f>IF(N(U84)&gt;0,IF(N(CG20)=U84,"-","Err"),"")</f>
        <v/>
      </c>
      <c r="CI21" s="9"/>
      <c r="CJ21" s="51" t="str">
        <f>IF(N(CI20)&gt;0,IF(CI20&lt;Handicap5, Perdu,IF(CI20=Handicap5,IF(S88=Handicap22,Exaequo,Gagne))),"")</f>
        <v>G</v>
      </c>
      <c r="CK21" s="52"/>
      <c r="CL21" s="46" t="str">
        <f>IF(N(U88)&gt;0,IF(N(CK20)=U88,"-","Err"),"")</f>
        <v>-</v>
      </c>
      <c r="CM21" s="46" t="str">
        <f>IF(N(CM20)&gt;Handicap5,"Err","-")</f>
        <v>-</v>
      </c>
      <c r="CN21" s="51" t="str">
        <f>IF(N(CM20)&gt;0,IF(CM20&lt;Handicap5, Perdu,IF(CM20=Handicap5,IF(S92=Handicap23,Exaequo,Gagne))),"")</f>
        <v/>
      </c>
      <c r="CO21" s="52"/>
      <c r="CP21" s="46" t="str">
        <f>IF(N(U92)&gt;0,IF(N(CO20)=U92,"-","Err"),"")</f>
        <v/>
      </c>
      <c r="CQ21" s="30"/>
      <c r="CR21" s="64" t="s">
        <v>6</v>
      </c>
      <c r="CS21" s="66">
        <f>(COUNTIF(C21:CP21,"G")*3)+(COUNTIF(C21:CP21,"Ex")*2)+COUNTIF(C21:CP21,"P")</f>
        <v>15</v>
      </c>
      <c r="CT21" s="68" t="s">
        <v>2</v>
      </c>
      <c r="CU21" s="69"/>
      <c r="CV21" s="72">
        <f>COUNTIF(C21:CN21,"P")</f>
        <v>6</v>
      </c>
      <c r="CW21" s="60">
        <f>IF(CS20&gt;0,CV21/CS20,0)</f>
        <v>0.66666666666666663</v>
      </c>
    </row>
    <row r="22" spans="2:101" ht="7.5" customHeight="1" x14ac:dyDescent="0.25">
      <c r="B22" s="81"/>
      <c r="C22" s="2"/>
      <c r="D22" s="53"/>
      <c r="E22" s="54"/>
      <c r="F22" s="46"/>
      <c r="G22" s="2"/>
      <c r="H22" s="53"/>
      <c r="I22" s="54"/>
      <c r="J22" s="46"/>
      <c r="K22" s="2"/>
      <c r="L22" s="53"/>
      <c r="M22" s="54"/>
      <c r="N22" s="46"/>
      <c r="O22" s="2"/>
      <c r="P22" s="53"/>
      <c r="Q22" s="54"/>
      <c r="R22" s="46"/>
      <c r="S22" s="86"/>
      <c r="T22" s="87"/>
      <c r="U22" s="87"/>
      <c r="V22" s="88"/>
      <c r="W22" s="2"/>
      <c r="X22" s="53"/>
      <c r="Y22" s="54"/>
      <c r="Z22" s="46"/>
      <c r="AA22" s="2"/>
      <c r="AB22" s="53"/>
      <c r="AC22" s="54"/>
      <c r="AD22" s="46"/>
      <c r="AE22" s="2"/>
      <c r="AF22" s="53"/>
      <c r="AG22" s="54"/>
      <c r="AH22" s="46"/>
      <c r="AI22" s="2"/>
      <c r="AJ22" s="53"/>
      <c r="AK22" s="54"/>
      <c r="AL22" s="46"/>
      <c r="AM22" s="2"/>
      <c r="AN22" s="53"/>
      <c r="AO22" s="54"/>
      <c r="AP22" s="46"/>
      <c r="AQ22" s="2"/>
      <c r="AR22" s="53"/>
      <c r="AS22" s="54"/>
      <c r="AT22" s="46"/>
      <c r="AU22" s="2"/>
      <c r="AV22" s="53"/>
      <c r="AW22" s="54"/>
      <c r="AX22" s="46"/>
      <c r="AY22" s="2"/>
      <c r="AZ22" s="53"/>
      <c r="BA22" s="54"/>
      <c r="BB22" s="46"/>
      <c r="BC22" s="2"/>
      <c r="BD22" s="53"/>
      <c r="BE22" s="54"/>
      <c r="BF22" s="46"/>
      <c r="BG22" s="2"/>
      <c r="BH22" s="53"/>
      <c r="BI22" s="54"/>
      <c r="BJ22" s="46"/>
      <c r="BK22" s="2"/>
      <c r="BL22" s="53"/>
      <c r="BM22" s="54"/>
      <c r="BN22" s="46"/>
      <c r="BO22" s="2"/>
      <c r="BP22" s="53"/>
      <c r="BQ22" s="54"/>
      <c r="BR22" s="46"/>
      <c r="BS22" s="2"/>
      <c r="BT22" s="53"/>
      <c r="BU22" s="54"/>
      <c r="BV22" s="46"/>
      <c r="BW22" s="2"/>
      <c r="BX22" s="53"/>
      <c r="BY22" s="54"/>
      <c r="BZ22" s="46"/>
      <c r="CA22" s="2"/>
      <c r="CB22" s="53"/>
      <c r="CC22" s="54"/>
      <c r="CD22" s="46"/>
      <c r="CE22" s="2"/>
      <c r="CF22" s="53"/>
      <c r="CG22" s="54"/>
      <c r="CH22" s="46"/>
      <c r="CI22" s="2"/>
      <c r="CJ22" s="53"/>
      <c r="CK22" s="54"/>
      <c r="CL22" s="46"/>
      <c r="CM22" s="46"/>
      <c r="CN22" s="53"/>
      <c r="CO22" s="54"/>
      <c r="CP22" s="46"/>
      <c r="CQ22" s="30"/>
      <c r="CR22" s="65"/>
      <c r="CS22" s="67"/>
      <c r="CT22" s="70"/>
      <c r="CU22" s="71"/>
      <c r="CV22" s="72"/>
      <c r="CW22" s="60"/>
    </row>
    <row r="23" spans="2:101" ht="15" customHeight="1" x14ac:dyDescent="0.25">
      <c r="B23" s="82"/>
      <c r="C23" s="55" t="str">
        <f>IF(COUNT(C20:E20)=2,C20/E20,"Moy")</f>
        <v>Moy</v>
      </c>
      <c r="D23" s="56"/>
      <c r="E23" s="56" t="s">
        <v>0</v>
      </c>
      <c r="F23" s="59"/>
      <c r="G23" s="55" t="str">
        <f>IF(COUNT(G20:I20)=2,G20/I20,"Moy")</f>
        <v>Moy</v>
      </c>
      <c r="H23" s="56"/>
      <c r="I23" s="56" t="s">
        <v>0</v>
      </c>
      <c r="J23" s="59"/>
      <c r="K23" s="55" t="str">
        <f>IF(COUNT(K20:M20)=2,K20/M20,"Moy")</f>
        <v>Moy</v>
      </c>
      <c r="L23" s="56"/>
      <c r="M23" s="56" t="s">
        <v>0</v>
      </c>
      <c r="N23" s="59"/>
      <c r="O23" s="55" t="str">
        <f>IF(COUNT(O20:Q20)=2,O20/Q20,"Moy")</f>
        <v>Moy</v>
      </c>
      <c r="P23" s="56"/>
      <c r="Q23" s="56" t="s">
        <v>0</v>
      </c>
      <c r="R23" s="59"/>
      <c r="S23" s="89"/>
      <c r="T23" s="90"/>
      <c r="U23" s="90"/>
      <c r="V23" s="91"/>
      <c r="W23" s="55" t="str">
        <f>IF(COUNT(W20:Y20)=2,W20/Y20,"Moy")</f>
        <v>Moy</v>
      </c>
      <c r="X23" s="56"/>
      <c r="Y23" s="56" t="s">
        <v>0</v>
      </c>
      <c r="Z23" s="59"/>
      <c r="AA23" s="55">
        <f>IF(COUNT(AA20:AC20)=2,AA20/AC20,"Moy")</f>
        <v>0.68</v>
      </c>
      <c r="AB23" s="56"/>
      <c r="AC23" s="56">
        <v>4</v>
      </c>
      <c r="AD23" s="59"/>
      <c r="AE23" s="55">
        <f>IF(COUNT(AE20:AG20)=2,AE20/AG20,"Moy")</f>
        <v>0.49122807017543857</v>
      </c>
      <c r="AF23" s="56"/>
      <c r="AG23" s="56">
        <v>4</v>
      </c>
      <c r="AH23" s="59"/>
      <c r="AI23" s="55" t="str">
        <f>IF(COUNT(AI20:AK20)=2,AI20/AK20,"Moy")</f>
        <v>Moy</v>
      </c>
      <c r="AJ23" s="56"/>
      <c r="AK23" s="56" t="s">
        <v>0</v>
      </c>
      <c r="AL23" s="59"/>
      <c r="AM23" s="55">
        <f>IF(COUNT(AM20:AO20)=2,AM20/AO20,"Moy")</f>
        <v>0.52272727272727271</v>
      </c>
      <c r="AN23" s="56"/>
      <c r="AO23" s="56">
        <v>4</v>
      </c>
      <c r="AP23" s="59"/>
      <c r="AQ23" s="55">
        <f>IF(COUNT(AQ20:AS20)=2,AQ20/AS20,"Moy")</f>
        <v>0.41463414634146339</v>
      </c>
      <c r="AR23" s="56"/>
      <c r="AS23" s="56">
        <v>3</v>
      </c>
      <c r="AT23" s="59"/>
      <c r="AU23" s="55" t="str">
        <f>IF(COUNT(AU20:AW20)=2,AU20/AW20,"Moy")</f>
        <v>Moy</v>
      </c>
      <c r="AV23" s="56"/>
      <c r="AW23" s="56" t="s">
        <v>0</v>
      </c>
      <c r="AX23" s="59"/>
      <c r="AY23" s="55">
        <f>IF(COUNT(AY20:BA20)=2,AY20/BA20,"Moy")</f>
        <v>0.7142857142857143</v>
      </c>
      <c r="AZ23" s="56"/>
      <c r="BA23" s="56">
        <v>4</v>
      </c>
      <c r="BB23" s="59"/>
      <c r="BC23" s="55">
        <f>IF(COUNT(BC20:BE20)=2,BC20/BE20,"Moy")</f>
        <v>0.40625</v>
      </c>
      <c r="BD23" s="56"/>
      <c r="BE23" s="56">
        <v>4</v>
      </c>
      <c r="BF23" s="59"/>
      <c r="BG23" s="55" t="str">
        <f>IF(COUNT(BG20:BI20)=2,BG20/BI20,"Moy")</f>
        <v>Moy</v>
      </c>
      <c r="BH23" s="56"/>
      <c r="BI23" s="56" t="s">
        <v>0</v>
      </c>
      <c r="BJ23" s="59"/>
      <c r="BK23" s="55">
        <f>IF(COUNT(BK20:BM20)=2,BK20/BM20,"Moy")</f>
        <v>0.6</v>
      </c>
      <c r="BL23" s="56"/>
      <c r="BM23" s="56">
        <v>3</v>
      </c>
      <c r="BN23" s="59"/>
      <c r="BO23" s="55">
        <f>IF(COUNT(BO20:BQ20)=2,BO20/BQ20,"Moy")</f>
        <v>0.3235294117647059</v>
      </c>
      <c r="BP23" s="56"/>
      <c r="BQ23" s="56">
        <v>3</v>
      </c>
      <c r="BR23" s="59"/>
      <c r="BS23" s="55" t="str">
        <f>IF(COUNT(BS20:BU20)=2,BS20/BU20,"Moy")</f>
        <v>Moy</v>
      </c>
      <c r="BT23" s="56"/>
      <c r="BU23" s="56" t="s">
        <v>0</v>
      </c>
      <c r="BV23" s="59"/>
      <c r="BW23" s="55" t="str">
        <f>IF(COUNT(BW20:BY20)=2,BW20/BY20,"Moy")</f>
        <v>Moy</v>
      </c>
      <c r="BX23" s="56"/>
      <c r="BY23" s="56" t="s">
        <v>0</v>
      </c>
      <c r="BZ23" s="59"/>
      <c r="CA23" s="55" t="str">
        <f>IF(COUNT(CA20:CC20)=2,CA20/CC20,"Moy")</f>
        <v>Moy</v>
      </c>
      <c r="CB23" s="56"/>
      <c r="CC23" s="56" t="s">
        <v>0</v>
      </c>
      <c r="CD23" s="59"/>
      <c r="CE23" s="55" t="str">
        <f>IF(COUNT(CE20:CG20)=2,CE20/CG20,"Moy")</f>
        <v>Moy</v>
      </c>
      <c r="CF23" s="56"/>
      <c r="CG23" s="56" t="s">
        <v>0</v>
      </c>
      <c r="CH23" s="59"/>
      <c r="CI23" s="55">
        <f>IF(COUNT(CI20:CK20)=2,CI20/CK20,"Moy")</f>
        <v>0.63829787234042556</v>
      </c>
      <c r="CJ23" s="56"/>
      <c r="CK23" s="56">
        <v>5</v>
      </c>
      <c r="CL23" s="59"/>
      <c r="CM23" s="55" t="str">
        <f>IF(COUNT(CM20:CO20)=2,CM20/CO20,"Moy")</f>
        <v>Moy</v>
      </c>
      <c r="CN23" s="56"/>
      <c r="CO23" s="56" t="s">
        <v>0</v>
      </c>
      <c r="CP23" s="59"/>
      <c r="CQ23" s="22"/>
      <c r="CR23" s="8" t="s">
        <v>5</v>
      </c>
      <c r="CS23" s="17">
        <f>IF(CS20&gt;0,((N(C23)+N(G23)+N(K23)+N(O23)+N(S23)+N(W23)+N(AA23)+N(AE23)+N(AI23)+N(AM23)+N(AQ23)+N(AU23)+N(AY23)+N(BC23)+N(BG23)+N(BK23)+N(BO23)+N(BS23)+N(BW23)+N(CA23)+N(CE23)+N(CI23))+N(CM23))/CS20,0)</f>
        <v>0.53232805418166895</v>
      </c>
      <c r="CT23" s="61" t="s">
        <v>3</v>
      </c>
      <c r="CU23" s="62"/>
      <c r="CV23" s="18">
        <f>COUNTIF(C21:CN21,"Ex")</f>
        <v>0</v>
      </c>
      <c r="CW23" s="19">
        <f>IF(CS20&gt;0,CV23/CS20,0)</f>
        <v>0</v>
      </c>
    </row>
    <row r="24" spans="2:101" ht="15" customHeight="1" x14ac:dyDescent="0.25">
      <c r="B24" s="92" t="s">
        <v>36</v>
      </c>
      <c r="C24" s="47" t="s">
        <v>22</v>
      </c>
      <c r="D24" s="48"/>
      <c r="E24" s="49" t="s">
        <v>23</v>
      </c>
      <c r="F24" s="50"/>
      <c r="G24" s="47" t="s">
        <v>22</v>
      </c>
      <c r="H24" s="48"/>
      <c r="I24" s="49" t="s">
        <v>23</v>
      </c>
      <c r="J24" s="50"/>
      <c r="K24" s="47" t="s">
        <v>22</v>
      </c>
      <c r="L24" s="48"/>
      <c r="M24" s="49" t="s">
        <v>23</v>
      </c>
      <c r="N24" s="50"/>
      <c r="O24" s="47" t="s">
        <v>22</v>
      </c>
      <c r="P24" s="48"/>
      <c r="Q24" s="49" t="s">
        <v>23</v>
      </c>
      <c r="R24" s="50"/>
      <c r="S24" s="47" t="s">
        <v>22</v>
      </c>
      <c r="T24" s="48"/>
      <c r="U24" s="49" t="s">
        <v>23</v>
      </c>
      <c r="V24" s="50"/>
      <c r="W24" s="83">
        <v>50</v>
      </c>
      <c r="X24" s="84"/>
      <c r="Y24" s="84"/>
      <c r="Z24" s="85"/>
      <c r="AA24" s="47" t="s">
        <v>22</v>
      </c>
      <c r="AB24" s="48"/>
      <c r="AC24" s="49" t="s">
        <v>23</v>
      </c>
      <c r="AD24" s="50"/>
      <c r="AE24" s="47">
        <v>50</v>
      </c>
      <c r="AF24" s="48"/>
      <c r="AG24" s="49">
        <v>40</v>
      </c>
      <c r="AH24" s="50"/>
      <c r="AI24" s="47" t="s">
        <v>22</v>
      </c>
      <c r="AJ24" s="48"/>
      <c r="AK24" s="49" t="s">
        <v>23</v>
      </c>
      <c r="AL24" s="50"/>
      <c r="AM24" s="47">
        <v>42</v>
      </c>
      <c r="AN24" s="48"/>
      <c r="AO24" s="49">
        <v>52</v>
      </c>
      <c r="AP24" s="50"/>
      <c r="AQ24" s="47" t="s">
        <v>22</v>
      </c>
      <c r="AR24" s="48"/>
      <c r="AS24" s="49" t="s">
        <v>23</v>
      </c>
      <c r="AT24" s="50"/>
      <c r="AU24" s="47" t="s">
        <v>22</v>
      </c>
      <c r="AV24" s="48"/>
      <c r="AW24" s="49" t="s">
        <v>23</v>
      </c>
      <c r="AX24" s="50"/>
      <c r="AY24" s="47" t="s">
        <v>22</v>
      </c>
      <c r="AZ24" s="48"/>
      <c r="BA24" s="49" t="s">
        <v>23</v>
      </c>
      <c r="BB24" s="50"/>
      <c r="BC24" s="47" t="s">
        <v>22</v>
      </c>
      <c r="BD24" s="48"/>
      <c r="BE24" s="49" t="s">
        <v>23</v>
      </c>
      <c r="BF24" s="50"/>
      <c r="BG24" s="47" t="s">
        <v>22</v>
      </c>
      <c r="BH24" s="48"/>
      <c r="BI24" s="49" t="s">
        <v>23</v>
      </c>
      <c r="BJ24" s="50"/>
      <c r="BK24" s="47" t="s">
        <v>22</v>
      </c>
      <c r="BL24" s="48"/>
      <c r="BM24" s="49" t="s">
        <v>23</v>
      </c>
      <c r="BN24" s="50"/>
      <c r="BO24" s="47" t="s">
        <v>22</v>
      </c>
      <c r="BP24" s="48"/>
      <c r="BQ24" s="49" t="s">
        <v>23</v>
      </c>
      <c r="BR24" s="50"/>
      <c r="BS24" s="47" t="s">
        <v>22</v>
      </c>
      <c r="BT24" s="48"/>
      <c r="BU24" s="49" t="s">
        <v>23</v>
      </c>
      <c r="BV24" s="50"/>
      <c r="BW24" s="47" t="s">
        <v>22</v>
      </c>
      <c r="BX24" s="48"/>
      <c r="BY24" s="49" t="s">
        <v>23</v>
      </c>
      <c r="BZ24" s="50"/>
      <c r="CA24" s="47" t="s">
        <v>22</v>
      </c>
      <c r="CB24" s="48"/>
      <c r="CC24" s="49" t="s">
        <v>23</v>
      </c>
      <c r="CD24" s="50"/>
      <c r="CE24" s="47" t="s">
        <v>22</v>
      </c>
      <c r="CF24" s="48"/>
      <c r="CG24" s="49" t="s">
        <v>23</v>
      </c>
      <c r="CH24" s="50"/>
      <c r="CI24" s="47" t="s">
        <v>22</v>
      </c>
      <c r="CJ24" s="48"/>
      <c r="CK24" s="49" t="s">
        <v>23</v>
      </c>
      <c r="CL24" s="50"/>
      <c r="CM24" s="47" t="s">
        <v>22</v>
      </c>
      <c r="CN24" s="48"/>
      <c r="CO24" s="49" t="s">
        <v>23</v>
      </c>
      <c r="CP24" s="50"/>
      <c r="CQ24" s="23"/>
      <c r="CR24" s="7" t="s">
        <v>11</v>
      </c>
      <c r="CS24" s="14">
        <f>COUNTIF(C25:CN25,"G")+COUNTIF(C25:CN25,"Ex")+COUNTIF(C25:CN25,"P")</f>
        <v>2</v>
      </c>
      <c r="CT24" s="63" t="s">
        <v>1</v>
      </c>
      <c r="CU24" s="62"/>
      <c r="CV24" s="15">
        <f>COUNTIF(C25:CN25,"G")</f>
        <v>1</v>
      </c>
      <c r="CW24" s="16">
        <f>IF(CS24&gt;0,CV24/CS24,0)</f>
        <v>0.5</v>
      </c>
    </row>
    <row r="25" spans="2:101" ht="7.5" customHeight="1" x14ac:dyDescent="0.25">
      <c r="B25" s="93"/>
      <c r="C25" s="9"/>
      <c r="D25" s="51" t="str">
        <f>IF(N(C24)&gt;0,IF(C24&lt;Handicap6, Perdu,IF(C24=Handicap6,IF(W4=Handicap1,Exaequo,Gagne))),"")</f>
        <v/>
      </c>
      <c r="E25" s="52"/>
      <c r="F25" s="46" t="str">
        <f>IF(N(Y4)&gt;0,IF(N(E24)=Y4,"-","Err"),"")</f>
        <v/>
      </c>
      <c r="G25" s="9"/>
      <c r="H25" s="51" t="str">
        <f>IF(N(G24)&gt;0,IF(G24&lt;Handicap6, Perdu,IF(G24=Handicap6,IF(W8=Handicap2,Exaequo,Gagne))),"")</f>
        <v/>
      </c>
      <c r="I25" s="52"/>
      <c r="J25" s="46" t="str">
        <f>IF(N(Y8)&gt;0,IF(N(I24)=Y8,"-","Err"),"")</f>
        <v/>
      </c>
      <c r="K25" s="9"/>
      <c r="L25" s="51" t="str">
        <f>IF(N(K24)&gt;0,IF(K24&lt;Handicap6, Perdu,IF(K24=Handicap6,IF(W12=Handicap3,Exaequo,Gagne))),"")</f>
        <v/>
      </c>
      <c r="M25" s="52"/>
      <c r="N25" s="46" t="str">
        <f>IF(N(Y12)&gt;0,IF(N(M24)=Y12,"-","Err"),"")</f>
        <v/>
      </c>
      <c r="O25" s="9"/>
      <c r="P25" s="51" t="str">
        <f>IF(N(O24)&gt;0,IF(O24&lt;Handicap6, Perdu,IF(O24=Handicap6,IF(W16=Handicap4,Exaequo,Gagne))),"")</f>
        <v/>
      </c>
      <c r="Q25" s="52"/>
      <c r="R25" s="46" t="str">
        <f>IF(N(Y16)&gt;0,IF(N(Q24)=Y16,"-","Err"),"")</f>
        <v/>
      </c>
      <c r="S25" s="9"/>
      <c r="T25" s="51" t="str">
        <f>IF(N(S24)&gt;0,IF(S24&lt;Handicap6, Perdu,IF(S24=Handicap6,IF(W20=Handicap5,Exaequo,Gagne))),"")</f>
        <v/>
      </c>
      <c r="U25" s="52"/>
      <c r="V25" s="46" t="str">
        <f>IF(N(Y20)&gt;0,IF(N(U24)=Y20,"-","Err"),"")</f>
        <v/>
      </c>
      <c r="W25" s="86"/>
      <c r="X25" s="87"/>
      <c r="Y25" s="87"/>
      <c r="Z25" s="88"/>
      <c r="AA25" s="9"/>
      <c r="AB25" s="51" t="str">
        <f>IF(N(AA24)&gt;0,IF(AA24&lt;Handicap6, Perdu,IF(AA24=Handicap6,IF(W28=Handicap7,Exaequo,Gagne))),"")</f>
        <v/>
      </c>
      <c r="AC25" s="52"/>
      <c r="AD25" s="46" t="str">
        <f>IF(N(Y28)&gt;0,IF(N(AC24)=Y28,"-","Err"),"")</f>
        <v/>
      </c>
      <c r="AE25" s="9"/>
      <c r="AF25" s="51" t="str">
        <f>IF(N(AE24)&gt;0,IF(AE24&lt;Handicap6, Perdu,IF(AE24=Handicap6,IF(W32=Handicap8,Exaequo,Gagne))),"")</f>
        <v>G</v>
      </c>
      <c r="AG25" s="52"/>
      <c r="AH25" s="46" t="str">
        <f>IF(N(Y32)&gt;0,IF(N(AG24)=Y32,"-","Err"),"")</f>
        <v>-</v>
      </c>
      <c r="AI25" s="9"/>
      <c r="AJ25" s="51" t="str">
        <f>IF(N(AI24)&gt;0,IF(AI24&lt;Handicap6, Perdu,IF(AI24=Handicap6,IF(W36=Handicap9,Exaequo,Gagne))),"")</f>
        <v/>
      </c>
      <c r="AK25" s="52"/>
      <c r="AL25" s="46" t="str">
        <f>IF(N(Y36)&gt;0,IF(N(AK24)=Y36,"-","Err"),"")</f>
        <v/>
      </c>
      <c r="AM25" s="9"/>
      <c r="AN25" s="51" t="str">
        <f>IF(N(AM24)&gt;0,IF(AM24&lt;Handicap6, Perdu,IF(AM24=Handicap6,IF(W40=Handicap10,Exaequo,Gagne))),"")</f>
        <v>P</v>
      </c>
      <c r="AO25" s="52"/>
      <c r="AP25" s="46" t="str">
        <f>IF(N(Y40)&gt;0,IF(N(AO24)=Y40,"-","Err"),"")</f>
        <v>-</v>
      </c>
      <c r="AQ25" s="9"/>
      <c r="AR25" s="51" t="str">
        <f>IF(N(AQ24)&gt;0,IF(AQ24&lt;Handicap6, Perdu,IF(AQ24=Handicap6,IF(W44=Handicap11,Exaequo,Gagne))),"")</f>
        <v/>
      </c>
      <c r="AS25" s="52"/>
      <c r="AT25" s="46" t="str">
        <f>IF(N(Y44)&gt;0,IF(N(AS24)=Y44,"-","Err"),"")</f>
        <v/>
      </c>
      <c r="AU25" s="9"/>
      <c r="AV25" s="51" t="str">
        <f>IF(N(AU24)&gt;0,IF(AU24&lt;Handicap6, Perdu,IF(AU24=Handicap6,IF(W48=Handicap12,Exaequo,Gagne))),"")</f>
        <v/>
      </c>
      <c r="AW25" s="52"/>
      <c r="AX25" s="46" t="str">
        <f>IF(N(Y48)&gt;0,IF(N(AW24)=Y48,"-","Err"),"")</f>
        <v/>
      </c>
      <c r="AY25" s="9"/>
      <c r="AZ25" s="51" t="str">
        <f>IF(N(AY24)&gt;0,IF(AY24&lt;Handicap6, Perdu,IF(AY24=Handicap6,IF(W52=Handicap13,Exaequo,Gagne))),"")</f>
        <v/>
      </c>
      <c r="BA25" s="52"/>
      <c r="BB25" s="46" t="str">
        <f>IF(N(Y52)&gt;0,IF(N(BA24)=Y52,"-","Err"),"")</f>
        <v/>
      </c>
      <c r="BC25" s="9"/>
      <c r="BD25" s="51" t="str">
        <f>IF(N(BC24)&gt;0,IF(BC24&lt;Handicap6, Perdu,IF(BC24=Handicap6,IF(W56=hANDICAP14,Exaequo,Gagne))),"")</f>
        <v/>
      </c>
      <c r="BE25" s="52"/>
      <c r="BF25" s="46" t="str">
        <f>IF(N(Y56)&gt;0,IF(N(BE24)=Y56,"-","Err"),"")</f>
        <v/>
      </c>
      <c r="BG25" s="9"/>
      <c r="BH25" s="51" t="str">
        <f>IF(N(BG24)&gt;0,IF(BG24&lt;Handicap6, Perdu,IF(BG24=Handicap6,IF(W60=Handicap15,Exaequo,Gagne))),"")</f>
        <v/>
      </c>
      <c r="BI25" s="52"/>
      <c r="BJ25" s="46" t="str">
        <f>IF(N(Y60)&gt;0,IF(N(BI24)=Y60,"-","Err"),"")</f>
        <v/>
      </c>
      <c r="BK25" s="9"/>
      <c r="BL25" s="51" t="str">
        <f>IF(N(BK24)&gt;0,IF(BK24&lt;Handicap6, Perdu,IF(BK24=Handicap6,IF(W64=Handicap16,Exaequo,Gagne))),"")</f>
        <v/>
      </c>
      <c r="BM25" s="52"/>
      <c r="BN25" s="46" t="str">
        <f>IF(N(Y64)&gt;0,IF(N(BM24)=Y64,"-","Err"),"")</f>
        <v/>
      </c>
      <c r="BO25" s="9"/>
      <c r="BP25" s="51" t="str">
        <f>IF(N(BO24)&gt;0,IF(BO24&lt;Handicap6, Perdu,IF(BO24=Handicap6,IF(W68=Handicap17,Exaequo,Gagne))),"")</f>
        <v/>
      </c>
      <c r="BQ25" s="52"/>
      <c r="BR25" s="46" t="str">
        <f>IF(N(Y68)&gt;0,IF(N(BQ24)=Y68,"-","Err"),"")</f>
        <v/>
      </c>
      <c r="BS25" s="9"/>
      <c r="BT25" s="51" t="str">
        <f>IF(N(BS24)&gt;0,IF(BS24&lt;Handicap6, Perdu,IF(BS24=Handicap6,IF(W72=Handicap18,Exaequo,Gagne))),"")</f>
        <v/>
      </c>
      <c r="BU25" s="52"/>
      <c r="BV25" s="46" t="str">
        <f>IF(N(Y72)&gt;0,IF(N(BU24)=Y72,"-","Err"),"")</f>
        <v/>
      </c>
      <c r="BW25" s="9"/>
      <c r="BX25" s="51" t="str">
        <f>IF(N(BW24)&gt;0,IF(BW24&lt;Handicap6, Perdu,IF(BW24=Handicap6,IF(W76=Handicap19,Exaequo,Gagne))),"")</f>
        <v/>
      </c>
      <c r="BY25" s="52"/>
      <c r="BZ25" s="46" t="str">
        <f>IF(N(Y76)&gt;0,IF(N(BY24)=Y76,"-","Err"),"")</f>
        <v/>
      </c>
      <c r="CA25" s="9"/>
      <c r="CB25" s="51" t="str">
        <f>IF(N(CA24)&gt;0,IF(CA24&lt;Handicap6, Perdu,IF(CA24=Handicap6,IF(W80=Handicap20,Exaequo,Gagne))),"")</f>
        <v/>
      </c>
      <c r="CC25" s="52"/>
      <c r="CD25" s="46" t="str">
        <f>IF(N(Y80)&gt;0,IF(N(CC24)=Y80,"-","Err"),"")</f>
        <v/>
      </c>
      <c r="CE25" s="9"/>
      <c r="CF25" s="51" t="str">
        <f>IF(N(CE24)&gt;0,IF(CE24&lt;Handicap6, Perdu,IF(CE24=Handicap6,IF(W84=Handicap21,Exaequo,Gagne))),"")</f>
        <v/>
      </c>
      <c r="CG25" s="52"/>
      <c r="CH25" s="46" t="str">
        <f>IF(N(Y84)&gt;0,IF(N(CG24)=Y84,"-","Err"),"")</f>
        <v/>
      </c>
      <c r="CI25" s="9"/>
      <c r="CJ25" s="51" t="str">
        <f>IF(N(CI24)&gt;0,IF(CI24&lt;Handicap6, Perdu,IF(CI24=Handicap6,IF(W88=Handicap22,Exaequo,Gagne))),"")</f>
        <v/>
      </c>
      <c r="CK25" s="52"/>
      <c r="CL25" s="46" t="str">
        <f>IF(N(Y88)&gt;0,IF(N(CK24)=Y88,"-","Err"),"")</f>
        <v>Err</v>
      </c>
      <c r="CM25" s="46" t="str">
        <f>IF(N(CM24)&gt;Handicap6,"Err","-")</f>
        <v>-</v>
      </c>
      <c r="CN25" s="51" t="str">
        <f>IF(N(CM24)&gt;0,IF(CM24&lt;Handicap6, Perdu,IF(CM24=Handicap6,IF(W92=Handicap23,Exaequo,Gagne))),"")</f>
        <v/>
      </c>
      <c r="CO25" s="52"/>
      <c r="CP25" s="46" t="str">
        <f>IF(N(Y92)&gt;0,IF(N(CO24)=Y92,"-","Err"),"")</f>
        <v/>
      </c>
      <c r="CQ25" s="30"/>
      <c r="CR25" s="64" t="s">
        <v>6</v>
      </c>
      <c r="CS25" s="66">
        <f>(COUNTIF(C25:CP25,"G")*3)+(COUNTIF(C25:CP25,"Ex")*2)+COUNTIF(C25:CP25,"P")</f>
        <v>4</v>
      </c>
      <c r="CT25" s="68" t="s">
        <v>2</v>
      </c>
      <c r="CU25" s="69"/>
      <c r="CV25" s="72">
        <f>COUNTIF(C25:CN25,"P")</f>
        <v>1</v>
      </c>
      <c r="CW25" s="60">
        <f>IF(CS24&gt;0,CV25/CS24,0)</f>
        <v>0.5</v>
      </c>
    </row>
    <row r="26" spans="2:101" ht="7.5" customHeight="1" x14ac:dyDescent="0.25">
      <c r="B26" s="93"/>
      <c r="C26" s="2"/>
      <c r="D26" s="53"/>
      <c r="E26" s="54"/>
      <c r="F26" s="46"/>
      <c r="G26" s="2"/>
      <c r="H26" s="53"/>
      <c r="I26" s="54"/>
      <c r="J26" s="46"/>
      <c r="K26" s="2"/>
      <c r="L26" s="53"/>
      <c r="M26" s="54"/>
      <c r="N26" s="46"/>
      <c r="O26" s="2"/>
      <c r="P26" s="53"/>
      <c r="Q26" s="54"/>
      <c r="R26" s="46"/>
      <c r="S26" s="2"/>
      <c r="T26" s="53"/>
      <c r="U26" s="54"/>
      <c r="V26" s="46"/>
      <c r="W26" s="86"/>
      <c r="X26" s="87"/>
      <c r="Y26" s="87"/>
      <c r="Z26" s="88"/>
      <c r="AA26" s="2"/>
      <c r="AB26" s="53"/>
      <c r="AC26" s="54"/>
      <c r="AD26" s="46"/>
      <c r="AE26" s="2"/>
      <c r="AF26" s="53"/>
      <c r="AG26" s="54"/>
      <c r="AH26" s="46"/>
      <c r="AI26" s="2"/>
      <c r="AJ26" s="53"/>
      <c r="AK26" s="54"/>
      <c r="AL26" s="46"/>
      <c r="AM26" s="2"/>
      <c r="AN26" s="53"/>
      <c r="AO26" s="54"/>
      <c r="AP26" s="46"/>
      <c r="AQ26" s="2"/>
      <c r="AR26" s="53"/>
      <c r="AS26" s="54"/>
      <c r="AT26" s="46"/>
      <c r="AU26" s="2"/>
      <c r="AV26" s="53"/>
      <c r="AW26" s="54"/>
      <c r="AX26" s="46"/>
      <c r="AY26" s="2"/>
      <c r="AZ26" s="53"/>
      <c r="BA26" s="54"/>
      <c r="BB26" s="46"/>
      <c r="BC26" s="2"/>
      <c r="BD26" s="53"/>
      <c r="BE26" s="54"/>
      <c r="BF26" s="46"/>
      <c r="BG26" s="2"/>
      <c r="BH26" s="53"/>
      <c r="BI26" s="54"/>
      <c r="BJ26" s="46"/>
      <c r="BK26" s="2"/>
      <c r="BL26" s="53"/>
      <c r="BM26" s="54"/>
      <c r="BN26" s="46"/>
      <c r="BO26" s="2"/>
      <c r="BP26" s="53"/>
      <c r="BQ26" s="54"/>
      <c r="BR26" s="46"/>
      <c r="BS26" s="2"/>
      <c r="BT26" s="53"/>
      <c r="BU26" s="54"/>
      <c r="BV26" s="46"/>
      <c r="BW26" s="2"/>
      <c r="BX26" s="53"/>
      <c r="BY26" s="54"/>
      <c r="BZ26" s="46"/>
      <c r="CA26" s="2"/>
      <c r="CB26" s="53"/>
      <c r="CC26" s="54"/>
      <c r="CD26" s="46"/>
      <c r="CE26" s="2"/>
      <c r="CF26" s="53"/>
      <c r="CG26" s="54"/>
      <c r="CH26" s="46"/>
      <c r="CI26" s="2"/>
      <c r="CJ26" s="53"/>
      <c r="CK26" s="54"/>
      <c r="CL26" s="46"/>
      <c r="CM26" s="46"/>
      <c r="CN26" s="53"/>
      <c r="CO26" s="54"/>
      <c r="CP26" s="46"/>
      <c r="CQ26" s="30"/>
      <c r="CR26" s="65"/>
      <c r="CS26" s="67"/>
      <c r="CT26" s="70"/>
      <c r="CU26" s="71"/>
      <c r="CV26" s="72"/>
      <c r="CW26" s="60"/>
    </row>
    <row r="27" spans="2:101" ht="15" customHeight="1" x14ac:dyDescent="0.25">
      <c r="B27" s="94"/>
      <c r="C27" s="55" t="str">
        <f>IF(COUNT(C24:E24)=2,C24/E24,"Moy")</f>
        <v>Moy</v>
      </c>
      <c r="D27" s="56"/>
      <c r="E27" s="56" t="s">
        <v>0</v>
      </c>
      <c r="F27" s="59"/>
      <c r="G27" s="55" t="str">
        <f>IF(COUNT(G24:I24)=2,G24/I24,"Moy")</f>
        <v>Moy</v>
      </c>
      <c r="H27" s="56"/>
      <c r="I27" s="56" t="s">
        <v>0</v>
      </c>
      <c r="J27" s="59"/>
      <c r="K27" s="55" t="str">
        <f>IF(COUNT(K24:M24)=2,K24/M24,"Moy")</f>
        <v>Moy</v>
      </c>
      <c r="L27" s="56"/>
      <c r="M27" s="56" t="s">
        <v>0</v>
      </c>
      <c r="N27" s="59"/>
      <c r="O27" s="55" t="str">
        <f>IF(COUNT(O24:Q24)=2,O24/Q24,"Moy")</f>
        <v>Moy</v>
      </c>
      <c r="P27" s="56"/>
      <c r="Q27" s="56" t="s">
        <v>0</v>
      </c>
      <c r="R27" s="59"/>
      <c r="S27" s="55" t="str">
        <f>IF(COUNT(S24:U24)=2,S24/U24,"Moy")</f>
        <v>Moy</v>
      </c>
      <c r="T27" s="56"/>
      <c r="U27" s="56" t="s">
        <v>0</v>
      </c>
      <c r="V27" s="59"/>
      <c r="W27" s="89"/>
      <c r="X27" s="90"/>
      <c r="Y27" s="90"/>
      <c r="Z27" s="91"/>
      <c r="AA27" s="55" t="str">
        <f>IF(COUNT(AA24:AC24)=2,AA24/AC24,"Moy")</f>
        <v>Moy</v>
      </c>
      <c r="AB27" s="56"/>
      <c r="AC27" s="56" t="s">
        <v>0</v>
      </c>
      <c r="AD27" s="59"/>
      <c r="AE27" s="55">
        <f>IF(COUNT(AE24:AG24)=2,AE24/AG24,"Moy")</f>
        <v>1.25</v>
      </c>
      <c r="AF27" s="56"/>
      <c r="AG27" s="56">
        <v>6</v>
      </c>
      <c r="AH27" s="59"/>
      <c r="AI27" s="55" t="str">
        <f>IF(COUNT(AI24:AK24)=2,AI24/AK24,"Moy")</f>
        <v>Moy</v>
      </c>
      <c r="AJ27" s="56"/>
      <c r="AK27" s="56" t="s">
        <v>0</v>
      </c>
      <c r="AL27" s="59"/>
      <c r="AM27" s="55">
        <f>IF(COUNT(AM24:AO24)=2,AM24/AO24,"Moy")</f>
        <v>0.80769230769230771</v>
      </c>
      <c r="AN27" s="56"/>
      <c r="AO27" s="56">
        <v>6</v>
      </c>
      <c r="AP27" s="59"/>
      <c r="AQ27" s="55" t="str">
        <f>IF(COUNT(AQ24:AS24)=2,AQ24/AS24,"Moy")</f>
        <v>Moy</v>
      </c>
      <c r="AR27" s="56"/>
      <c r="AS27" s="56" t="s">
        <v>0</v>
      </c>
      <c r="AT27" s="59"/>
      <c r="AU27" s="55" t="str">
        <f>IF(COUNT(AU24:AW24)=2,AU24/AW24,"Moy")</f>
        <v>Moy</v>
      </c>
      <c r="AV27" s="56"/>
      <c r="AW27" s="56" t="s">
        <v>0</v>
      </c>
      <c r="AX27" s="59"/>
      <c r="AY27" s="55" t="str">
        <f>IF(COUNT(AY24:BA24)=2,AY24/BA24,"Moy")</f>
        <v>Moy</v>
      </c>
      <c r="AZ27" s="56"/>
      <c r="BA27" s="56" t="s">
        <v>0</v>
      </c>
      <c r="BB27" s="59"/>
      <c r="BC27" s="55" t="str">
        <f>IF(COUNT(BC24:BE24)=2,BC24/BE24,"Moy")</f>
        <v>Moy</v>
      </c>
      <c r="BD27" s="56"/>
      <c r="BE27" s="56" t="s">
        <v>0</v>
      </c>
      <c r="BF27" s="59"/>
      <c r="BG27" s="55" t="str">
        <f>IF(COUNT(BG24:BI24)=2,BG24/BI24,"Moy")</f>
        <v>Moy</v>
      </c>
      <c r="BH27" s="56"/>
      <c r="BI27" s="56" t="s">
        <v>0</v>
      </c>
      <c r="BJ27" s="59"/>
      <c r="BK27" s="55" t="str">
        <f>IF(COUNT(BK24:BM24)=2,BK24/BM24,"Moy")</f>
        <v>Moy</v>
      </c>
      <c r="BL27" s="56"/>
      <c r="BM27" s="56" t="s">
        <v>0</v>
      </c>
      <c r="BN27" s="59"/>
      <c r="BO27" s="55" t="str">
        <f>IF(COUNT(BO24:BQ24)=2,BO24/BQ24,"Moy")</f>
        <v>Moy</v>
      </c>
      <c r="BP27" s="56"/>
      <c r="BQ27" s="56" t="s">
        <v>0</v>
      </c>
      <c r="BR27" s="59"/>
      <c r="BS27" s="55" t="str">
        <f>IF(COUNT(BS24:BU24)=2,BS24/BU24,"Moy")</f>
        <v>Moy</v>
      </c>
      <c r="BT27" s="56"/>
      <c r="BU27" s="56" t="s">
        <v>0</v>
      </c>
      <c r="BV27" s="59"/>
      <c r="BW27" s="55" t="str">
        <f>IF(COUNT(BW24:BY24)=2,BW24/BY24,"Moy")</f>
        <v>Moy</v>
      </c>
      <c r="BX27" s="56"/>
      <c r="BY27" s="56" t="s">
        <v>0</v>
      </c>
      <c r="BZ27" s="59"/>
      <c r="CA27" s="55" t="str">
        <f>IF(COUNT(CA24:CC24)=2,CA24/CC24,"Moy")</f>
        <v>Moy</v>
      </c>
      <c r="CB27" s="56"/>
      <c r="CC27" s="56" t="s">
        <v>0</v>
      </c>
      <c r="CD27" s="59"/>
      <c r="CE27" s="55" t="str">
        <f>IF(COUNT(CE24:CG24)=2,CE24/CG24,"Moy")</f>
        <v>Moy</v>
      </c>
      <c r="CF27" s="56"/>
      <c r="CG27" s="56" t="s">
        <v>0</v>
      </c>
      <c r="CH27" s="59"/>
      <c r="CI27" s="55" t="str">
        <f>IF(COUNT(CI24:CK24)=2,CI24/CK24,"Moy")</f>
        <v>Moy</v>
      </c>
      <c r="CJ27" s="56"/>
      <c r="CK27" s="56" t="s">
        <v>0</v>
      </c>
      <c r="CL27" s="59"/>
      <c r="CM27" s="55" t="str">
        <f>IF(COUNT(CM24:CO24)=2,CM24/CO24,"Moy")</f>
        <v>Moy</v>
      </c>
      <c r="CN27" s="56"/>
      <c r="CO27" s="56" t="s">
        <v>0</v>
      </c>
      <c r="CP27" s="59"/>
      <c r="CQ27" s="22"/>
      <c r="CR27" s="8" t="s">
        <v>5</v>
      </c>
      <c r="CS27" s="17">
        <f>IF(CS24&gt;0,((N(C27)+N(G27)+N(K27)+N(O27)+N(S27)+N(W27)+N(AA27)+N(AE27)+N(AI27)+N(AM27)+N(AQ27)+N(AU27)+N(AY27)+N(BC27)+N(BG27)+N(BK27)+N(BO27)+N(BS27)+N(BW27)+N(CA27)+N(CE27)+N(CI27))+N(CM27))/CS24,0)</f>
        <v>1.0288461538461537</v>
      </c>
      <c r="CT27" s="61" t="s">
        <v>3</v>
      </c>
      <c r="CU27" s="62"/>
      <c r="CV27" s="18">
        <f>COUNTIF(C25:CN25,"Ex")</f>
        <v>0</v>
      </c>
      <c r="CW27" s="19">
        <f>IF(CS24&gt;0,CV27/CS24,0)</f>
        <v>0</v>
      </c>
    </row>
    <row r="28" spans="2:101" ht="15" customHeight="1" x14ac:dyDescent="0.25">
      <c r="B28" s="80" t="s">
        <v>37</v>
      </c>
      <c r="C28" s="47" t="s">
        <v>22</v>
      </c>
      <c r="D28" s="48"/>
      <c r="E28" s="49" t="s">
        <v>23</v>
      </c>
      <c r="F28" s="50"/>
      <c r="G28" s="47" t="s">
        <v>22</v>
      </c>
      <c r="H28" s="48"/>
      <c r="I28" s="49" t="s">
        <v>23</v>
      </c>
      <c r="J28" s="50"/>
      <c r="K28" s="47">
        <v>30</v>
      </c>
      <c r="L28" s="48"/>
      <c r="M28" s="49">
        <v>21</v>
      </c>
      <c r="N28" s="50"/>
      <c r="O28" s="47" t="s">
        <v>22</v>
      </c>
      <c r="P28" s="48"/>
      <c r="Q28" s="49" t="s">
        <v>23</v>
      </c>
      <c r="R28" s="50"/>
      <c r="S28" s="47">
        <v>30</v>
      </c>
      <c r="T28" s="48"/>
      <c r="U28" s="49">
        <v>25</v>
      </c>
      <c r="V28" s="50"/>
      <c r="W28" s="47" t="s">
        <v>22</v>
      </c>
      <c r="X28" s="48"/>
      <c r="Y28" s="49" t="s">
        <v>23</v>
      </c>
      <c r="Z28" s="50"/>
      <c r="AA28" s="83">
        <v>30</v>
      </c>
      <c r="AB28" s="84"/>
      <c r="AC28" s="84"/>
      <c r="AD28" s="85"/>
      <c r="AE28" s="47">
        <v>30</v>
      </c>
      <c r="AF28" s="48"/>
      <c r="AG28" s="49">
        <v>30</v>
      </c>
      <c r="AH28" s="50"/>
      <c r="AI28" s="47" t="s">
        <v>22</v>
      </c>
      <c r="AJ28" s="48"/>
      <c r="AK28" s="49" t="s">
        <v>23</v>
      </c>
      <c r="AL28" s="50"/>
      <c r="AM28" s="47">
        <v>30</v>
      </c>
      <c r="AN28" s="48"/>
      <c r="AO28" s="49">
        <v>28</v>
      </c>
      <c r="AP28" s="50"/>
      <c r="AQ28" s="47" t="s">
        <v>22</v>
      </c>
      <c r="AR28" s="48"/>
      <c r="AS28" s="49" t="s">
        <v>23</v>
      </c>
      <c r="AT28" s="50"/>
      <c r="AU28" s="47" t="s">
        <v>22</v>
      </c>
      <c r="AV28" s="48"/>
      <c r="AW28" s="49" t="s">
        <v>23</v>
      </c>
      <c r="AX28" s="50"/>
      <c r="AY28" s="47">
        <v>30</v>
      </c>
      <c r="AZ28" s="48"/>
      <c r="BA28" s="49">
        <v>33</v>
      </c>
      <c r="BB28" s="50"/>
      <c r="BC28" s="47">
        <v>30</v>
      </c>
      <c r="BD28" s="48"/>
      <c r="BE28" s="49">
        <v>43</v>
      </c>
      <c r="BF28" s="50"/>
      <c r="BG28" s="47">
        <v>30</v>
      </c>
      <c r="BH28" s="48"/>
      <c r="BI28" s="49">
        <v>27</v>
      </c>
      <c r="BJ28" s="50"/>
      <c r="BK28" s="47">
        <v>30</v>
      </c>
      <c r="BL28" s="48"/>
      <c r="BM28" s="49">
        <v>46</v>
      </c>
      <c r="BN28" s="50"/>
      <c r="BO28" s="47">
        <v>30</v>
      </c>
      <c r="BP28" s="48"/>
      <c r="BQ28" s="49">
        <v>26</v>
      </c>
      <c r="BR28" s="50"/>
      <c r="BS28" s="47" t="s">
        <v>22</v>
      </c>
      <c r="BT28" s="48"/>
      <c r="BU28" s="49" t="s">
        <v>23</v>
      </c>
      <c r="BV28" s="50"/>
      <c r="BW28" s="47" t="s">
        <v>22</v>
      </c>
      <c r="BX28" s="48"/>
      <c r="BY28" s="49" t="s">
        <v>23</v>
      </c>
      <c r="BZ28" s="50"/>
      <c r="CA28" s="47">
        <v>30</v>
      </c>
      <c r="CB28" s="48"/>
      <c r="CC28" s="49">
        <v>23</v>
      </c>
      <c r="CD28" s="50"/>
      <c r="CE28" s="47">
        <v>30</v>
      </c>
      <c r="CF28" s="48"/>
      <c r="CG28" s="49">
        <v>24</v>
      </c>
      <c r="CH28" s="50"/>
      <c r="CI28" s="47">
        <v>30</v>
      </c>
      <c r="CJ28" s="48"/>
      <c r="CK28" s="49">
        <v>31</v>
      </c>
      <c r="CL28" s="50"/>
      <c r="CM28" s="47" t="s">
        <v>22</v>
      </c>
      <c r="CN28" s="48"/>
      <c r="CO28" s="49" t="s">
        <v>23</v>
      </c>
      <c r="CP28" s="50"/>
      <c r="CQ28" s="23"/>
      <c r="CR28" s="7" t="s">
        <v>11</v>
      </c>
      <c r="CS28" s="14">
        <f>COUNTIF(C29:CN29,"G")+COUNTIF(C29:CN29,"Ex")+COUNTIF(C29:CN29,"P")</f>
        <v>12</v>
      </c>
      <c r="CT28" s="63" t="s">
        <v>1</v>
      </c>
      <c r="CU28" s="62"/>
      <c r="CV28" s="15">
        <f>COUNTIF(C29:CN29,"G")</f>
        <v>12</v>
      </c>
      <c r="CW28" s="16">
        <f>IF(CS28&gt;0,CV28/CS28,0)</f>
        <v>1</v>
      </c>
    </row>
    <row r="29" spans="2:101" ht="7.5" customHeight="1" x14ac:dyDescent="0.25">
      <c r="B29" s="81"/>
      <c r="C29" s="9"/>
      <c r="D29" s="51" t="str">
        <f>IF(N(C28)&gt;0,IF(C28&lt;Handicap7, Perdu,IF(C28=Handicap7,IF(AA4=Handicap1,Exaequo,Gagne))),"")</f>
        <v/>
      </c>
      <c r="E29" s="52"/>
      <c r="F29" s="46" t="str">
        <f>IF(N(AC4)&gt;0,IF(N(E28)=AC4,"-","Err"),"")</f>
        <v/>
      </c>
      <c r="G29" s="9"/>
      <c r="H29" s="51" t="str">
        <f>IF(N(G28)&gt;0,IF(G28&lt;Handicap7, Perdu,IF(G28=Handicap7,IF(AA8=Handicap2,Exaequo,Gagne))),"")</f>
        <v/>
      </c>
      <c r="I29" s="52"/>
      <c r="J29" s="46" t="str">
        <f>IF(N(AC8)&gt;0,IF(N(I28)=AC8,"-","Err"),"")</f>
        <v/>
      </c>
      <c r="K29" s="9"/>
      <c r="L29" s="51" t="str">
        <f>IF(N(K28)&gt;0,IF(K28&lt;Handicap7, Perdu,IF(K28=Handicap7,IF(AA12=Handicap3,Exaequo,Gagne))),"")</f>
        <v>G</v>
      </c>
      <c r="M29" s="52"/>
      <c r="N29" s="46" t="str">
        <f>IF(N(AC12)&gt;0,IF(N(M28)=AC12,"-","Err"),"")</f>
        <v>-</v>
      </c>
      <c r="O29" s="9"/>
      <c r="P29" s="51" t="str">
        <f>IF(N(O28)&gt;0,IF(O28&lt;Handicap7, Perdu,IF(O28=Handicap7,IF(AA16=Handicap4,Exaequo,Gagne))),"")</f>
        <v/>
      </c>
      <c r="Q29" s="52"/>
      <c r="R29" s="46" t="str">
        <f>IF(N(AC16)&gt;0,IF(N(Q28)=AC16,"-","Err"),"")</f>
        <v/>
      </c>
      <c r="S29" s="9"/>
      <c r="T29" s="51" t="str">
        <f>IF(N(S28)&gt;0,IF(S28&lt;Handicap7, Perdu,IF(S28=Handicap7,IF(AA20=Handicap5,Exaequo,Gagne))),"")</f>
        <v>G</v>
      </c>
      <c r="U29" s="52"/>
      <c r="V29" s="46" t="str">
        <f>IF(N(AC20)&gt;0,IF(N(U28)=AC20,"-","Err"),"")</f>
        <v>-</v>
      </c>
      <c r="W29" s="9"/>
      <c r="X29" s="51" t="str">
        <f>IF(N(W28)&gt;0,IF(W28&lt;Handicap7, Perdu,IF(W28=Handicap7,IF(AA24=Handicap6,Exaequo,Gagne))),"")</f>
        <v/>
      </c>
      <c r="Y29" s="52"/>
      <c r="Z29" s="46" t="str">
        <f>IF(N(AC24)&gt;0,IF(N(Y28)=AC24,"-","Err"),"")</f>
        <v/>
      </c>
      <c r="AA29" s="86"/>
      <c r="AB29" s="87"/>
      <c r="AC29" s="87"/>
      <c r="AD29" s="88"/>
      <c r="AE29" s="9"/>
      <c r="AF29" s="51" t="str">
        <f>IF(N(AE28)&gt;0,IF(AE28&lt;Handicap7, Perdu,IF(AE28=Handicap7,IF(AA32=Handicap8,Exaequo,Gagne))),"")</f>
        <v>G</v>
      </c>
      <c r="AG29" s="52"/>
      <c r="AH29" s="46" t="str">
        <f>IF(N(AC32)&gt;0,IF(N(AG28)=AC32,"-","Err"),"")</f>
        <v>-</v>
      </c>
      <c r="AI29" s="9"/>
      <c r="AJ29" s="51" t="str">
        <f>IF(N(AI28)&gt;0,IF(AI28&lt;Handicap7, Perdu,IF(AI28=Handicap7,IF(AA36=Handicap9,Exaequo,Gagne))),"")</f>
        <v/>
      </c>
      <c r="AK29" s="52"/>
      <c r="AL29" s="46" t="str">
        <f>IF(N(AC36)&gt;0,IF(N(AK28)=AC36,"-","Err"),"")</f>
        <v/>
      </c>
      <c r="AM29" s="9"/>
      <c r="AN29" s="51" t="str">
        <f>IF(N(AM28)&gt;0,IF(AM28&lt;Handicap7, Perdu,IF(AM28=Handicap7,IF(AA40=Handicap10,Exaequo,Gagne))),"")</f>
        <v>G</v>
      </c>
      <c r="AO29" s="52"/>
      <c r="AP29" s="46" t="str">
        <f>IF(N(AC40)&gt;0,IF(N(AO28)=AC40,"-","Err"),"")</f>
        <v>-</v>
      </c>
      <c r="AQ29" s="9"/>
      <c r="AR29" s="51" t="str">
        <f>IF(N(AQ28)&gt;0,IF(AQ28&lt;Handicap7, Perdu,IF(AQ28=Handicap7,IF(AA44=Handicap11,Exaequo,Gagne))),"")</f>
        <v/>
      </c>
      <c r="AS29" s="52"/>
      <c r="AT29" s="46" t="str">
        <f>IF(N(AC44)&gt;0,IF(N(AS28)=AC44,"-","Err"),"")</f>
        <v/>
      </c>
      <c r="AU29" s="9"/>
      <c r="AV29" s="51" t="str">
        <f>IF(N(AU28)&gt;0,IF(AU28&lt;Handicap7, Perdu,IF(AU28=Handicap7,IF(AA48=Handicap12,Exaequo,Gagne))),"")</f>
        <v/>
      </c>
      <c r="AW29" s="52"/>
      <c r="AX29" s="46" t="str">
        <f>IF(N(AC48)&gt;0,IF(N(AW28)=AC48,"-","Err"),"")</f>
        <v/>
      </c>
      <c r="AY29" s="9"/>
      <c r="AZ29" s="51" t="str">
        <f>IF(N(AY28)&gt;0,IF(AY28&lt;Handicap7, Perdu,IF(AY28=Handicap7,IF(AA52=Handicap13,Exaequo,Gagne))),"")</f>
        <v>G</v>
      </c>
      <c r="BA29" s="52"/>
      <c r="BB29" s="46" t="str">
        <f>IF(N(AC52)&gt;0,IF(N(BA28)=AC52,"-","Err"),"")</f>
        <v>-</v>
      </c>
      <c r="BC29" s="9"/>
      <c r="BD29" s="51" t="str">
        <f>IF(N(BC28)&gt;0,IF(BC28&lt;Handicap7, Perdu,IF(BC28=Handicap7,IF(AA56=hANDICAP14,Exaequo,Gagne))),"")</f>
        <v>G</v>
      </c>
      <c r="BE29" s="52"/>
      <c r="BF29" s="46" t="str">
        <f>IF(N(AC56)&gt;0,IF(N(BE28)=AC56,"-","Err"),"")</f>
        <v>-</v>
      </c>
      <c r="BG29" s="9"/>
      <c r="BH29" s="51" t="str">
        <f>IF(N(BG28)&gt;0,IF(BG28&lt;Handicap7, Perdu,IF(BG28=Handicap7,IF(AA60=Handicap15,Exaequo,Gagne))),"")</f>
        <v>G</v>
      </c>
      <c r="BI29" s="52"/>
      <c r="BJ29" s="46" t="str">
        <f>IF(N(AC60)&gt;0,IF(N(BI28)=AC60,"-","Err"),"")</f>
        <v>-</v>
      </c>
      <c r="BK29" s="9"/>
      <c r="BL29" s="51" t="str">
        <f>IF(N(BK28)&gt;0,IF(BK28&lt;Handicap7, Perdu,IF(BK28=Handicap7,IF(AA64=Handicap16,Exaequo,Gagne))),"")</f>
        <v>G</v>
      </c>
      <c r="BM29" s="52"/>
      <c r="BN29" s="46" t="str">
        <f>IF(N(AC64)&gt;0,IF(N(BM28)=AC64,"-","Err"),"")</f>
        <v>-</v>
      </c>
      <c r="BO29" s="9"/>
      <c r="BP29" s="51" t="str">
        <f>IF(N(BO28)&gt;0,IF(BO28&lt;Handicap7, Perdu,IF(BO28=Handicap7,IF(AA68=Handicap17,Exaequo,Gagne))),"")</f>
        <v>G</v>
      </c>
      <c r="BQ29" s="52"/>
      <c r="BR29" s="46" t="str">
        <f>IF(N(AC68)&gt;0,IF(N(BQ28)=AC68,"-","Err"),"")</f>
        <v>-</v>
      </c>
      <c r="BS29" s="9"/>
      <c r="BT29" s="51" t="str">
        <f>IF(N(BS28)&gt;0,IF(BS28&lt;Handicap7, Perdu,IF(BS28=Handicap7,IF(AA72=Handicap18,Exaequo,Gagne))),"")</f>
        <v/>
      </c>
      <c r="BU29" s="52"/>
      <c r="BV29" s="46" t="str">
        <f>IF(N(AC72)&gt;0,IF(N(BU28)=AC72,"-","Err"),"")</f>
        <v/>
      </c>
      <c r="BW29" s="9"/>
      <c r="BX29" s="51" t="str">
        <f>IF(N(BW28)&gt;0,IF(BW28&lt;Handicap7, Perdu,IF(BW28=Handicap7,IF(AA76=Handicap19,Exaequo,Gagne))),"")</f>
        <v/>
      </c>
      <c r="BY29" s="52"/>
      <c r="BZ29" s="46" t="str">
        <f>IF(N(AC76)&gt;0,IF(N(BY28)=AC76,"-","Err"),"")</f>
        <v/>
      </c>
      <c r="CA29" s="9"/>
      <c r="CB29" s="51" t="str">
        <f>IF(N(CA28)&gt;0,IF(CA28&lt;Handicap7, Perdu,IF(CA28=Handicap7,IF(AA80=Handicap20,Exaequo,Gagne))),"")</f>
        <v>G</v>
      </c>
      <c r="CC29" s="52"/>
      <c r="CD29" s="46" t="str">
        <f>IF(N(AC80)&gt;0,IF(N(CC28)=AC80,"-","Err"),"")</f>
        <v>-</v>
      </c>
      <c r="CE29" s="9"/>
      <c r="CF29" s="51" t="str">
        <f>IF(N(CE28)&gt;0,IF(CE28&lt;Handicap7, Perdu,IF(CE28=Handicap7,IF(AA84=Handicap21,Exaequo,Gagne))),"")</f>
        <v>G</v>
      </c>
      <c r="CG29" s="52"/>
      <c r="CH29" s="46" t="str">
        <f>IF(N(AC84)&gt;0,IF(N(CG28)=AC84,"-","Err"),"")</f>
        <v>-</v>
      </c>
      <c r="CI29" s="9"/>
      <c r="CJ29" s="51" t="str">
        <f>IF(N(CI28)&gt;0,IF(CI28&lt;Handicap7, Perdu,IF(CI28=Handicap7,IF(AA88=Handicap22,Exaequo,Gagne))),"")</f>
        <v>G</v>
      </c>
      <c r="CK29" s="52"/>
      <c r="CL29" s="46" t="str">
        <f>IF(N(AC88)&gt;0,IF(N(CK28)=AC88,"-","Err"),"")</f>
        <v>-</v>
      </c>
      <c r="CM29" s="46" t="str">
        <f>IF(N(CM28)&gt;Handicap7,"Err","-")</f>
        <v>-</v>
      </c>
      <c r="CN29" s="51" t="str">
        <f>IF(N(CM28)&gt;0,IF(CM28&lt;Handicap7, Perdu,IF(CM28=Handicap7,IF(AA92=Handicap23,Exaequo,Gagne))),"")</f>
        <v/>
      </c>
      <c r="CO29" s="52"/>
      <c r="CP29" s="46" t="str">
        <f>IF(N(AC92)&gt;0,IF(N(CO28)=AC92,"-","Err"),"")</f>
        <v/>
      </c>
      <c r="CQ29" s="30"/>
      <c r="CR29" s="64" t="s">
        <v>6</v>
      </c>
      <c r="CS29" s="66">
        <f>(COUNTIF(C29:CP29,"G")*3)+(COUNTIF(C29:CP29,"Ex")*2)+COUNTIF(C29:CP29,"P")</f>
        <v>36</v>
      </c>
      <c r="CT29" s="68" t="s">
        <v>2</v>
      </c>
      <c r="CU29" s="69"/>
      <c r="CV29" s="72">
        <f>COUNTIF(C29:CN29,"P")</f>
        <v>0</v>
      </c>
      <c r="CW29" s="60">
        <f>IF(CS28&gt;0,CV29/CS28,0)</f>
        <v>0</v>
      </c>
    </row>
    <row r="30" spans="2:101" ht="7.5" customHeight="1" x14ac:dyDescent="0.25">
      <c r="B30" s="81"/>
      <c r="C30" s="2"/>
      <c r="D30" s="53"/>
      <c r="E30" s="54"/>
      <c r="F30" s="46"/>
      <c r="G30" s="2"/>
      <c r="H30" s="53"/>
      <c r="I30" s="54"/>
      <c r="J30" s="46"/>
      <c r="K30" s="2"/>
      <c r="L30" s="53"/>
      <c r="M30" s="54"/>
      <c r="N30" s="46"/>
      <c r="O30" s="2"/>
      <c r="P30" s="53"/>
      <c r="Q30" s="54"/>
      <c r="R30" s="46"/>
      <c r="S30" s="2"/>
      <c r="T30" s="53"/>
      <c r="U30" s="54"/>
      <c r="V30" s="46"/>
      <c r="W30" s="2"/>
      <c r="X30" s="53"/>
      <c r="Y30" s="54"/>
      <c r="Z30" s="46"/>
      <c r="AA30" s="86"/>
      <c r="AB30" s="87"/>
      <c r="AC30" s="87"/>
      <c r="AD30" s="88"/>
      <c r="AE30" s="2"/>
      <c r="AF30" s="53"/>
      <c r="AG30" s="54"/>
      <c r="AH30" s="46"/>
      <c r="AI30" s="2"/>
      <c r="AJ30" s="53"/>
      <c r="AK30" s="54"/>
      <c r="AL30" s="46"/>
      <c r="AM30" s="2"/>
      <c r="AN30" s="53"/>
      <c r="AO30" s="54"/>
      <c r="AP30" s="46"/>
      <c r="AQ30" s="2"/>
      <c r="AR30" s="53"/>
      <c r="AS30" s="54"/>
      <c r="AT30" s="46"/>
      <c r="AU30" s="2"/>
      <c r="AV30" s="53"/>
      <c r="AW30" s="54"/>
      <c r="AX30" s="46"/>
      <c r="AY30" s="2"/>
      <c r="AZ30" s="53"/>
      <c r="BA30" s="54"/>
      <c r="BB30" s="46"/>
      <c r="BC30" s="2"/>
      <c r="BD30" s="53"/>
      <c r="BE30" s="54"/>
      <c r="BF30" s="46"/>
      <c r="BG30" s="2"/>
      <c r="BH30" s="53"/>
      <c r="BI30" s="54"/>
      <c r="BJ30" s="46"/>
      <c r="BK30" s="2"/>
      <c r="BL30" s="53"/>
      <c r="BM30" s="54"/>
      <c r="BN30" s="46"/>
      <c r="BO30" s="2"/>
      <c r="BP30" s="53"/>
      <c r="BQ30" s="54"/>
      <c r="BR30" s="46"/>
      <c r="BS30" s="2"/>
      <c r="BT30" s="53"/>
      <c r="BU30" s="54"/>
      <c r="BV30" s="46"/>
      <c r="BW30" s="2"/>
      <c r="BX30" s="53"/>
      <c r="BY30" s="54"/>
      <c r="BZ30" s="46"/>
      <c r="CA30" s="2"/>
      <c r="CB30" s="53"/>
      <c r="CC30" s="54"/>
      <c r="CD30" s="46"/>
      <c r="CE30" s="2"/>
      <c r="CF30" s="53"/>
      <c r="CG30" s="54"/>
      <c r="CH30" s="46"/>
      <c r="CI30" s="2"/>
      <c r="CJ30" s="53"/>
      <c r="CK30" s="54"/>
      <c r="CL30" s="46"/>
      <c r="CM30" s="46"/>
      <c r="CN30" s="53"/>
      <c r="CO30" s="54"/>
      <c r="CP30" s="46"/>
      <c r="CQ30" s="30"/>
      <c r="CR30" s="65"/>
      <c r="CS30" s="67"/>
      <c r="CT30" s="70"/>
      <c r="CU30" s="71"/>
      <c r="CV30" s="72"/>
      <c r="CW30" s="60"/>
    </row>
    <row r="31" spans="2:101" ht="15" customHeight="1" x14ac:dyDescent="0.25">
      <c r="B31" s="82"/>
      <c r="C31" s="55" t="str">
        <f>IF(COUNT(C28:E28)=2,C28/E28,"Moy")</f>
        <v>Moy</v>
      </c>
      <c r="D31" s="56"/>
      <c r="E31" s="56" t="s">
        <v>0</v>
      </c>
      <c r="F31" s="59"/>
      <c r="G31" s="55" t="str">
        <f>IF(COUNT(G28:I28)=2,G28/I28,"Moy")</f>
        <v>Moy</v>
      </c>
      <c r="H31" s="56"/>
      <c r="I31" s="56" t="s">
        <v>0</v>
      </c>
      <c r="J31" s="59"/>
      <c r="K31" s="55">
        <f>IF(COUNT(K28:M28)=2,K28/M28,"Moy")</f>
        <v>1.4285714285714286</v>
      </c>
      <c r="L31" s="56"/>
      <c r="M31" s="56">
        <v>5</v>
      </c>
      <c r="N31" s="59"/>
      <c r="O31" s="55" t="str">
        <f>IF(COUNT(O28:Q28)=2,O28/Q28,"Moy")</f>
        <v>Moy</v>
      </c>
      <c r="P31" s="56"/>
      <c r="Q31" s="56" t="s">
        <v>0</v>
      </c>
      <c r="R31" s="59"/>
      <c r="S31" s="55">
        <f>IF(COUNT(S28:U28)=2,S28/U28,"Moy")</f>
        <v>1.2</v>
      </c>
      <c r="T31" s="56"/>
      <c r="U31" s="56">
        <v>7</v>
      </c>
      <c r="V31" s="59"/>
      <c r="W31" s="55" t="str">
        <f>IF(COUNT(W28:Y28)=2,W28/Y28,"Moy")</f>
        <v>Moy</v>
      </c>
      <c r="X31" s="56"/>
      <c r="Y31" s="56" t="s">
        <v>0</v>
      </c>
      <c r="Z31" s="59"/>
      <c r="AA31" s="89"/>
      <c r="AB31" s="90"/>
      <c r="AC31" s="90"/>
      <c r="AD31" s="91"/>
      <c r="AE31" s="55">
        <f>IF(COUNT(AE28:AG28)=2,AE28/AG28,"Moy")</f>
        <v>1</v>
      </c>
      <c r="AF31" s="56"/>
      <c r="AG31" s="56">
        <v>3</v>
      </c>
      <c r="AH31" s="59"/>
      <c r="AI31" s="55" t="str">
        <f>IF(COUNT(AI28:AK28)=2,AI28/AK28,"Moy")</f>
        <v>Moy</v>
      </c>
      <c r="AJ31" s="56"/>
      <c r="AK31" s="56" t="s">
        <v>0</v>
      </c>
      <c r="AL31" s="59"/>
      <c r="AM31" s="55">
        <f>IF(COUNT(AM28:AO28)=2,AM28/AO28,"Moy")</f>
        <v>1.0714285714285714</v>
      </c>
      <c r="AN31" s="56"/>
      <c r="AO31" s="56">
        <v>8</v>
      </c>
      <c r="AP31" s="59"/>
      <c r="AQ31" s="55" t="str">
        <f>IF(COUNT(AQ28:AS28)=2,AQ28/AS28,"Moy")</f>
        <v>Moy</v>
      </c>
      <c r="AR31" s="56"/>
      <c r="AS31" s="56" t="s">
        <v>0</v>
      </c>
      <c r="AT31" s="59"/>
      <c r="AU31" s="55" t="str">
        <f>IF(COUNT(AU28:AW28)=2,AU28/AW28,"Moy")</f>
        <v>Moy</v>
      </c>
      <c r="AV31" s="56"/>
      <c r="AW31" s="56" t="s">
        <v>0</v>
      </c>
      <c r="AX31" s="59"/>
      <c r="AY31" s="55">
        <f>IF(COUNT(AY28:BA28)=2,AY28/BA28,"Moy")</f>
        <v>0.90909090909090906</v>
      </c>
      <c r="AZ31" s="56"/>
      <c r="BA31" s="56">
        <v>5</v>
      </c>
      <c r="BB31" s="59"/>
      <c r="BC31" s="55">
        <f>IF(COUNT(BC28:BE28)=2,BC28/BE28,"Moy")</f>
        <v>0.69767441860465118</v>
      </c>
      <c r="BD31" s="56"/>
      <c r="BE31" s="56">
        <v>2</v>
      </c>
      <c r="BF31" s="59"/>
      <c r="BG31" s="55">
        <f>IF(COUNT(BG28:BI28)=2,BG28/BI28,"Moy")</f>
        <v>1.1111111111111112</v>
      </c>
      <c r="BH31" s="56"/>
      <c r="BI31" s="56">
        <v>5</v>
      </c>
      <c r="BJ31" s="59"/>
      <c r="BK31" s="55">
        <f>IF(COUNT(BK28:BM28)=2,BK28/BM28,"Moy")</f>
        <v>0.65217391304347827</v>
      </c>
      <c r="BL31" s="56"/>
      <c r="BM31" s="56">
        <v>4</v>
      </c>
      <c r="BN31" s="59"/>
      <c r="BO31" s="55">
        <f>IF(COUNT(BO28:BQ28)=2,BO28/BQ28,"Moy")</f>
        <v>1.1538461538461537</v>
      </c>
      <c r="BP31" s="56"/>
      <c r="BQ31" s="56">
        <v>7</v>
      </c>
      <c r="BR31" s="59"/>
      <c r="BS31" s="55" t="str">
        <f>IF(COUNT(BS28:BU28)=2,BS28/BU28,"Moy")</f>
        <v>Moy</v>
      </c>
      <c r="BT31" s="56"/>
      <c r="BU31" s="56" t="s">
        <v>0</v>
      </c>
      <c r="BV31" s="59"/>
      <c r="BW31" s="55" t="str">
        <f>IF(COUNT(BW28:BY28)=2,BW28/BY28,"Moy")</f>
        <v>Moy</v>
      </c>
      <c r="BX31" s="56"/>
      <c r="BY31" s="56" t="s">
        <v>0</v>
      </c>
      <c r="BZ31" s="59"/>
      <c r="CA31" s="55">
        <f>IF(COUNT(CA28:CC28)=2,CA28/CC28,"Moy")</f>
        <v>1.3043478260869565</v>
      </c>
      <c r="CB31" s="56"/>
      <c r="CC31" s="56">
        <v>5</v>
      </c>
      <c r="CD31" s="59"/>
      <c r="CE31" s="55">
        <f>IF(COUNT(CE28:CG28)=2,CE28/CG28,"Moy")</f>
        <v>1.25</v>
      </c>
      <c r="CF31" s="56"/>
      <c r="CG31" s="56">
        <v>5</v>
      </c>
      <c r="CH31" s="59"/>
      <c r="CI31" s="55">
        <f>IF(COUNT(CI28:CK28)=2,CI28/CK28,"Moy")</f>
        <v>0.967741935483871</v>
      </c>
      <c r="CJ31" s="56"/>
      <c r="CK31" s="56">
        <v>5</v>
      </c>
      <c r="CL31" s="59"/>
      <c r="CM31" s="55" t="str">
        <f>IF(COUNT(CM28:CO28)=2,CM28/CO28,"Moy")</f>
        <v>Moy</v>
      </c>
      <c r="CN31" s="56"/>
      <c r="CO31" s="56" t="s">
        <v>0</v>
      </c>
      <c r="CP31" s="59"/>
      <c r="CQ31" s="22"/>
      <c r="CR31" s="8" t="s">
        <v>5</v>
      </c>
      <c r="CS31" s="17">
        <f>IF(CS28&gt;0,((N(C31)+N(G31)+N(K31)+N(O31)+N(S31)+N(W31)+N(AA31)+N(AE31)+N(AI31)+N(AM31)+N(AQ31)+N(AU31)+N(AY31)+N(BC31)+N(BG31)+N(BK31)+N(BO31)+N(BS31)+N(BW31)+N(CA31)+N(CE31)+N(CI31))+N(CM31))/CS28,0)</f>
        <v>1.062165522272261</v>
      </c>
      <c r="CT31" s="61" t="s">
        <v>3</v>
      </c>
      <c r="CU31" s="62"/>
      <c r="CV31" s="18">
        <f>COUNTIF(C29:CN29,"Ex")</f>
        <v>0</v>
      </c>
      <c r="CW31" s="19">
        <f>IF(CS28&gt;0,CV31/CS28,0)</f>
        <v>0</v>
      </c>
    </row>
    <row r="32" spans="2:101" ht="15" customHeight="1" x14ac:dyDescent="0.25">
      <c r="B32" s="92" t="s">
        <v>38</v>
      </c>
      <c r="C32" s="47">
        <v>36</v>
      </c>
      <c r="D32" s="48"/>
      <c r="E32" s="49">
        <v>38</v>
      </c>
      <c r="F32" s="50"/>
      <c r="G32" s="47" t="s">
        <v>22</v>
      </c>
      <c r="H32" s="48"/>
      <c r="I32" s="49" t="s">
        <v>23</v>
      </c>
      <c r="J32" s="50"/>
      <c r="K32" s="47">
        <v>36</v>
      </c>
      <c r="L32" s="48"/>
      <c r="M32" s="49">
        <v>54</v>
      </c>
      <c r="N32" s="50"/>
      <c r="O32" s="47">
        <v>37</v>
      </c>
      <c r="P32" s="48"/>
      <c r="Q32" s="49">
        <v>38</v>
      </c>
      <c r="R32" s="50"/>
      <c r="S32" s="47">
        <v>50</v>
      </c>
      <c r="T32" s="48"/>
      <c r="U32" s="49">
        <v>57</v>
      </c>
      <c r="V32" s="50"/>
      <c r="W32" s="47">
        <v>44</v>
      </c>
      <c r="X32" s="48"/>
      <c r="Y32" s="49">
        <v>40</v>
      </c>
      <c r="Z32" s="50"/>
      <c r="AA32" s="47">
        <v>28</v>
      </c>
      <c r="AB32" s="48"/>
      <c r="AC32" s="49">
        <v>30</v>
      </c>
      <c r="AD32" s="50"/>
      <c r="AE32" s="83">
        <v>50</v>
      </c>
      <c r="AF32" s="84"/>
      <c r="AG32" s="84"/>
      <c r="AH32" s="85"/>
      <c r="AI32" s="47" t="s">
        <v>22</v>
      </c>
      <c r="AJ32" s="48"/>
      <c r="AK32" s="49" t="s">
        <v>23</v>
      </c>
      <c r="AL32" s="50"/>
      <c r="AM32" s="47">
        <v>37</v>
      </c>
      <c r="AN32" s="48"/>
      <c r="AO32" s="49">
        <v>42</v>
      </c>
      <c r="AP32" s="50"/>
      <c r="AQ32" s="47">
        <v>44</v>
      </c>
      <c r="AR32" s="48"/>
      <c r="AS32" s="49">
        <v>42</v>
      </c>
      <c r="AT32" s="50"/>
      <c r="AU32" s="47" t="s">
        <v>22</v>
      </c>
      <c r="AV32" s="48"/>
      <c r="AW32" s="49" t="s">
        <v>23</v>
      </c>
      <c r="AX32" s="50"/>
      <c r="AY32" s="47">
        <v>42</v>
      </c>
      <c r="AZ32" s="48"/>
      <c r="BA32" s="49">
        <v>41</v>
      </c>
      <c r="BB32" s="50"/>
      <c r="BC32" s="47" t="s">
        <v>22</v>
      </c>
      <c r="BD32" s="48"/>
      <c r="BE32" s="49" t="s">
        <v>23</v>
      </c>
      <c r="BF32" s="50"/>
      <c r="BG32" s="47" t="s">
        <v>22</v>
      </c>
      <c r="BH32" s="48"/>
      <c r="BI32" s="49" t="s">
        <v>23</v>
      </c>
      <c r="BJ32" s="50"/>
      <c r="BK32" s="47" t="s">
        <v>22</v>
      </c>
      <c r="BL32" s="48"/>
      <c r="BM32" s="49" t="s">
        <v>23</v>
      </c>
      <c r="BN32" s="50"/>
      <c r="BO32" s="47">
        <v>29</v>
      </c>
      <c r="BP32" s="48"/>
      <c r="BQ32" s="49">
        <v>22</v>
      </c>
      <c r="BR32" s="50"/>
      <c r="BS32" s="47" t="s">
        <v>22</v>
      </c>
      <c r="BT32" s="48"/>
      <c r="BU32" s="49" t="s">
        <v>23</v>
      </c>
      <c r="BV32" s="50"/>
      <c r="BW32" s="47" t="s">
        <v>22</v>
      </c>
      <c r="BX32" s="48"/>
      <c r="BY32" s="49" t="s">
        <v>23</v>
      </c>
      <c r="BZ32" s="50"/>
      <c r="CA32" s="47">
        <v>49</v>
      </c>
      <c r="CB32" s="48"/>
      <c r="CC32" s="49">
        <v>61</v>
      </c>
      <c r="CD32" s="50"/>
      <c r="CE32" s="47">
        <v>40</v>
      </c>
      <c r="CF32" s="48"/>
      <c r="CG32" s="49">
        <v>38</v>
      </c>
      <c r="CH32" s="50"/>
      <c r="CI32" s="47" t="s">
        <v>22</v>
      </c>
      <c r="CJ32" s="48"/>
      <c r="CK32" s="49" t="s">
        <v>23</v>
      </c>
      <c r="CL32" s="50"/>
      <c r="CM32" s="47" t="s">
        <v>22</v>
      </c>
      <c r="CN32" s="48"/>
      <c r="CO32" s="49" t="s">
        <v>23</v>
      </c>
      <c r="CP32" s="50"/>
      <c r="CQ32" s="23"/>
      <c r="CR32" s="7" t="s">
        <v>11</v>
      </c>
      <c r="CS32" s="14">
        <f>COUNTIF(C33:CN33,"G")+COUNTIF(C33:CN33,"Ex")+COUNTIF(C33:CN33,"P")</f>
        <v>12</v>
      </c>
      <c r="CT32" s="63" t="s">
        <v>1</v>
      </c>
      <c r="CU32" s="62"/>
      <c r="CV32" s="15">
        <f>COUNTIF(C33:CN33,"G")</f>
        <v>1</v>
      </c>
      <c r="CW32" s="16">
        <f>IF(CS32&gt;0,CV32/CS32,0)</f>
        <v>8.3333333333333329E-2</v>
      </c>
    </row>
    <row r="33" spans="2:101" ht="7.5" customHeight="1" x14ac:dyDescent="0.25">
      <c r="B33" s="93"/>
      <c r="C33" s="9"/>
      <c r="D33" s="51" t="str">
        <f>IF(N(C32)&gt;0,IF(C32&lt;Handicap8, Perdu,IF(C32=Handicap8,IF(AE4=Handicap1,Exaequo,Gagne))),"")</f>
        <v>P</v>
      </c>
      <c r="E33" s="52"/>
      <c r="F33" s="46" t="str">
        <f>IF(N(AG4)&gt;0,IF(N(E32)=AG4,"-","Err"),"")</f>
        <v>-</v>
      </c>
      <c r="G33" s="9"/>
      <c r="H33" s="51" t="str">
        <f>IF(N(G32)&gt;0,IF(G32&lt;Handicap8, Perdu,IF(G32=Handicap8,IF(AE8=Handicap2,Exaequo,Gagne))),"")</f>
        <v/>
      </c>
      <c r="I33" s="52"/>
      <c r="J33" s="46" t="str">
        <f>IF(N(AG8)&gt;0,IF(N(I32)=AG8,"-","Err"),"")</f>
        <v/>
      </c>
      <c r="K33" s="9"/>
      <c r="L33" s="51" t="str">
        <f>IF(N(K32)&gt;0,IF(K32&lt;Handicap8, Perdu,IF(K32=Handicap8,IF(AE12=Handicap3,Exaequo,Gagne))),"")</f>
        <v>P</v>
      </c>
      <c r="M33" s="52"/>
      <c r="N33" s="46" t="str">
        <f>IF(N(AG12)&gt;0,IF(N(M32)=AG12,"-","Err"),"")</f>
        <v>-</v>
      </c>
      <c r="O33" s="9"/>
      <c r="P33" s="51" t="str">
        <f>IF(N(O32)&gt;0,IF(O32&lt;Handicap8, Perdu,IF(O32=Handicap8,IF(AE16=Handicap4,Exaequo,Gagne))),"")</f>
        <v>P</v>
      </c>
      <c r="Q33" s="52"/>
      <c r="R33" s="46" t="str">
        <f>IF(N(AG16)&gt;0,IF(N(Q32)=AG16,"-","Err"),"")</f>
        <v>-</v>
      </c>
      <c r="S33" s="9"/>
      <c r="T33" s="51" t="str">
        <f>IF(N(S32)&gt;0,IF(S32&lt;Handicap8, Perdu,IF(S32=Handicap8,IF(AE20=Handicap5,Exaequo,Gagne))),"")</f>
        <v>G</v>
      </c>
      <c r="U33" s="52"/>
      <c r="V33" s="46" t="str">
        <f>IF(N(AG20)&gt;0,IF(N(U32)=AG20,"-","Err"),"")</f>
        <v>-</v>
      </c>
      <c r="W33" s="9"/>
      <c r="X33" s="51" t="str">
        <f>IF(N(W32)&gt;0,IF(W32&lt;Handicap8, Perdu,IF(W32=Handicap8,IF(AE24=Handicap6,Exaequo,Gagne))),"")</f>
        <v>P</v>
      </c>
      <c r="Y33" s="52"/>
      <c r="Z33" s="46" t="str">
        <f>IF(N(AG24)&gt;0,IF(N(Y32)=AG24,"-","Err"),"")</f>
        <v>-</v>
      </c>
      <c r="AA33" s="9"/>
      <c r="AB33" s="51" t="str">
        <f>IF(N(AA32)&gt;0,IF(AA32&lt;Handicap8, Perdu,IF(AA32=Handicap8,IF(AE28=Handicap7,Exaequo,Gagne))),"")</f>
        <v>P</v>
      </c>
      <c r="AC33" s="52"/>
      <c r="AD33" s="46" t="str">
        <f>IF(N(AG28)&gt;0,IF(N(AC32)=AG28,"-","Err"),"")</f>
        <v>-</v>
      </c>
      <c r="AE33" s="86"/>
      <c r="AF33" s="87"/>
      <c r="AG33" s="87"/>
      <c r="AH33" s="88"/>
      <c r="AI33" s="9"/>
      <c r="AJ33" s="51" t="str">
        <f>IF(N(AI32)&gt;0,IF(AI32&lt;Handicap8, Perdu,IF(AI32=Handicap8,IF(AE36=Handicap9,Exaequo,Gagne))),"")</f>
        <v/>
      </c>
      <c r="AK33" s="52"/>
      <c r="AL33" s="46" t="str">
        <f>IF(N(AG36)&gt;0,IF(N(AK32)=AG36,"-","Err"),"")</f>
        <v/>
      </c>
      <c r="AM33" s="9"/>
      <c r="AN33" s="51" t="str">
        <f>IF(N(AM32)&gt;0,IF(AM32&lt;Handicap8, Perdu,IF(AM32=Handicap8,IF(AE40=Handicap10,Exaequo,Gagne))),"")</f>
        <v>P</v>
      </c>
      <c r="AO33" s="52"/>
      <c r="AP33" s="46" t="str">
        <f>IF(N(AG40)&gt;0,IF(N(AO32)=AG40,"-","Err"),"")</f>
        <v>-</v>
      </c>
      <c r="AQ33" s="9"/>
      <c r="AR33" s="51" t="str">
        <f>IF(N(AQ32)&gt;0,IF(AQ32&lt;Handicap8, Perdu,IF(AQ32=Handicap8,IF(AE44=Handicap11,Exaequo,Gagne))),"")</f>
        <v>P</v>
      </c>
      <c r="AS33" s="52"/>
      <c r="AT33" s="46" t="str">
        <f>IF(N(AG44)&gt;0,IF(N(AS32)=AG44,"-","Err"),"")</f>
        <v>-</v>
      </c>
      <c r="AU33" s="9"/>
      <c r="AV33" s="51" t="str">
        <f>IF(N(AU32)&gt;0,IF(AU32&lt;Handicap8, Perdu,IF(AU32=Handicap8,IF(AE48=Handicap12,Exaequo,Gagne))),"")</f>
        <v/>
      </c>
      <c r="AW33" s="52"/>
      <c r="AX33" s="46" t="str">
        <f>IF(N(AG48)&gt;0,IF(N(AW32)=AG48,"-","Err"),"")</f>
        <v/>
      </c>
      <c r="AY33" s="9"/>
      <c r="AZ33" s="51" t="str">
        <f>IF(N(AY32)&gt;0,IF(AY32&lt;Handicap8, Perdu,IF(AY32=Handicap8,IF(AE52=Handicap13,Exaequo,Gagne))),"")</f>
        <v>P</v>
      </c>
      <c r="BA33" s="52"/>
      <c r="BB33" s="46" t="str">
        <f>IF(N(AG52)&gt;0,IF(N(BA32)=AG52,"-","Err"),"")</f>
        <v>-</v>
      </c>
      <c r="BC33" s="9"/>
      <c r="BD33" s="51" t="str">
        <f>IF(N(BC32)&gt;0,IF(BC32&lt;Handicap8, Perdu,IF(BC32=Handicap8,IF(AE56=hANDICAP14,Exaequo,Gagne))),"")</f>
        <v/>
      </c>
      <c r="BE33" s="52"/>
      <c r="BF33" s="46" t="str">
        <f>IF(N(AG56)&gt;0,IF(N(BE32)=AG56,"-","Err"),"")</f>
        <v/>
      </c>
      <c r="BG33" s="9"/>
      <c r="BH33" s="51" t="str">
        <f>IF(N(BG32)&gt;0,IF(BG32&lt;Handicap8, Perdu,IF(BG32=Handicap8,IF(AE60=Handicap15,Exaequo,Gagne))),"")</f>
        <v/>
      </c>
      <c r="BI33" s="52"/>
      <c r="BJ33" s="46" t="str">
        <f>IF(N(AG60)&gt;0,IF(N(BI32)=AG60,"-","Err"),"")</f>
        <v/>
      </c>
      <c r="BK33" s="9"/>
      <c r="BL33" s="51" t="str">
        <f>IF(N(BK32)&gt;0,IF(BK32&lt;Handicap8, Perdu,IF(BK32=Handicap8,IF(AE64=Handicap16,Exaequo,Gagne))),"")</f>
        <v/>
      </c>
      <c r="BM33" s="52"/>
      <c r="BN33" s="46" t="str">
        <f>IF(N(AG64)&gt;0,IF(N(BM32)=AG64,"-","Err"),"")</f>
        <v/>
      </c>
      <c r="BO33" s="9"/>
      <c r="BP33" s="51" t="str">
        <f>IF(N(BO32)&gt;0,IF(BO32&lt;Handicap8, Perdu,IF(BO32=Handicap8,IF(AE68=Handicap17,Exaequo,Gagne))),"")</f>
        <v>P</v>
      </c>
      <c r="BQ33" s="52"/>
      <c r="BR33" s="46" t="str">
        <f>IF(N(AG68)&gt;0,IF(N(BQ32)=AG68,"-","Err"),"")</f>
        <v>-</v>
      </c>
      <c r="BS33" s="9"/>
      <c r="BT33" s="51" t="str">
        <f>IF(N(BS32)&gt;0,IF(BS32&lt;Handicap8, Perdu,IF(BS32=Handicap8,IF(AE72=Handicap18,Exaequo,Gagne))),"")</f>
        <v/>
      </c>
      <c r="BU33" s="52"/>
      <c r="BV33" s="46" t="str">
        <f>IF(N(AG72)&gt;0,IF(N(BU32)=AG72,"-","Err"),"")</f>
        <v/>
      </c>
      <c r="BW33" s="9"/>
      <c r="BX33" s="51" t="str">
        <f>IF(N(BW32)&gt;0,IF(BW32&lt;Handicap8, Perdu,IF(BW32=Handicap8,IF(AE76=Handicap19,Exaequo,Gagne))),"")</f>
        <v/>
      </c>
      <c r="BY33" s="52"/>
      <c r="BZ33" s="46" t="str">
        <f>IF(N(AG76)&gt;0,IF(N(BY32)=AG76,"-","Err"),"")</f>
        <v/>
      </c>
      <c r="CA33" s="9"/>
      <c r="CB33" s="51" t="str">
        <f>IF(N(CA32)&gt;0,IF(CA32&lt;Handicap8, Perdu,IF(CA32=Handicap8,IF(AE80=Handicap20,Exaequo,Gagne))),"")</f>
        <v>P</v>
      </c>
      <c r="CC33" s="52"/>
      <c r="CD33" s="46" t="str">
        <f>IF(N(AG80)&gt;0,IF(N(CC32)=AG80,"-","Err"),"")</f>
        <v>-</v>
      </c>
      <c r="CE33" s="9"/>
      <c r="CF33" s="51" t="str">
        <f>IF(N(CE32)&gt;0,IF(CE32&lt;Handicap8, Perdu,IF(CE32=Handicap8,IF(AE84=Handicap21,Exaequo,Gagne))),"")</f>
        <v>P</v>
      </c>
      <c r="CG33" s="52"/>
      <c r="CH33" s="46" t="str">
        <f>IF(N(AG84)&gt;0,IF(N(CG32)=AG84,"-","Err"),"")</f>
        <v>-</v>
      </c>
      <c r="CI33" s="9"/>
      <c r="CJ33" s="51" t="str">
        <f>IF(N(CI32)&gt;0,IF(CI32&lt;Handicap8, Perdu,IF(CI32=Handicap8,IF(AE88=Handicap22,Exaequo,Gagne))),"")</f>
        <v/>
      </c>
      <c r="CK33" s="52"/>
      <c r="CL33" s="46" t="str">
        <f>IF(N(AG88)&gt;0,IF(N(CK32)=AG88,"-","Err"),"")</f>
        <v/>
      </c>
      <c r="CM33" s="46" t="str">
        <f>IF(N(CM32)&gt;Handicap8,"Err","-")</f>
        <v>-</v>
      </c>
      <c r="CN33" s="51" t="str">
        <f>IF(N(CM32)&gt;0,IF(CM32&lt;Handicap8, Perdu,IF(CM32=Handicap8,IF(AE92=Handicap23,Exaequo,Gagne))),"")</f>
        <v/>
      </c>
      <c r="CO33" s="52"/>
      <c r="CP33" s="46" t="str">
        <f>IF(N(AG92)&gt;0,IF(N(CO32)=AG92,"-","Err"),"")</f>
        <v/>
      </c>
      <c r="CQ33" s="30"/>
      <c r="CR33" s="64" t="s">
        <v>6</v>
      </c>
      <c r="CS33" s="66">
        <f>(COUNTIF(C33:CP33,"G")*3)+(COUNTIF(C33:CP33,"Ex")*2)+COUNTIF(C33:CP33,"P")</f>
        <v>14</v>
      </c>
      <c r="CT33" s="68" t="s">
        <v>2</v>
      </c>
      <c r="CU33" s="69"/>
      <c r="CV33" s="72">
        <f>COUNTIF(C33:CN33,"P")</f>
        <v>11</v>
      </c>
      <c r="CW33" s="60">
        <f>IF(CS32&gt;0,CV33/CS32,0)</f>
        <v>0.91666666666666663</v>
      </c>
    </row>
    <row r="34" spans="2:101" ht="7.5" customHeight="1" x14ac:dyDescent="0.25">
      <c r="B34" s="93"/>
      <c r="C34" s="2"/>
      <c r="D34" s="53"/>
      <c r="E34" s="54"/>
      <c r="F34" s="46"/>
      <c r="G34" s="2"/>
      <c r="H34" s="53"/>
      <c r="I34" s="54"/>
      <c r="J34" s="46"/>
      <c r="K34" s="2"/>
      <c r="L34" s="53"/>
      <c r="M34" s="54"/>
      <c r="N34" s="46"/>
      <c r="O34" s="2"/>
      <c r="P34" s="53"/>
      <c r="Q34" s="54"/>
      <c r="R34" s="46"/>
      <c r="S34" s="2"/>
      <c r="T34" s="53"/>
      <c r="U34" s="54"/>
      <c r="V34" s="46"/>
      <c r="W34" s="2"/>
      <c r="X34" s="53"/>
      <c r="Y34" s="54"/>
      <c r="Z34" s="46"/>
      <c r="AA34" s="2"/>
      <c r="AB34" s="53"/>
      <c r="AC34" s="54"/>
      <c r="AD34" s="46"/>
      <c r="AE34" s="86"/>
      <c r="AF34" s="87"/>
      <c r="AG34" s="87"/>
      <c r="AH34" s="88"/>
      <c r="AI34" s="2"/>
      <c r="AJ34" s="53"/>
      <c r="AK34" s="54"/>
      <c r="AL34" s="46"/>
      <c r="AM34" s="2"/>
      <c r="AN34" s="53"/>
      <c r="AO34" s="54"/>
      <c r="AP34" s="46"/>
      <c r="AQ34" s="2"/>
      <c r="AR34" s="53"/>
      <c r="AS34" s="54"/>
      <c r="AT34" s="46"/>
      <c r="AU34" s="2"/>
      <c r="AV34" s="53"/>
      <c r="AW34" s="54"/>
      <c r="AX34" s="46"/>
      <c r="AY34" s="2"/>
      <c r="AZ34" s="53"/>
      <c r="BA34" s="54"/>
      <c r="BB34" s="46"/>
      <c r="BC34" s="2"/>
      <c r="BD34" s="53"/>
      <c r="BE34" s="54"/>
      <c r="BF34" s="46"/>
      <c r="BG34" s="2"/>
      <c r="BH34" s="53"/>
      <c r="BI34" s="54"/>
      <c r="BJ34" s="46"/>
      <c r="BK34" s="2"/>
      <c r="BL34" s="53"/>
      <c r="BM34" s="54"/>
      <c r="BN34" s="46"/>
      <c r="BO34" s="2"/>
      <c r="BP34" s="53"/>
      <c r="BQ34" s="54"/>
      <c r="BR34" s="46"/>
      <c r="BS34" s="2"/>
      <c r="BT34" s="53"/>
      <c r="BU34" s="54"/>
      <c r="BV34" s="46"/>
      <c r="BW34" s="2"/>
      <c r="BX34" s="53"/>
      <c r="BY34" s="54"/>
      <c r="BZ34" s="46"/>
      <c r="CA34" s="2"/>
      <c r="CB34" s="53"/>
      <c r="CC34" s="54"/>
      <c r="CD34" s="46"/>
      <c r="CE34" s="2"/>
      <c r="CF34" s="53"/>
      <c r="CG34" s="54"/>
      <c r="CH34" s="46"/>
      <c r="CI34" s="2"/>
      <c r="CJ34" s="53"/>
      <c r="CK34" s="54"/>
      <c r="CL34" s="46"/>
      <c r="CM34" s="46"/>
      <c r="CN34" s="53"/>
      <c r="CO34" s="54"/>
      <c r="CP34" s="46"/>
      <c r="CQ34" s="30"/>
      <c r="CR34" s="65"/>
      <c r="CS34" s="67"/>
      <c r="CT34" s="70"/>
      <c r="CU34" s="71"/>
      <c r="CV34" s="72"/>
      <c r="CW34" s="60"/>
    </row>
    <row r="35" spans="2:101" ht="15" customHeight="1" x14ac:dyDescent="0.25">
      <c r="B35" s="94"/>
      <c r="C35" s="55">
        <f>IF(COUNT(C32:E32)=2,C32/E32,"Moy")</f>
        <v>0.94736842105263153</v>
      </c>
      <c r="D35" s="56"/>
      <c r="E35" s="56">
        <v>7</v>
      </c>
      <c r="F35" s="59"/>
      <c r="G35" s="55" t="str">
        <f>IF(COUNT(G32:I32)=2,G32/I32,"Moy")</f>
        <v>Moy</v>
      </c>
      <c r="H35" s="56"/>
      <c r="I35" s="56" t="s">
        <v>0</v>
      </c>
      <c r="J35" s="59"/>
      <c r="K35" s="55">
        <f>IF(COUNT(K32:M32)=2,K32/M32,"Moy")</f>
        <v>0.66666666666666663</v>
      </c>
      <c r="L35" s="56"/>
      <c r="M35" s="56">
        <v>4</v>
      </c>
      <c r="N35" s="59"/>
      <c r="O35" s="55">
        <f>IF(COUNT(O32:Q32)=2,O32/Q32,"Moy")</f>
        <v>0.97368421052631582</v>
      </c>
      <c r="P35" s="56"/>
      <c r="Q35" s="56">
        <v>4</v>
      </c>
      <c r="R35" s="59"/>
      <c r="S35" s="55">
        <f>IF(COUNT(S32:U32)=2,S32/U32,"Moy")</f>
        <v>0.8771929824561403</v>
      </c>
      <c r="T35" s="56"/>
      <c r="U35" s="56">
        <v>5</v>
      </c>
      <c r="V35" s="59"/>
      <c r="W35" s="55">
        <f>IF(COUNT(W32:Y32)=2,W32/Y32,"Moy")</f>
        <v>1.1000000000000001</v>
      </c>
      <c r="X35" s="56"/>
      <c r="Y35" s="56">
        <v>8</v>
      </c>
      <c r="Z35" s="59"/>
      <c r="AA35" s="55">
        <f>IF(COUNT(AA32:AC32)=2,AA32/AC32,"Moy")</f>
        <v>0.93333333333333335</v>
      </c>
      <c r="AB35" s="56"/>
      <c r="AC35" s="56">
        <v>6</v>
      </c>
      <c r="AD35" s="59"/>
      <c r="AE35" s="89"/>
      <c r="AF35" s="90"/>
      <c r="AG35" s="90"/>
      <c r="AH35" s="91"/>
      <c r="AI35" s="55" t="str">
        <f>IF(COUNT(AI32:AK32)=2,AI32/AK32,"Moy")</f>
        <v>Moy</v>
      </c>
      <c r="AJ35" s="56"/>
      <c r="AK35" s="56" t="s">
        <v>0</v>
      </c>
      <c r="AL35" s="59"/>
      <c r="AM35" s="55">
        <f>IF(COUNT(AM32:AO32)=2,AM32/AO32,"Moy")</f>
        <v>0.88095238095238093</v>
      </c>
      <c r="AN35" s="56"/>
      <c r="AO35" s="56">
        <v>6</v>
      </c>
      <c r="AP35" s="59"/>
      <c r="AQ35" s="55">
        <f>IF(COUNT(AQ32:AS32)=2,AQ32/AS32,"Moy")</f>
        <v>1.0476190476190477</v>
      </c>
      <c r="AR35" s="56"/>
      <c r="AS35" s="56">
        <v>3</v>
      </c>
      <c r="AT35" s="59"/>
      <c r="AU35" s="55" t="str">
        <f>IF(COUNT(AU32:AW32)=2,AU32/AW32,"Moy")</f>
        <v>Moy</v>
      </c>
      <c r="AV35" s="56"/>
      <c r="AW35" s="56" t="s">
        <v>0</v>
      </c>
      <c r="AX35" s="59"/>
      <c r="AY35" s="55">
        <f>IF(COUNT(AY32:BA32)=2,AY32/BA32,"Moy")</f>
        <v>1.024390243902439</v>
      </c>
      <c r="AZ35" s="56"/>
      <c r="BA35" s="56">
        <v>6</v>
      </c>
      <c r="BB35" s="59"/>
      <c r="BC35" s="55" t="str">
        <f>IF(COUNT(BC32:BE32)=2,BC32/BE32,"Moy")</f>
        <v>Moy</v>
      </c>
      <c r="BD35" s="56"/>
      <c r="BE35" s="56" t="s">
        <v>0</v>
      </c>
      <c r="BF35" s="59"/>
      <c r="BG35" s="55" t="str">
        <f>IF(COUNT(BG32:BI32)=2,BG32/BI32,"Moy")</f>
        <v>Moy</v>
      </c>
      <c r="BH35" s="56"/>
      <c r="BI35" s="56" t="s">
        <v>0</v>
      </c>
      <c r="BJ35" s="59"/>
      <c r="BK35" s="55" t="str">
        <f>IF(COUNT(BK32:BM32)=2,BK32/BM32,"Moy")</f>
        <v>Moy</v>
      </c>
      <c r="BL35" s="56"/>
      <c r="BM35" s="56" t="s">
        <v>0</v>
      </c>
      <c r="BN35" s="59"/>
      <c r="BO35" s="55">
        <f>IF(COUNT(BO32:BQ32)=2,BO32/BQ32,"Moy")</f>
        <v>1.3181818181818181</v>
      </c>
      <c r="BP35" s="56"/>
      <c r="BQ35" s="56">
        <v>10</v>
      </c>
      <c r="BR35" s="59"/>
      <c r="BS35" s="55" t="str">
        <f>IF(COUNT(BS32:BU32)=2,BS32/BU32,"Moy")</f>
        <v>Moy</v>
      </c>
      <c r="BT35" s="56"/>
      <c r="BU35" s="56" t="s">
        <v>0</v>
      </c>
      <c r="BV35" s="59"/>
      <c r="BW35" s="55" t="str">
        <f>IF(COUNT(BW32:BY32)=2,BW32/BY32,"Moy")</f>
        <v>Moy</v>
      </c>
      <c r="BX35" s="56"/>
      <c r="BY35" s="56" t="s">
        <v>0</v>
      </c>
      <c r="BZ35" s="59"/>
      <c r="CA35" s="55">
        <f>IF(COUNT(CA32:CC32)=2,CA32/CC32,"Moy")</f>
        <v>0.80327868852459017</v>
      </c>
      <c r="CB35" s="56"/>
      <c r="CC35" s="56">
        <v>4</v>
      </c>
      <c r="CD35" s="59"/>
      <c r="CE35" s="55">
        <f>IF(COUNT(CE32:CG32)=2,CE32/CG32,"Moy")</f>
        <v>1.0526315789473684</v>
      </c>
      <c r="CF35" s="56"/>
      <c r="CG35" s="56">
        <v>6</v>
      </c>
      <c r="CH35" s="59"/>
      <c r="CI35" s="55" t="str">
        <f>IF(COUNT(CI32:CK32)=2,CI32/CK32,"Moy")</f>
        <v>Moy</v>
      </c>
      <c r="CJ35" s="56"/>
      <c r="CK35" s="56" t="s">
        <v>0</v>
      </c>
      <c r="CL35" s="59"/>
      <c r="CM35" s="55" t="str">
        <f>IF(COUNT(CM32:CO32)=2,CM32/CO32,"Moy")</f>
        <v>Moy</v>
      </c>
      <c r="CN35" s="56"/>
      <c r="CO35" s="56" t="s">
        <v>0</v>
      </c>
      <c r="CP35" s="59"/>
      <c r="CQ35" s="22"/>
      <c r="CR35" s="8" t="s">
        <v>5</v>
      </c>
      <c r="CS35" s="17">
        <f>IF(CS32&gt;0,((N(C35)+N(G35)+N(K35)+N(O35)+N(S35)+N(W35)+N(AA35)+N(AE35)+N(AI35)+N(AM35)+N(AQ35)+N(AU35)+N(AY35)+N(BC35)+N(BG35)+N(BK35)+N(BO35)+N(BS35)+N(BW35)+N(CA35)+N(CE35)+N(CI35))+N(CM35))/CS32,0)</f>
        <v>0.96877494768022787</v>
      </c>
      <c r="CT35" s="61" t="s">
        <v>3</v>
      </c>
      <c r="CU35" s="62"/>
      <c r="CV35" s="18">
        <f>COUNTIF(C33:CN33,"Ex")</f>
        <v>0</v>
      </c>
      <c r="CW35" s="19">
        <f>IF(CS32&gt;0,CV35/CS32,0)</f>
        <v>0</v>
      </c>
    </row>
    <row r="36" spans="2:101" ht="15" customHeight="1" x14ac:dyDescent="0.25">
      <c r="B36" s="80" t="s">
        <v>39</v>
      </c>
      <c r="C36" s="47" t="s">
        <v>22</v>
      </c>
      <c r="D36" s="48"/>
      <c r="E36" s="49" t="s">
        <v>23</v>
      </c>
      <c r="F36" s="50"/>
      <c r="G36" s="47" t="s">
        <v>22</v>
      </c>
      <c r="H36" s="48"/>
      <c r="I36" s="49" t="s">
        <v>23</v>
      </c>
      <c r="J36" s="50"/>
      <c r="K36" s="47" t="s">
        <v>22</v>
      </c>
      <c r="L36" s="48"/>
      <c r="M36" s="49" t="s">
        <v>23</v>
      </c>
      <c r="N36" s="50"/>
      <c r="O36" s="47" t="s">
        <v>22</v>
      </c>
      <c r="P36" s="48"/>
      <c r="Q36" s="49" t="s">
        <v>23</v>
      </c>
      <c r="R36" s="50"/>
      <c r="S36" s="47" t="s">
        <v>22</v>
      </c>
      <c r="T36" s="48"/>
      <c r="U36" s="49" t="s">
        <v>23</v>
      </c>
      <c r="V36" s="50"/>
      <c r="W36" s="47" t="s">
        <v>22</v>
      </c>
      <c r="X36" s="48"/>
      <c r="Y36" s="49" t="s">
        <v>23</v>
      </c>
      <c r="Z36" s="50"/>
      <c r="AA36" s="47" t="s">
        <v>22</v>
      </c>
      <c r="AB36" s="48"/>
      <c r="AC36" s="49" t="s">
        <v>23</v>
      </c>
      <c r="AD36" s="50"/>
      <c r="AE36" s="47" t="s">
        <v>22</v>
      </c>
      <c r="AF36" s="48"/>
      <c r="AG36" s="49" t="s">
        <v>23</v>
      </c>
      <c r="AH36" s="50"/>
      <c r="AI36" s="83">
        <v>30</v>
      </c>
      <c r="AJ36" s="84"/>
      <c r="AK36" s="84"/>
      <c r="AL36" s="85"/>
      <c r="AM36" s="47">
        <v>30</v>
      </c>
      <c r="AN36" s="48"/>
      <c r="AO36" s="49">
        <v>27</v>
      </c>
      <c r="AP36" s="50"/>
      <c r="AQ36" s="47" t="s">
        <v>22</v>
      </c>
      <c r="AR36" s="48"/>
      <c r="AS36" s="49" t="s">
        <v>23</v>
      </c>
      <c r="AT36" s="50"/>
      <c r="AU36" s="47" t="s">
        <v>22</v>
      </c>
      <c r="AV36" s="48"/>
      <c r="AW36" s="49" t="s">
        <v>23</v>
      </c>
      <c r="AX36" s="50"/>
      <c r="AY36" s="47" t="s">
        <v>22</v>
      </c>
      <c r="AZ36" s="48"/>
      <c r="BA36" s="49" t="s">
        <v>23</v>
      </c>
      <c r="BB36" s="50"/>
      <c r="BC36" s="47" t="s">
        <v>22</v>
      </c>
      <c r="BD36" s="48"/>
      <c r="BE36" s="49" t="s">
        <v>23</v>
      </c>
      <c r="BF36" s="50"/>
      <c r="BG36" s="47" t="s">
        <v>22</v>
      </c>
      <c r="BH36" s="48"/>
      <c r="BI36" s="49" t="s">
        <v>23</v>
      </c>
      <c r="BJ36" s="50"/>
      <c r="BK36" s="47" t="s">
        <v>22</v>
      </c>
      <c r="BL36" s="48"/>
      <c r="BM36" s="49" t="s">
        <v>23</v>
      </c>
      <c r="BN36" s="50"/>
      <c r="BO36" s="47">
        <v>30</v>
      </c>
      <c r="BP36" s="48"/>
      <c r="BQ36" s="49">
        <v>15</v>
      </c>
      <c r="BR36" s="50"/>
      <c r="BS36" s="47" t="s">
        <v>22</v>
      </c>
      <c r="BT36" s="48"/>
      <c r="BU36" s="49" t="s">
        <v>23</v>
      </c>
      <c r="BV36" s="50"/>
      <c r="BW36" s="47" t="s">
        <v>22</v>
      </c>
      <c r="BX36" s="48"/>
      <c r="BY36" s="49" t="s">
        <v>23</v>
      </c>
      <c r="BZ36" s="50"/>
      <c r="CA36" s="47" t="s">
        <v>22</v>
      </c>
      <c r="CB36" s="48"/>
      <c r="CC36" s="49" t="s">
        <v>23</v>
      </c>
      <c r="CD36" s="50"/>
      <c r="CE36" s="47">
        <v>21</v>
      </c>
      <c r="CF36" s="48"/>
      <c r="CG36" s="49">
        <v>21</v>
      </c>
      <c r="CH36" s="50"/>
      <c r="CI36" s="47">
        <v>30</v>
      </c>
      <c r="CJ36" s="48"/>
      <c r="CK36" s="49">
        <v>31</v>
      </c>
      <c r="CL36" s="50"/>
      <c r="CM36" s="47" t="s">
        <v>22</v>
      </c>
      <c r="CN36" s="48"/>
      <c r="CO36" s="49" t="s">
        <v>23</v>
      </c>
      <c r="CP36" s="50"/>
      <c r="CQ36" s="23"/>
      <c r="CR36" s="7" t="s">
        <v>11</v>
      </c>
      <c r="CS36" s="14">
        <f>COUNTIF(C37:CN37,"G")+COUNTIF(C37:CN37,"Ex")+COUNTIF(C37:CN37,"P")</f>
        <v>4</v>
      </c>
      <c r="CT36" s="63" t="s">
        <v>1</v>
      </c>
      <c r="CU36" s="62"/>
      <c r="CV36" s="15">
        <f>COUNTIF(C37:CN37,"G")</f>
        <v>3</v>
      </c>
      <c r="CW36" s="16">
        <f>IF(CS36&gt;0,CV36/CS36,0)</f>
        <v>0.75</v>
      </c>
    </row>
    <row r="37" spans="2:101" ht="7.5" customHeight="1" x14ac:dyDescent="0.25">
      <c r="B37" s="81"/>
      <c r="C37" s="9"/>
      <c r="D37" s="51" t="str">
        <f>IF(N(C36)&gt;0,IF(C36&lt;Handicap9, Perdu,IF(C36=Handicap9,IF(AI4=Handicap1,Exaequo,Gagne))),"")</f>
        <v/>
      </c>
      <c r="E37" s="52"/>
      <c r="F37" s="46" t="str">
        <f>IF(N(AK4)&gt;0,IF(N(E36)=AK4,"-","Err"),"")</f>
        <v/>
      </c>
      <c r="G37" s="9"/>
      <c r="H37" s="51" t="str">
        <f>IF(N(G36)&gt;0,IF(G36&lt;Handicap9, Perdu,IF(G36=Handicap9,IF(AI8=Handicap2,Exaequo,Gagne))),"")</f>
        <v/>
      </c>
      <c r="I37" s="52"/>
      <c r="J37" s="46" t="str">
        <f>IF(N(AK8)&gt;0,IF(N(I36)=AK8,"-","Err"),"")</f>
        <v/>
      </c>
      <c r="K37" s="9"/>
      <c r="L37" s="51" t="str">
        <f>IF(N(K36)&gt;0,IF(K36&lt;Handicap9, Perdu,IF(K36=Handicap9,IF(AI12=Handicap3,Exaequo,Gagne))),"")</f>
        <v/>
      </c>
      <c r="M37" s="52"/>
      <c r="N37" s="46" t="str">
        <f>IF(N(AK12)&gt;0,IF(N(M36)=AK12,"-","Err"),"")</f>
        <v/>
      </c>
      <c r="O37" s="9"/>
      <c r="P37" s="51" t="str">
        <f>IF(N(O36)&gt;0,IF(O36&lt;Handicap9, Perdu,IF(O36=Handicap9,IF(AI16=Handicap4,Exaequo,Gagne))),"")</f>
        <v/>
      </c>
      <c r="Q37" s="52"/>
      <c r="R37" s="46" t="str">
        <f>IF(N(AK16)&gt;0,IF(N(Q36)=AK16,"-","Err"),"")</f>
        <v/>
      </c>
      <c r="S37" s="9"/>
      <c r="T37" s="51" t="str">
        <f>IF(N(S36)&gt;0,IF(S36&lt;Handicap9, Perdu,IF(S36=Handicap9,IF(AI20=Handicap5,Exaequo,Gagne))),"")</f>
        <v/>
      </c>
      <c r="U37" s="52"/>
      <c r="V37" s="46" t="str">
        <f>IF(N(AK20)&gt;0,IF(N(U36)=AK20,"-","Err"),"")</f>
        <v/>
      </c>
      <c r="W37" s="9"/>
      <c r="X37" s="51" t="str">
        <f>IF(N(W36)&gt;0,IF(W36&lt;Handicap9, Perdu,IF(W36=Handicap9,IF(AI24=Handicap6,Exaequo,Gagne))),"")</f>
        <v/>
      </c>
      <c r="Y37" s="52"/>
      <c r="Z37" s="46" t="str">
        <f>IF(N(AK24)&gt;0,IF(N(Y36)=AK24,"-","Err"),"")</f>
        <v/>
      </c>
      <c r="AA37" s="9"/>
      <c r="AB37" s="51" t="str">
        <f>IF(N(AA36)&gt;0,IF(AA36&lt;Handicap9, Perdu,IF(AA36=Handicap9,IF(AI28=Handicap7,Exaequo,Gagne))),"")</f>
        <v/>
      </c>
      <c r="AC37" s="52"/>
      <c r="AD37" s="46" t="str">
        <f>IF(N(AK28)&gt;0,IF(N(AC36)=AK28,"-","Err"),"")</f>
        <v/>
      </c>
      <c r="AE37" s="9"/>
      <c r="AF37" s="51" t="str">
        <f>IF(N(AE36)&gt;0,IF(AE36&lt;Handicap9, Perdu,IF(AE36=Handicap9,IF(AI32=Handicap8,Exaequo,Gagne))),"")</f>
        <v/>
      </c>
      <c r="AG37" s="52"/>
      <c r="AH37" s="46" t="str">
        <f>IF(N(AK32)&gt;0,IF(N(AG36)=AK32,"-","Err"),"")</f>
        <v/>
      </c>
      <c r="AI37" s="86"/>
      <c r="AJ37" s="87"/>
      <c r="AK37" s="87"/>
      <c r="AL37" s="88"/>
      <c r="AM37" s="9"/>
      <c r="AN37" s="51" t="str">
        <f>IF(N(AM36)&gt;0,IF(AM36&lt;Handicap9, Perdu,IF(AM36=Handicap9,IF(AI40=Handicap10,Exaequo,Gagne))),"")</f>
        <v>G</v>
      </c>
      <c r="AO37" s="52"/>
      <c r="AP37" s="46" t="str">
        <f>IF(N(AK40)&gt;0,IF(N(AO36)=AK40,"-","Err"),"")</f>
        <v>-</v>
      </c>
      <c r="AQ37" s="9"/>
      <c r="AR37" s="51" t="str">
        <f>IF(N(AQ36)&gt;0,IF(AQ36&lt;Handicap9, Perdu,IF(AQ36=Handicap9,IF(AI44=Handicap11,Exaequo,Gagne))),"")</f>
        <v/>
      </c>
      <c r="AS37" s="52"/>
      <c r="AT37" s="46" t="str">
        <f>IF(N(AK44)&gt;0,IF(N(AS36)=AK44,"-","Err"),"")</f>
        <v/>
      </c>
      <c r="AU37" s="9"/>
      <c r="AV37" s="51" t="str">
        <f>IF(N(AU36)&gt;0,IF(AU36&lt;Handicap9, Perdu,IF(AU36=Handicap9,IF(AI48=Handicap12,Exaequo,Gagne))),"")</f>
        <v/>
      </c>
      <c r="AW37" s="52"/>
      <c r="AX37" s="46" t="str">
        <f>IF(N(AK48)&gt;0,IF(N(AW36)=AK48,"-","Err"),"")</f>
        <v/>
      </c>
      <c r="AY37" s="9"/>
      <c r="AZ37" s="51" t="str">
        <f>IF(N(AY36)&gt;0,IF(AY36&lt;Handicap9, Perdu,IF(AY36=Handicap9,IF(AI52=Handicap13,Exaequo,Gagne))),"")</f>
        <v/>
      </c>
      <c r="BA37" s="52"/>
      <c r="BB37" s="46" t="str">
        <f>IF(N(AK52)&gt;0,IF(N(BA36)=AK52,"-","Err"),"")</f>
        <v/>
      </c>
      <c r="BC37" s="9"/>
      <c r="BD37" s="51" t="str">
        <f>IF(N(BC36)&gt;0,IF(BC36&lt;Handicap9, Perdu,IF(BC36=Handicap9,IF(AI56=hANDICAP14,Exaequo,Gagne))),"")</f>
        <v/>
      </c>
      <c r="BE37" s="52"/>
      <c r="BF37" s="46" t="str">
        <f>IF(N(AK56)&gt;0,IF(N(BE36)=AK56,"-","Err"),"")</f>
        <v/>
      </c>
      <c r="BG37" s="9"/>
      <c r="BH37" s="51" t="str">
        <f>IF(N(BG36)&gt;0,IF(BG36&lt;Handicap9, Perdu,IF(BG36=Handicap9,IF(AI60=Handicap15,Exaequo,Gagne))),"")</f>
        <v/>
      </c>
      <c r="BI37" s="52"/>
      <c r="BJ37" s="46" t="str">
        <f>IF(N(AK60)&gt;0,IF(N(BI36)=AK60,"-","Err"),"")</f>
        <v/>
      </c>
      <c r="BK37" s="9"/>
      <c r="BL37" s="51" t="str">
        <f>IF(N(BK36)&gt;0,IF(BK36&lt;Handicap9, Perdu,IF(BK36=Handicap9,IF(AI64=Handicap16,Exaequo,Gagne))),"")</f>
        <v/>
      </c>
      <c r="BM37" s="52"/>
      <c r="BN37" s="46" t="str">
        <f>IF(N(AK64)&gt;0,IF(N(BM36)=AK64,"-","Err"),"")</f>
        <v/>
      </c>
      <c r="BO37" s="9"/>
      <c r="BP37" s="51" t="str">
        <f>IF(N(BO36)&gt;0,IF(BO36&lt;Handicap9, Perdu,IF(BO36=Handicap9,IF(AI68=Handicap17,Exaequo,Gagne))),"")</f>
        <v>G</v>
      </c>
      <c r="BQ37" s="52"/>
      <c r="BR37" s="46" t="str">
        <f>IF(N(AK68)&gt;0,IF(N(BQ36)=AK68,"-","Err"),"")</f>
        <v>-</v>
      </c>
      <c r="BS37" s="9"/>
      <c r="BT37" s="51" t="str">
        <f>IF(N(BS36)&gt;0,IF(BS36&lt;Handicap9, Perdu,IF(BS36=Handicap9,IF(AI72=Handicap18,Exaequo,Gagne))),"")</f>
        <v/>
      </c>
      <c r="BU37" s="52"/>
      <c r="BV37" s="46" t="str">
        <f>IF(N(AK72)&gt;0,IF(N(BU36)=AK72,"-","Err"),"")</f>
        <v/>
      </c>
      <c r="BW37" s="9"/>
      <c r="BX37" s="51" t="str">
        <f>IF(N(BW36)&gt;0,IF(BW36&lt;Handicap9, Perdu,IF(BW36=Handicap9,IF(AI76=Handicap19,Exaequo,Gagne))),"")</f>
        <v/>
      </c>
      <c r="BY37" s="52"/>
      <c r="BZ37" s="46" t="str">
        <f>IF(N(AK76)&gt;0,IF(N(BY36)=AK76,"-","Err"),"")</f>
        <v/>
      </c>
      <c r="CA37" s="9"/>
      <c r="CB37" s="51" t="str">
        <f>IF(N(CA36)&gt;0,IF(CA36&lt;Handicap9, Perdu,IF(CA36=Handicap9,IF(AI80=Handicap20,Exaequo,Gagne))),"")</f>
        <v/>
      </c>
      <c r="CC37" s="52"/>
      <c r="CD37" s="46" t="str">
        <f>IF(N(AK80)&gt;0,IF(N(CC36)=AK80,"-","Err"),"")</f>
        <v/>
      </c>
      <c r="CE37" s="9"/>
      <c r="CF37" s="51" t="str">
        <f>IF(N(CE36)&gt;0,IF(CE36&lt;Handicap9, Perdu,IF(CE36=Handicap9,IF(AI84=Handicap21,Exaequo,Gagne))),"")</f>
        <v>P</v>
      </c>
      <c r="CG37" s="52"/>
      <c r="CH37" s="46" t="str">
        <f>IF(N(AK84)&gt;0,IF(N(CG36)=AK84,"-","Err"),"")</f>
        <v>-</v>
      </c>
      <c r="CI37" s="9"/>
      <c r="CJ37" s="51" t="str">
        <f>IF(N(CI36)&gt;0,IF(CI36&lt;Handicap9, Perdu,IF(CI36=Handicap9,IF(AI88=Handicap22,Exaequo,Gagne))),"")</f>
        <v>G</v>
      </c>
      <c r="CK37" s="52"/>
      <c r="CL37" s="46" t="str">
        <f>IF(N(AK88)&gt;0,IF(N(CK36)=AK88,"-","Err"),"")</f>
        <v>-</v>
      </c>
      <c r="CM37" s="46" t="str">
        <f>IF(N(CM36)&gt;Handicap9,"Err","-")</f>
        <v>-</v>
      </c>
      <c r="CN37" s="51" t="str">
        <f>IF(N(CM36)&gt;0,IF(CM36&lt;Handicap9, Perdu,IF(CM36=Handicap9,IF(AI92=Handicap23,Exaequo,Gagne))),"")</f>
        <v/>
      </c>
      <c r="CO37" s="52"/>
      <c r="CP37" s="46" t="str">
        <f>IF(N(AK92)&gt;0,IF(N(CO36)=AK92,"-","Err"),"")</f>
        <v/>
      </c>
      <c r="CQ37" s="30"/>
      <c r="CR37" s="64" t="s">
        <v>6</v>
      </c>
      <c r="CS37" s="66">
        <f>(COUNTIF(C37:CP37,"G")*3)+(COUNTIF(C37:CP37,"Ex")*2)+COUNTIF(C37:CP37,"P")</f>
        <v>10</v>
      </c>
      <c r="CT37" s="68" t="s">
        <v>2</v>
      </c>
      <c r="CU37" s="69"/>
      <c r="CV37" s="72">
        <f>COUNTIF(C37:CN37,"P")</f>
        <v>1</v>
      </c>
      <c r="CW37" s="60">
        <f>IF(CS36&gt;0,CV37/CS36,0)</f>
        <v>0.25</v>
      </c>
    </row>
    <row r="38" spans="2:101" ht="7.5" customHeight="1" x14ac:dyDescent="0.25">
      <c r="B38" s="81"/>
      <c r="C38" s="2"/>
      <c r="D38" s="53"/>
      <c r="E38" s="54"/>
      <c r="F38" s="46"/>
      <c r="G38" s="2"/>
      <c r="H38" s="53"/>
      <c r="I38" s="54"/>
      <c r="J38" s="46"/>
      <c r="K38" s="2"/>
      <c r="L38" s="53"/>
      <c r="M38" s="54"/>
      <c r="N38" s="46"/>
      <c r="O38" s="2"/>
      <c r="P38" s="53"/>
      <c r="Q38" s="54"/>
      <c r="R38" s="46"/>
      <c r="S38" s="2"/>
      <c r="T38" s="53"/>
      <c r="U38" s="54"/>
      <c r="V38" s="46"/>
      <c r="W38" s="2"/>
      <c r="X38" s="53"/>
      <c r="Y38" s="54"/>
      <c r="Z38" s="46"/>
      <c r="AA38" s="2"/>
      <c r="AB38" s="53"/>
      <c r="AC38" s="54"/>
      <c r="AD38" s="46"/>
      <c r="AE38" s="2"/>
      <c r="AF38" s="53"/>
      <c r="AG38" s="54"/>
      <c r="AH38" s="46"/>
      <c r="AI38" s="86"/>
      <c r="AJ38" s="87"/>
      <c r="AK38" s="87"/>
      <c r="AL38" s="88"/>
      <c r="AM38" s="2"/>
      <c r="AN38" s="53"/>
      <c r="AO38" s="54"/>
      <c r="AP38" s="46"/>
      <c r="AQ38" s="2"/>
      <c r="AR38" s="53"/>
      <c r="AS38" s="54"/>
      <c r="AT38" s="46"/>
      <c r="AU38" s="2"/>
      <c r="AV38" s="53"/>
      <c r="AW38" s="54"/>
      <c r="AX38" s="46"/>
      <c r="AY38" s="2"/>
      <c r="AZ38" s="53"/>
      <c r="BA38" s="54"/>
      <c r="BB38" s="46"/>
      <c r="BC38" s="2"/>
      <c r="BD38" s="53"/>
      <c r="BE38" s="54"/>
      <c r="BF38" s="46"/>
      <c r="BG38" s="2"/>
      <c r="BH38" s="53"/>
      <c r="BI38" s="54"/>
      <c r="BJ38" s="46"/>
      <c r="BK38" s="2"/>
      <c r="BL38" s="53"/>
      <c r="BM38" s="54"/>
      <c r="BN38" s="46"/>
      <c r="BO38" s="2"/>
      <c r="BP38" s="53"/>
      <c r="BQ38" s="54"/>
      <c r="BR38" s="46"/>
      <c r="BS38" s="2"/>
      <c r="BT38" s="53"/>
      <c r="BU38" s="54"/>
      <c r="BV38" s="46"/>
      <c r="BW38" s="2"/>
      <c r="BX38" s="53"/>
      <c r="BY38" s="54"/>
      <c r="BZ38" s="46"/>
      <c r="CA38" s="2"/>
      <c r="CB38" s="53"/>
      <c r="CC38" s="54"/>
      <c r="CD38" s="46"/>
      <c r="CE38" s="2"/>
      <c r="CF38" s="53"/>
      <c r="CG38" s="54"/>
      <c r="CH38" s="46"/>
      <c r="CI38" s="2"/>
      <c r="CJ38" s="53"/>
      <c r="CK38" s="54"/>
      <c r="CL38" s="46"/>
      <c r="CM38" s="46"/>
      <c r="CN38" s="53"/>
      <c r="CO38" s="54"/>
      <c r="CP38" s="46"/>
      <c r="CQ38" s="30"/>
      <c r="CR38" s="65"/>
      <c r="CS38" s="67"/>
      <c r="CT38" s="70"/>
      <c r="CU38" s="71"/>
      <c r="CV38" s="72"/>
      <c r="CW38" s="60"/>
    </row>
    <row r="39" spans="2:101" ht="15" customHeight="1" x14ac:dyDescent="0.25">
      <c r="B39" s="82"/>
      <c r="C39" s="55" t="str">
        <f>IF(COUNT(C36:E36)=2,C36/E36,"Moy")</f>
        <v>Moy</v>
      </c>
      <c r="D39" s="56"/>
      <c r="E39" s="56" t="s">
        <v>0</v>
      </c>
      <c r="F39" s="59"/>
      <c r="G39" s="55" t="str">
        <f>IF(COUNT(G36:I36)=2,G36/I36,"Moy")</f>
        <v>Moy</v>
      </c>
      <c r="H39" s="56"/>
      <c r="I39" s="56" t="s">
        <v>0</v>
      </c>
      <c r="J39" s="59"/>
      <c r="K39" s="55" t="str">
        <f>IF(COUNT(K36:M36)=2,K36/M36,"Moy")</f>
        <v>Moy</v>
      </c>
      <c r="L39" s="56"/>
      <c r="M39" s="56" t="s">
        <v>0</v>
      </c>
      <c r="N39" s="59"/>
      <c r="O39" s="55" t="str">
        <f>IF(COUNT(O36:Q36)=2,O36/Q36,"Moy")</f>
        <v>Moy</v>
      </c>
      <c r="P39" s="56"/>
      <c r="Q39" s="56" t="s">
        <v>0</v>
      </c>
      <c r="R39" s="59"/>
      <c r="S39" s="55" t="str">
        <f>IF(COUNT(S36:U36)=2,S36/U36,"Moy")</f>
        <v>Moy</v>
      </c>
      <c r="T39" s="56"/>
      <c r="U39" s="56" t="s">
        <v>0</v>
      </c>
      <c r="V39" s="59"/>
      <c r="W39" s="55" t="str">
        <f>IF(COUNT(W36:Y36)=2,W36/Y36,"Moy")</f>
        <v>Moy</v>
      </c>
      <c r="X39" s="56"/>
      <c r="Y39" s="56" t="s">
        <v>0</v>
      </c>
      <c r="Z39" s="59"/>
      <c r="AA39" s="55" t="str">
        <f>IF(COUNT(AA36:AC36)=2,AA36/AC36,"Moy")</f>
        <v>Moy</v>
      </c>
      <c r="AB39" s="56"/>
      <c r="AC39" s="56" t="s">
        <v>0</v>
      </c>
      <c r="AD39" s="59"/>
      <c r="AE39" s="55" t="str">
        <f>IF(COUNT(AE36:AG36)=2,AE36/AG36,"Moy")</f>
        <v>Moy</v>
      </c>
      <c r="AF39" s="56"/>
      <c r="AG39" s="56" t="s">
        <v>0</v>
      </c>
      <c r="AH39" s="59"/>
      <c r="AI39" s="89"/>
      <c r="AJ39" s="90"/>
      <c r="AK39" s="90"/>
      <c r="AL39" s="91"/>
      <c r="AM39" s="55">
        <f>IF(COUNT(AM36:AO36)=2,AM36/AO36,"Moy")</f>
        <v>1.1111111111111112</v>
      </c>
      <c r="AN39" s="56"/>
      <c r="AO39" s="56">
        <v>8</v>
      </c>
      <c r="AP39" s="59"/>
      <c r="AQ39" s="55" t="str">
        <f>IF(COUNT(AQ36:AS36)=2,AQ36/AS36,"Moy")</f>
        <v>Moy</v>
      </c>
      <c r="AR39" s="56"/>
      <c r="AS39" s="56" t="s">
        <v>0</v>
      </c>
      <c r="AT39" s="59"/>
      <c r="AU39" s="55" t="str">
        <f>IF(COUNT(AU36:AW36)=2,AU36/AW36,"Moy")</f>
        <v>Moy</v>
      </c>
      <c r="AV39" s="56"/>
      <c r="AW39" s="56" t="s">
        <v>0</v>
      </c>
      <c r="AX39" s="59"/>
      <c r="AY39" s="55" t="str">
        <f>IF(COUNT(AY36:BA36)=2,AY36/BA36,"Moy")</f>
        <v>Moy</v>
      </c>
      <c r="AZ39" s="56"/>
      <c r="BA39" s="56" t="s">
        <v>0</v>
      </c>
      <c r="BB39" s="59"/>
      <c r="BC39" s="55" t="str">
        <f>IF(COUNT(BC36:BE36)=2,BC36/BE36,"Moy")</f>
        <v>Moy</v>
      </c>
      <c r="BD39" s="56"/>
      <c r="BE39" s="56" t="s">
        <v>0</v>
      </c>
      <c r="BF39" s="59"/>
      <c r="BG39" s="55" t="str">
        <f>IF(COUNT(BG36:BI36)=2,BG36/BI36,"Moy")</f>
        <v>Moy</v>
      </c>
      <c r="BH39" s="56"/>
      <c r="BI39" s="56" t="s">
        <v>0</v>
      </c>
      <c r="BJ39" s="59"/>
      <c r="BK39" s="55" t="str">
        <f>IF(COUNT(BK36:BM36)=2,BK36/BM36,"Moy")</f>
        <v>Moy</v>
      </c>
      <c r="BL39" s="56"/>
      <c r="BM39" s="56" t="s">
        <v>0</v>
      </c>
      <c r="BN39" s="59"/>
      <c r="BO39" s="55">
        <f>IF(COUNT(BO36:BQ36)=2,BO36/BQ36,"Moy")</f>
        <v>2</v>
      </c>
      <c r="BP39" s="56"/>
      <c r="BQ39" s="56">
        <v>5</v>
      </c>
      <c r="BR39" s="59"/>
      <c r="BS39" s="55" t="str">
        <f>IF(COUNT(BS36:BU36)=2,BS36/BU36,"Moy")</f>
        <v>Moy</v>
      </c>
      <c r="BT39" s="56"/>
      <c r="BU39" s="56" t="s">
        <v>0</v>
      </c>
      <c r="BV39" s="59"/>
      <c r="BW39" s="55" t="str">
        <f>IF(COUNT(BW36:BY36)=2,BW36/BY36,"Moy")</f>
        <v>Moy</v>
      </c>
      <c r="BX39" s="56"/>
      <c r="BY39" s="56" t="s">
        <v>0</v>
      </c>
      <c r="BZ39" s="59"/>
      <c r="CA39" s="55" t="str">
        <f>IF(COUNT(CA36:CC36)=2,CA36/CC36,"Moy")</f>
        <v>Moy</v>
      </c>
      <c r="CB39" s="56"/>
      <c r="CC39" s="56" t="s">
        <v>0</v>
      </c>
      <c r="CD39" s="59"/>
      <c r="CE39" s="55">
        <f>IF(COUNT(CE36:CG36)=2,CE36/CG36,"Moy")</f>
        <v>1</v>
      </c>
      <c r="CF39" s="56"/>
      <c r="CG39" s="56">
        <v>3</v>
      </c>
      <c r="CH39" s="59"/>
      <c r="CI39" s="55">
        <f>IF(COUNT(CI36:CK36)=2,CI36/CK36,"Moy")</f>
        <v>0.967741935483871</v>
      </c>
      <c r="CJ39" s="56"/>
      <c r="CK39" s="56">
        <v>7</v>
      </c>
      <c r="CL39" s="59"/>
      <c r="CM39" s="55" t="str">
        <f>IF(COUNT(CM36:CO36)=2,CM36/CO36,"Moy")</f>
        <v>Moy</v>
      </c>
      <c r="CN39" s="56"/>
      <c r="CO39" s="56" t="s">
        <v>0</v>
      </c>
      <c r="CP39" s="59"/>
      <c r="CQ39" s="22"/>
      <c r="CR39" s="8" t="s">
        <v>5</v>
      </c>
      <c r="CS39" s="17">
        <f>IF(CS36&gt;0,((N(C39)+N(G39)+N(K39)+N(O39)+N(S39)+N(W39)+N(AA39)+N(AE39)+N(AI39)+N(AM39)+N(AQ39)+N(AU39)+N(AY39)+N(BC39)+N(BG39)+N(BK39)+N(BO39)+N(BS39)+N(BW39)+N(CA39)+N(CE39)+N(CI39))+N(CM39))/CS36,0)</f>
        <v>1.2697132616487454</v>
      </c>
      <c r="CT39" s="61" t="s">
        <v>3</v>
      </c>
      <c r="CU39" s="62"/>
      <c r="CV39" s="18">
        <f>COUNTIF(C37:CN37,"Ex")</f>
        <v>0</v>
      </c>
      <c r="CW39" s="19">
        <f>IF(CS36&gt;0,CV39/CS36,0)</f>
        <v>0</v>
      </c>
    </row>
    <row r="40" spans="2:101" ht="15" customHeight="1" x14ac:dyDescent="0.25">
      <c r="B40" s="92" t="s">
        <v>40</v>
      </c>
      <c r="C40" s="47">
        <v>20</v>
      </c>
      <c r="D40" s="48"/>
      <c r="E40" s="49">
        <v>35</v>
      </c>
      <c r="F40" s="50"/>
      <c r="G40" s="47" t="s">
        <v>22</v>
      </c>
      <c r="H40" s="48"/>
      <c r="I40" s="49" t="s">
        <v>23</v>
      </c>
      <c r="J40" s="50"/>
      <c r="K40" s="47">
        <v>30</v>
      </c>
      <c r="L40" s="48"/>
      <c r="M40" s="49">
        <v>37</v>
      </c>
      <c r="N40" s="50"/>
      <c r="O40" s="47" t="s">
        <v>22</v>
      </c>
      <c r="P40" s="48"/>
      <c r="Q40" s="49" t="s">
        <v>23</v>
      </c>
      <c r="R40" s="50"/>
      <c r="S40" s="47">
        <v>30</v>
      </c>
      <c r="T40" s="48"/>
      <c r="U40" s="49">
        <v>44</v>
      </c>
      <c r="V40" s="50"/>
      <c r="W40" s="47">
        <v>30</v>
      </c>
      <c r="X40" s="48"/>
      <c r="Y40" s="49">
        <v>52</v>
      </c>
      <c r="Z40" s="50"/>
      <c r="AA40" s="47">
        <v>14</v>
      </c>
      <c r="AB40" s="48"/>
      <c r="AC40" s="49">
        <v>28</v>
      </c>
      <c r="AD40" s="50"/>
      <c r="AE40" s="47">
        <v>30</v>
      </c>
      <c r="AF40" s="48"/>
      <c r="AG40" s="49">
        <v>42</v>
      </c>
      <c r="AH40" s="50"/>
      <c r="AI40" s="47">
        <v>21</v>
      </c>
      <c r="AJ40" s="48"/>
      <c r="AK40" s="49">
        <v>27</v>
      </c>
      <c r="AL40" s="50"/>
      <c r="AM40" s="83">
        <v>30</v>
      </c>
      <c r="AN40" s="84"/>
      <c r="AO40" s="84"/>
      <c r="AP40" s="85"/>
      <c r="AQ40" s="47">
        <v>30</v>
      </c>
      <c r="AR40" s="48"/>
      <c r="AS40" s="49">
        <v>34</v>
      </c>
      <c r="AT40" s="50"/>
      <c r="AU40" s="47" t="s">
        <v>22</v>
      </c>
      <c r="AV40" s="48"/>
      <c r="AW40" s="49" t="s">
        <v>23</v>
      </c>
      <c r="AX40" s="50"/>
      <c r="AY40" s="47">
        <v>30</v>
      </c>
      <c r="AZ40" s="48"/>
      <c r="BA40" s="49">
        <v>26</v>
      </c>
      <c r="BB40" s="50"/>
      <c r="BC40" s="47" t="s">
        <v>22</v>
      </c>
      <c r="BD40" s="48"/>
      <c r="BE40" s="49" t="s">
        <v>23</v>
      </c>
      <c r="BF40" s="50"/>
      <c r="BG40" s="47" t="s">
        <v>22</v>
      </c>
      <c r="BH40" s="48"/>
      <c r="BI40" s="49" t="s">
        <v>23</v>
      </c>
      <c r="BJ40" s="50"/>
      <c r="BK40" s="47">
        <v>30</v>
      </c>
      <c r="BL40" s="48"/>
      <c r="BM40" s="49">
        <v>41</v>
      </c>
      <c r="BN40" s="50"/>
      <c r="BO40" s="47">
        <v>22</v>
      </c>
      <c r="BP40" s="48"/>
      <c r="BQ40" s="49">
        <v>39</v>
      </c>
      <c r="BR40" s="50"/>
      <c r="BS40" s="47" t="s">
        <v>22</v>
      </c>
      <c r="BT40" s="48"/>
      <c r="BU40" s="49" t="s">
        <v>23</v>
      </c>
      <c r="BV40" s="50"/>
      <c r="BW40" s="47" t="s">
        <v>22</v>
      </c>
      <c r="BX40" s="48"/>
      <c r="BY40" s="49" t="s">
        <v>23</v>
      </c>
      <c r="BZ40" s="50"/>
      <c r="CA40" s="47" t="s">
        <v>22</v>
      </c>
      <c r="CB40" s="48"/>
      <c r="CC40" s="49" t="s">
        <v>23</v>
      </c>
      <c r="CD40" s="50"/>
      <c r="CE40" s="47" t="s">
        <v>22</v>
      </c>
      <c r="CF40" s="48"/>
      <c r="CG40" s="49" t="s">
        <v>23</v>
      </c>
      <c r="CH40" s="50"/>
      <c r="CI40" s="47" t="s">
        <v>22</v>
      </c>
      <c r="CJ40" s="48"/>
      <c r="CK40" s="49" t="s">
        <v>23</v>
      </c>
      <c r="CL40" s="50"/>
      <c r="CM40" s="47" t="s">
        <v>22</v>
      </c>
      <c r="CN40" s="48"/>
      <c r="CO40" s="49" t="s">
        <v>23</v>
      </c>
      <c r="CP40" s="50"/>
      <c r="CQ40" s="23"/>
      <c r="CR40" s="7" t="s">
        <v>11</v>
      </c>
      <c r="CS40" s="14">
        <f>COUNTIF(C41:CN41,"G")+COUNTIF(C41:CN41,"Ex")+COUNTIF(C41:CN41,"P")</f>
        <v>11</v>
      </c>
      <c r="CT40" s="63" t="s">
        <v>1</v>
      </c>
      <c r="CU40" s="62"/>
      <c r="CV40" s="15">
        <f>COUNTIF(C41:CN41,"G")</f>
        <v>7</v>
      </c>
      <c r="CW40" s="16">
        <f>IF(CS40&gt;0,CV40/CS40,0)</f>
        <v>0.63636363636363635</v>
      </c>
    </row>
    <row r="41" spans="2:101" ht="7.5" customHeight="1" x14ac:dyDescent="0.25">
      <c r="B41" s="93"/>
      <c r="C41" s="9"/>
      <c r="D41" s="51" t="str">
        <f>IF(N(C40)&gt;0,IF(C40&lt;Handicap10, Perdu,IF(C40=Handicap10,IF(AM4=Handicap1,Exaequo,Gagne))),"")</f>
        <v>P</v>
      </c>
      <c r="E41" s="52"/>
      <c r="F41" s="46" t="str">
        <f>IF(N(AO4)&gt;0,IF(N(E40)=AO4,"-","Err"),"")</f>
        <v>-</v>
      </c>
      <c r="G41" s="9"/>
      <c r="H41" s="51" t="str">
        <f>IF(N(G40)&gt;0,IF(G40&lt;Handicap10, Perdu,IF(G40=Handicap10,IF(AM8=Handicap2,Exaequo,Gagne))),"")</f>
        <v/>
      </c>
      <c r="I41" s="52"/>
      <c r="J41" s="46" t="str">
        <f>IF(N(AO8)&gt;0,IF(N(I40)=AO8,"-","Err"),"")</f>
        <v/>
      </c>
      <c r="K41" s="9"/>
      <c r="L41" s="51" t="str">
        <f>IF(N(K40)&gt;0,IF(K40&lt;Handicap10, Perdu,IF(K40=Handicap10,IF(AM12=Handicap3,Exaequo,Gagne))),"")</f>
        <v>G</v>
      </c>
      <c r="M41" s="52"/>
      <c r="N41" s="46" t="str">
        <f>IF(N(AO12)&gt;0,IF(N(M40)=AO12,"-","Err"),"")</f>
        <v>-</v>
      </c>
      <c r="O41" s="9"/>
      <c r="P41" s="51" t="str">
        <f>IF(N(O40)&gt;0,IF(O40&lt;Handicap10, Perdu,IF(O40=Handicap10,IF(AM16=Handicap4,Exaequo,Gagne))),"")</f>
        <v/>
      </c>
      <c r="Q41" s="52"/>
      <c r="R41" s="46" t="str">
        <f>IF(N(AO16)&gt;0,IF(N(Q40)=AO16,"-","Err"),"")</f>
        <v/>
      </c>
      <c r="S41" s="9"/>
      <c r="T41" s="51" t="str">
        <f>IF(N(S40)&gt;0,IF(S40&lt;Handicap10, Perdu,IF(S40=Handicap10,IF(AM20=Handicap5,Exaequo,Gagne))),"")</f>
        <v>G</v>
      </c>
      <c r="U41" s="52"/>
      <c r="V41" s="46" t="str">
        <f>IF(N(AO20)&gt;0,IF(N(U40)=AO20,"-","Err"),"")</f>
        <v>-</v>
      </c>
      <c r="W41" s="9"/>
      <c r="X41" s="51" t="str">
        <f>IF(N(W40)&gt;0,IF(W40&lt;Handicap10, Perdu,IF(W40=Handicap10,IF(AM24=Handicap6,Exaequo,Gagne))),"")</f>
        <v>G</v>
      </c>
      <c r="Y41" s="52"/>
      <c r="Z41" s="46" t="str">
        <f>IF(N(AO24)&gt;0,IF(N(Y40)=AO24,"-","Err"),"")</f>
        <v>-</v>
      </c>
      <c r="AA41" s="9"/>
      <c r="AB41" s="51" t="str">
        <f>IF(N(AA40)&gt;0,IF(AA40&lt;Handicap10, Perdu,IF(AA40=Handicap10,IF(AM28=Handicap7,Exaequo,Gagne))),"")</f>
        <v>P</v>
      </c>
      <c r="AC41" s="52"/>
      <c r="AD41" s="46" t="str">
        <f>IF(N(AO28)&gt;0,IF(N(AC40)=AO28,"-","Err"),"")</f>
        <v>-</v>
      </c>
      <c r="AE41" s="9"/>
      <c r="AF41" s="51" t="str">
        <f>IF(N(AE40)&gt;0,IF(AE40&lt;Handicap10, Perdu,IF(AE40=Handicap10,IF(AM32=Handicap8,Exaequo,Gagne))),"")</f>
        <v>G</v>
      </c>
      <c r="AG41" s="52"/>
      <c r="AH41" s="46" t="str">
        <f>IF(N(AO32)&gt;0,IF(N(AG40)=AO32,"-","Err"),"")</f>
        <v>-</v>
      </c>
      <c r="AI41" s="9"/>
      <c r="AJ41" s="51" t="str">
        <f>IF(N(AI40)&gt;0,IF(AI40&lt;Handicap10, Perdu,IF(AI40=Handicap10,IF(AM36=Handicap9,Exaequo,Gagne))),"")</f>
        <v>P</v>
      </c>
      <c r="AK41" s="52"/>
      <c r="AL41" s="46" t="str">
        <f>IF(N(AO36)&gt;0,IF(N(AK40)=AO36,"-","Err"),"")</f>
        <v>-</v>
      </c>
      <c r="AM41" s="86"/>
      <c r="AN41" s="87"/>
      <c r="AO41" s="87"/>
      <c r="AP41" s="88"/>
      <c r="AQ41" s="9"/>
      <c r="AR41" s="51" t="str">
        <f>IF(N(AQ40)&gt;0,IF(AQ40&lt;Handicap10, Perdu,IF(AQ40=Handicap10,IF(AM44=Handicap11,Exaequo,Gagne))),"")</f>
        <v>G</v>
      </c>
      <c r="AS41" s="52"/>
      <c r="AT41" s="46" t="str">
        <f>IF(N(AO44)&gt;0,IF(N(AS40)=AO44,"-","Err"),"")</f>
        <v>-</v>
      </c>
      <c r="AU41" s="9"/>
      <c r="AV41" s="51" t="str">
        <f>IF(N(AU40)&gt;0,IF(AU40&lt;Handicap10, Perdu,IF(AU40=Handicap10,IF(AM48=Handicap12,Exaequo,Gagne))),"")</f>
        <v/>
      </c>
      <c r="AW41" s="52"/>
      <c r="AX41" s="46" t="str">
        <f>IF(N(AO48)&gt;0,IF(N(AW40)=AO48,"-","Err"),"")</f>
        <v/>
      </c>
      <c r="AY41" s="9"/>
      <c r="AZ41" s="51" t="str">
        <f>IF(N(AY40)&gt;0,IF(AY40&lt;Handicap10, Perdu,IF(AY40=Handicap10,IF(AM52=Handicap13,Exaequo,Gagne))),"")</f>
        <v>G</v>
      </c>
      <c r="BA41" s="52"/>
      <c r="BB41" s="46" t="str">
        <f>IF(N(AO52)&gt;0,IF(N(BA40)=AO52,"-","Err"),"")</f>
        <v>-</v>
      </c>
      <c r="BC41" s="9"/>
      <c r="BD41" s="51" t="str">
        <f>IF(N(BC40)&gt;0,IF(BC40&lt;Handicap10, Perdu,IF(BC40=Handicap10,IF(AM56=hANDICAP14,Exaequo,Gagne))),"")</f>
        <v/>
      </c>
      <c r="BE41" s="52"/>
      <c r="BF41" s="46" t="str">
        <f>IF(N(AO56)&gt;0,IF(N(BE40)=AO56,"-","Err"),"")</f>
        <v/>
      </c>
      <c r="BG41" s="9"/>
      <c r="BH41" s="51" t="str">
        <f>IF(N(BG40)&gt;0,IF(BG40&lt;Handicap10, Perdu,IF(BG40=Handicap10,IF(AM60=Handicap15,Exaequo,Gagne))),"")</f>
        <v/>
      </c>
      <c r="BI41" s="52"/>
      <c r="BJ41" s="46" t="str">
        <f>IF(N(AO60)&gt;0,IF(N(BI40)=AO60,"-","Err"),"")</f>
        <v/>
      </c>
      <c r="BK41" s="9"/>
      <c r="BL41" s="51" t="str">
        <f>IF(N(BK40)&gt;0,IF(BK40&lt;Handicap10, Perdu,IF(BK40=Handicap10,IF(AM64=Handicap16,Exaequo,Gagne))),"")</f>
        <v>G</v>
      </c>
      <c r="BM41" s="52"/>
      <c r="BN41" s="46" t="str">
        <f>IF(N(AO64)&gt;0,IF(N(BM40)=AO64,"-","Err"),"")</f>
        <v>-</v>
      </c>
      <c r="BO41" s="9"/>
      <c r="BP41" s="51" t="str">
        <f>IF(N(BO40)&gt;0,IF(BO40&lt;Handicap10, Perdu,IF(BO40=Handicap10,IF(AM68=Handicap17,Exaequo,Gagne))),"")</f>
        <v>P</v>
      </c>
      <c r="BQ41" s="52"/>
      <c r="BR41" s="46" t="str">
        <f>IF(N(AO68)&gt;0,IF(N(BQ40)=AO68,"-","Err"),"")</f>
        <v>-</v>
      </c>
      <c r="BS41" s="9"/>
      <c r="BT41" s="51" t="str">
        <f>IF(N(BS40)&gt;0,IF(BS40&lt;Handicap10, Perdu,IF(BS40=Handicap10,IF(AM72=Handicap18,Exaequo,Gagne))),"")</f>
        <v/>
      </c>
      <c r="BU41" s="52"/>
      <c r="BV41" s="46" t="str">
        <f>IF(N(AO72)&gt;0,IF(N(BU40)=AO72,"-","Err"),"")</f>
        <v>Err</v>
      </c>
      <c r="BW41" s="9"/>
      <c r="BX41" s="51" t="str">
        <f>IF(N(BW40)&gt;0,IF(BW40&lt;Handicap10, Perdu,IF(BW40=Handicap10,IF(AM76=Handicap19,Exaequo,Gagne))),"")</f>
        <v/>
      </c>
      <c r="BY41" s="52"/>
      <c r="BZ41" s="46" t="str">
        <f>IF(N(AO76)&gt;0,IF(N(BY40)=AO76,"-","Err"),"")</f>
        <v/>
      </c>
      <c r="CA41" s="9"/>
      <c r="CB41" s="51" t="str">
        <f>IF(N(CA40)&gt;0,IF(CA40&lt;Handicap10, Perdu,IF(CA40=Handicap10,IF(AM80=Handicap20,Exaequo,Gagne))),"")</f>
        <v/>
      </c>
      <c r="CC41" s="52"/>
      <c r="CD41" s="46" t="str">
        <f>IF(N(AO80)&gt;0,IF(N(CC40)=AO80,"-","Err"),"")</f>
        <v/>
      </c>
      <c r="CE41" s="9"/>
      <c r="CF41" s="51" t="str">
        <f>IF(N(CE40)&gt;0,IF(CE40&lt;Handicap10, Perdu,IF(CE40=Handicap10,IF(AM84=Handicap21,Exaequo,Gagne))),"")</f>
        <v/>
      </c>
      <c r="CG41" s="52"/>
      <c r="CH41" s="46" t="str">
        <f>IF(N(AO84)&gt;0,IF(N(CG40)=AO84,"-","Err"),"")</f>
        <v/>
      </c>
      <c r="CI41" s="9"/>
      <c r="CJ41" s="51" t="str">
        <f>IF(N(CI40)&gt;0,IF(CI40&lt;Handicap10, Perdu,IF(CI40=Handicap10,IF(AM88=Handicap22,Exaequo,Gagne))),"")</f>
        <v/>
      </c>
      <c r="CK41" s="52"/>
      <c r="CL41" s="46" t="str">
        <f>IF(N(AO88)&gt;0,IF(N(CK40)=AO88,"-","Err"),"")</f>
        <v/>
      </c>
      <c r="CM41" s="46" t="str">
        <f>IF(N(CM40)&gt;Handicap10,"Err","-")</f>
        <v>-</v>
      </c>
      <c r="CN41" s="51" t="str">
        <f>IF(N(CM40)&gt;0,IF(CM40&lt;Handicap10, Perdu,IF(CM40=Handicap10,IF(AM92=Handicap23,Exaequo,Gagne))),"")</f>
        <v/>
      </c>
      <c r="CO41" s="52"/>
      <c r="CP41" s="46" t="str">
        <f>IF(N(AO92)&gt;0,IF(N(CO40)=AO92,"-","Err"),"")</f>
        <v/>
      </c>
      <c r="CQ41" s="30"/>
      <c r="CR41" s="64" t="s">
        <v>6</v>
      </c>
      <c r="CS41" s="66">
        <f>(COUNTIF(C41:CP41,"G")*3)+(COUNTIF(C41:CP41,"Ex")*2)+COUNTIF(C41:CP41,"P")</f>
        <v>25</v>
      </c>
      <c r="CT41" s="68" t="s">
        <v>2</v>
      </c>
      <c r="CU41" s="69"/>
      <c r="CV41" s="72">
        <f>COUNTIF(C41:CN41,"P")</f>
        <v>4</v>
      </c>
      <c r="CW41" s="60">
        <f>IF(CS40&gt;0,CV41/CS40,0)</f>
        <v>0.36363636363636365</v>
      </c>
    </row>
    <row r="42" spans="2:101" ht="7.5" customHeight="1" x14ac:dyDescent="0.25">
      <c r="B42" s="93"/>
      <c r="C42" s="2"/>
      <c r="D42" s="53"/>
      <c r="E42" s="54"/>
      <c r="F42" s="46"/>
      <c r="G42" s="2"/>
      <c r="H42" s="53"/>
      <c r="I42" s="54"/>
      <c r="J42" s="46"/>
      <c r="K42" s="2"/>
      <c r="L42" s="53"/>
      <c r="M42" s="54"/>
      <c r="N42" s="46"/>
      <c r="O42" s="2"/>
      <c r="P42" s="53"/>
      <c r="Q42" s="54"/>
      <c r="R42" s="46"/>
      <c r="S42" s="2"/>
      <c r="T42" s="53"/>
      <c r="U42" s="54"/>
      <c r="V42" s="46"/>
      <c r="W42" s="2"/>
      <c r="X42" s="53"/>
      <c r="Y42" s="54"/>
      <c r="Z42" s="46"/>
      <c r="AA42" s="2"/>
      <c r="AB42" s="53"/>
      <c r="AC42" s="54"/>
      <c r="AD42" s="46"/>
      <c r="AE42" s="2"/>
      <c r="AF42" s="53"/>
      <c r="AG42" s="54"/>
      <c r="AH42" s="46"/>
      <c r="AI42" s="2"/>
      <c r="AJ42" s="53"/>
      <c r="AK42" s="54"/>
      <c r="AL42" s="46"/>
      <c r="AM42" s="86"/>
      <c r="AN42" s="87"/>
      <c r="AO42" s="87"/>
      <c r="AP42" s="88"/>
      <c r="AQ42" s="2"/>
      <c r="AR42" s="53"/>
      <c r="AS42" s="54"/>
      <c r="AT42" s="46"/>
      <c r="AU42" s="2"/>
      <c r="AV42" s="53"/>
      <c r="AW42" s="54"/>
      <c r="AX42" s="46"/>
      <c r="AY42" s="2"/>
      <c r="AZ42" s="53"/>
      <c r="BA42" s="54"/>
      <c r="BB42" s="46"/>
      <c r="BC42" s="2"/>
      <c r="BD42" s="53"/>
      <c r="BE42" s="54"/>
      <c r="BF42" s="46"/>
      <c r="BG42" s="2"/>
      <c r="BH42" s="53"/>
      <c r="BI42" s="54"/>
      <c r="BJ42" s="46"/>
      <c r="BK42" s="2"/>
      <c r="BL42" s="53"/>
      <c r="BM42" s="54"/>
      <c r="BN42" s="46"/>
      <c r="BO42" s="2"/>
      <c r="BP42" s="53"/>
      <c r="BQ42" s="54"/>
      <c r="BR42" s="46"/>
      <c r="BS42" s="2"/>
      <c r="BT42" s="53"/>
      <c r="BU42" s="54"/>
      <c r="BV42" s="46"/>
      <c r="BW42" s="2"/>
      <c r="BX42" s="53"/>
      <c r="BY42" s="54"/>
      <c r="BZ42" s="46"/>
      <c r="CA42" s="2"/>
      <c r="CB42" s="53"/>
      <c r="CC42" s="54"/>
      <c r="CD42" s="46"/>
      <c r="CE42" s="2"/>
      <c r="CF42" s="53"/>
      <c r="CG42" s="54"/>
      <c r="CH42" s="46"/>
      <c r="CI42" s="2"/>
      <c r="CJ42" s="53"/>
      <c r="CK42" s="54"/>
      <c r="CL42" s="46"/>
      <c r="CM42" s="46"/>
      <c r="CN42" s="53"/>
      <c r="CO42" s="54"/>
      <c r="CP42" s="46"/>
      <c r="CQ42" s="30"/>
      <c r="CR42" s="65"/>
      <c r="CS42" s="67"/>
      <c r="CT42" s="70"/>
      <c r="CU42" s="71"/>
      <c r="CV42" s="72"/>
      <c r="CW42" s="60"/>
    </row>
    <row r="43" spans="2:101" ht="15" customHeight="1" x14ac:dyDescent="0.25">
      <c r="B43" s="94"/>
      <c r="C43" s="55">
        <f>IF(COUNT(C40:E40)=2,C40/E40,"Moy")</f>
        <v>0.5714285714285714</v>
      </c>
      <c r="D43" s="56"/>
      <c r="E43" s="56">
        <v>3</v>
      </c>
      <c r="F43" s="59"/>
      <c r="G43" s="55" t="str">
        <f>IF(COUNT(G40:I40)=2,G40/I40,"Moy")</f>
        <v>Moy</v>
      </c>
      <c r="H43" s="56"/>
      <c r="I43" s="56" t="s">
        <v>0</v>
      </c>
      <c r="J43" s="59"/>
      <c r="K43" s="55">
        <f>IF(COUNT(K40:M40)=2,K40/M40,"Moy")</f>
        <v>0.81081081081081086</v>
      </c>
      <c r="L43" s="56"/>
      <c r="M43" s="56">
        <v>5</v>
      </c>
      <c r="N43" s="59"/>
      <c r="O43" s="55" t="str">
        <f>IF(COUNT(O40:Q40)=2,O40/Q40,"Moy")</f>
        <v>Moy</v>
      </c>
      <c r="P43" s="56"/>
      <c r="Q43" s="56" t="s">
        <v>0</v>
      </c>
      <c r="R43" s="59"/>
      <c r="S43" s="55">
        <f>IF(COUNT(S40:U40)=2,S40/U40,"Moy")</f>
        <v>0.68181818181818177</v>
      </c>
      <c r="T43" s="56"/>
      <c r="U43" s="56">
        <v>5</v>
      </c>
      <c r="V43" s="59"/>
      <c r="W43" s="55">
        <f>IF(COUNT(W40:Y40)=2,W40/Y40,"Moy")</f>
        <v>0.57692307692307687</v>
      </c>
      <c r="X43" s="56"/>
      <c r="Y43" s="56">
        <v>4</v>
      </c>
      <c r="Z43" s="59"/>
      <c r="AA43" s="55">
        <f>IF(COUNT(AA40:AC40)=2,AA40/AC40,"Moy")</f>
        <v>0.5</v>
      </c>
      <c r="AB43" s="56"/>
      <c r="AC43" s="56">
        <v>3</v>
      </c>
      <c r="AD43" s="59"/>
      <c r="AE43" s="55">
        <f>IF(COUNT(AE40:AG40)=2,AE40/AG40,"Moy")</f>
        <v>0.7142857142857143</v>
      </c>
      <c r="AF43" s="56"/>
      <c r="AG43" s="56">
        <v>4</v>
      </c>
      <c r="AH43" s="59"/>
      <c r="AI43" s="55">
        <f>IF(COUNT(AI40:AK40)=2,AI40/AK40,"Moy")</f>
        <v>0.77777777777777779</v>
      </c>
      <c r="AJ43" s="56"/>
      <c r="AK43" s="56">
        <v>3</v>
      </c>
      <c r="AL43" s="59"/>
      <c r="AM43" s="89"/>
      <c r="AN43" s="90"/>
      <c r="AO43" s="90"/>
      <c r="AP43" s="91"/>
      <c r="AQ43" s="55">
        <f>IF(COUNT(AQ40:AS40)=2,AQ40/AS40,"Moy")</f>
        <v>0.88235294117647056</v>
      </c>
      <c r="AR43" s="56"/>
      <c r="AS43" s="56">
        <v>9</v>
      </c>
      <c r="AT43" s="59"/>
      <c r="AU43" s="55" t="str">
        <f>IF(COUNT(AU40:AW40)=2,AU40/AW40,"Moy")</f>
        <v>Moy</v>
      </c>
      <c r="AV43" s="56"/>
      <c r="AW43" s="56" t="s">
        <v>0</v>
      </c>
      <c r="AX43" s="59"/>
      <c r="AY43" s="55">
        <f>IF(COUNT(AY40:BA40)=2,AY40/BA40,"Moy")</f>
        <v>1.1538461538461537</v>
      </c>
      <c r="AZ43" s="56"/>
      <c r="BA43" s="56">
        <v>5</v>
      </c>
      <c r="BB43" s="59"/>
      <c r="BC43" s="55" t="str">
        <f>IF(COUNT(BC40:BE40)=2,BC40/BE40,"Moy")</f>
        <v>Moy</v>
      </c>
      <c r="BD43" s="56"/>
      <c r="BE43" s="56" t="s">
        <v>0</v>
      </c>
      <c r="BF43" s="59"/>
      <c r="BG43" s="55" t="str">
        <f>IF(COUNT(BG40:BI40)=2,BG40/BI40,"Moy")</f>
        <v>Moy</v>
      </c>
      <c r="BH43" s="56"/>
      <c r="BI43" s="56" t="s">
        <v>0</v>
      </c>
      <c r="BJ43" s="59"/>
      <c r="BK43" s="55">
        <f>IF(COUNT(BK40:BM40)=2,BK40/BM40,"Moy")</f>
        <v>0.73170731707317072</v>
      </c>
      <c r="BL43" s="56"/>
      <c r="BM43" s="56">
        <v>3</v>
      </c>
      <c r="BN43" s="59"/>
      <c r="BO43" s="55">
        <f>IF(COUNT(BO40:BQ40)=2,BO40/BQ40,"Moy")</f>
        <v>0.5641025641025641</v>
      </c>
      <c r="BP43" s="56"/>
      <c r="BQ43" s="56">
        <v>4</v>
      </c>
      <c r="BR43" s="59"/>
      <c r="BS43" s="55" t="str">
        <f>IF(COUNT(BS40:BU40)=2,BS40/BU40,"Moy")</f>
        <v>Moy</v>
      </c>
      <c r="BT43" s="56"/>
      <c r="BU43" s="56" t="s">
        <v>0</v>
      </c>
      <c r="BV43" s="59"/>
      <c r="BW43" s="55" t="str">
        <f>IF(COUNT(BW40:BY40)=2,BW40/BY40,"Moy")</f>
        <v>Moy</v>
      </c>
      <c r="BX43" s="56"/>
      <c r="BY43" s="56" t="s">
        <v>0</v>
      </c>
      <c r="BZ43" s="59"/>
      <c r="CA43" s="55" t="str">
        <f>IF(COUNT(CA40:CC40)=2,CA40/CC40,"Moy")</f>
        <v>Moy</v>
      </c>
      <c r="CB43" s="56"/>
      <c r="CC43" s="56" t="s">
        <v>0</v>
      </c>
      <c r="CD43" s="59"/>
      <c r="CE43" s="55" t="str">
        <f>IF(COUNT(CE40:CG40)=2,CE40/CG40,"Moy")</f>
        <v>Moy</v>
      </c>
      <c r="CF43" s="56"/>
      <c r="CG43" s="56" t="s">
        <v>0</v>
      </c>
      <c r="CH43" s="59"/>
      <c r="CI43" s="55" t="str">
        <f>IF(COUNT(CI40:CK40)=2,CI40/CK40,"Moy")</f>
        <v>Moy</v>
      </c>
      <c r="CJ43" s="56"/>
      <c r="CK43" s="56" t="s">
        <v>0</v>
      </c>
      <c r="CL43" s="59"/>
      <c r="CM43" s="55" t="str">
        <f>IF(COUNT(CM40:CO40)=2,CM40/CO40,"Moy")</f>
        <v>Moy</v>
      </c>
      <c r="CN43" s="56"/>
      <c r="CO43" s="56" t="s">
        <v>0</v>
      </c>
      <c r="CP43" s="59"/>
      <c r="CQ43" s="22"/>
      <c r="CR43" s="8" t="s">
        <v>5</v>
      </c>
      <c r="CS43" s="17">
        <f>IF(CS40&gt;0,((N(C43)+N(G43)+N(K43)+N(O43)+N(S43)+N(W43)+N(AA43)+N(AE43)+N(AI43)+N(AM43)+N(AQ43)+N(AU43)+N(AY43)+N(BC43)+N(BG43)+N(BK43)+N(BO43)+N(BS43)+N(BW43)+N(CA43)+N(CE43)+N(CI43))+N(CM43))/CS40,0)</f>
        <v>0.72409573720386278</v>
      </c>
      <c r="CT43" s="61" t="s">
        <v>3</v>
      </c>
      <c r="CU43" s="62"/>
      <c r="CV43" s="18">
        <f>COUNTIF(C41:CN41,"Ex")</f>
        <v>0</v>
      </c>
      <c r="CW43" s="19">
        <f>IF(CS40&gt;0,CV43/CS40,0)</f>
        <v>0</v>
      </c>
    </row>
    <row r="44" spans="2:101" ht="15" customHeight="1" x14ac:dyDescent="0.25">
      <c r="B44" s="80" t="s">
        <v>41</v>
      </c>
      <c r="C44" s="47" t="s">
        <v>22</v>
      </c>
      <c r="D44" s="48"/>
      <c r="E44" s="49" t="s">
        <v>23</v>
      </c>
      <c r="F44" s="50"/>
      <c r="G44" s="47" t="s">
        <v>22</v>
      </c>
      <c r="H44" s="48"/>
      <c r="I44" s="49" t="s">
        <v>23</v>
      </c>
      <c r="J44" s="50"/>
      <c r="K44" s="47">
        <v>20</v>
      </c>
      <c r="L44" s="48"/>
      <c r="M44" s="49">
        <v>52</v>
      </c>
      <c r="N44" s="50"/>
      <c r="O44" s="47" t="s">
        <v>22</v>
      </c>
      <c r="P44" s="48"/>
      <c r="Q44" s="49" t="s">
        <v>23</v>
      </c>
      <c r="R44" s="50"/>
      <c r="S44" s="47">
        <v>20</v>
      </c>
      <c r="T44" s="48"/>
      <c r="U44" s="49">
        <v>41</v>
      </c>
      <c r="V44" s="50"/>
      <c r="W44" s="47" t="s">
        <v>22</v>
      </c>
      <c r="X44" s="48"/>
      <c r="Y44" s="49" t="s">
        <v>23</v>
      </c>
      <c r="Z44" s="50"/>
      <c r="AA44" s="47" t="s">
        <v>22</v>
      </c>
      <c r="AB44" s="48"/>
      <c r="AC44" s="49" t="s">
        <v>23</v>
      </c>
      <c r="AD44" s="50"/>
      <c r="AE44" s="47">
        <v>20</v>
      </c>
      <c r="AF44" s="48"/>
      <c r="AG44" s="49">
        <v>42</v>
      </c>
      <c r="AH44" s="50"/>
      <c r="AI44" s="47" t="s">
        <v>22</v>
      </c>
      <c r="AJ44" s="48"/>
      <c r="AK44" s="49" t="s">
        <v>23</v>
      </c>
      <c r="AL44" s="50"/>
      <c r="AM44" s="47">
        <v>16</v>
      </c>
      <c r="AN44" s="48"/>
      <c r="AO44" s="49">
        <v>34</v>
      </c>
      <c r="AP44" s="50"/>
      <c r="AQ44" s="83">
        <v>20</v>
      </c>
      <c r="AR44" s="84"/>
      <c r="AS44" s="84"/>
      <c r="AT44" s="85"/>
      <c r="AU44" s="47" t="s">
        <v>22</v>
      </c>
      <c r="AV44" s="48"/>
      <c r="AW44" s="49" t="s">
        <v>23</v>
      </c>
      <c r="AX44" s="50"/>
      <c r="AY44" s="47">
        <v>20</v>
      </c>
      <c r="AZ44" s="48"/>
      <c r="BA44" s="49">
        <v>46</v>
      </c>
      <c r="BB44" s="50"/>
      <c r="BC44" s="47">
        <v>12</v>
      </c>
      <c r="BD44" s="48"/>
      <c r="BE44" s="49">
        <v>56</v>
      </c>
      <c r="BF44" s="50"/>
      <c r="BG44" s="47" t="s">
        <v>22</v>
      </c>
      <c r="BH44" s="48"/>
      <c r="BI44" s="49" t="s">
        <v>23</v>
      </c>
      <c r="BJ44" s="50"/>
      <c r="BK44" s="47">
        <v>20</v>
      </c>
      <c r="BL44" s="48"/>
      <c r="BM44" s="49">
        <v>46</v>
      </c>
      <c r="BN44" s="50"/>
      <c r="BO44" s="47">
        <v>7</v>
      </c>
      <c r="BP44" s="48"/>
      <c r="BQ44" s="49">
        <v>29</v>
      </c>
      <c r="BR44" s="50"/>
      <c r="BS44" s="47">
        <v>20</v>
      </c>
      <c r="BT44" s="48"/>
      <c r="BU44" s="49">
        <v>41</v>
      </c>
      <c r="BV44" s="50"/>
      <c r="BW44" s="47" t="s">
        <v>22</v>
      </c>
      <c r="BX44" s="48"/>
      <c r="BY44" s="49" t="s">
        <v>23</v>
      </c>
      <c r="BZ44" s="50"/>
      <c r="CA44" s="47" t="s">
        <v>22</v>
      </c>
      <c r="CB44" s="48"/>
      <c r="CC44" s="49" t="s">
        <v>23</v>
      </c>
      <c r="CD44" s="50"/>
      <c r="CE44" s="47" t="s">
        <v>22</v>
      </c>
      <c r="CF44" s="48"/>
      <c r="CG44" s="49" t="s">
        <v>23</v>
      </c>
      <c r="CH44" s="50"/>
      <c r="CI44" s="47">
        <v>18</v>
      </c>
      <c r="CJ44" s="48"/>
      <c r="CK44" s="49">
        <v>48</v>
      </c>
      <c r="CL44" s="50"/>
      <c r="CM44" s="47" t="s">
        <v>22</v>
      </c>
      <c r="CN44" s="48"/>
      <c r="CO44" s="49" t="s">
        <v>23</v>
      </c>
      <c r="CP44" s="50"/>
      <c r="CQ44" s="23"/>
      <c r="CR44" s="7" t="s">
        <v>11</v>
      </c>
      <c r="CS44" s="14">
        <f>COUNTIF(C45:CN45,"G")+COUNTIF(C45:CN45,"Ex")+COUNTIF(C45:CN45,"P")</f>
        <v>10</v>
      </c>
      <c r="CT44" s="63" t="s">
        <v>1</v>
      </c>
      <c r="CU44" s="62"/>
      <c r="CV44" s="15">
        <f>COUNTIF(C45:CN45,"G")</f>
        <v>5</v>
      </c>
      <c r="CW44" s="16">
        <f>IF(CS44&gt;0,CV44/CS44,0)</f>
        <v>0.5</v>
      </c>
    </row>
    <row r="45" spans="2:101" ht="7.5" customHeight="1" x14ac:dyDescent="0.25">
      <c r="B45" s="81"/>
      <c r="C45" s="9"/>
      <c r="D45" s="51" t="str">
        <f>IF(N(C44)&gt;0,IF(C44&lt;Handicap11, Perdu,IF(C44=Handicap11,IF(AQ4=Handicap1,Exaequo,Gagne))),"")</f>
        <v/>
      </c>
      <c r="E45" s="52"/>
      <c r="F45" s="46" t="str">
        <f>IF(N(AS4)&gt;0,IF(N(E44)=AS4,"-","Err"),"")</f>
        <v/>
      </c>
      <c r="G45" s="9"/>
      <c r="H45" s="51" t="str">
        <f>IF(N(G44)&gt;0,IF(G44&lt;Handicap11, Perdu,IF(G44=Handicap11,IF(AQ8=Handicap2,Exaequo,Gagne))),"")</f>
        <v/>
      </c>
      <c r="I45" s="52"/>
      <c r="J45" s="46" t="str">
        <f>IF(N(AS8)&gt;0,IF(N(I44)=AS8,"-","Err"),"")</f>
        <v/>
      </c>
      <c r="K45" s="9"/>
      <c r="L45" s="51" t="str">
        <f>IF(N(K44)&gt;0,IF(K44&lt;Handicap11, Perdu,IF(K44=Handicap11,IF(AQ12=Handicap3,Exaequo,Gagne))),"")</f>
        <v>Ex</v>
      </c>
      <c r="M45" s="52"/>
      <c r="N45" s="46" t="str">
        <f>IF(N(AS12)&gt;0,IF(N(M44)=AS12,"-","Err"),"")</f>
        <v>-</v>
      </c>
      <c r="O45" s="9"/>
      <c r="P45" s="51" t="str">
        <f>IF(N(O44)&gt;0,IF(O44&lt;Handicap11, Perdu,IF(O44=Handicap11,IF(AQ16=Handicap4,Exaequo,Gagne))),"")</f>
        <v/>
      </c>
      <c r="Q45" s="52"/>
      <c r="R45" s="46" t="str">
        <f>IF(N(AS16)&gt;0,IF(N(Q44)=AS16,"-","Err"),"")</f>
        <v/>
      </c>
      <c r="S45" s="9"/>
      <c r="T45" s="51" t="str">
        <f>IF(N(S44)&gt;0,IF(S44&lt;Handicap11, Perdu,IF(S44=Handicap11,IF(AQ20=Handicap5,Exaequo,Gagne))),"")</f>
        <v>G</v>
      </c>
      <c r="U45" s="52"/>
      <c r="V45" s="46" t="str">
        <f>IF(N(AS20)&gt;0,IF(N(U44)=AS20,"-","Err"),"")</f>
        <v>-</v>
      </c>
      <c r="W45" s="9"/>
      <c r="X45" s="51" t="str">
        <f>IF(N(W44)&gt;0,IF(W44&lt;Handicap11, Perdu,IF(W44=Handicap11,IF(AQ24=Handicap6,Exaequo,Gagne))),"")</f>
        <v/>
      </c>
      <c r="Y45" s="52"/>
      <c r="Z45" s="46" t="str">
        <f>IF(N(AS24)&gt;0,IF(N(Y44)=AS24,"-","Err"),"")</f>
        <v/>
      </c>
      <c r="AA45" s="9"/>
      <c r="AB45" s="51" t="str">
        <f>IF(N(AA44)&gt;0,IF(AA44&lt;Handicap11, Perdu,IF(AA44=Handicap11,IF(AQ28=Handicap7,Exaequo,Gagne))),"")</f>
        <v/>
      </c>
      <c r="AC45" s="52"/>
      <c r="AD45" s="46" t="str">
        <f>IF(N(AS28)&gt;0,IF(N(AC44)=AS28,"-","Err"),"")</f>
        <v/>
      </c>
      <c r="AE45" s="9"/>
      <c r="AF45" s="51" t="str">
        <f>IF(N(AE44)&gt;0,IF(AE44&lt;Handicap11, Perdu,IF(AE44=Handicap11,IF(AQ32=Handicap8,Exaequo,Gagne))),"")</f>
        <v>G</v>
      </c>
      <c r="AG45" s="52"/>
      <c r="AH45" s="46" t="str">
        <f>IF(N(AS32)&gt;0,IF(N(AG44)=AS32,"-","Err"),"")</f>
        <v>-</v>
      </c>
      <c r="AI45" s="9"/>
      <c r="AJ45" s="51" t="str">
        <f>IF(N(AI44)&gt;0,IF(AI44&lt;Handicap11, Perdu,IF(AI44=Handicap11,IF(AQ36=Handicap9,Exaequo,Gagne))),"")</f>
        <v/>
      </c>
      <c r="AK45" s="52"/>
      <c r="AL45" s="46" t="str">
        <f>IF(N(AS36)&gt;0,IF(N(AK44)=AS36,"-","Err"),"")</f>
        <v/>
      </c>
      <c r="AM45" s="9"/>
      <c r="AN45" s="51" t="str">
        <f>IF(N(AM44)&gt;0,IF(AM44&lt;Handicap11, Perdu,IF(AM44=Handicap11,IF(AQ40=Handicap10,Exaequo,Gagne))),"")</f>
        <v>P</v>
      </c>
      <c r="AO45" s="52"/>
      <c r="AP45" s="46" t="str">
        <f>IF(N(AS40)&gt;0,IF(N(AO44)=AS40,"-","Err"),"")</f>
        <v>-</v>
      </c>
      <c r="AQ45" s="86"/>
      <c r="AR45" s="87"/>
      <c r="AS45" s="87"/>
      <c r="AT45" s="88"/>
      <c r="AU45" s="9"/>
      <c r="AV45" s="51" t="str">
        <f>IF(N(AU44)&gt;0,IF(AU44&lt;Handicap11, Perdu,IF(AU44=Handicap11,IF(AQ48=Handicap12,Exaequo,Gagne))),"")</f>
        <v/>
      </c>
      <c r="AW45" s="73"/>
      <c r="AX45" s="46" t="str">
        <f>IF(N(AS48)&gt;0,IF(N(AW44)=AS48,"-","Err"),"")</f>
        <v/>
      </c>
      <c r="AY45" s="9"/>
      <c r="AZ45" s="51" t="str">
        <f>IF(N(AY44)&gt;0,IF(AY44&lt;Handicap11, Perdu,IF(AY44=Handicap11,IF(AQ52=Handicap13,Exaequo,Gagne))),"")</f>
        <v>G</v>
      </c>
      <c r="BA45" s="73"/>
      <c r="BB45" s="46" t="str">
        <f>IF(N(AS52)&gt;0,IF(N(BA44)=AS52,"-","Err"),"")</f>
        <v>-</v>
      </c>
      <c r="BC45" s="9"/>
      <c r="BD45" s="51" t="str">
        <f>IF(N(BC44)&gt;0,IF(BC44&lt;Handicap11, Perdu,IF(BC44=Handicap11,IF(AQ56=hANDICAP14,Exaequo,Gagne))),"")</f>
        <v>P</v>
      </c>
      <c r="BE45" s="73"/>
      <c r="BF45" s="46" t="str">
        <f>IF(N(AS56)&gt;0,IF(N(BE44)=AS56,"-","Err"),"")</f>
        <v>-</v>
      </c>
      <c r="BG45" s="9"/>
      <c r="BH45" s="51" t="str">
        <f>IF(N(BG44)&gt;0,IF(BG44&lt;Handicap11, Perdu,IF(BG44=Handicap11,IF(AQ60=Handicap15,Exaequo,Gagne))),"")</f>
        <v/>
      </c>
      <c r="BI45" s="73"/>
      <c r="BJ45" s="46" t="str">
        <f>IF(N(AS60)&gt;0,IF(N(BI44)=AS60,"-","Err"),"")</f>
        <v/>
      </c>
      <c r="BK45" s="9"/>
      <c r="BL45" s="51" t="str">
        <f>IF(N(BK44)&gt;0,IF(BK44&lt;Handicap11, Perdu,IF(BK44=Handicap11,IF(AQ64=Handicap16,Exaequo,Gagne))),"")</f>
        <v>G</v>
      </c>
      <c r="BM45" s="73"/>
      <c r="BN45" s="46" t="str">
        <f>IF(N(AS64)&gt;0,IF(N(BM44)=AS64,"-","Err"),"")</f>
        <v>-</v>
      </c>
      <c r="BO45" s="9"/>
      <c r="BP45" s="51" t="str">
        <f>IF(N(BO44)&gt;0,IF(BO44&lt;Handicap11, Perdu,IF(BO44=Handicap11,IF(AQ68=Handicap17,Exaequo,Gagne))),"")</f>
        <v>P</v>
      </c>
      <c r="BQ45" s="73"/>
      <c r="BR45" s="46" t="str">
        <f>IF(N(AS68)&gt;0,IF(N(BQ44)=AS68,"-","Err"),"")</f>
        <v>-</v>
      </c>
      <c r="BS45" s="9"/>
      <c r="BT45" s="51" t="str">
        <f>IF(N(BS44)&gt;0,IF(BS44&lt;Handicap11, Perdu,IF(BS44=Handicap11,IF(AQ72=Handicap18,Exaequo,Gagne))),"")</f>
        <v>G</v>
      </c>
      <c r="BU45" s="73"/>
      <c r="BV45" s="46" t="str">
        <f>IF(N(AS72)&gt;0,IF(N(BU44)=AS72,"-","Err"),"")</f>
        <v>-</v>
      </c>
      <c r="BW45" s="9"/>
      <c r="BX45" s="51" t="str">
        <f>IF(N(BW44)&gt;0,IF(BW44&lt;Handicap11, Perdu,IF(BW44=Handicap11,IF(AQ76=Handicap19,Exaequo,Gagne))),"")</f>
        <v/>
      </c>
      <c r="BY45" s="73"/>
      <c r="BZ45" s="46" t="str">
        <f>IF(N(AS76)&gt;0,IF(N(BY44)=AS76,"-","Err"),"")</f>
        <v/>
      </c>
      <c r="CA45" s="9"/>
      <c r="CB45" s="51" t="str">
        <f>IF(N(CA44)&gt;0,IF(CA44&lt;Handicap11, Perdu,IF(CA44=Handicap11,IF(AQ80=Handicap20,Exaequo,Gagne))),"")</f>
        <v/>
      </c>
      <c r="CC45" s="73"/>
      <c r="CD45" s="46" t="str">
        <f>IF(N(AS80)&gt;0,IF(N(CC44)=AS80,"-","Err"),"")</f>
        <v/>
      </c>
      <c r="CE45" s="9"/>
      <c r="CF45" s="51" t="str">
        <f>IF(N(CE44)&gt;0,IF(CE44&lt;Handicap11, Perdu,IF(CE44=Handicap11,IF(AQ84=Handicap21,Exaequo,Gagne))),"")</f>
        <v/>
      </c>
      <c r="CG45" s="73"/>
      <c r="CH45" s="46" t="str">
        <f>IF(N(AS84)&gt;0,IF(N(CG44)=AS84,"-","Err"),"")</f>
        <v/>
      </c>
      <c r="CI45" s="9"/>
      <c r="CJ45" s="51" t="str">
        <f>IF(N(CI44)&gt;0,IF(CI44&lt;Handicap11, Perdu,IF(CI44=Handicap11,IF(AQ88=Handicap22,Exaequo,Gagne))),"")</f>
        <v>P</v>
      </c>
      <c r="CK45" s="73"/>
      <c r="CL45" s="46" t="str">
        <f>IF(N(AS88)&gt;0,IF(N(CK44)=AS88,"-","Err"),"")</f>
        <v>-</v>
      </c>
      <c r="CM45" s="46" t="str">
        <f>IF(N(CM44)&gt;Handicap11,"Err","-")</f>
        <v>-</v>
      </c>
      <c r="CN45" s="51" t="str">
        <f>IF(N(CM44)&gt;0,IF(CM44&lt;Handicap11, Perdu,IF(CM44=Handicap11,IF(AQ92=Handicap23,Exaequo,Gagne))),"")</f>
        <v/>
      </c>
      <c r="CO45" s="52"/>
      <c r="CP45" s="46" t="str">
        <f>IF(N(AS92)&gt;0,IF(N(CO44)=AS92,"-","Err"),"")</f>
        <v/>
      </c>
      <c r="CQ45" s="30"/>
      <c r="CR45" s="64" t="s">
        <v>6</v>
      </c>
      <c r="CS45" s="66">
        <f>(COUNTIF(C45:CP45,"G")*3)+(COUNTIF(C45:CP45,"Ex")*2)+COUNTIF(C45:CP45,"P")</f>
        <v>21</v>
      </c>
      <c r="CT45" s="68" t="s">
        <v>2</v>
      </c>
      <c r="CU45" s="69"/>
      <c r="CV45" s="72">
        <f>COUNTIF(C45:CN45,"P")</f>
        <v>4</v>
      </c>
      <c r="CW45" s="60">
        <f>IF(CS44&gt;0,CV45/CS44,0)</f>
        <v>0.4</v>
      </c>
    </row>
    <row r="46" spans="2:101" ht="7.5" customHeight="1" x14ac:dyDescent="0.25">
      <c r="B46" s="81"/>
      <c r="C46" s="2"/>
      <c r="D46" s="53"/>
      <c r="E46" s="54"/>
      <c r="F46" s="46"/>
      <c r="G46" s="2"/>
      <c r="H46" s="53"/>
      <c r="I46" s="54"/>
      <c r="J46" s="46"/>
      <c r="K46" s="2"/>
      <c r="L46" s="53"/>
      <c r="M46" s="54"/>
      <c r="N46" s="46"/>
      <c r="O46" s="2"/>
      <c r="P46" s="53"/>
      <c r="Q46" s="54"/>
      <c r="R46" s="46"/>
      <c r="S46" s="2"/>
      <c r="T46" s="53"/>
      <c r="U46" s="54"/>
      <c r="V46" s="46"/>
      <c r="W46" s="2"/>
      <c r="X46" s="53"/>
      <c r="Y46" s="54"/>
      <c r="Z46" s="46"/>
      <c r="AA46" s="2"/>
      <c r="AB46" s="53"/>
      <c r="AC46" s="54"/>
      <c r="AD46" s="46"/>
      <c r="AE46" s="2"/>
      <c r="AF46" s="53"/>
      <c r="AG46" s="54"/>
      <c r="AH46" s="46"/>
      <c r="AI46" s="2"/>
      <c r="AJ46" s="53"/>
      <c r="AK46" s="54"/>
      <c r="AL46" s="46"/>
      <c r="AM46" s="2"/>
      <c r="AN46" s="53"/>
      <c r="AO46" s="54"/>
      <c r="AP46" s="46"/>
      <c r="AQ46" s="86"/>
      <c r="AR46" s="87"/>
      <c r="AS46" s="87"/>
      <c r="AT46" s="88"/>
      <c r="AU46" s="2"/>
      <c r="AV46" s="74"/>
      <c r="AW46" s="75"/>
      <c r="AX46" s="46"/>
      <c r="AY46" s="2"/>
      <c r="AZ46" s="74"/>
      <c r="BA46" s="75"/>
      <c r="BB46" s="46"/>
      <c r="BC46" s="2"/>
      <c r="BD46" s="74"/>
      <c r="BE46" s="75"/>
      <c r="BF46" s="46"/>
      <c r="BG46" s="2"/>
      <c r="BH46" s="74"/>
      <c r="BI46" s="75"/>
      <c r="BJ46" s="46"/>
      <c r="BK46" s="2"/>
      <c r="BL46" s="74"/>
      <c r="BM46" s="75"/>
      <c r="BN46" s="46"/>
      <c r="BO46" s="2"/>
      <c r="BP46" s="74"/>
      <c r="BQ46" s="75"/>
      <c r="BR46" s="46"/>
      <c r="BS46" s="2"/>
      <c r="BT46" s="74"/>
      <c r="BU46" s="75"/>
      <c r="BV46" s="46"/>
      <c r="BW46" s="2"/>
      <c r="BX46" s="74"/>
      <c r="BY46" s="75"/>
      <c r="BZ46" s="46"/>
      <c r="CA46" s="2"/>
      <c r="CB46" s="74"/>
      <c r="CC46" s="75"/>
      <c r="CD46" s="46"/>
      <c r="CE46" s="2"/>
      <c r="CF46" s="74"/>
      <c r="CG46" s="75"/>
      <c r="CH46" s="46"/>
      <c r="CI46" s="2"/>
      <c r="CJ46" s="74"/>
      <c r="CK46" s="75"/>
      <c r="CL46" s="46"/>
      <c r="CM46" s="46"/>
      <c r="CN46" s="53"/>
      <c r="CO46" s="54"/>
      <c r="CP46" s="46"/>
      <c r="CQ46" s="30"/>
      <c r="CR46" s="65"/>
      <c r="CS46" s="67"/>
      <c r="CT46" s="70"/>
      <c r="CU46" s="71"/>
      <c r="CV46" s="72"/>
      <c r="CW46" s="60"/>
    </row>
    <row r="47" spans="2:101" ht="15" customHeight="1" x14ac:dyDescent="0.25">
      <c r="B47" s="82"/>
      <c r="C47" s="55" t="str">
        <f>IF(COUNT(C44:E44)=2,C44/E44,"Moy")</f>
        <v>Moy</v>
      </c>
      <c r="D47" s="56"/>
      <c r="E47" s="56" t="s">
        <v>0</v>
      </c>
      <c r="F47" s="59"/>
      <c r="G47" s="55" t="str">
        <f>IF(COUNT(G44:I44)=2,G44/I44,"Moy")</f>
        <v>Moy</v>
      </c>
      <c r="H47" s="56"/>
      <c r="I47" s="56" t="s">
        <v>0</v>
      </c>
      <c r="J47" s="59"/>
      <c r="K47" s="55">
        <f>IF(COUNT(K44:M44)=2,K44/M44,"Moy")</f>
        <v>0.38461538461538464</v>
      </c>
      <c r="L47" s="56"/>
      <c r="M47" s="56">
        <v>3</v>
      </c>
      <c r="N47" s="59"/>
      <c r="O47" s="55" t="str">
        <f>IF(COUNT(O44:Q44)=2,O44/Q44,"Moy")</f>
        <v>Moy</v>
      </c>
      <c r="P47" s="56"/>
      <c r="Q47" s="56" t="s">
        <v>0</v>
      </c>
      <c r="R47" s="59"/>
      <c r="S47" s="55">
        <f>IF(COUNT(S44:U44)=2,S44/U44,"Moy")</f>
        <v>0.48780487804878048</v>
      </c>
      <c r="T47" s="56"/>
      <c r="U47" s="56">
        <v>3</v>
      </c>
      <c r="V47" s="59"/>
      <c r="W47" s="55" t="str">
        <f>IF(COUNT(W44:Y44)=2,W44/Y44,"Moy")</f>
        <v>Moy</v>
      </c>
      <c r="X47" s="56"/>
      <c r="Y47" s="56" t="s">
        <v>0</v>
      </c>
      <c r="Z47" s="59"/>
      <c r="AA47" s="55" t="str">
        <f>IF(COUNT(AA44:AC44)=2,AA44/AC44,"Moy")</f>
        <v>Moy</v>
      </c>
      <c r="AB47" s="56"/>
      <c r="AC47" s="56" t="s">
        <v>0</v>
      </c>
      <c r="AD47" s="59"/>
      <c r="AE47" s="55">
        <f>IF(COUNT(AE44:AG44)=2,AE44/AG44,"Moy")</f>
        <v>0.47619047619047616</v>
      </c>
      <c r="AF47" s="56"/>
      <c r="AG47" s="56">
        <v>3</v>
      </c>
      <c r="AH47" s="59"/>
      <c r="AI47" s="55" t="str">
        <f>IF(COUNT(AI44:AK44)=2,AI44/AK44,"Moy")</f>
        <v>Moy</v>
      </c>
      <c r="AJ47" s="56"/>
      <c r="AK47" s="56" t="s">
        <v>0</v>
      </c>
      <c r="AL47" s="59"/>
      <c r="AM47" s="55">
        <f>IF(COUNT(AM44:AO44)=2,AM44/AO44,"Moy")</f>
        <v>0.47058823529411764</v>
      </c>
      <c r="AN47" s="56"/>
      <c r="AO47" s="56">
        <v>4</v>
      </c>
      <c r="AP47" s="59"/>
      <c r="AQ47" s="89"/>
      <c r="AR47" s="90"/>
      <c r="AS47" s="90"/>
      <c r="AT47" s="91"/>
      <c r="AU47" s="55" t="str">
        <f>IF(COUNT(AU44:AW44)=2,AU44/AW44,"Moy")</f>
        <v>Moy</v>
      </c>
      <c r="AV47" s="76"/>
      <c r="AW47" s="56" t="s">
        <v>0</v>
      </c>
      <c r="AX47" s="59"/>
      <c r="AY47" s="55">
        <f>IF(COUNT(AY44:BA44)=2,AY44/BA44,"Moy")</f>
        <v>0.43478260869565216</v>
      </c>
      <c r="AZ47" s="76"/>
      <c r="BA47" s="56">
        <v>2</v>
      </c>
      <c r="BB47" s="59"/>
      <c r="BC47" s="55">
        <f>IF(COUNT(BC44:BE44)=2,BC44/BE44,"Moy")</f>
        <v>0.21428571428571427</v>
      </c>
      <c r="BD47" s="76"/>
      <c r="BE47" s="56">
        <v>2</v>
      </c>
      <c r="BF47" s="59"/>
      <c r="BG47" s="55" t="str">
        <f>IF(COUNT(BG44:BI44)=2,BG44/BI44,"Moy")</f>
        <v>Moy</v>
      </c>
      <c r="BH47" s="76"/>
      <c r="BI47" s="56" t="s">
        <v>0</v>
      </c>
      <c r="BJ47" s="59"/>
      <c r="BK47" s="55">
        <f>IF(COUNT(BK44:BM44)=2,BK44/BM44,"Moy")</f>
        <v>0.43478260869565216</v>
      </c>
      <c r="BL47" s="76"/>
      <c r="BM47" s="56">
        <v>3</v>
      </c>
      <c r="BN47" s="59"/>
      <c r="BO47" s="55">
        <f>IF(COUNT(BO44:BQ44)=2,BO44/BQ44,"Moy")</f>
        <v>0.2413793103448276</v>
      </c>
      <c r="BP47" s="76"/>
      <c r="BQ47" s="56">
        <v>2</v>
      </c>
      <c r="BR47" s="59"/>
      <c r="BS47" s="55">
        <f>IF(COUNT(BS44:BU44)=2,BS44/BU44,"Moy")</f>
        <v>0.48780487804878048</v>
      </c>
      <c r="BT47" s="76"/>
      <c r="BU47" s="56">
        <v>2</v>
      </c>
      <c r="BV47" s="59"/>
      <c r="BW47" s="55" t="str">
        <f>IF(COUNT(BW44:BY44)=2,BW44/BY44,"Moy")</f>
        <v>Moy</v>
      </c>
      <c r="BX47" s="76"/>
      <c r="BY47" s="56" t="s">
        <v>0</v>
      </c>
      <c r="BZ47" s="59"/>
      <c r="CA47" s="55" t="str">
        <f>IF(COUNT(CA44:CC44)=2,CA44/CC44,"Moy")</f>
        <v>Moy</v>
      </c>
      <c r="CB47" s="76"/>
      <c r="CC47" s="56" t="s">
        <v>0</v>
      </c>
      <c r="CD47" s="59"/>
      <c r="CE47" s="55" t="str">
        <f>IF(COUNT(CE44:CG44)=2,CE44/CG44,"Moy")</f>
        <v>Moy</v>
      </c>
      <c r="CF47" s="76"/>
      <c r="CG47" s="56" t="s">
        <v>0</v>
      </c>
      <c r="CH47" s="59"/>
      <c r="CI47" s="55">
        <f>IF(COUNT(CI44:CK44)=2,CI44/CK44,"Moy")</f>
        <v>0.375</v>
      </c>
      <c r="CJ47" s="76"/>
      <c r="CK47" s="56">
        <v>2</v>
      </c>
      <c r="CL47" s="59"/>
      <c r="CM47" s="55" t="str">
        <f>IF(COUNT(CM44:CO44)=2,CM44/CO44,"Moy")</f>
        <v>Moy</v>
      </c>
      <c r="CN47" s="56"/>
      <c r="CO47" s="56" t="s">
        <v>0</v>
      </c>
      <c r="CP47" s="59"/>
      <c r="CQ47" s="22"/>
      <c r="CR47" s="8" t="s">
        <v>5</v>
      </c>
      <c r="CS47" s="17">
        <f>IF(CS44&gt;0,((N(C47)+N(G47)+N(K47)+N(O47)+N(S47)+N(W47)+N(AA47)+N(AE47)+N(AI47)+N(AM47)+N(AQ47)+N(AU47)+N(AY47)+N(BC47)+N(BG47)+N(BK47)+N(BO47)+N(BS47)+N(BW47)+N(CA47)+N(CE47)+N(CI47))+N(CM47))/CS44,0)</f>
        <v>0.40072340942193863</v>
      </c>
      <c r="CT47" s="61" t="s">
        <v>3</v>
      </c>
      <c r="CU47" s="62"/>
      <c r="CV47" s="18">
        <f>COUNTIF(C45:CN45,"Ex")</f>
        <v>1</v>
      </c>
      <c r="CW47" s="19">
        <f>IF(CS44&gt;0,CV47/CS44,0)</f>
        <v>0.1</v>
      </c>
    </row>
    <row r="48" spans="2:101" ht="15" customHeight="1" x14ac:dyDescent="0.25">
      <c r="B48" s="92" t="s">
        <v>42</v>
      </c>
      <c r="C48" s="47" t="s">
        <v>22</v>
      </c>
      <c r="D48" s="48"/>
      <c r="E48" s="49" t="s">
        <v>23</v>
      </c>
      <c r="F48" s="50"/>
      <c r="G48" s="47" t="s">
        <v>22</v>
      </c>
      <c r="H48" s="48"/>
      <c r="I48" s="49" t="s">
        <v>23</v>
      </c>
      <c r="J48" s="50"/>
      <c r="K48" s="47" t="s">
        <v>22</v>
      </c>
      <c r="L48" s="48"/>
      <c r="M48" s="49" t="s">
        <v>23</v>
      </c>
      <c r="N48" s="50"/>
      <c r="O48" s="47" t="s">
        <v>22</v>
      </c>
      <c r="P48" s="48"/>
      <c r="Q48" s="49" t="s">
        <v>23</v>
      </c>
      <c r="R48" s="50"/>
      <c r="S48" s="47" t="s">
        <v>22</v>
      </c>
      <c r="T48" s="48"/>
      <c r="U48" s="49" t="s">
        <v>23</v>
      </c>
      <c r="V48" s="50"/>
      <c r="W48" s="47" t="s">
        <v>22</v>
      </c>
      <c r="X48" s="48"/>
      <c r="Y48" s="49" t="s">
        <v>23</v>
      </c>
      <c r="Z48" s="50"/>
      <c r="AA48" s="47" t="s">
        <v>22</v>
      </c>
      <c r="AB48" s="48"/>
      <c r="AC48" s="49" t="s">
        <v>23</v>
      </c>
      <c r="AD48" s="50"/>
      <c r="AE48" s="47" t="s">
        <v>22</v>
      </c>
      <c r="AF48" s="48"/>
      <c r="AG48" s="49" t="s">
        <v>23</v>
      </c>
      <c r="AH48" s="50"/>
      <c r="AI48" s="47" t="s">
        <v>22</v>
      </c>
      <c r="AJ48" s="48"/>
      <c r="AK48" s="49" t="s">
        <v>23</v>
      </c>
      <c r="AL48" s="50"/>
      <c r="AM48" s="47" t="s">
        <v>22</v>
      </c>
      <c r="AN48" s="48"/>
      <c r="AO48" s="49" t="s">
        <v>23</v>
      </c>
      <c r="AP48" s="50"/>
      <c r="AQ48" s="47" t="s">
        <v>22</v>
      </c>
      <c r="AR48" s="48"/>
      <c r="AS48" s="49" t="s">
        <v>23</v>
      </c>
      <c r="AT48" s="50"/>
      <c r="AU48" s="83">
        <v>30</v>
      </c>
      <c r="AV48" s="84"/>
      <c r="AW48" s="84"/>
      <c r="AX48" s="85"/>
      <c r="AY48" s="47">
        <v>30</v>
      </c>
      <c r="AZ48" s="48"/>
      <c r="BA48" s="49">
        <v>38</v>
      </c>
      <c r="BB48" s="50"/>
      <c r="BC48" s="47" t="s">
        <v>22</v>
      </c>
      <c r="BD48" s="48"/>
      <c r="BE48" s="49" t="s">
        <v>23</v>
      </c>
      <c r="BF48" s="50"/>
      <c r="BG48" s="47" t="s">
        <v>22</v>
      </c>
      <c r="BH48" s="48"/>
      <c r="BI48" s="49" t="s">
        <v>23</v>
      </c>
      <c r="BJ48" s="50"/>
      <c r="BK48" s="47" t="s">
        <v>22</v>
      </c>
      <c r="BL48" s="48"/>
      <c r="BM48" s="49" t="s">
        <v>23</v>
      </c>
      <c r="BN48" s="50"/>
      <c r="BO48" s="47" t="s">
        <v>22</v>
      </c>
      <c r="BP48" s="48"/>
      <c r="BQ48" s="49" t="s">
        <v>23</v>
      </c>
      <c r="BR48" s="50"/>
      <c r="BS48" s="47">
        <v>30</v>
      </c>
      <c r="BT48" s="48"/>
      <c r="BU48" s="49">
        <v>38</v>
      </c>
      <c r="BV48" s="50"/>
      <c r="BW48" s="47" t="s">
        <v>22</v>
      </c>
      <c r="BX48" s="48"/>
      <c r="BY48" s="49" t="s">
        <v>23</v>
      </c>
      <c r="BZ48" s="50"/>
      <c r="CA48" s="47" t="s">
        <v>22</v>
      </c>
      <c r="CB48" s="48"/>
      <c r="CC48" s="49" t="s">
        <v>23</v>
      </c>
      <c r="CD48" s="50"/>
      <c r="CE48" s="47" t="s">
        <v>22</v>
      </c>
      <c r="CF48" s="48"/>
      <c r="CG48" s="49" t="s">
        <v>23</v>
      </c>
      <c r="CH48" s="50"/>
      <c r="CI48" s="47" t="s">
        <v>22</v>
      </c>
      <c r="CJ48" s="48"/>
      <c r="CK48" s="49" t="s">
        <v>23</v>
      </c>
      <c r="CL48" s="50"/>
      <c r="CM48" s="47" t="s">
        <v>22</v>
      </c>
      <c r="CN48" s="48"/>
      <c r="CO48" s="49" t="s">
        <v>23</v>
      </c>
      <c r="CP48" s="50"/>
      <c r="CQ48" s="23"/>
      <c r="CR48" s="7" t="s">
        <v>11</v>
      </c>
      <c r="CS48" s="14">
        <f>COUNTIF(C49:CN49,"G")+COUNTIF(C49:CN49,"Ex")+COUNTIF(C49:CN49,"P")</f>
        <v>2</v>
      </c>
      <c r="CT48" s="63" t="s">
        <v>1</v>
      </c>
      <c r="CU48" s="62"/>
      <c r="CV48" s="15">
        <f>COUNTIF(C49:CN49,"G")</f>
        <v>2</v>
      </c>
      <c r="CW48" s="16">
        <f>IF(CS48&gt;0,CV48/CS48,0)</f>
        <v>1</v>
      </c>
    </row>
    <row r="49" spans="2:101" ht="7.5" customHeight="1" x14ac:dyDescent="0.25">
      <c r="B49" s="93"/>
      <c r="C49" s="9"/>
      <c r="D49" s="51" t="str">
        <f>IF(N(C48)&gt;0,IF(C48&lt;Handicap12, Perdu,IF(C48=Handicap12,IF(AU4=Handicap1,Exaequo,Gagne))),"")</f>
        <v/>
      </c>
      <c r="E49" s="52"/>
      <c r="F49" s="46" t="str">
        <f>IF(N(AW4)&gt;0,IF(N(E48)=AW4,"-","Err"),"")</f>
        <v/>
      </c>
      <c r="G49" s="9"/>
      <c r="H49" s="51" t="str">
        <f>IF(N(G48)&gt;0,IF(G48&lt;Handicap12, Perdu,IF(G48=Handicap12,IF(AU8=Handicap2,Exaequo,Gagne))),"")</f>
        <v/>
      </c>
      <c r="I49" s="52"/>
      <c r="J49" s="46" t="str">
        <f>IF(N(AW8)&gt;0,IF(N(I48)=AW8,"-","Err"),"")</f>
        <v/>
      </c>
      <c r="K49" s="9"/>
      <c r="L49" s="51" t="str">
        <f>IF(N(K48)&gt;0,IF(K48&lt;Handicap12, Perdu,IF(K48=Handicap12,IF(AU12=Handicap3,Exaequo,Gagne))),"")</f>
        <v/>
      </c>
      <c r="M49" s="52"/>
      <c r="N49" s="46" t="str">
        <f>IF(N(AW12)&gt;0,IF(N(M48)=AW12,"-","Err"),"")</f>
        <v/>
      </c>
      <c r="O49" s="9"/>
      <c r="P49" s="51" t="str">
        <f>IF(N(O48)&gt;0,IF(O48&lt;Handicap12, Perdu,IF(O48=Handicap12,IF(AU16=Handicap4,Exaequo,Gagne))),"")</f>
        <v/>
      </c>
      <c r="Q49" s="52"/>
      <c r="R49" s="46" t="str">
        <f>IF(N(AW16)&gt;0,IF(N(Q48)=AW16,"-","Err"),"")</f>
        <v/>
      </c>
      <c r="S49" s="9"/>
      <c r="T49" s="51" t="str">
        <f>IF(N(S48)&gt;0,IF(S48&lt;Handicap12, Perdu,IF(S48=Handicap12,IF(AU20=Handicap5,Exaequo,Gagne))),"")</f>
        <v/>
      </c>
      <c r="U49" s="52"/>
      <c r="V49" s="46" t="str">
        <f>IF(N(AW20)&gt;0,IF(N(U48)=AW20,"-","Err"),"")</f>
        <v/>
      </c>
      <c r="W49" s="9"/>
      <c r="X49" s="51" t="str">
        <f>IF(N(W48)&gt;0,IF(W48&lt;Handicap12, Perdu,IF(W48=Handicap12,IF(AU24=Handicap6,Exaequo,Gagne))),"")</f>
        <v/>
      </c>
      <c r="Y49" s="52"/>
      <c r="Z49" s="46" t="str">
        <f>IF(N(AW24)&gt;0,IF(N(Y48)=AW24,"-","Err"),"")</f>
        <v/>
      </c>
      <c r="AA49" s="9"/>
      <c r="AB49" s="51" t="str">
        <f>IF(N(AA48)&gt;0,IF(AA48&lt;Handicap12, Perdu,IF(AA48=Handicap12,IF(AU28=Handicap7,Exaequo,Gagne))),"")</f>
        <v/>
      </c>
      <c r="AC49" s="52"/>
      <c r="AD49" s="46" t="str">
        <f>IF(N(AW28)&gt;0,IF(N(AC48)=AW28,"-","Err"),"")</f>
        <v/>
      </c>
      <c r="AE49" s="9"/>
      <c r="AF49" s="51" t="str">
        <f>IF(N(AE48)&gt;0,IF(AE48&lt;Handicap12, Perdu,IF(AE48=Handicap12,IF(AU32=Handicap8,Exaequo,Gagne))),"")</f>
        <v/>
      </c>
      <c r="AG49" s="52"/>
      <c r="AH49" s="46" t="str">
        <f>IF(N(AW32)&gt;0,IF(N(AG48)=AW32,"-","Err"),"")</f>
        <v/>
      </c>
      <c r="AI49" s="9"/>
      <c r="AJ49" s="51" t="str">
        <f>IF(N(AI48)&gt;0,IF(AI48&lt;Handicap12, Perdu,IF(AI48=Handicap12,IF(AU36=Handicap9,Exaequo,Gagne))),"")</f>
        <v/>
      </c>
      <c r="AK49" s="52"/>
      <c r="AL49" s="46" t="str">
        <f>IF(N(AW36)&gt;0,IF(N(AK48)=AW36,"-","Err"),"")</f>
        <v/>
      </c>
      <c r="AM49" s="9"/>
      <c r="AN49" s="51" t="str">
        <f>IF(N(AM48)&gt;0,IF(AM48&lt;Handicap12, Perdu,IF(AM48=Handicap12,IF(AU40=Handicap10,Exaequo,Gagne))),"")</f>
        <v/>
      </c>
      <c r="AO49" s="52"/>
      <c r="AP49" s="46" t="str">
        <f>IF(N(AW40)&gt;0,IF(N(AO48)=AW40,"-","Err"),"")</f>
        <v/>
      </c>
      <c r="AQ49" s="9"/>
      <c r="AR49" s="51" t="str">
        <f>IF(N(AQ48)&gt;0,IF(AQ48&lt;Handicap12, Perdu,IF(AQ48=Handicap12,IF(AU44=Handicap11,Exaequo,Gagne))),"")</f>
        <v/>
      </c>
      <c r="AS49" s="52"/>
      <c r="AT49" s="46" t="str">
        <f>IF(N(AW44)&gt;0,IF(N(AS48)=AW44,"-","Err"),"")</f>
        <v/>
      </c>
      <c r="AU49" s="86"/>
      <c r="AV49" s="87"/>
      <c r="AW49" s="87"/>
      <c r="AX49" s="88"/>
      <c r="AY49" s="9"/>
      <c r="AZ49" s="51" t="str">
        <f>IF(N(AY48)&gt;0,IF(AY48&lt;Handicap12, Perdu,IF(AY48=Handicap12,IF(AU52=Handicap13,Exaequo,Gagne))),"")</f>
        <v>G</v>
      </c>
      <c r="BA49" s="52"/>
      <c r="BB49" s="46" t="str">
        <f>IF(N(AW52)&gt;0,IF(N(BA48)=AW52,"-","Err"),"")</f>
        <v>-</v>
      </c>
      <c r="BC49" s="9"/>
      <c r="BD49" s="51" t="str">
        <f>IF(N(BC48)&gt;0,IF(BC48&lt;Handicap12, Perdu,IF(BC48=Handicap12,IF(AU56=hANDICAP14,Exaequo,Gagne))),"")</f>
        <v/>
      </c>
      <c r="BE49" s="52"/>
      <c r="BF49" s="46" t="str">
        <f>IF(N(AW56)&gt;0,IF(N(BE48)=AW56,"-","Err"),"")</f>
        <v/>
      </c>
      <c r="BG49" s="9"/>
      <c r="BH49" s="51" t="str">
        <f>IF(N(BG48)&gt;0,IF(BG48&lt;Handicap12, Perdu,IF(BG48=Handicap12,IF(AU60=Handicap15,Exaequo,Gagne))),"")</f>
        <v/>
      </c>
      <c r="BI49" s="52"/>
      <c r="BJ49" s="46" t="str">
        <f>IF(N(AW60)&gt;0,IF(N(BI48)=AW60,"-","Err"),"")</f>
        <v/>
      </c>
      <c r="BK49" s="9"/>
      <c r="BL49" s="51" t="str">
        <f>IF(N(BK48)&gt;0,IF(BK48&lt;Handicap12, Perdu,IF(BK48=Handicap12,IF(AU64=Handicap16,Exaequo,Gagne))),"")</f>
        <v/>
      </c>
      <c r="BM49" s="52"/>
      <c r="BN49" s="46" t="str">
        <f>IF(N(AW64)&gt;0,IF(N(BM48)=AW64,"-","Err"),"")</f>
        <v/>
      </c>
      <c r="BO49" s="9"/>
      <c r="BP49" s="51" t="str">
        <f>IF(N(BO48)&gt;0,IF(BO48&lt;Handicap12, Perdu,IF(BO48=Handicap12,IF(AU68=Handicap17,Exaequo,Gagne))),"")</f>
        <v/>
      </c>
      <c r="BQ49" s="52"/>
      <c r="BR49" s="46" t="str">
        <f>IF(N(AW68)&gt;0,IF(N(BQ48)=AW68,"-","Err"),"")</f>
        <v/>
      </c>
      <c r="BS49" s="9"/>
      <c r="BT49" s="51" t="str">
        <f>IF(N(BS48)&gt;0,IF(BS48&lt;Handicap12, Perdu,IF(BS48=Handicap12,IF(AU72=Handicap18,Exaequo,Gagne))),"")</f>
        <v>G</v>
      </c>
      <c r="BU49" s="52"/>
      <c r="BV49" s="46" t="str">
        <f>IF(N(AW72)&gt;0,IF(N(BU48)=AW72,"-","Err"),"")</f>
        <v>-</v>
      </c>
      <c r="BW49" s="9"/>
      <c r="BX49" s="51" t="str">
        <f>IF(N(BW48)&gt;0,IF(BW48&lt;Handicap12, Perdu,IF(BW48=Handicap12,IF(AU76=Handicap19,Exaequo,Gagne))),"")</f>
        <v/>
      </c>
      <c r="BY49" s="52"/>
      <c r="BZ49" s="46" t="str">
        <f>IF(N(AW76)&gt;0,IF(N(BY48)=AW76,"-","Err"),"")</f>
        <v/>
      </c>
      <c r="CA49" s="9"/>
      <c r="CB49" s="51" t="str">
        <f>IF(N(CA48)&gt;0,IF(CA48&lt;Handicap12, Perdu,IF(CA48=Handicap12,IF(AU80=Handicap20,Exaequo,Gagne))),"")</f>
        <v/>
      </c>
      <c r="CC49" s="52"/>
      <c r="CD49" s="46" t="str">
        <f>IF(N(AW80)&gt;0,IF(N(CC48)=AW80,"-","Err"),"")</f>
        <v/>
      </c>
      <c r="CE49" s="9"/>
      <c r="CF49" s="51" t="str">
        <f>IF(N(CE48)&gt;0,IF(CE48&lt;Handicap12, Perdu,IF(CE48=Handicap12,IF(AU84=Handicap21,Exaequo,Gagne))),"")</f>
        <v/>
      </c>
      <c r="CG49" s="52"/>
      <c r="CH49" s="46" t="str">
        <f>IF(N(AW84)&gt;0,IF(N(CG48)=AW84,"-","Err"),"")</f>
        <v/>
      </c>
      <c r="CI49" s="9"/>
      <c r="CJ49" s="51" t="str">
        <f>IF(N(CI48)&gt;0,IF(CI48&lt;Handicap12, Perdu,IF(CI48=Handicap12,IF(AU88=Handicap22,Exaequo,Gagne))),"")</f>
        <v/>
      </c>
      <c r="CK49" s="52"/>
      <c r="CL49" s="46" t="str">
        <f>IF(N(AW88)&gt;0,IF(N(CK48)=AW88,"-","Err"),"")</f>
        <v/>
      </c>
      <c r="CM49" s="46" t="str">
        <f>IF(N(CM48)&gt;Handicap12,"Err","-")</f>
        <v>-</v>
      </c>
      <c r="CN49" s="51" t="str">
        <f>IF(N(CM48)&gt;0,IF(CM48&lt;Handicap12, Perdu,IF(CM48=Handicap12,IF(AU92=Handicap23,Exaequo,Gagne))),"")</f>
        <v/>
      </c>
      <c r="CO49" s="52"/>
      <c r="CP49" s="46" t="str">
        <f>IF(N(AW92)&gt;0,IF(N(CO48)=AW92,"-","Err"),"")</f>
        <v/>
      </c>
      <c r="CQ49" s="30"/>
      <c r="CR49" s="64" t="s">
        <v>6</v>
      </c>
      <c r="CS49" s="66">
        <f>(COUNTIF(C49:CP49,"G")*3)+(COUNTIF(C49:CP49,"Ex")*2)+COUNTIF(C49:CP49,"P")</f>
        <v>6</v>
      </c>
      <c r="CT49" s="68" t="s">
        <v>2</v>
      </c>
      <c r="CU49" s="69"/>
      <c r="CV49" s="72">
        <f>COUNTIF(C49:CN49,"P")</f>
        <v>0</v>
      </c>
      <c r="CW49" s="60">
        <f>IF(CS48&gt;0,CV49/CS48,0)</f>
        <v>0</v>
      </c>
    </row>
    <row r="50" spans="2:101" ht="6.75" customHeight="1" x14ac:dyDescent="0.25">
      <c r="B50" s="93"/>
      <c r="C50" s="2"/>
      <c r="D50" s="53"/>
      <c r="E50" s="54"/>
      <c r="F50" s="46"/>
      <c r="G50" s="2"/>
      <c r="H50" s="53"/>
      <c r="I50" s="54"/>
      <c r="J50" s="46"/>
      <c r="K50" s="2"/>
      <c r="L50" s="53"/>
      <c r="M50" s="54"/>
      <c r="N50" s="46"/>
      <c r="O50" s="2"/>
      <c r="P50" s="53"/>
      <c r="Q50" s="54"/>
      <c r="R50" s="46"/>
      <c r="S50" s="2"/>
      <c r="T50" s="53"/>
      <c r="U50" s="54"/>
      <c r="V50" s="46"/>
      <c r="W50" s="2"/>
      <c r="X50" s="53"/>
      <c r="Y50" s="54"/>
      <c r="Z50" s="46"/>
      <c r="AA50" s="2"/>
      <c r="AB50" s="53"/>
      <c r="AC50" s="54"/>
      <c r="AD50" s="46"/>
      <c r="AE50" s="2"/>
      <c r="AF50" s="53"/>
      <c r="AG50" s="54"/>
      <c r="AH50" s="46"/>
      <c r="AI50" s="2"/>
      <c r="AJ50" s="53"/>
      <c r="AK50" s="54"/>
      <c r="AL50" s="46"/>
      <c r="AM50" s="2"/>
      <c r="AN50" s="53"/>
      <c r="AO50" s="54"/>
      <c r="AP50" s="46"/>
      <c r="AQ50" s="2"/>
      <c r="AR50" s="53"/>
      <c r="AS50" s="54"/>
      <c r="AT50" s="46"/>
      <c r="AU50" s="86"/>
      <c r="AV50" s="87"/>
      <c r="AW50" s="87"/>
      <c r="AX50" s="88"/>
      <c r="AY50" s="2"/>
      <c r="AZ50" s="53"/>
      <c r="BA50" s="54"/>
      <c r="BB50" s="46"/>
      <c r="BC50" s="2"/>
      <c r="BD50" s="53"/>
      <c r="BE50" s="54"/>
      <c r="BF50" s="46"/>
      <c r="BG50" s="2"/>
      <c r="BH50" s="53"/>
      <c r="BI50" s="54"/>
      <c r="BJ50" s="46"/>
      <c r="BK50" s="2"/>
      <c r="BL50" s="53"/>
      <c r="BM50" s="54"/>
      <c r="BN50" s="46"/>
      <c r="BO50" s="2"/>
      <c r="BP50" s="53"/>
      <c r="BQ50" s="54"/>
      <c r="BR50" s="46"/>
      <c r="BS50" s="2"/>
      <c r="BT50" s="53"/>
      <c r="BU50" s="54"/>
      <c r="BV50" s="46"/>
      <c r="BW50" s="2"/>
      <c r="BX50" s="53"/>
      <c r="BY50" s="54"/>
      <c r="BZ50" s="46"/>
      <c r="CA50" s="2"/>
      <c r="CB50" s="53"/>
      <c r="CC50" s="54"/>
      <c r="CD50" s="46"/>
      <c r="CE50" s="2"/>
      <c r="CF50" s="53"/>
      <c r="CG50" s="54"/>
      <c r="CH50" s="46"/>
      <c r="CI50" s="2"/>
      <c r="CJ50" s="53"/>
      <c r="CK50" s="54"/>
      <c r="CL50" s="46"/>
      <c r="CM50" s="46"/>
      <c r="CN50" s="53"/>
      <c r="CO50" s="54"/>
      <c r="CP50" s="46"/>
      <c r="CQ50" s="30"/>
      <c r="CR50" s="65"/>
      <c r="CS50" s="67"/>
      <c r="CT50" s="70"/>
      <c r="CU50" s="71"/>
      <c r="CV50" s="72"/>
      <c r="CW50" s="60"/>
    </row>
    <row r="51" spans="2:101" ht="15" customHeight="1" x14ac:dyDescent="0.25">
      <c r="B51" s="94"/>
      <c r="C51" s="55" t="str">
        <f>IF(COUNT(C48:E48)=2,C48/E48,"Moy")</f>
        <v>Moy</v>
      </c>
      <c r="D51" s="56"/>
      <c r="E51" s="56" t="s">
        <v>0</v>
      </c>
      <c r="F51" s="59"/>
      <c r="G51" s="55" t="str">
        <f>IF(COUNT(G48:I48)=2,G48/I48,"Moy")</f>
        <v>Moy</v>
      </c>
      <c r="H51" s="56"/>
      <c r="I51" s="56" t="s">
        <v>0</v>
      </c>
      <c r="J51" s="59"/>
      <c r="K51" s="55" t="str">
        <f>IF(COUNT(K48:M48)=2,K48/M48,"Moy")</f>
        <v>Moy</v>
      </c>
      <c r="L51" s="56"/>
      <c r="M51" s="56" t="s">
        <v>0</v>
      </c>
      <c r="N51" s="59"/>
      <c r="O51" s="55" t="str">
        <f>IF(COUNT(O48:Q48)=2,O48/Q48,"Moy")</f>
        <v>Moy</v>
      </c>
      <c r="P51" s="56"/>
      <c r="Q51" s="56" t="s">
        <v>0</v>
      </c>
      <c r="R51" s="59"/>
      <c r="S51" s="55" t="str">
        <f>IF(COUNT(S48:U48)=2,S48/U48,"Moy")</f>
        <v>Moy</v>
      </c>
      <c r="T51" s="56"/>
      <c r="U51" s="56" t="s">
        <v>0</v>
      </c>
      <c r="V51" s="59"/>
      <c r="W51" s="55" t="str">
        <f>IF(COUNT(W48:Y48)=2,W48/Y48,"Moy")</f>
        <v>Moy</v>
      </c>
      <c r="X51" s="56"/>
      <c r="Y51" s="56" t="s">
        <v>0</v>
      </c>
      <c r="Z51" s="59"/>
      <c r="AA51" s="55" t="str">
        <f>IF(COUNT(AA48:AC48)=2,AA48/AC48,"Moy")</f>
        <v>Moy</v>
      </c>
      <c r="AB51" s="56"/>
      <c r="AC51" s="56" t="s">
        <v>0</v>
      </c>
      <c r="AD51" s="59"/>
      <c r="AE51" s="55" t="str">
        <f>IF(COUNT(AE48:AG48)=2,AE48/AG48,"Moy")</f>
        <v>Moy</v>
      </c>
      <c r="AF51" s="56"/>
      <c r="AG51" s="56" t="s">
        <v>0</v>
      </c>
      <c r="AH51" s="59"/>
      <c r="AI51" s="55" t="str">
        <f>IF(COUNT(AI48:AK48)=2,AI48/AK48,"Moy")</f>
        <v>Moy</v>
      </c>
      <c r="AJ51" s="56"/>
      <c r="AK51" s="56" t="s">
        <v>0</v>
      </c>
      <c r="AL51" s="59"/>
      <c r="AM51" s="55" t="str">
        <f>IF(COUNT(AM48:AO48)=2,AM48/AO48,"Moy")</f>
        <v>Moy</v>
      </c>
      <c r="AN51" s="56"/>
      <c r="AO51" s="56" t="s">
        <v>0</v>
      </c>
      <c r="AP51" s="59"/>
      <c r="AQ51" s="55" t="str">
        <f>IF(COUNT(AQ48:AS48)=2,AQ48/AS48,"Moy")</f>
        <v>Moy</v>
      </c>
      <c r="AR51" s="56"/>
      <c r="AS51" s="56" t="s">
        <v>0</v>
      </c>
      <c r="AT51" s="59"/>
      <c r="AU51" s="89"/>
      <c r="AV51" s="90"/>
      <c r="AW51" s="90"/>
      <c r="AX51" s="91"/>
      <c r="AY51" s="55">
        <f>IF(COUNT(AY48:BA48)=2,AY48/BA48,"Moy")</f>
        <v>0.78947368421052633</v>
      </c>
      <c r="AZ51" s="56"/>
      <c r="BA51" s="56">
        <v>4</v>
      </c>
      <c r="BB51" s="59"/>
      <c r="BC51" s="55" t="str">
        <f>IF(COUNT(BC48:BE48)=2,BC48/BE48,"Moy")</f>
        <v>Moy</v>
      </c>
      <c r="BD51" s="56"/>
      <c r="BE51" s="56" t="s">
        <v>0</v>
      </c>
      <c r="BF51" s="59"/>
      <c r="BG51" s="55" t="str">
        <f>IF(COUNT(BG48:BI48)=2,BG48/BI48,"Moy")</f>
        <v>Moy</v>
      </c>
      <c r="BH51" s="56"/>
      <c r="BI51" s="56" t="s">
        <v>0</v>
      </c>
      <c r="BJ51" s="59"/>
      <c r="BK51" s="55" t="str">
        <f>IF(COUNT(BK48:BM48)=2,BK48/BM48,"Moy")</f>
        <v>Moy</v>
      </c>
      <c r="BL51" s="56"/>
      <c r="BM51" s="56" t="s">
        <v>0</v>
      </c>
      <c r="BN51" s="59"/>
      <c r="BO51" s="55" t="str">
        <f>IF(COUNT(BO48:BQ48)=2,BO48/BQ48,"Moy")</f>
        <v>Moy</v>
      </c>
      <c r="BP51" s="56"/>
      <c r="BQ51" s="56" t="s">
        <v>0</v>
      </c>
      <c r="BR51" s="59"/>
      <c r="BS51" s="55">
        <f>IF(COUNT(BS48:BU48)=2,BS48/BU48,"Moy")</f>
        <v>0.78947368421052633</v>
      </c>
      <c r="BT51" s="56"/>
      <c r="BU51" s="56">
        <v>4</v>
      </c>
      <c r="BV51" s="59"/>
      <c r="BW51" s="55" t="str">
        <f>IF(COUNT(BW48:BY48)=2,BW48/BY48,"Moy")</f>
        <v>Moy</v>
      </c>
      <c r="BX51" s="56"/>
      <c r="BY51" s="56" t="s">
        <v>0</v>
      </c>
      <c r="BZ51" s="59"/>
      <c r="CA51" s="55" t="str">
        <f>IF(COUNT(CA48:CC48)=2,CA48/CC48,"Moy")</f>
        <v>Moy</v>
      </c>
      <c r="CB51" s="56"/>
      <c r="CC51" s="56" t="s">
        <v>0</v>
      </c>
      <c r="CD51" s="59"/>
      <c r="CE51" s="55" t="str">
        <f>IF(COUNT(CE48:CG48)=2,CE48/CG48,"Moy")</f>
        <v>Moy</v>
      </c>
      <c r="CF51" s="56"/>
      <c r="CG51" s="56" t="s">
        <v>0</v>
      </c>
      <c r="CH51" s="59"/>
      <c r="CI51" s="55" t="str">
        <f>IF(COUNT(CI48:CK48)=2,CI48/CK48,"Moy")</f>
        <v>Moy</v>
      </c>
      <c r="CJ51" s="56"/>
      <c r="CK51" s="56" t="s">
        <v>0</v>
      </c>
      <c r="CL51" s="59"/>
      <c r="CM51" s="55" t="str">
        <f>IF(COUNT(CM48:CO48)=2,CM48/CO48,"Moy")</f>
        <v>Moy</v>
      </c>
      <c r="CN51" s="56"/>
      <c r="CO51" s="56" t="s">
        <v>0</v>
      </c>
      <c r="CP51" s="59"/>
      <c r="CQ51" s="22"/>
      <c r="CR51" s="8" t="s">
        <v>5</v>
      </c>
      <c r="CS51" s="17">
        <f>IF(CS48&gt;0,((N(C51)+N(G51)+N(K51)+N(O51)+N(S51)+N(W51)+N(AA51)+N(AE51)+N(AI51)+N(AM51)+N(AQ51)+N(AU51)+N(AY51)+N(BC51)+N(BG51)+N(BK51)+N(BO51)+N(BS51)+N(BW51)+N(CA51)+N(CE51)+N(CI51))+N(CM51))/CS48,0)</f>
        <v>0.78947368421052633</v>
      </c>
      <c r="CT51" s="61" t="s">
        <v>3</v>
      </c>
      <c r="CU51" s="62"/>
      <c r="CV51" s="18">
        <f>COUNTIF(C49:CN49,"Ex")</f>
        <v>0</v>
      </c>
      <c r="CW51" s="19">
        <f>IF(CS48&gt;0,CV51/CS48,0)</f>
        <v>0</v>
      </c>
    </row>
    <row r="52" spans="2:101" ht="15" customHeight="1" x14ac:dyDescent="0.25">
      <c r="B52" s="80" t="s">
        <v>43</v>
      </c>
      <c r="C52" s="47">
        <v>50</v>
      </c>
      <c r="D52" s="48"/>
      <c r="E52" s="49">
        <v>28</v>
      </c>
      <c r="F52" s="50"/>
      <c r="G52" s="47" t="s">
        <v>22</v>
      </c>
      <c r="H52" s="48"/>
      <c r="I52" s="49" t="s">
        <v>23</v>
      </c>
      <c r="J52" s="50"/>
      <c r="K52" s="47" t="s">
        <v>22</v>
      </c>
      <c r="L52" s="48"/>
      <c r="M52" s="49" t="s">
        <v>23</v>
      </c>
      <c r="N52" s="50"/>
      <c r="O52" s="47">
        <v>50</v>
      </c>
      <c r="P52" s="48"/>
      <c r="Q52" s="49">
        <v>46</v>
      </c>
      <c r="R52" s="50"/>
      <c r="S52" s="47">
        <v>40</v>
      </c>
      <c r="T52" s="48"/>
      <c r="U52" s="49">
        <v>42</v>
      </c>
      <c r="V52" s="50"/>
      <c r="W52" s="47" t="s">
        <v>22</v>
      </c>
      <c r="X52" s="48"/>
      <c r="Y52" s="49" t="s">
        <v>23</v>
      </c>
      <c r="Z52" s="50"/>
      <c r="AA52" s="47">
        <v>30</v>
      </c>
      <c r="AB52" s="48"/>
      <c r="AC52" s="49">
        <v>33</v>
      </c>
      <c r="AD52" s="50"/>
      <c r="AE52" s="47">
        <v>50</v>
      </c>
      <c r="AF52" s="48"/>
      <c r="AG52" s="49">
        <v>41</v>
      </c>
      <c r="AH52" s="50"/>
      <c r="AI52" s="47" t="s">
        <v>22</v>
      </c>
      <c r="AJ52" s="48"/>
      <c r="AK52" s="49" t="s">
        <v>23</v>
      </c>
      <c r="AL52" s="50"/>
      <c r="AM52" s="47">
        <v>35</v>
      </c>
      <c r="AN52" s="48"/>
      <c r="AO52" s="49">
        <v>26</v>
      </c>
      <c r="AP52" s="50"/>
      <c r="AQ52" s="47">
        <v>46</v>
      </c>
      <c r="AR52" s="48"/>
      <c r="AS52" s="49">
        <v>46</v>
      </c>
      <c r="AT52" s="50"/>
      <c r="AU52" s="47">
        <v>42</v>
      </c>
      <c r="AV52" s="48"/>
      <c r="AW52" s="49">
        <v>38</v>
      </c>
      <c r="AX52" s="50"/>
      <c r="AY52" s="83">
        <v>50</v>
      </c>
      <c r="AZ52" s="84"/>
      <c r="BA52" s="84"/>
      <c r="BB52" s="85"/>
      <c r="BC52" s="47" t="s">
        <v>22</v>
      </c>
      <c r="BD52" s="48"/>
      <c r="BE52" s="49" t="s">
        <v>23</v>
      </c>
      <c r="BF52" s="50"/>
      <c r="BG52" s="47" t="s">
        <v>22</v>
      </c>
      <c r="BH52" s="48"/>
      <c r="BI52" s="49" t="s">
        <v>23</v>
      </c>
      <c r="BJ52" s="50"/>
      <c r="BK52" s="47">
        <v>23</v>
      </c>
      <c r="BL52" s="48"/>
      <c r="BM52" s="49">
        <v>32</v>
      </c>
      <c r="BN52" s="50"/>
      <c r="BO52" s="47" t="s">
        <v>22</v>
      </c>
      <c r="BP52" s="48"/>
      <c r="BQ52" s="49" t="s">
        <v>23</v>
      </c>
      <c r="BR52" s="50"/>
      <c r="BS52" s="47">
        <v>50</v>
      </c>
      <c r="BT52" s="48"/>
      <c r="BU52" s="49">
        <v>28</v>
      </c>
      <c r="BV52" s="50"/>
      <c r="BW52" s="47">
        <v>50</v>
      </c>
      <c r="BX52" s="48"/>
      <c r="BY52" s="49">
        <v>25</v>
      </c>
      <c r="BZ52" s="50"/>
      <c r="CA52" s="47">
        <v>50</v>
      </c>
      <c r="CB52" s="48"/>
      <c r="CC52" s="49">
        <v>45</v>
      </c>
      <c r="CD52" s="50"/>
      <c r="CE52" s="47" t="s">
        <v>22</v>
      </c>
      <c r="CF52" s="48"/>
      <c r="CG52" s="49" t="s">
        <v>23</v>
      </c>
      <c r="CH52" s="50"/>
      <c r="CI52" s="47">
        <v>50</v>
      </c>
      <c r="CJ52" s="48"/>
      <c r="CK52" s="49">
        <v>26</v>
      </c>
      <c r="CL52" s="50"/>
      <c r="CM52" s="47" t="s">
        <v>22</v>
      </c>
      <c r="CN52" s="48"/>
      <c r="CO52" s="49" t="s">
        <v>23</v>
      </c>
      <c r="CP52" s="50"/>
      <c r="CQ52" s="23"/>
      <c r="CR52" s="7" t="s">
        <v>11</v>
      </c>
      <c r="CS52" s="14">
        <f>COUNTIF(C53:CN53,"G")+COUNTIF(C53:CN53,"Ex")+COUNTIF(C53:CN53,"P")</f>
        <v>13</v>
      </c>
      <c r="CT52" s="63" t="s">
        <v>1</v>
      </c>
      <c r="CU52" s="62"/>
      <c r="CV52" s="15">
        <f>COUNTIF(C53:CN53,"G")</f>
        <v>7</v>
      </c>
      <c r="CW52" s="16">
        <f>IF(CS52&gt;0,CV52/CS52,0)</f>
        <v>0.53846153846153844</v>
      </c>
    </row>
    <row r="53" spans="2:101" ht="7.5" customHeight="1" x14ac:dyDescent="0.25">
      <c r="B53" s="81"/>
      <c r="C53" s="9"/>
      <c r="D53" s="51" t="str">
        <f>IF(N(C52)&gt;0,IF(C52&lt;Handicap13, Perdu,IF(C52=Handicap13,IF(AY4=Handicap1,Exaequo,Gagne))),"")</f>
        <v>G</v>
      </c>
      <c r="E53" s="52"/>
      <c r="F53" s="46" t="str">
        <f>IF(N(BA4)&gt;0,IF(N(E52)=BA4,"-","Err"),"")</f>
        <v>-</v>
      </c>
      <c r="G53" s="9"/>
      <c r="H53" s="51" t="str">
        <f>IF(N(G52)&gt;0,IF(G52&lt;Handicap13, Perdu,IF(G52=Handicap13,IF(AY8=Handicap2,Exaequo,Gagne))),"")</f>
        <v/>
      </c>
      <c r="I53" s="52"/>
      <c r="J53" s="46" t="str">
        <f>IF(N(BA8)&gt;0,IF(N(I52)=BA8,"-","Err"),"")</f>
        <v/>
      </c>
      <c r="K53" s="9"/>
      <c r="L53" s="51" t="str">
        <f>IF(N(K52)&gt;0,IF(K52&lt;Handicap13, Perdu,IF(K52=Handicap13,IF(AY12=Handicap3,Exaequo,Gagne))),"")</f>
        <v/>
      </c>
      <c r="M53" s="52"/>
      <c r="N53" s="46" t="str">
        <f>IF(N(BA12)&gt;0,IF(N(M52)=BA12,"-","Err"),"")</f>
        <v/>
      </c>
      <c r="O53" s="9"/>
      <c r="P53" s="51" t="str">
        <f>IF(N(O52)&gt;0,IF(O52&lt;Handicap13, Perdu,IF(O52=Handicap13,IF(AY16=Handicap4,Exaequo,Gagne))),"")</f>
        <v>G</v>
      </c>
      <c r="Q53" s="52"/>
      <c r="R53" s="46" t="str">
        <f>IF(N(BA16)&gt;0,IF(N(Q52)=BA16,"-","Err"),"")</f>
        <v>-</v>
      </c>
      <c r="S53" s="9"/>
      <c r="T53" s="51" t="str">
        <f>IF(N(S52)&gt;0,IF(S52&lt;Handicap13, Perdu,IF(S52=Handicap13,IF(AY20=Handicap5,Exaequo,Gagne))),"")</f>
        <v>P</v>
      </c>
      <c r="U53" s="52"/>
      <c r="V53" s="46" t="str">
        <f>IF(N(BA20)&gt;0,IF(N(U52)=BA20,"-","Err"),"")</f>
        <v>-</v>
      </c>
      <c r="W53" s="9"/>
      <c r="X53" s="51" t="str">
        <f>IF(N(W52)&gt;0,IF(W52&lt;Handicap13, Perdu,IF(W52=Handicap13,IF(AY24=Handicap6,Exaequo,Gagne))),"")</f>
        <v/>
      </c>
      <c r="Y53" s="52"/>
      <c r="Z53" s="46" t="str">
        <f>IF(N(BA24)&gt;0,IF(N(Y52)=BA24,"-","Err"),"")</f>
        <v/>
      </c>
      <c r="AA53" s="9"/>
      <c r="AB53" s="51" t="str">
        <f>IF(N(AA52)&gt;0,IF(AA52&lt;Handicap13, Perdu,IF(AA52=Handicap13,IF(AY28=Handicap7,Exaequo,Gagne))),"")</f>
        <v>P</v>
      </c>
      <c r="AC53" s="52"/>
      <c r="AD53" s="46" t="str">
        <f>IF(N(BA28)&gt;0,IF(N(AC52)=BA28,"-","Err"),"")</f>
        <v>-</v>
      </c>
      <c r="AE53" s="9"/>
      <c r="AF53" s="51" t="str">
        <f>IF(N(AE52)&gt;0,IF(AE52&lt;Handicap13, Perdu,IF(AE52=Handicap13,IF(AY32=Handicap8,Exaequo,Gagne))),"")</f>
        <v>G</v>
      </c>
      <c r="AG53" s="52"/>
      <c r="AH53" s="46" t="str">
        <f>IF(N(BA32)&gt;0,IF(N(AG52)=BA32,"-","Err"),"")</f>
        <v>-</v>
      </c>
      <c r="AI53" s="9"/>
      <c r="AJ53" s="51" t="str">
        <f>IF(N(AI52)&gt;0,IF(AI52&lt;Handicap13, Perdu,IF(AI52=Handicap13,IF(AY36=Handicap9,Exaequo,Gagne))),"")</f>
        <v/>
      </c>
      <c r="AK53" s="52"/>
      <c r="AL53" s="46" t="str">
        <f>IF(N(BA36)&gt;0,IF(N(AK52)=BA36,"-","Err"),"")</f>
        <v/>
      </c>
      <c r="AM53" s="9"/>
      <c r="AN53" s="51" t="str">
        <f>IF(N(AM52)&gt;0,IF(AM52&lt;Handicap13, Perdu,IF(AM52=Handicap13,IF(AY40=Handicap10,Exaequo,Gagne))),"")</f>
        <v>P</v>
      </c>
      <c r="AO53" s="52"/>
      <c r="AP53" s="46" t="str">
        <f>IF(N(BA40)&gt;0,IF(N(AO52)=BA40,"-","Err"),"")</f>
        <v>-</v>
      </c>
      <c r="AQ53" s="9"/>
      <c r="AR53" s="51" t="str">
        <f>IF(N(AQ52)&gt;0,IF(AQ52&lt;Handicap13, Perdu,IF(AQ52=Handicap13,IF(AY44=Handicap11,Exaequo,Gagne))),"")</f>
        <v>P</v>
      </c>
      <c r="AS53" s="52"/>
      <c r="AT53" s="46" t="str">
        <f>IF(N(BA44)&gt;0,IF(N(AS52)=BA44,"-","Err"),"")</f>
        <v>-</v>
      </c>
      <c r="AU53" s="9"/>
      <c r="AV53" s="51" t="str">
        <f>IF(N(AU52)&gt;0,IF(AU52&lt;Handicap13, Perdu,IF(AU52=Handicap13,IF(AY48=Handicap12,Exaequo,Gagne))),"")</f>
        <v>P</v>
      </c>
      <c r="AW53" s="52"/>
      <c r="AX53" s="46" t="str">
        <f>IF(N(BA48)&gt;0,IF(N(AW52)=BA48,"-","Err"),"")</f>
        <v>-</v>
      </c>
      <c r="AY53" s="86"/>
      <c r="AZ53" s="87"/>
      <c r="BA53" s="87"/>
      <c r="BB53" s="88"/>
      <c r="BC53" s="9"/>
      <c r="BD53" s="51" t="str">
        <f>IF(N(BC52)&gt;0,IF(BC52&lt;Handicap13, Perdu,IF(BC52=Handicap13,IF(AY56=hANDICAP14,Exaequo,Gagne))),"")</f>
        <v/>
      </c>
      <c r="BE53" s="52"/>
      <c r="BF53" s="46" t="str">
        <f>IF(N(BA56)&gt;0,IF(N(BE52)=BA56,"-","Err"),"")</f>
        <v/>
      </c>
      <c r="BG53" s="9"/>
      <c r="BH53" s="51" t="str">
        <f>IF(N(BG52)&gt;0,IF(BG52&lt;Handicap13, Perdu,IF(BG52=Handicap13,IF(AY60=Handicap15,Exaequo,Gagne))),"")</f>
        <v/>
      </c>
      <c r="BI53" s="52"/>
      <c r="BJ53" s="46" t="str">
        <f>IF(N(BA60)&gt;0,IF(N(BI52)=BA60,"-","Err"),"")</f>
        <v/>
      </c>
      <c r="BK53" s="9"/>
      <c r="BL53" s="51" t="str">
        <f>IF(N(BK52)&gt;0,IF(BK52&lt;Handicap13, Perdu,IF(BK52=Handicap13,IF(AY64=Handicap16,Exaequo,Gagne))),"")</f>
        <v>P</v>
      </c>
      <c r="BM53" s="52"/>
      <c r="BN53" s="46" t="str">
        <f>IF(N(BA64)&gt;0,IF(N(BM52)=BA64,"-","Err"),"")</f>
        <v>-</v>
      </c>
      <c r="BO53" s="9"/>
      <c r="BP53" s="51" t="str">
        <f>IF(N(BO52)&gt;0,IF(BO52&lt;Handicap13, Perdu,IF(BO52=Handicap13,IF(AY68=Handicap17,Exaequo,Gagne))),"")</f>
        <v/>
      </c>
      <c r="BQ53" s="52"/>
      <c r="BR53" s="46" t="str">
        <f>IF(N(BA68)&gt;0,IF(N(BQ52)=BA68,"-","Err"),"")</f>
        <v/>
      </c>
      <c r="BS53" s="9"/>
      <c r="BT53" s="51" t="str">
        <f>IF(N(BS52)&gt;0,IF(BS52&lt;Handicap13, Perdu,IF(BS52=Handicap13,IF(AY72=Handicap18,Exaequo,Gagne))),"")</f>
        <v>G</v>
      </c>
      <c r="BU53" s="52"/>
      <c r="BV53" s="46" t="str">
        <f>IF(N(BA72)&gt;0,IF(N(BU52)=BA72,"-","Err"),"")</f>
        <v>-</v>
      </c>
      <c r="BW53" s="9"/>
      <c r="BX53" s="51" t="str">
        <f>IF(N(BW52)&gt;0,IF(BW52&lt;Handicap13, Perdu,IF(BW52=Handicap13,IF(AY76=Handicap19,Exaequo,Gagne))),"")</f>
        <v>G</v>
      </c>
      <c r="BY53" s="52"/>
      <c r="BZ53" s="46" t="str">
        <f>IF(N(BA76)&gt;0,IF(N(BY52)=BA76,"-","Err"),"")</f>
        <v>-</v>
      </c>
      <c r="CA53" s="9"/>
      <c r="CB53" s="51" t="str">
        <f>IF(N(CA52)&gt;0,IF(CA52&lt;Handicap13, Perdu,IF(CA52=Handicap13,IF(AY80=Handicap20,Exaequo,Gagne))),"")</f>
        <v>G</v>
      </c>
      <c r="CC53" s="52"/>
      <c r="CD53" s="46" t="str">
        <f>IF(N(BA80)&gt;0,IF(N(CC52)=BA80,"-","Err"),"")</f>
        <v>-</v>
      </c>
      <c r="CE53" s="9"/>
      <c r="CF53" s="51" t="str">
        <f>IF(N(CE52)&gt;0,IF(CE52&lt;Handicap13, Perdu,IF(CE52=Handicap13,IF(AY84=Handicap21,Exaequo,Gagne))),"")</f>
        <v/>
      </c>
      <c r="CG53" s="52"/>
      <c r="CH53" s="46" t="str">
        <f>IF(N(BA84)&gt;0,IF(N(CG52)=BA84,"-","Err"),"")</f>
        <v/>
      </c>
      <c r="CI53" s="9"/>
      <c r="CJ53" s="51" t="str">
        <f>IF(N(CI52)&gt;0,IF(CI52&lt;Handicap13, Perdu,IF(CI52=Handicap13,IF(AY88=Handicap22,Exaequo,Gagne))),"")</f>
        <v>G</v>
      </c>
      <c r="CK53" s="52"/>
      <c r="CL53" s="46" t="str">
        <f>IF(N(BA88)&gt;0,IF(N(CK52)=BA88,"-","Err"),"")</f>
        <v>-</v>
      </c>
      <c r="CM53" s="46" t="str">
        <f>IF(N(CM52)&gt;Handicap13,"Err","-")</f>
        <v>-</v>
      </c>
      <c r="CN53" s="51" t="str">
        <f>IF(N(CM52)&gt;0,IF(CM52&lt;Handicap13, Perdu,IF(CM52=Handicap13,IF(AY92=Handicap23,Exaequo,Gagne))),"")</f>
        <v/>
      </c>
      <c r="CO53" s="52"/>
      <c r="CP53" s="46" t="str">
        <f>IF(N(BA92)&gt;0,IF(N(CO52)=BA92,"-","Err"),"")</f>
        <v/>
      </c>
      <c r="CQ53" s="30"/>
      <c r="CR53" s="64" t="s">
        <v>6</v>
      </c>
      <c r="CS53" s="66">
        <f>(COUNTIF(C53:CP53,"G")*3)+(COUNTIF(C53:CP53,"Ex")*2)+COUNTIF(C53:CP53,"P")</f>
        <v>27</v>
      </c>
      <c r="CT53" s="68" t="s">
        <v>2</v>
      </c>
      <c r="CU53" s="69"/>
      <c r="CV53" s="72">
        <f>COUNTIF(C53:CN53,"P")</f>
        <v>6</v>
      </c>
      <c r="CW53" s="60">
        <f>IF(CS52&gt;0,CV53/CS52,0)</f>
        <v>0.46153846153846156</v>
      </c>
    </row>
    <row r="54" spans="2:101" ht="7.5" customHeight="1" x14ac:dyDescent="0.25">
      <c r="B54" s="81"/>
      <c r="C54" s="2"/>
      <c r="D54" s="53"/>
      <c r="E54" s="54"/>
      <c r="F54" s="46"/>
      <c r="G54" s="2"/>
      <c r="H54" s="53"/>
      <c r="I54" s="54"/>
      <c r="J54" s="46"/>
      <c r="K54" s="2"/>
      <c r="L54" s="53"/>
      <c r="M54" s="54"/>
      <c r="N54" s="46"/>
      <c r="O54" s="2"/>
      <c r="P54" s="53"/>
      <c r="Q54" s="54"/>
      <c r="R54" s="46"/>
      <c r="S54" s="2"/>
      <c r="T54" s="53"/>
      <c r="U54" s="54"/>
      <c r="V54" s="46"/>
      <c r="W54" s="2"/>
      <c r="X54" s="53"/>
      <c r="Y54" s="54"/>
      <c r="Z54" s="46"/>
      <c r="AA54" s="2"/>
      <c r="AB54" s="53"/>
      <c r="AC54" s="54"/>
      <c r="AD54" s="46"/>
      <c r="AE54" s="2"/>
      <c r="AF54" s="53"/>
      <c r="AG54" s="54"/>
      <c r="AH54" s="46"/>
      <c r="AI54" s="2"/>
      <c r="AJ54" s="53"/>
      <c r="AK54" s="54"/>
      <c r="AL54" s="46"/>
      <c r="AM54" s="2"/>
      <c r="AN54" s="53"/>
      <c r="AO54" s="54"/>
      <c r="AP54" s="46"/>
      <c r="AQ54" s="2"/>
      <c r="AR54" s="53"/>
      <c r="AS54" s="54"/>
      <c r="AT54" s="46"/>
      <c r="AU54" s="2"/>
      <c r="AV54" s="53"/>
      <c r="AW54" s="54"/>
      <c r="AX54" s="46"/>
      <c r="AY54" s="86"/>
      <c r="AZ54" s="87"/>
      <c r="BA54" s="87"/>
      <c r="BB54" s="88"/>
      <c r="BC54" s="2"/>
      <c r="BD54" s="53"/>
      <c r="BE54" s="54"/>
      <c r="BF54" s="46"/>
      <c r="BG54" s="2"/>
      <c r="BH54" s="53"/>
      <c r="BI54" s="54"/>
      <c r="BJ54" s="46"/>
      <c r="BK54" s="2"/>
      <c r="BL54" s="53"/>
      <c r="BM54" s="54"/>
      <c r="BN54" s="46"/>
      <c r="BO54" s="2"/>
      <c r="BP54" s="53"/>
      <c r="BQ54" s="54"/>
      <c r="BR54" s="46"/>
      <c r="BS54" s="2"/>
      <c r="BT54" s="53"/>
      <c r="BU54" s="54"/>
      <c r="BV54" s="46"/>
      <c r="BW54" s="2"/>
      <c r="BX54" s="53"/>
      <c r="BY54" s="54"/>
      <c r="BZ54" s="46"/>
      <c r="CA54" s="2"/>
      <c r="CB54" s="53"/>
      <c r="CC54" s="54"/>
      <c r="CD54" s="46"/>
      <c r="CE54" s="2"/>
      <c r="CF54" s="53"/>
      <c r="CG54" s="54"/>
      <c r="CH54" s="46"/>
      <c r="CI54" s="2"/>
      <c r="CJ54" s="53"/>
      <c r="CK54" s="54"/>
      <c r="CL54" s="46"/>
      <c r="CM54" s="46"/>
      <c r="CN54" s="53"/>
      <c r="CO54" s="54"/>
      <c r="CP54" s="46"/>
      <c r="CQ54" s="30"/>
      <c r="CR54" s="65"/>
      <c r="CS54" s="67"/>
      <c r="CT54" s="70"/>
      <c r="CU54" s="71"/>
      <c r="CV54" s="72"/>
      <c r="CW54" s="60"/>
    </row>
    <row r="55" spans="2:101" ht="15" customHeight="1" x14ac:dyDescent="0.25">
      <c r="B55" s="82"/>
      <c r="C55" s="55">
        <f>IF(COUNT(C52:E52)=2,C52/E52,"Moy")</f>
        <v>1.7857142857142858</v>
      </c>
      <c r="D55" s="56"/>
      <c r="E55" s="56">
        <v>11</v>
      </c>
      <c r="F55" s="59"/>
      <c r="G55" s="55" t="str">
        <f>IF(COUNT(G52:I52)=2,G52/I52,"Moy")</f>
        <v>Moy</v>
      </c>
      <c r="H55" s="56"/>
      <c r="I55" s="56" t="s">
        <v>0</v>
      </c>
      <c r="J55" s="59"/>
      <c r="K55" s="55" t="str">
        <f>IF(COUNT(K52:M52)=2,K52/M52,"Moy")</f>
        <v>Moy</v>
      </c>
      <c r="L55" s="56"/>
      <c r="M55" s="56" t="s">
        <v>0</v>
      </c>
      <c r="N55" s="59"/>
      <c r="O55" s="55">
        <f>IF(COUNT(O52:Q52)=2,O52/Q52,"Moy")</f>
        <v>1.0869565217391304</v>
      </c>
      <c r="P55" s="56"/>
      <c r="Q55" s="56">
        <v>5</v>
      </c>
      <c r="R55" s="59"/>
      <c r="S55" s="55">
        <f>IF(COUNT(S52:U52)=2,S52/U52,"Moy")</f>
        <v>0.95238095238095233</v>
      </c>
      <c r="T55" s="56"/>
      <c r="U55" s="56">
        <v>6</v>
      </c>
      <c r="V55" s="59"/>
      <c r="W55" s="55" t="str">
        <f>IF(COUNT(W52:Y52)=2,W52/Y52,"Moy")</f>
        <v>Moy</v>
      </c>
      <c r="X55" s="56"/>
      <c r="Y55" s="56" t="s">
        <v>0</v>
      </c>
      <c r="Z55" s="59"/>
      <c r="AA55" s="55">
        <f>IF(COUNT(AA52:AC52)=2,AA52/AC52,"Moy")</f>
        <v>0.90909090909090906</v>
      </c>
      <c r="AB55" s="56"/>
      <c r="AC55" s="56">
        <v>4</v>
      </c>
      <c r="AD55" s="59"/>
      <c r="AE55" s="55">
        <f>IF(COUNT(AE52:AG52)=2,AE52/AG52,"Moy")</f>
        <v>1.2195121951219512</v>
      </c>
      <c r="AF55" s="56"/>
      <c r="AG55" s="56">
        <v>6</v>
      </c>
      <c r="AH55" s="59"/>
      <c r="AI55" s="55" t="str">
        <f>IF(COUNT(AI52:AK52)=2,AI52/AK52,"Moy")</f>
        <v>Moy</v>
      </c>
      <c r="AJ55" s="56"/>
      <c r="AK55" s="56" t="s">
        <v>0</v>
      </c>
      <c r="AL55" s="59"/>
      <c r="AM55" s="55">
        <f>IF(COUNT(AM52:AO52)=2,AM52/AO52,"Moy")</f>
        <v>1.3461538461538463</v>
      </c>
      <c r="AN55" s="56"/>
      <c r="AO55" s="56">
        <v>6</v>
      </c>
      <c r="AP55" s="59"/>
      <c r="AQ55" s="55">
        <f>IF(COUNT(AQ52:AS52)=2,AQ52/AS52,"Moy")</f>
        <v>1</v>
      </c>
      <c r="AR55" s="56"/>
      <c r="AS55" s="56">
        <v>6</v>
      </c>
      <c r="AT55" s="59"/>
      <c r="AU55" s="55">
        <f>IF(COUNT(AU52:AW52)=2,AU52/AW52,"Moy")</f>
        <v>1.1052631578947369</v>
      </c>
      <c r="AV55" s="56"/>
      <c r="AW55" s="56">
        <v>6</v>
      </c>
      <c r="AX55" s="59"/>
      <c r="AY55" s="89"/>
      <c r="AZ55" s="90"/>
      <c r="BA55" s="90"/>
      <c r="BB55" s="91"/>
      <c r="BC55" s="55" t="str">
        <f>IF(COUNT(BC52:BE52)=2,BC52/BE52,"Moy")</f>
        <v>Moy</v>
      </c>
      <c r="BD55" s="56"/>
      <c r="BE55" s="56" t="s">
        <v>0</v>
      </c>
      <c r="BF55" s="59"/>
      <c r="BG55" s="55" t="str">
        <f>IF(COUNT(BG52:BI52)=2,BG52/BI52,"Moy")</f>
        <v>Moy</v>
      </c>
      <c r="BH55" s="56"/>
      <c r="BI55" s="56" t="s">
        <v>0</v>
      </c>
      <c r="BJ55" s="59"/>
      <c r="BK55" s="55">
        <f>IF(COUNT(BK52:BM52)=2,BK52/BM52,"Moy")</f>
        <v>0.71875</v>
      </c>
      <c r="BL55" s="56"/>
      <c r="BM55" s="56">
        <v>4</v>
      </c>
      <c r="BN55" s="59"/>
      <c r="BO55" s="55" t="str">
        <f>IF(COUNT(BO52:BQ52)=2,BO52/BQ52,"Moy")</f>
        <v>Moy</v>
      </c>
      <c r="BP55" s="56"/>
      <c r="BQ55" s="56" t="s">
        <v>0</v>
      </c>
      <c r="BR55" s="59"/>
      <c r="BS55" s="55">
        <f>IF(COUNT(BS52:BU52)=2,BS52/BU52,"Moy")</f>
        <v>1.7857142857142858</v>
      </c>
      <c r="BT55" s="56"/>
      <c r="BU55" s="56">
        <v>10</v>
      </c>
      <c r="BV55" s="59"/>
      <c r="BW55" s="55">
        <f>IF(COUNT(BW52:BY52)=2,BW52/BY52,"Moy")</f>
        <v>2</v>
      </c>
      <c r="BX55" s="56"/>
      <c r="BY55" s="56">
        <v>10</v>
      </c>
      <c r="BZ55" s="59"/>
      <c r="CA55" s="55">
        <f>IF(COUNT(CA52:CC52)=2,CA52/CC52,"Moy")</f>
        <v>1.1111111111111112</v>
      </c>
      <c r="CB55" s="56"/>
      <c r="CC55" s="56">
        <v>5</v>
      </c>
      <c r="CD55" s="59"/>
      <c r="CE55" s="55" t="str">
        <f>IF(COUNT(CE52:CG52)=2,CE52/CG52,"Moy")</f>
        <v>Moy</v>
      </c>
      <c r="CF55" s="56"/>
      <c r="CG55" s="56" t="s">
        <v>0</v>
      </c>
      <c r="CH55" s="59"/>
      <c r="CI55" s="55">
        <f>IF(COUNT(CI52:CK52)=2,CI52/CK52,"Moy")</f>
        <v>1.9230769230769231</v>
      </c>
      <c r="CJ55" s="56"/>
      <c r="CK55" s="56">
        <v>7</v>
      </c>
      <c r="CL55" s="59"/>
      <c r="CM55" s="55" t="str">
        <f>IF(COUNT(CM52:CO52)=2,CM52/CO52,"Moy")</f>
        <v>Moy</v>
      </c>
      <c r="CN55" s="56"/>
      <c r="CO55" s="56" t="s">
        <v>0</v>
      </c>
      <c r="CP55" s="59"/>
      <c r="CQ55" s="22"/>
      <c r="CR55" s="8" t="s">
        <v>5</v>
      </c>
      <c r="CS55" s="17">
        <f>IF(CS52&gt;0,((N(C55)+N(G55)+N(K55)+N(O55)+N(S55)+N(W55)+N(AA55)+N(AE55)+N(AI55)+N(AM55)+N(AQ55)+N(AU55)+N(AY55)+N(BC55)+N(BG55)+N(BK55)+N(BO55)+N(BS55)+N(BW55)+N(CA55)+N(CE55)+N(CI55))+N(CM55))/CS52,0)</f>
        <v>1.3033633990767794</v>
      </c>
      <c r="CT55" s="61" t="s">
        <v>3</v>
      </c>
      <c r="CU55" s="62"/>
      <c r="CV55" s="18">
        <f>COUNTIF(C53:CN53,"Ex")</f>
        <v>0</v>
      </c>
      <c r="CW55" s="19">
        <f>IF(CS52&gt;0,CV55/CS52,0)</f>
        <v>0</v>
      </c>
    </row>
    <row r="56" spans="2:101" ht="15" customHeight="1" x14ac:dyDescent="0.25">
      <c r="B56" s="92" t="s">
        <v>44</v>
      </c>
      <c r="C56" s="47">
        <v>19</v>
      </c>
      <c r="D56" s="48"/>
      <c r="E56" s="49">
        <v>55</v>
      </c>
      <c r="F56" s="50"/>
      <c r="G56" s="47" t="s">
        <v>22</v>
      </c>
      <c r="H56" s="48"/>
      <c r="I56" s="49" t="s">
        <v>23</v>
      </c>
      <c r="J56" s="50"/>
      <c r="K56" s="47">
        <v>15</v>
      </c>
      <c r="L56" s="48"/>
      <c r="M56" s="49">
        <v>68</v>
      </c>
      <c r="N56" s="50"/>
      <c r="O56" s="47" t="s">
        <v>22</v>
      </c>
      <c r="P56" s="48"/>
      <c r="Q56" s="49" t="s">
        <v>23</v>
      </c>
      <c r="R56" s="50"/>
      <c r="S56" s="47">
        <v>20</v>
      </c>
      <c r="T56" s="48"/>
      <c r="U56" s="49">
        <v>32</v>
      </c>
      <c r="V56" s="50"/>
      <c r="W56" s="47" t="s">
        <v>22</v>
      </c>
      <c r="X56" s="48"/>
      <c r="Y56" s="49" t="s">
        <v>23</v>
      </c>
      <c r="Z56" s="50"/>
      <c r="AA56" s="47">
        <v>19</v>
      </c>
      <c r="AB56" s="48"/>
      <c r="AC56" s="49">
        <v>43</v>
      </c>
      <c r="AD56" s="50"/>
      <c r="AE56" s="47" t="s">
        <v>22</v>
      </c>
      <c r="AF56" s="48"/>
      <c r="AG56" s="49" t="s">
        <v>23</v>
      </c>
      <c r="AH56" s="50"/>
      <c r="AI56" s="47" t="s">
        <v>22</v>
      </c>
      <c r="AJ56" s="48"/>
      <c r="AK56" s="49" t="s">
        <v>23</v>
      </c>
      <c r="AL56" s="50"/>
      <c r="AM56" s="47" t="s">
        <v>22</v>
      </c>
      <c r="AN56" s="48"/>
      <c r="AO56" s="49" t="s">
        <v>23</v>
      </c>
      <c r="AP56" s="50"/>
      <c r="AQ56" s="47">
        <v>20</v>
      </c>
      <c r="AR56" s="48"/>
      <c r="AS56" s="49">
        <v>56</v>
      </c>
      <c r="AT56" s="50"/>
      <c r="AU56" s="47" t="s">
        <v>22</v>
      </c>
      <c r="AV56" s="48"/>
      <c r="AW56" s="49" t="s">
        <v>23</v>
      </c>
      <c r="AX56" s="50"/>
      <c r="AY56" s="47" t="s">
        <v>22</v>
      </c>
      <c r="AZ56" s="48"/>
      <c r="BA56" s="49" t="s">
        <v>23</v>
      </c>
      <c r="BB56" s="50"/>
      <c r="BC56" s="83">
        <v>20</v>
      </c>
      <c r="BD56" s="84"/>
      <c r="BE56" s="84"/>
      <c r="BF56" s="85"/>
      <c r="BG56" s="47">
        <v>7</v>
      </c>
      <c r="BH56" s="48"/>
      <c r="BI56" s="49">
        <v>38</v>
      </c>
      <c r="BJ56" s="50"/>
      <c r="BK56" s="47">
        <v>20</v>
      </c>
      <c r="BL56" s="48"/>
      <c r="BM56" s="49">
        <v>48</v>
      </c>
      <c r="BN56" s="50"/>
      <c r="BO56" s="47" t="s">
        <v>22</v>
      </c>
      <c r="BP56" s="48"/>
      <c r="BQ56" s="49" t="s">
        <v>23</v>
      </c>
      <c r="BR56" s="50"/>
      <c r="BS56" s="47" t="s">
        <v>22</v>
      </c>
      <c r="BT56" s="48"/>
      <c r="BU56" s="49" t="s">
        <v>23</v>
      </c>
      <c r="BV56" s="50"/>
      <c r="BW56" s="47" t="s">
        <v>22</v>
      </c>
      <c r="BX56" s="48"/>
      <c r="BY56" s="49" t="s">
        <v>23</v>
      </c>
      <c r="BZ56" s="50"/>
      <c r="CA56" s="47" t="s">
        <v>22</v>
      </c>
      <c r="CB56" s="48"/>
      <c r="CC56" s="49" t="s">
        <v>23</v>
      </c>
      <c r="CD56" s="50"/>
      <c r="CE56" s="47" t="s">
        <v>22</v>
      </c>
      <c r="CF56" s="48"/>
      <c r="CG56" s="49" t="s">
        <v>23</v>
      </c>
      <c r="CH56" s="50"/>
      <c r="CI56" s="47">
        <v>20</v>
      </c>
      <c r="CJ56" s="48"/>
      <c r="CK56" s="49">
        <v>29</v>
      </c>
      <c r="CL56" s="50"/>
      <c r="CM56" s="47" t="s">
        <v>22</v>
      </c>
      <c r="CN56" s="48"/>
      <c r="CO56" s="49" t="s">
        <v>23</v>
      </c>
      <c r="CP56" s="50"/>
      <c r="CQ56" s="23"/>
      <c r="CR56" s="7" t="s">
        <v>11</v>
      </c>
      <c r="CS56" s="14">
        <f>COUNTIF(C57:CN57,"G")+COUNTIF(C57:CN57,"Ex")+COUNTIF(C57:CN57,"P")</f>
        <v>8</v>
      </c>
      <c r="CT56" s="63" t="s">
        <v>1</v>
      </c>
      <c r="CU56" s="62"/>
      <c r="CV56" s="15">
        <f>COUNTIF(C57:CN57,"G")</f>
        <v>4</v>
      </c>
      <c r="CW56" s="16">
        <f>IF(CS56&gt;0,CV56/CS56,0)</f>
        <v>0.5</v>
      </c>
    </row>
    <row r="57" spans="2:101" ht="7.5" customHeight="1" x14ac:dyDescent="0.25">
      <c r="B57" s="93"/>
      <c r="C57" s="9"/>
      <c r="D57" s="51" t="str">
        <f>IF(N(C56)&gt;0,IF(C56&lt;hANDICAP14, Perdu,IF(C56=hANDICAP14,IF(BC4=Handicap1,Exaequo,Gagne))),"")</f>
        <v>P</v>
      </c>
      <c r="E57" s="52"/>
      <c r="F57" s="46" t="str">
        <f>IF(N(BE4)&gt;0,IF(N(E56)=BE4,"-","Err"),"")</f>
        <v>-</v>
      </c>
      <c r="G57" s="9"/>
      <c r="H57" s="51" t="str">
        <f>IF(N(G56)&gt;0,IF(G56&lt;hANDICAP14, Perdu,IF(G56=hANDICAP14,IF(BC8=Handicap2,Exaequo,Gagne))),"")</f>
        <v/>
      </c>
      <c r="I57" s="52"/>
      <c r="J57" s="46" t="str">
        <f>IF(N(BE8)&gt;0,IF(N(I56)=BE8,"-","Err"),"")</f>
        <v/>
      </c>
      <c r="K57" s="9"/>
      <c r="L57" s="51" t="str">
        <f>IF(N(K56)&gt;0,IF(K56&lt;hANDICAP14, Perdu,IF(K56=hANDICAP14,IF(BC12=Handicap3,Exaequo,Gagne))),"")</f>
        <v>P</v>
      </c>
      <c r="M57" s="52"/>
      <c r="N57" s="46" t="str">
        <f>IF(N(BE12)&gt;0,IF(N(M56)=BE12,"-","Err"),"")</f>
        <v>-</v>
      </c>
      <c r="O57" s="9"/>
      <c r="P57" s="51" t="str">
        <f>IF(N(O56)&gt;0,IF(O56&lt;hANDICAP14, Perdu,IF(O56=hANDICAP14,IF(BC16=Handicap4,Exaequo,Gagne))),"")</f>
        <v/>
      </c>
      <c r="Q57" s="52"/>
      <c r="R57" s="46" t="str">
        <f>IF(N(BE16)&gt;0,IF(N(Q56)=BE16,"-","Err"),"")</f>
        <v/>
      </c>
      <c r="S57" s="9"/>
      <c r="T57" s="51" t="str">
        <f>IF(N(S56)&gt;0,IF(S56&lt;hANDICAP14, Perdu,IF(S56=hANDICAP14,IF(BC20=Handicap5,Exaequo,Gagne))),"")</f>
        <v>G</v>
      </c>
      <c r="U57" s="52"/>
      <c r="V57" s="46" t="str">
        <f>IF(N(BE20)&gt;0,IF(N(U56)=BE20,"-","Err"),"")</f>
        <v>-</v>
      </c>
      <c r="W57" s="9"/>
      <c r="X57" s="51" t="str">
        <f>IF(N(W56)&gt;0,IF(W56&lt;hANDICAP14, Perdu,IF(W56=hANDICAP14,IF(BC24=Handicap6,Exaequo,Gagne))),"")</f>
        <v/>
      </c>
      <c r="Y57" s="52"/>
      <c r="Z57" s="46" t="str">
        <f>IF(N(BE24)&gt;0,IF(N(Y56)=BE24,"-","Err"),"")</f>
        <v/>
      </c>
      <c r="AA57" s="9"/>
      <c r="AB57" s="51" t="str">
        <f>IF(N(AA56)&gt;0,IF(AA56&lt;hANDICAP14, Perdu,IF(AA56=hANDICAP14,IF(BC28=Handicap7,Exaequo,Gagne))),"")</f>
        <v>P</v>
      </c>
      <c r="AC57" s="52"/>
      <c r="AD57" s="46" t="str">
        <f>IF(N(BE28)&gt;0,IF(N(AC56)=BE28,"-","Err"),"")</f>
        <v>-</v>
      </c>
      <c r="AE57" s="9"/>
      <c r="AF57" s="51" t="str">
        <f>IF(N(AE56)&gt;0,IF(AE56&lt;hANDICAP14, Perdu,IF(AE56=hANDICAP14,IF(BC32=Handicap8,Exaequo,Gagne))),"")</f>
        <v/>
      </c>
      <c r="AG57" s="52"/>
      <c r="AH57" s="46" t="str">
        <f>IF(N(BE32)&gt;0,IF(N(AG56)=BE32,"-","Err"),"")</f>
        <v/>
      </c>
      <c r="AI57" s="9"/>
      <c r="AJ57" s="51" t="str">
        <f>IF(N(AI56)&gt;0,IF(AI56&lt;hANDICAP14, Perdu,IF(AI56=hANDICAP14,IF(BC36=Handicap9,Exaequo,Gagne))),"")</f>
        <v/>
      </c>
      <c r="AK57" s="52"/>
      <c r="AL57" s="46" t="str">
        <f>IF(N(BE36)&gt;0,IF(N(AK56)=BE36,"-","Err"),"")</f>
        <v/>
      </c>
      <c r="AM57" s="9"/>
      <c r="AN57" s="51" t="str">
        <f>IF(N(AM56)&gt;0,IF(AM56&lt;hANDICAP14, Perdu,IF(AM56=hANDICAP14,IF(BC40=Handicap10,Exaequo,Gagne))),"")</f>
        <v/>
      </c>
      <c r="AO57" s="52"/>
      <c r="AP57" s="46" t="str">
        <f>IF(N(BE40)&gt;0,IF(N(AO56)=BE40,"-","Err"),"")</f>
        <v/>
      </c>
      <c r="AQ57" s="9"/>
      <c r="AR57" s="51" t="str">
        <f>IF(N(AQ56)&gt;0,IF(AQ56&lt;hANDICAP14, Perdu,IF(AQ56=hANDICAP14,IF(BC44=Handicap11,Exaequo,Gagne))),"")</f>
        <v>G</v>
      </c>
      <c r="AS57" s="52"/>
      <c r="AT57" s="46" t="str">
        <f>IF(N(BE44)&gt;0,IF(N(AS56)=BE44,"-","Err"),"")</f>
        <v>-</v>
      </c>
      <c r="AU57" s="9"/>
      <c r="AV57" s="51" t="str">
        <f>IF(N(AU56)&gt;0,IF(AU56&lt;hANDICAP14, Perdu,IF(AU56=hANDICAP14,IF(BC48=Handicap12,Exaequo,Gagne))),"")</f>
        <v/>
      </c>
      <c r="AW57" s="52"/>
      <c r="AX57" s="46" t="str">
        <f>IF(N(BE48)&gt;0,IF(N(AW56)=BE48,"-","Err"),"")</f>
        <v/>
      </c>
      <c r="AY57" s="9"/>
      <c r="AZ57" s="51" t="str">
        <f>IF(N(AY56)&gt;0,IF(AY56&lt;hANDICAP14, Perdu,IF(AY56=hANDICAP14,IF(BC52=Handicap13,Exaequo,Gagne))),"")</f>
        <v/>
      </c>
      <c r="BA57" s="52"/>
      <c r="BB57" s="46" t="str">
        <f>IF(N(BE52)&gt;0,IF(N(BA56)=BE52,"-","Err"),"")</f>
        <v/>
      </c>
      <c r="BC57" s="86"/>
      <c r="BD57" s="87"/>
      <c r="BE57" s="87"/>
      <c r="BF57" s="88"/>
      <c r="BG57" s="9"/>
      <c r="BH57" s="51" t="str">
        <f>IF(N(BG56)&gt;0,IF(BG56&lt;hANDICAP14, Perdu,IF(BG56=hANDICAP14,IF(BC60=Handicap15,Exaequo,Gagne))),"")</f>
        <v>P</v>
      </c>
      <c r="BI57" s="52"/>
      <c r="BJ57" s="46" t="str">
        <f>IF(N(BE60)&gt;0,IF(N(BI56)=BE60,"-","Err"),"")</f>
        <v>-</v>
      </c>
      <c r="BK57" s="9"/>
      <c r="BL57" s="51" t="str">
        <f>IF(N(BK56)&gt;0,IF(BK56&lt;hANDICAP14, Perdu,IF(BK56=hANDICAP14,IF(BC64=Handicap16,Exaequo,Gagne))),"")</f>
        <v>G</v>
      </c>
      <c r="BM57" s="52"/>
      <c r="BN57" s="46" t="str">
        <f>IF(N(BE64)&gt;0,IF(N(BM56)=BE64,"-","Err"),"")</f>
        <v>-</v>
      </c>
      <c r="BO57" s="9"/>
      <c r="BP57" s="51" t="str">
        <f>IF(N(BO56)&gt;0,IF(BO56&lt;hANDICAP14, Perdu,IF(BO56=hANDICAP14,IF(BC68=Handicap17,Exaequo,Gagne))),"")</f>
        <v/>
      </c>
      <c r="BQ57" s="52"/>
      <c r="BR57" s="46" t="str">
        <f>IF(N(BE68)&gt;0,IF(N(BQ56)=BE68,"-","Err"),"")</f>
        <v/>
      </c>
      <c r="BS57" s="9"/>
      <c r="BT57" s="51" t="str">
        <f>IF(N(BS56)&gt;0,IF(BS56&lt;hANDICAP14, Perdu,IF(BS56=hANDICAP14,IF(BC72=Handicap18,Exaequo,Gagne))),"")</f>
        <v/>
      </c>
      <c r="BU57" s="52"/>
      <c r="BV57" s="46" t="str">
        <f>IF(N(BE72)&gt;0,IF(N(BU56)=BE72,"-","Err"),"")</f>
        <v/>
      </c>
      <c r="BW57" s="9"/>
      <c r="BX57" s="51" t="str">
        <f>IF(N(BW56)&gt;0,IF(BW56&lt;hANDICAP14, Perdu,IF(BW56=hANDICAP14,IF(BC76=Handicap19,Exaequo,Gagne))),"")</f>
        <v/>
      </c>
      <c r="BY57" s="52"/>
      <c r="BZ57" s="46" t="str">
        <f>IF(N(BE76)&gt;0,IF(N(BY56)=BE76,"-","Err"),"")</f>
        <v/>
      </c>
      <c r="CA57" s="9"/>
      <c r="CB57" s="51" t="str">
        <f>IF(N(CA56)&gt;0,IF(CA56&lt;hANDICAP14, Perdu,IF(CA56=hANDICAP14,IF(BC80=Handicap20,Exaequo,Gagne))),"")</f>
        <v/>
      </c>
      <c r="CC57" s="52"/>
      <c r="CD57" s="46" t="str">
        <f>IF(N(BE80)&gt;0,IF(N(CC56)=BE80,"-","Err"),"")</f>
        <v/>
      </c>
      <c r="CE57" s="9"/>
      <c r="CF57" s="51" t="str">
        <f>IF(N(CE56)&gt;0,IF(CE56&lt;hANDICAP14, Perdu,IF(CE56=hANDICAP14,IF(BC84=Handicap21,Exaequo,Gagne))),"")</f>
        <v/>
      </c>
      <c r="CG57" s="52"/>
      <c r="CH57" s="46" t="str">
        <f>IF(N(BE84)&gt;0,IF(N(CG56)=BE84,"-","Err"),"")</f>
        <v/>
      </c>
      <c r="CI57" s="9"/>
      <c r="CJ57" s="51" t="str">
        <f>IF(N(CI56)&gt;0,IF(CI56&lt;hANDICAP14, Perdu,IF(CI56=hANDICAP14,IF(BC88=Handicap22,Exaequo,Gagne))),"")</f>
        <v>G</v>
      </c>
      <c r="CK57" s="52"/>
      <c r="CL57" s="46" t="str">
        <f>IF(N(BE88)&gt;0,IF(N(CK56)=BE88,"-","Err"),"")</f>
        <v>-</v>
      </c>
      <c r="CM57" s="46" t="str">
        <f>IF(N(CM56)&gt;hANDICAP14,"Err","-")</f>
        <v>-</v>
      </c>
      <c r="CN57" s="51" t="str">
        <f>IF(N(CM56)&gt;0,IF(CM56&lt;hANDICAP14, Perdu,IF(CM56=hANDICAP14,IF(BC92=Handicap23,Exaequo,Gagne))),"")</f>
        <v/>
      </c>
      <c r="CO57" s="52"/>
      <c r="CP57" s="46" t="str">
        <f>IF(N(BE92)&gt;0,IF(N(CO56)=BE92,"-","Err"),"")</f>
        <v/>
      </c>
      <c r="CQ57" s="30"/>
      <c r="CR57" s="64" t="s">
        <v>6</v>
      </c>
      <c r="CS57" s="66">
        <f>(COUNTIF(C57:CP57,"G")*3)+(COUNTIF(C57:CP57,"Ex")*2)+COUNTIF(C57:CP57,"P")</f>
        <v>16</v>
      </c>
      <c r="CT57" s="68" t="s">
        <v>2</v>
      </c>
      <c r="CU57" s="69"/>
      <c r="CV57" s="72">
        <f>COUNTIF(C57:CN57,"P")</f>
        <v>4</v>
      </c>
      <c r="CW57" s="60">
        <f>IF(CS56&gt;0,CV57/CS56,0)</f>
        <v>0.5</v>
      </c>
    </row>
    <row r="58" spans="2:101" ht="7.5" customHeight="1" x14ac:dyDescent="0.25">
      <c r="B58" s="93"/>
      <c r="C58" s="2"/>
      <c r="D58" s="53"/>
      <c r="E58" s="54"/>
      <c r="F58" s="46"/>
      <c r="G58" s="2"/>
      <c r="H58" s="53"/>
      <c r="I58" s="54"/>
      <c r="J58" s="46"/>
      <c r="K58" s="2"/>
      <c r="L58" s="53"/>
      <c r="M58" s="54"/>
      <c r="N58" s="46"/>
      <c r="O58" s="2"/>
      <c r="P58" s="53"/>
      <c r="Q58" s="54"/>
      <c r="R58" s="46"/>
      <c r="S58" s="2"/>
      <c r="T58" s="53"/>
      <c r="U58" s="54"/>
      <c r="V58" s="46"/>
      <c r="W58" s="2"/>
      <c r="X58" s="53"/>
      <c r="Y58" s="54"/>
      <c r="Z58" s="46"/>
      <c r="AA58" s="2"/>
      <c r="AB58" s="53"/>
      <c r="AC58" s="54"/>
      <c r="AD58" s="46"/>
      <c r="AE58" s="2"/>
      <c r="AF58" s="53"/>
      <c r="AG58" s="54"/>
      <c r="AH58" s="46"/>
      <c r="AI58" s="2"/>
      <c r="AJ58" s="53"/>
      <c r="AK58" s="54"/>
      <c r="AL58" s="46"/>
      <c r="AM58" s="2"/>
      <c r="AN58" s="53"/>
      <c r="AO58" s="54"/>
      <c r="AP58" s="46"/>
      <c r="AQ58" s="2"/>
      <c r="AR58" s="53"/>
      <c r="AS58" s="54"/>
      <c r="AT58" s="46"/>
      <c r="AU58" s="2"/>
      <c r="AV58" s="53"/>
      <c r="AW58" s="54"/>
      <c r="AX58" s="46"/>
      <c r="AY58" s="2"/>
      <c r="AZ58" s="53"/>
      <c r="BA58" s="54"/>
      <c r="BB58" s="46"/>
      <c r="BC58" s="86"/>
      <c r="BD58" s="87"/>
      <c r="BE58" s="87"/>
      <c r="BF58" s="88"/>
      <c r="BG58" s="2"/>
      <c r="BH58" s="53"/>
      <c r="BI58" s="54"/>
      <c r="BJ58" s="46"/>
      <c r="BK58" s="2"/>
      <c r="BL58" s="53"/>
      <c r="BM58" s="54"/>
      <c r="BN58" s="46"/>
      <c r="BO58" s="2"/>
      <c r="BP58" s="53"/>
      <c r="BQ58" s="54"/>
      <c r="BR58" s="46"/>
      <c r="BS58" s="2"/>
      <c r="BT58" s="53"/>
      <c r="BU58" s="54"/>
      <c r="BV58" s="46"/>
      <c r="BW58" s="2"/>
      <c r="BX58" s="53"/>
      <c r="BY58" s="54"/>
      <c r="BZ58" s="46"/>
      <c r="CA58" s="2"/>
      <c r="CB58" s="53"/>
      <c r="CC58" s="54"/>
      <c r="CD58" s="46"/>
      <c r="CE58" s="2"/>
      <c r="CF58" s="53"/>
      <c r="CG58" s="54"/>
      <c r="CH58" s="46"/>
      <c r="CI58" s="2"/>
      <c r="CJ58" s="53"/>
      <c r="CK58" s="54"/>
      <c r="CL58" s="46"/>
      <c r="CM58" s="46"/>
      <c r="CN58" s="53"/>
      <c r="CO58" s="54"/>
      <c r="CP58" s="46"/>
      <c r="CQ58" s="30"/>
      <c r="CR58" s="65"/>
      <c r="CS58" s="67"/>
      <c r="CT58" s="70"/>
      <c r="CU58" s="71"/>
      <c r="CV58" s="72"/>
      <c r="CW58" s="60"/>
    </row>
    <row r="59" spans="2:101" x14ac:dyDescent="0.25">
      <c r="B59" s="94"/>
      <c r="C59" s="55">
        <f>IF(COUNT(C56:E56)=2,C56/E56,"Moy")</f>
        <v>0.34545454545454546</v>
      </c>
      <c r="D59" s="56"/>
      <c r="E59" s="56">
        <v>2</v>
      </c>
      <c r="F59" s="59"/>
      <c r="G59" s="55" t="str">
        <f>IF(COUNT(G56:I56)=2,G56/I56,"Moy")</f>
        <v>Moy</v>
      </c>
      <c r="H59" s="56"/>
      <c r="I59" s="56" t="s">
        <v>0</v>
      </c>
      <c r="J59" s="59"/>
      <c r="K59" s="55">
        <f>IF(COUNT(K56:M56)=2,K56/M56,"Moy")</f>
        <v>0.22058823529411764</v>
      </c>
      <c r="L59" s="56"/>
      <c r="M59" s="56">
        <v>2</v>
      </c>
      <c r="N59" s="59"/>
      <c r="O59" s="55" t="str">
        <f>IF(COUNT(O56:Q56)=2,O56/Q56,"Moy")</f>
        <v>Moy</v>
      </c>
      <c r="P59" s="56"/>
      <c r="Q59" s="56" t="s">
        <v>0</v>
      </c>
      <c r="R59" s="59"/>
      <c r="S59" s="55">
        <f>IF(COUNT(S56:U56)=2,S56/U56,"Moy")</f>
        <v>0.625</v>
      </c>
      <c r="T59" s="56"/>
      <c r="U59" s="56">
        <v>4</v>
      </c>
      <c r="V59" s="59"/>
      <c r="W59" s="55" t="str">
        <f>IF(COUNT(W56:Y56)=2,W56/Y56,"Moy")</f>
        <v>Moy</v>
      </c>
      <c r="X59" s="56"/>
      <c r="Y59" s="56" t="s">
        <v>0</v>
      </c>
      <c r="Z59" s="59"/>
      <c r="AA59" s="55">
        <f>IF(COUNT(AA56:AC56)=2,AA56/AC56,"Moy")</f>
        <v>0.44186046511627908</v>
      </c>
      <c r="AB59" s="56"/>
      <c r="AC59" s="56">
        <v>3</v>
      </c>
      <c r="AD59" s="59"/>
      <c r="AE59" s="55" t="str">
        <f>IF(COUNT(AE56:AG56)=2,AE56/AG56,"Moy")</f>
        <v>Moy</v>
      </c>
      <c r="AF59" s="56"/>
      <c r="AG59" s="56" t="s">
        <v>0</v>
      </c>
      <c r="AH59" s="59"/>
      <c r="AI59" s="55" t="str">
        <f>IF(COUNT(AI56:AK56)=2,AI56/AK56,"Moy")</f>
        <v>Moy</v>
      </c>
      <c r="AJ59" s="56"/>
      <c r="AK59" s="56" t="s">
        <v>0</v>
      </c>
      <c r="AL59" s="59"/>
      <c r="AM59" s="55" t="str">
        <f>IF(COUNT(AM56:AO56)=2,AM56/AO56,"Moy")</f>
        <v>Moy</v>
      </c>
      <c r="AN59" s="56"/>
      <c r="AO59" s="56" t="s">
        <v>0</v>
      </c>
      <c r="AP59" s="59"/>
      <c r="AQ59" s="55">
        <f>IF(COUNT(AQ56:AS56)=2,AQ56/AS56,"Moy")</f>
        <v>0.35714285714285715</v>
      </c>
      <c r="AR59" s="56"/>
      <c r="AS59" s="56">
        <v>4</v>
      </c>
      <c r="AT59" s="59"/>
      <c r="AU59" s="55" t="str">
        <f>IF(COUNT(AU56:AW56)=2,AU56/AW56,"Moy")</f>
        <v>Moy</v>
      </c>
      <c r="AV59" s="56"/>
      <c r="AW59" s="56" t="s">
        <v>0</v>
      </c>
      <c r="AX59" s="59"/>
      <c r="AY59" s="55" t="str">
        <f>IF(COUNT(AY56:BA56)=2,AY56/BA56,"Moy")</f>
        <v>Moy</v>
      </c>
      <c r="AZ59" s="56"/>
      <c r="BA59" s="56" t="s">
        <v>0</v>
      </c>
      <c r="BB59" s="59"/>
      <c r="BC59" s="89"/>
      <c r="BD59" s="90"/>
      <c r="BE59" s="90"/>
      <c r="BF59" s="91"/>
      <c r="BG59" s="55">
        <f>IF(COUNT(BG56:BI56)=2,BG56/BI56,"Moy")</f>
        <v>0.18421052631578946</v>
      </c>
      <c r="BH59" s="56"/>
      <c r="BI59" s="56">
        <v>2</v>
      </c>
      <c r="BJ59" s="59"/>
      <c r="BK59" s="55">
        <f>IF(COUNT(BK56:BM56)=2,BK56/BM56,"Moy")</f>
        <v>0.41666666666666669</v>
      </c>
      <c r="BL59" s="56"/>
      <c r="BM59" s="56">
        <v>2</v>
      </c>
      <c r="BN59" s="59"/>
      <c r="BO59" s="55" t="str">
        <f>IF(COUNT(BO56:BQ56)=2,BO56/BQ56,"Moy")</f>
        <v>Moy</v>
      </c>
      <c r="BP59" s="56"/>
      <c r="BQ59" s="56" t="s">
        <v>0</v>
      </c>
      <c r="BR59" s="59"/>
      <c r="BS59" s="55" t="str">
        <f>IF(COUNT(BS56:BU56)=2,BS56/BU56,"Moy")</f>
        <v>Moy</v>
      </c>
      <c r="BT59" s="56"/>
      <c r="BU59" s="56" t="s">
        <v>0</v>
      </c>
      <c r="BV59" s="59"/>
      <c r="BW59" s="55" t="str">
        <f>IF(COUNT(BW56:BY56)=2,BW56/BY56,"Moy")</f>
        <v>Moy</v>
      </c>
      <c r="BX59" s="56"/>
      <c r="BY59" s="56" t="s">
        <v>0</v>
      </c>
      <c r="BZ59" s="59"/>
      <c r="CA59" s="55" t="str">
        <f>IF(COUNT(CA56:CC56)=2,CA56/CC56,"Moy")</f>
        <v>Moy</v>
      </c>
      <c r="CB59" s="56"/>
      <c r="CC59" s="56" t="s">
        <v>0</v>
      </c>
      <c r="CD59" s="59"/>
      <c r="CE59" s="55" t="str">
        <f>IF(COUNT(CE56:CG56)=2,CE56/CG56,"Moy")</f>
        <v>Moy</v>
      </c>
      <c r="CF59" s="56"/>
      <c r="CG59" s="56" t="s">
        <v>0</v>
      </c>
      <c r="CH59" s="59"/>
      <c r="CI59" s="55">
        <f>IF(COUNT(CI56:CK56)=2,CI56/CK56,"Moy")</f>
        <v>0.68965517241379315</v>
      </c>
      <c r="CJ59" s="56"/>
      <c r="CK59" s="56">
        <v>4</v>
      </c>
      <c r="CL59" s="59"/>
      <c r="CM59" s="55" t="str">
        <f>IF(COUNT(CM56:CO56)=2,CM56/CO56,"Moy")</f>
        <v>Moy</v>
      </c>
      <c r="CN59" s="56"/>
      <c r="CO59" s="56" t="s">
        <v>0</v>
      </c>
      <c r="CP59" s="59"/>
      <c r="CQ59" s="22"/>
      <c r="CR59" s="8" t="s">
        <v>5</v>
      </c>
      <c r="CS59" s="17">
        <f>IF(CS56&gt;0,((N(C59)+N(G59)+N(K59)+N(O59)+N(S59)+N(W59)+N(AA59)+N(AE59)+N(AI59)+N(AM59)+N(AQ59)+N(AU59)+N(AY59)+N(BC59)+N(BG59)+N(BK59)+N(BO59)+N(BS59)+N(BW59)+N(CA59)+N(CE59)+N(CI59))+N(CM59))/CS56,0)</f>
        <v>0.41007230855050603</v>
      </c>
      <c r="CT59" s="61" t="s">
        <v>3</v>
      </c>
      <c r="CU59" s="62"/>
      <c r="CV59" s="18">
        <f>COUNTIF(C57:CN57,"Ex")</f>
        <v>0</v>
      </c>
      <c r="CW59" s="19">
        <f>IF(CS56&gt;0,CV59/CS56,0)</f>
        <v>0</v>
      </c>
    </row>
    <row r="60" spans="2:101" ht="15" customHeight="1" x14ac:dyDescent="0.25">
      <c r="B60" s="80" t="s">
        <v>45</v>
      </c>
      <c r="C60" s="47" t="s">
        <v>22</v>
      </c>
      <c r="D60" s="48"/>
      <c r="E60" s="49" t="s">
        <v>23</v>
      </c>
      <c r="F60" s="50"/>
      <c r="G60" s="47" t="s">
        <v>22</v>
      </c>
      <c r="H60" s="48"/>
      <c r="I60" s="49" t="s">
        <v>23</v>
      </c>
      <c r="J60" s="50"/>
      <c r="K60" s="47" t="s">
        <v>22</v>
      </c>
      <c r="L60" s="48"/>
      <c r="M60" s="49" t="s">
        <v>23</v>
      </c>
      <c r="N60" s="50"/>
      <c r="O60" s="47" t="s">
        <v>22</v>
      </c>
      <c r="P60" s="48"/>
      <c r="Q60" s="49" t="s">
        <v>23</v>
      </c>
      <c r="R60" s="50"/>
      <c r="S60" s="47" t="s">
        <v>22</v>
      </c>
      <c r="T60" s="48"/>
      <c r="U60" s="49" t="s">
        <v>23</v>
      </c>
      <c r="V60" s="50"/>
      <c r="W60" s="47" t="s">
        <v>22</v>
      </c>
      <c r="X60" s="48"/>
      <c r="Y60" s="49" t="s">
        <v>23</v>
      </c>
      <c r="Z60" s="50"/>
      <c r="AA60" s="47">
        <v>6</v>
      </c>
      <c r="AB60" s="48"/>
      <c r="AC60" s="49">
        <v>27</v>
      </c>
      <c r="AD60" s="50"/>
      <c r="AE60" s="47" t="s">
        <v>22</v>
      </c>
      <c r="AF60" s="48"/>
      <c r="AG60" s="49" t="s">
        <v>23</v>
      </c>
      <c r="AH60" s="50"/>
      <c r="AI60" s="47" t="s">
        <v>22</v>
      </c>
      <c r="AJ60" s="48"/>
      <c r="AK60" s="49" t="s">
        <v>23</v>
      </c>
      <c r="AL60" s="50"/>
      <c r="AM60" s="47" t="s">
        <v>22</v>
      </c>
      <c r="AN60" s="48"/>
      <c r="AO60" s="49" t="s">
        <v>23</v>
      </c>
      <c r="AP60" s="50"/>
      <c r="AQ60" s="47" t="s">
        <v>22</v>
      </c>
      <c r="AR60" s="48"/>
      <c r="AS60" s="49" t="s">
        <v>23</v>
      </c>
      <c r="AT60" s="50"/>
      <c r="AU60" s="47" t="s">
        <v>22</v>
      </c>
      <c r="AV60" s="48"/>
      <c r="AW60" s="49" t="s">
        <v>23</v>
      </c>
      <c r="AX60" s="50"/>
      <c r="AY60" s="47" t="s">
        <v>22</v>
      </c>
      <c r="AZ60" s="48"/>
      <c r="BA60" s="49" t="s">
        <v>23</v>
      </c>
      <c r="BB60" s="50"/>
      <c r="BC60" s="47">
        <v>20</v>
      </c>
      <c r="BD60" s="48"/>
      <c r="BE60" s="49">
        <v>38</v>
      </c>
      <c r="BF60" s="50"/>
      <c r="BG60" s="83">
        <v>20</v>
      </c>
      <c r="BH60" s="84"/>
      <c r="BI60" s="84"/>
      <c r="BJ60" s="85"/>
      <c r="BK60" s="47">
        <v>20</v>
      </c>
      <c r="BL60" s="48"/>
      <c r="BM60" s="49">
        <v>32</v>
      </c>
      <c r="BN60" s="50"/>
      <c r="BO60" s="47">
        <v>14</v>
      </c>
      <c r="BP60" s="48"/>
      <c r="BQ60" s="49">
        <v>41</v>
      </c>
      <c r="BR60" s="50"/>
      <c r="BS60" s="47" t="s">
        <v>22</v>
      </c>
      <c r="BT60" s="48"/>
      <c r="BU60" s="49" t="s">
        <v>23</v>
      </c>
      <c r="BV60" s="50"/>
      <c r="BW60" s="47" t="s">
        <v>22</v>
      </c>
      <c r="BX60" s="48"/>
      <c r="BY60" s="49" t="s">
        <v>23</v>
      </c>
      <c r="BZ60" s="50"/>
      <c r="CA60" s="47" t="s">
        <v>22</v>
      </c>
      <c r="CB60" s="48"/>
      <c r="CC60" s="49" t="s">
        <v>23</v>
      </c>
      <c r="CD60" s="50"/>
      <c r="CE60" s="47" t="s">
        <v>22</v>
      </c>
      <c r="CF60" s="48"/>
      <c r="CG60" s="49" t="s">
        <v>23</v>
      </c>
      <c r="CH60" s="50"/>
      <c r="CI60" s="47">
        <v>20</v>
      </c>
      <c r="CJ60" s="48"/>
      <c r="CK60" s="49">
        <v>59</v>
      </c>
      <c r="CL60" s="50"/>
      <c r="CM60" s="47" t="s">
        <v>22</v>
      </c>
      <c r="CN60" s="48"/>
      <c r="CO60" s="49" t="s">
        <v>23</v>
      </c>
      <c r="CP60" s="50"/>
      <c r="CQ60" s="23"/>
      <c r="CR60" s="7" t="s">
        <v>11</v>
      </c>
      <c r="CS60" s="14">
        <f>COUNTIF(C61:CN61,"G")+COUNTIF(C61:CN61,"Ex")+COUNTIF(C61:CN61,"P")</f>
        <v>5</v>
      </c>
      <c r="CT60" s="63" t="s">
        <v>1</v>
      </c>
      <c r="CU60" s="62"/>
      <c r="CV60" s="15">
        <f>COUNTIF(C61:CN61,"G")</f>
        <v>3</v>
      </c>
      <c r="CW60" s="16">
        <f>IF(CS60&gt;0,CV60/CS60,0)</f>
        <v>0.6</v>
      </c>
    </row>
    <row r="61" spans="2:101" ht="8.25" customHeight="1" x14ac:dyDescent="0.25">
      <c r="B61" s="81"/>
      <c r="C61" s="9"/>
      <c r="D61" s="51" t="str">
        <f>IF(N(C60)&gt;0,IF(C60&lt;Handicap15, Perdu,IF(C60=Handicap15,IF(BG4=Handicap1,Exaequo,Gagne))),"")</f>
        <v/>
      </c>
      <c r="E61" s="52"/>
      <c r="F61" s="46" t="str">
        <f>IF(N(BI4)&gt;0,IF(N(E60)=BI4,"-","Err"),"")</f>
        <v/>
      </c>
      <c r="G61" s="9"/>
      <c r="H61" s="51" t="str">
        <f>IF(N(G60)&gt;0,IF(G60&lt;Handicap15, Perdu,IF(G60=Handicap15,IF(BG8=Handicap2,Exaequo,Gagne))),"")</f>
        <v/>
      </c>
      <c r="I61" s="52"/>
      <c r="J61" s="46" t="str">
        <f>IF(N(BI8)&gt;0,IF(N(I60)=BI8,"-","Err"),"")</f>
        <v/>
      </c>
      <c r="K61" s="9"/>
      <c r="L61" s="51" t="str">
        <f>IF(N(K60)&gt;0,IF(K60&lt;Handicap15, Perdu,IF(K60=Handicap15,IF(BG12=Handicap3,Exaequo,Gagne))),"")</f>
        <v/>
      </c>
      <c r="M61" s="52"/>
      <c r="N61" s="46" t="str">
        <f>IF(N(BI12)&gt;0,IF(N(M60)=BI12,"-","Err"),"")</f>
        <v/>
      </c>
      <c r="O61" s="9"/>
      <c r="P61" s="51" t="str">
        <f>IF(N(O60)&gt;0,IF(O60&lt;Handicap15, Perdu,IF(O60=Handicap15,IF(BG16=Handicap4,Exaequo,Gagne))),"")</f>
        <v/>
      </c>
      <c r="Q61" s="52"/>
      <c r="R61" s="46" t="str">
        <f>IF(N(BI16)&gt;0,IF(N(Q60)=BI16,"-","Err"),"")</f>
        <v/>
      </c>
      <c r="S61" s="9"/>
      <c r="T61" s="51" t="str">
        <f>IF(N(S60)&gt;0,IF(S60&lt;Handicap15, Perdu,IF(S60=Handicap15,IF(BG20=Handicap5,Exaequo,Gagne))),"")</f>
        <v/>
      </c>
      <c r="U61" s="52"/>
      <c r="V61" s="46" t="str">
        <f>IF(N(BI20)&gt;0,IF(N(U60)=BI20,"-","Err"),"")</f>
        <v/>
      </c>
      <c r="W61" s="9"/>
      <c r="X61" s="51" t="str">
        <f>IF(N(W60)&gt;0,IF(W60&lt;Handicap15, Perdu,IF(W60=Handicap15,IF(BG24=Handicap6,Exaequo,Gagne))),"")</f>
        <v/>
      </c>
      <c r="Y61" s="52"/>
      <c r="Z61" s="46" t="str">
        <f>IF(N(BI24)&gt;0,IF(N(Y60)=BI24,"-","Err"),"")</f>
        <v/>
      </c>
      <c r="AA61" s="9"/>
      <c r="AB61" s="51" t="str">
        <f>IF(N(AA60)&gt;0,IF(AA60&lt;Handicap15, Perdu,IF(AA60=Handicap15,IF(BG28=Handicap7,Exaequo,Gagne))),"")</f>
        <v>P</v>
      </c>
      <c r="AC61" s="52"/>
      <c r="AD61" s="46" t="str">
        <f>IF(N(BI28)&gt;0,IF(N(AC60)=BI28,"-","Err"),"")</f>
        <v>-</v>
      </c>
      <c r="AE61" s="9"/>
      <c r="AF61" s="51" t="str">
        <f>IF(N(AE60)&gt;0,IF(AE60&lt;Handicap15, Perdu,IF(AE60=Handicap15,IF(BG32=Handicap8,Exaequo,Gagne))),"")</f>
        <v/>
      </c>
      <c r="AG61" s="52"/>
      <c r="AH61" s="46" t="str">
        <f>IF(N(BI32)&gt;0,IF(N(AG60)=BI32,"-","Err"),"")</f>
        <v/>
      </c>
      <c r="AI61" s="9"/>
      <c r="AJ61" s="51" t="str">
        <f>IF(N(AI60)&gt;0,IF(AI60&lt;Handicap15, Perdu,IF(AI60=Handicap15,IF(BG36=Handicap9,Exaequo,Gagne))),"")</f>
        <v/>
      </c>
      <c r="AK61" s="52"/>
      <c r="AL61" s="46" t="str">
        <f>IF(N(BI36)&gt;0,IF(N(AK60)=BI36,"-","Err"),"")</f>
        <v/>
      </c>
      <c r="AM61" s="9"/>
      <c r="AN61" s="51" t="str">
        <f>IF(N(AM60)&gt;0,IF(AM60&lt;Handicap15, Perdu,IF(AM60=Handicap15,IF(BG40=Handicap10,Exaequo,Gagne))),"")</f>
        <v/>
      </c>
      <c r="AO61" s="52"/>
      <c r="AP61" s="46" t="str">
        <f>IF(N(BI40)&gt;0,IF(N(AO60)=BI40,"-","Err"),"")</f>
        <v/>
      </c>
      <c r="AQ61" s="9"/>
      <c r="AR61" s="51" t="str">
        <f>IF(N(AQ60)&gt;0,IF(AQ60&lt;Handicap15, Perdu,IF(AQ60=Handicap15,IF(BG44=Handicap11,Exaequo,Gagne))),"")</f>
        <v/>
      </c>
      <c r="AS61" s="52"/>
      <c r="AT61" s="46" t="str">
        <f>IF(N(BI44)&gt;0,IF(N(AS60)=BI44,"-","Err"),"")</f>
        <v/>
      </c>
      <c r="AU61" s="9"/>
      <c r="AV61" s="51" t="str">
        <f>IF(N(AU60)&gt;0,IF(AU60&lt;Handicap15, Perdu,IF(AU60=Handicap15,IF(BG48=Handicap12,Exaequo,Gagne))),"")</f>
        <v/>
      </c>
      <c r="AW61" s="52"/>
      <c r="AX61" s="46" t="str">
        <f>IF(N(BI48)&gt;0,IF(N(AW60)=BI48,"-","Err"),"")</f>
        <v/>
      </c>
      <c r="AY61" s="9"/>
      <c r="AZ61" s="51" t="str">
        <f>IF(N(AY60)&gt;0,IF(AY60&lt;Handicap15, Perdu,IF(AY60=Handicap15,IF(BG52=Handicap13,Exaequo,Gagne))),"")</f>
        <v/>
      </c>
      <c r="BA61" s="52"/>
      <c r="BB61" s="46" t="str">
        <f>IF(N(BI52)&gt;0,IF(N(BA60)=BI52,"-","Err"),"")</f>
        <v/>
      </c>
      <c r="BC61" s="9"/>
      <c r="BD61" s="51" t="str">
        <f>IF(N(BC60)&gt;0,IF(BC60&lt;Handicap15, Perdu,IF(BC60=Handicap15,IF(BG56=hANDICAP14,Exaequo,Gagne))),"")</f>
        <v>G</v>
      </c>
      <c r="BE61" s="52"/>
      <c r="BF61" s="46" t="str">
        <f>IF(N(BI56)&gt;0,IF(N(BE60)=BI56,"-","Err"),"")</f>
        <v>-</v>
      </c>
      <c r="BG61" s="86"/>
      <c r="BH61" s="87"/>
      <c r="BI61" s="87"/>
      <c r="BJ61" s="88"/>
      <c r="BK61" s="9"/>
      <c r="BL61" s="51" t="str">
        <f>IF(N(BK60)&gt;0,IF(BK60&lt;Handicap15, Perdu,IF(BK60=Handicap15,IF(BG64=Handicap16,Exaequo,Gagne))),"")</f>
        <v>G</v>
      </c>
      <c r="BM61" s="52"/>
      <c r="BN61" s="46" t="str">
        <f>IF(N(BI64)&gt;0,IF(N(BM60)=BI64,"-","Err"),"")</f>
        <v>-</v>
      </c>
      <c r="BO61" s="9"/>
      <c r="BP61" s="51" t="str">
        <f>IF(N(BO60)&gt;0,IF(BO60&lt;Handicap15, Perdu,IF(BO60=Handicap15,IF(BG68=Handicap17,Exaequo,Gagne))),"")</f>
        <v>P</v>
      </c>
      <c r="BQ61" s="52"/>
      <c r="BR61" s="46" t="str">
        <f>IF(N(BI68)&gt;0,IF(N(BQ60)=BI68,"-","Err"),"")</f>
        <v>-</v>
      </c>
      <c r="BS61" s="9"/>
      <c r="BT61" s="51" t="str">
        <f>IF(N(BS60)&gt;0,IF(BS60&lt;Handicap15, Perdu,IF(BS60=Handicap15,IF(BG72=Handicap18,Exaequo,Gagne))),"")</f>
        <v/>
      </c>
      <c r="BU61" s="52"/>
      <c r="BV61" s="46" t="str">
        <f>IF(N(BI72)&gt;0,IF(N(BU60)=BI72,"-","Err"),"")</f>
        <v/>
      </c>
      <c r="BW61" s="9"/>
      <c r="BX61" s="51" t="str">
        <f>IF(N(BW60)&gt;0,IF(BW60&lt;Handicap15, Perdu,IF(BW60=Handicap15,IF(BG76=Handicap19,Exaequo,Gagne))),"")</f>
        <v/>
      </c>
      <c r="BY61" s="52"/>
      <c r="BZ61" s="46" t="str">
        <f>IF(N(BI76)&gt;0,IF(N(BY60)=BI76,"-","Err"),"")</f>
        <v/>
      </c>
      <c r="CA61" s="9"/>
      <c r="CB61" s="51" t="str">
        <f>IF(N(CA60)&gt;0,IF(CA60&lt;Handicap15, Perdu,IF(CA60=Handicap15,IF(BG80=Handicap20,Exaequo,Gagne))),"")</f>
        <v/>
      </c>
      <c r="CC61" s="52"/>
      <c r="CD61" s="46" t="str">
        <f>IF(N(BI80)&gt;0,IF(N(CC60)=BI80,"-","Err"),"")</f>
        <v/>
      </c>
      <c r="CE61" s="9"/>
      <c r="CF61" s="51" t="str">
        <f>IF(N(CE60)&gt;0,IF(CE60&lt;Handicap15, Perdu,IF(CE60=Handicap15,IF(BG84=Handicap21,Exaequo,Gagne))),"")</f>
        <v/>
      </c>
      <c r="CG61" s="52"/>
      <c r="CH61" s="46" t="str">
        <f>IF(N(BI84)&gt;0,IF(N(CG60)=BI84,"-","Err"),"")</f>
        <v/>
      </c>
      <c r="CI61" s="9"/>
      <c r="CJ61" s="51" t="str">
        <f>IF(N(CI60)&gt;0,IF(CI60&lt;Handicap15, Perdu,IF(CI60=Handicap15,IF(BG88=Handicap22,Exaequo,Gagne))),"")</f>
        <v>G</v>
      </c>
      <c r="CK61" s="52"/>
      <c r="CL61" s="46" t="str">
        <f>IF(N(BI88)&gt;0,IF(N(CK60)=BI88,"-","Err"),"")</f>
        <v>-</v>
      </c>
      <c r="CM61" s="46" t="str">
        <f>IF(N(CM60)&gt;Handicap15,"Err","-")</f>
        <v>-</v>
      </c>
      <c r="CN61" s="51" t="str">
        <f>IF(N(CM60)&gt;0,IF(CM60&lt;Handicap15, Perdu,IF(CM60=Handicap15,IF(BG92=Handicap23,Exaequo,Gagne))),"")</f>
        <v/>
      </c>
      <c r="CO61" s="52"/>
      <c r="CP61" s="46" t="str">
        <f>IF(N(BI92)&gt;0,IF(N(CO60)=BI92,"-","Err"),"")</f>
        <v/>
      </c>
      <c r="CQ61" s="30"/>
      <c r="CR61" s="64" t="s">
        <v>6</v>
      </c>
      <c r="CS61" s="66">
        <f>(COUNTIF(C61:CP61,"G")*3)+(COUNTIF(C61:CP61,"Ex")*2)+COUNTIF(C61:CP61,"P")</f>
        <v>11</v>
      </c>
      <c r="CT61" s="68" t="s">
        <v>2</v>
      </c>
      <c r="CU61" s="69"/>
      <c r="CV61" s="72">
        <f>COUNTIF(C61:CN61,"P")</f>
        <v>2</v>
      </c>
      <c r="CW61" s="60">
        <f>IF(CS60&gt;0,CV61/CS60,0)</f>
        <v>0.4</v>
      </c>
    </row>
    <row r="62" spans="2:101" ht="8.25" customHeight="1" x14ac:dyDescent="0.25">
      <c r="B62" s="81"/>
      <c r="C62" s="2"/>
      <c r="D62" s="53"/>
      <c r="E62" s="54"/>
      <c r="F62" s="46"/>
      <c r="G62" s="2"/>
      <c r="H62" s="53"/>
      <c r="I62" s="54"/>
      <c r="J62" s="46"/>
      <c r="K62" s="2"/>
      <c r="L62" s="53"/>
      <c r="M62" s="54"/>
      <c r="N62" s="46"/>
      <c r="O62" s="2"/>
      <c r="P62" s="53"/>
      <c r="Q62" s="54"/>
      <c r="R62" s="46"/>
      <c r="S62" s="2"/>
      <c r="T62" s="53"/>
      <c r="U62" s="54"/>
      <c r="V62" s="46"/>
      <c r="W62" s="2"/>
      <c r="X62" s="53"/>
      <c r="Y62" s="54"/>
      <c r="Z62" s="46"/>
      <c r="AA62" s="2"/>
      <c r="AB62" s="53"/>
      <c r="AC62" s="54"/>
      <c r="AD62" s="46"/>
      <c r="AE62" s="2"/>
      <c r="AF62" s="53"/>
      <c r="AG62" s="54"/>
      <c r="AH62" s="46"/>
      <c r="AI62" s="2"/>
      <c r="AJ62" s="53"/>
      <c r="AK62" s="54"/>
      <c r="AL62" s="46"/>
      <c r="AM62" s="2"/>
      <c r="AN62" s="53"/>
      <c r="AO62" s="54"/>
      <c r="AP62" s="46"/>
      <c r="AQ62" s="2"/>
      <c r="AR62" s="53"/>
      <c r="AS62" s="54"/>
      <c r="AT62" s="46"/>
      <c r="AU62" s="2"/>
      <c r="AV62" s="53"/>
      <c r="AW62" s="54"/>
      <c r="AX62" s="46"/>
      <c r="AY62" s="2"/>
      <c r="AZ62" s="53"/>
      <c r="BA62" s="54"/>
      <c r="BB62" s="46"/>
      <c r="BC62" s="2"/>
      <c r="BD62" s="53"/>
      <c r="BE62" s="54"/>
      <c r="BF62" s="46"/>
      <c r="BG62" s="86"/>
      <c r="BH62" s="87"/>
      <c r="BI62" s="87"/>
      <c r="BJ62" s="88"/>
      <c r="BK62" s="2"/>
      <c r="BL62" s="53"/>
      <c r="BM62" s="54"/>
      <c r="BN62" s="46"/>
      <c r="BO62" s="2"/>
      <c r="BP62" s="53"/>
      <c r="BQ62" s="54"/>
      <c r="BR62" s="46"/>
      <c r="BS62" s="2"/>
      <c r="BT62" s="53"/>
      <c r="BU62" s="54"/>
      <c r="BV62" s="46"/>
      <c r="BW62" s="2"/>
      <c r="BX62" s="53"/>
      <c r="BY62" s="54"/>
      <c r="BZ62" s="46"/>
      <c r="CA62" s="2"/>
      <c r="CB62" s="53"/>
      <c r="CC62" s="54"/>
      <c r="CD62" s="46"/>
      <c r="CE62" s="2"/>
      <c r="CF62" s="53"/>
      <c r="CG62" s="54"/>
      <c r="CH62" s="46"/>
      <c r="CI62" s="2"/>
      <c r="CJ62" s="53"/>
      <c r="CK62" s="54"/>
      <c r="CL62" s="46"/>
      <c r="CM62" s="46"/>
      <c r="CN62" s="53"/>
      <c r="CO62" s="54"/>
      <c r="CP62" s="46"/>
      <c r="CQ62" s="30"/>
      <c r="CR62" s="65"/>
      <c r="CS62" s="67"/>
      <c r="CT62" s="70"/>
      <c r="CU62" s="71"/>
      <c r="CV62" s="72"/>
      <c r="CW62" s="60"/>
    </row>
    <row r="63" spans="2:101" ht="15" customHeight="1" x14ac:dyDescent="0.25">
      <c r="B63" s="82"/>
      <c r="C63" s="55" t="str">
        <f>IF(COUNT(C60:E60)=2,C60/E60,"Moy")</f>
        <v>Moy</v>
      </c>
      <c r="D63" s="56"/>
      <c r="E63" s="56" t="s">
        <v>0</v>
      </c>
      <c r="F63" s="59"/>
      <c r="G63" s="55" t="str">
        <f>IF(COUNT(G60:I60)=2,G60/I60,"Moy")</f>
        <v>Moy</v>
      </c>
      <c r="H63" s="56"/>
      <c r="I63" s="56" t="s">
        <v>0</v>
      </c>
      <c r="J63" s="59"/>
      <c r="K63" s="55" t="str">
        <f>IF(COUNT(K60:M60)=2,K60/M60,"Moy")</f>
        <v>Moy</v>
      </c>
      <c r="L63" s="56"/>
      <c r="M63" s="56" t="s">
        <v>0</v>
      </c>
      <c r="N63" s="59"/>
      <c r="O63" s="55" t="str">
        <f>IF(COUNT(O60:Q60)=2,O60/Q60,"Moy")</f>
        <v>Moy</v>
      </c>
      <c r="P63" s="56"/>
      <c r="Q63" s="56" t="s">
        <v>0</v>
      </c>
      <c r="R63" s="59"/>
      <c r="S63" s="55" t="str">
        <f>IF(COUNT(S60:U60)=2,S60/U60,"Moy")</f>
        <v>Moy</v>
      </c>
      <c r="T63" s="56"/>
      <c r="U63" s="56" t="s">
        <v>0</v>
      </c>
      <c r="V63" s="59"/>
      <c r="W63" s="55" t="str">
        <f>IF(COUNT(W60:Y60)=2,W60/Y60,"Moy")</f>
        <v>Moy</v>
      </c>
      <c r="X63" s="56"/>
      <c r="Y63" s="56" t="s">
        <v>0</v>
      </c>
      <c r="Z63" s="59"/>
      <c r="AA63" s="55">
        <f>IF(COUNT(AA60:AC60)=2,AA60/AC60,"Moy")</f>
        <v>0.22222222222222221</v>
      </c>
      <c r="AB63" s="56"/>
      <c r="AC63" s="56">
        <v>3</v>
      </c>
      <c r="AD63" s="59"/>
      <c r="AE63" s="55" t="str">
        <f>IF(COUNT(AE60:AG60)=2,AE60/AG60,"Moy")</f>
        <v>Moy</v>
      </c>
      <c r="AF63" s="56"/>
      <c r="AG63" s="56" t="s">
        <v>0</v>
      </c>
      <c r="AH63" s="59"/>
      <c r="AI63" s="55" t="str">
        <f>IF(COUNT(AI60:AK60)=2,AI60/AK60,"Moy")</f>
        <v>Moy</v>
      </c>
      <c r="AJ63" s="56"/>
      <c r="AK63" s="56" t="s">
        <v>0</v>
      </c>
      <c r="AL63" s="59"/>
      <c r="AM63" s="55" t="str">
        <f>IF(COUNT(AM60:AO60)=2,AM60/AO60,"Moy")</f>
        <v>Moy</v>
      </c>
      <c r="AN63" s="56"/>
      <c r="AO63" s="56" t="s">
        <v>0</v>
      </c>
      <c r="AP63" s="59"/>
      <c r="AQ63" s="55" t="str">
        <f>IF(COUNT(AQ60:AS60)=2,AQ60/AS60,"Moy")</f>
        <v>Moy</v>
      </c>
      <c r="AR63" s="56"/>
      <c r="AS63" s="56" t="s">
        <v>0</v>
      </c>
      <c r="AT63" s="59"/>
      <c r="AU63" s="55" t="str">
        <f>IF(COUNT(AU60:AW60)=2,AU60/AW60,"Moy")</f>
        <v>Moy</v>
      </c>
      <c r="AV63" s="56"/>
      <c r="AW63" s="56" t="s">
        <v>0</v>
      </c>
      <c r="AX63" s="59"/>
      <c r="AY63" s="55" t="str">
        <f>IF(COUNT(AY60:BA60)=2,AY60/BA60,"Moy")</f>
        <v>Moy</v>
      </c>
      <c r="AZ63" s="56"/>
      <c r="BA63" s="56" t="s">
        <v>0</v>
      </c>
      <c r="BB63" s="59"/>
      <c r="BC63" s="55">
        <f>IF(COUNT(BC60:BE60)=2,BC60/BE60,"Moy")</f>
        <v>0.52631578947368418</v>
      </c>
      <c r="BD63" s="56"/>
      <c r="BE63" s="56">
        <v>3</v>
      </c>
      <c r="BF63" s="59"/>
      <c r="BG63" s="89"/>
      <c r="BH63" s="90"/>
      <c r="BI63" s="90"/>
      <c r="BJ63" s="91"/>
      <c r="BK63" s="55">
        <f>IF(COUNT(BK60:BM60)=2,BK60/BM60,"Moy")</f>
        <v>0.625</v>
      </c>
      <c r="BL63" s="56"/>
      <c r="BM63" s="56">
        <v>3</v>
      </c>
      <c r="BN63" s="59"/>
      <c r="BO63" s="55">
        <f>IF(COUNT(BO60:BQ60)=2,BO60/BQ60,"Moy")</f>
        <v>0.34146341463414637</v>
      </c>
      <c r="BP63" s="56"/>
      <c r="BQ63" s="56">
        <v>3</v>
      </c>
      <c r="BR63" s="59"/>
      <c r="BS63" s="55" t="str">
        <f>IF(COUNT(BS60:BU60)=2,BS60/BU60,"Moy")</f>
        <v>Moy</v>
      </c>
      <c r="BT63" s="56"/>
      <c r="BU63" s="56" t="s">
        <v>0</v>
      </c>
      <c r="BV63" s="59"/>
      <c r="BW63" s="55" t="str">
        <f>IF(COUNT(BW60:BY60)=2,BW60/BY60,"Moy")</f>
        <v>Moy</v>
      </c>
      <c r="BX63" s="56"/>
      <c r="BY63" s="56" t="s">
        <v>0</v>
      </c>
      <c r="BZ63" s="59"/>
      <c r="CA63" s="55" t="str">
        <f>IF(COUNT(CA60:CC60)=2,CA60/CC60,"Moy")</f>
        <v>Moy</v>
      </c>
      <c r="CB63" s="56"/>
      <c r="CC63" s="56" t="s">
        <v>0</v>
      </c>
      <c r="CD63" s="59"/>
      <c r="CE63" s="55" t="str">
        <f>IF(COUNT(CE60:CG60)=2,CE60/CG60,"Moy")</f>
        <v>Moy</v>
      </c>
      <c r="CF63" s="56"/>
      <c r="CG63" s="56" t="s">
        <v>0</v>
      </c>
      <c r="CH63" s="59"/>
      <c r="CI63" s="55">
        <f>IF(COUNT(CI60:CK60)=2,CI60/CK60,"Moy")</f>
        <v>0.33898305084745761</v>
      </c>
      <c r="CJ63" s="56"/>
      <c r="CK63" s="56">
        <v>3</v>
      </c>
      <c r="CL63" s="59"/>
      <c r="CM63" s="55" t="str">
        <f>IF(COUNT(CM60:CO60)=2,CM60/CO60,"Moy")</f>
        <v>Moy</v>
      </c>
      <c r="CN63" s="56"/>
      <c r="CO63" s="56" t="s">
        <v>0</v>
      </c>
      <c r="CP63" s="59"/>
      <c r="CQ63" s="22"/>
      <c r="CR63" s="8" t="s">
        <v>5</v>
      </c>
      <c r="CS63" s="17">
        <f>IF(CS60&gt;0,((N(C63)+N(G63)+N(K63)+N(O63)+N(S63)+N(W63)+N(AA63)+N(AE63)+N(AI63)+N(AM63)+N(AQ63)+N(AU63)+N(AY63)+N(BC63)+N(BG63)+N(BK63)+N(BO63)+N(BS63)+N(BW63)+N(CA63)+N(CE63)+N(CI63))+N(CM63))/CS60,0)</f>
        <v>0.41079689543550213</v>
      </c>
      <c r="CT63" s="61" t="s">
        <v>3</v>
      </c>
      <c r="CU63" s="62"/>
      <c r="CV63" s="18">
        <f>COUNTIF(C61:CN61,"Ex")</f>
        <v>0</v>
      </c>
      <c r="CW63" s="19">
        <f>IF(CS60&gt;0,CV63/CS60,0)</f>
        <v>0</v>
      </c>
    </row>
    <row r="64" spans="2:101" x14ac:dyDescent="0.25">
      <c r="B64" s="99" t="s">
        <v>46</v>
      </c>
      <c r="C64" s="47">
        <v>26</v>
      </c>
      <c r="D64" s="48"/>
      <c r="E64" s="49">
        <v>47</v>
      </c>
      <c r="F64" s="50"/>
      <c r="G64" s="47" t="s">
        <v>22</v>
      </c>
      <c r="H64" s="48"/>
      <c r="I64" s="49" t="s">
        <v>23</v>
      </c>
      <c r="J64" s="50"/>
      <c r="K64" s="47">
        <v>30</v>
      </c>
      <c r="L64" s="48"/>
      <c r="M64" s="49">
        <v>49</v>
      </c>
      <c r="N64" s="50"/>
      <c r="O64" s="47" t="s">
        <v>22</v>
      </c>
      <c r="P64" s="48"/>
      <c r="Q64" s="49" t="s">
        <v>23</v>
      </c>
      <c r="R64" s="50"/>
      <c r="S64" s="47">
        <v>27</v>
      </c>
      <c r="T64" s="48"/>
      <c r="U64" s="49">
        <v>50</v>
      </c>
      <c r="V64" s="50"/>
      <c r="W64" s="47" t="s">
        <v>22</v>
      </c>
      <c r="X64" s="48"/>
      <c r="Y64" s="49" t="s">
        <v>23</v>
      </c>
      <c r="Z64" s="50"/>
      <c r="AA64" s="47">
        <v>26</v>
      </c>
      <c r="AB64" s="48"/>
      <c r="AC64" s="49">
        <v>46</v>
      </c>
      <c r="AD64" s="50"/>
      <c r="AE64" s="47" t="s">
        <v>22</v>
      </c>
      <c r="AF64" s="48"/>
      <c r="AG64" s="49" t="s">
        <v>23</v>
      </c>
      <c r="AH64" s="50"/>
      <c r="AI64" s="47" t="s">
        <v>22</v>
      </c>
      <c r="AJ64" s="48"/>
      <c r="AK64" s="49" t="s">
        <v>23</v>
      </c>
      <c r="AL64" s="50"/>
      <c r="AM64" s="47">
        <v>28</v>
      </c>
      <c r="AN64" s="48"/>
      <c r="AO64" s="49">
        <v>41</v>
      </c>
      <c r="AP64" s="50"/>
      <c r="AQ64" s="47">
        <v>25</v>
      </c>
      <c r="AR64" s="48"/>
      <c r="AS64" s="49">
        <v>46</v>
      </c>
      <c r="AT64" s="50"/>
      <c r="AU64" s="47" t="s">
        <v>22</v>
      </c>
      <c r="AV64" s="48"/>
      <c r="AW64" s="49" t="s">
        <v>23</v>
      </c>
      <c r="AX64" s="50"/>
      <c r="AY64" s="47">
        <v>30</v>
      </c>
      <c r="AZ64" s="48"/>
      <c r="BA64" s="49">
        <v>32</v>
      </c>
      <c r="BB64" s="50"/>
      <c r="BC64" s="47">
        <v>23</v>
      </c>
      <c r="BD64" s="48"/>
      <c r="BE64" s="49">
        <v>48</v>
      </c>
      <c r="BF64" s="50"/>
      <c r="BG64" s="47">
        <v>27</v>
      </c>
      <c r="BH64" s="48"/>
      <c r="BI64" s="49">
        <v>32</v>
      </c>
      <c r="BJ64" s="50"/>
      <c r="BK64" s="83">
        <v>30</v>
      </c>
      <c r="BL64" s="84"/>
      <c r="BM64" s="84"/>
      <c r="BN64" s="85"/>
      <c r="BO64" s="47">
        <v>24</v>
      </c>
      <c r="BP64" s="48"/>
      <c r="BQ64" s="49">
        <v>43</v>
      </c>
      <c r="BR64" s="50"/>
      <c r="BS64" s="47">
        <v>30</v>
      </c>
      <c r="BT64" s="48"/>
      <c r="BU64" s="49">
        <v>60</v>
      </c>
      <c r="BV64" s="50"/>
      <c r="BW64" s="47" t="s">
        <v>22</v>
      </c>
      <c r="BX64" s="48"/>
      <c r="BY64" s="49" t="s">
        <v>23</v>
      </c>
      <c r="BZ64" s="50"/>
      <c r="CA64" s="47">
        <v>30</v>
      </c>
      <c r="CB64" s="48"/>
      <c r="CC64" s="49">
        <v>55</v>
      </c>
      <c r="CD64" s="50"/>
      <c r="CE64" s="47" t="s">
        <v>22</v>
      </c>
      <c r="CF64" s="48"/>
      <c r="CG64" s="49" t="s">
        <v>23</v>
      </c>
      <c r="CH64" s="50"/>
      <c r="CI64" s="47">
        <v>30</v>
      </c>
      <c r="CJ64" s="48"/>
      <c r="CK64" s="49">
        <v>29</v>
      </c>
      <c r="CL64" s="50"/>
      <c r="CM64" s="47" t="s">
        <v>22</v>
      </c>
      <c r="CN64" s="48"/>
      <c r="CO64" s="49" t="s">
        <v>23</v>
      </c>
      <c r="CP64" s="50"/>
      <c r="CQ64" s="23"/>
      <c r="CR64" s="7" t="s">
        <v>11</v>
      </c>
      <c r="CS64" s="14">
        <f>COUNTIF(C65:CN65,"G")+COUNTIF(C65:CN65,"Ex")+COUNTIF(C65:CN65,"P")</f>
        <v>13</v>
      </c>
      <c r="CT64" s="63" t="s">
        <v>1</v>
      </c>
      <c r="CU64" s="62"/>
      <c r="CV64" s="15">
        <f>COUNTIF(C65:CN65,"G")</f>
        <v>5</v>
      </c>
      <c r="CW64" s="16">
        <f>IF(CS64&gt;0,CV64/CS64,0)</f>
        <v>0.38461538461538464</v>
      </c>
    </row>
    <row r="65" spans="2:101" ht="8.25" customHeight="1" x14ac:dyDescent="0.25">
      <c r="B65" s="93"/>
      <c r="C65" s="9"/>
      <c r="D65" s="51" t="str">
        <f>IF(N(C64)&gt;0,IF(C64&lt;Handicap16, Perdu,IF(C64=Handicap16,IF(BK4=Handicap1,Exaequo,Gagne))),"")</f>
        <v>P</v>
      </c>
      <c r="E65" s="52"/>
      <c r="F65" s="46" t="str">
        <f>IF(N(BM4)&gt;0,IF(N(E64)=BM4,"-","Err"),"")</f>
        <v>-</v>
      </c>
      <c r="G65" s="9"/>
      <c r="H65" s="51" t="str">
        <f>IF(N(G64)&gt;0,IF(G64&lt;Handicap16, Perdu,IF(G64=Handicap16,IF(BK8=Handicap2,Exaequo,Gagne))),"")</f>
        <v/>
      </c>
      <c r="I65" s="52"/>
      <c r="J65" s="46" t="str">
        <f>IF(N(BM8)&gt;0,IF(N(I64)=BM8,"-","Err"),"")</f>
        <v/>
      </c>
      <c r="K65" s="9"/>
      <c r="L65" s="51" t="str">
        <f>IF(N(K64)&gt;0,IF(K64&lt;Handicap16, Perdu,IF(K64=Handicap16,IF(BK12=Handicap3,Exaequo,Gagne))),"")</f>
        <v>G</v>
      </c>
      <c r="M65" s="52"/>
      <c r="N65" s="46" t="str">
        <f>IF(N(BM12)&gt;0,IF(N(M64)=BM12,"-","Err"),"")</f>
        <v>-</v>
      </c>
      <c r="O65" s="9"/>
      <c r="P65" s="51" t="str">
        <f>IF(N(O64)&gt;0,IF(O64&lt;Handicap16, Perdu,IF(O64=Handicap16,IF(BK16=Handicap4,Exaequo,Gagne))),"")</f>
        <v/>
      </c>
      <c r="Q65" s="52"/>
      <c r="R65" s="46" t="str">
        <f>IF(N(BM16)&gt;0,IF(N(Q64)=BM16,"-","Err"),"")</f>
        <v/>
      </c>
      <c r="S65" s="9"/>
      <c r="T65" s="51" t="str">
        <f>IF(N(S64)&gt;0,IF(S64&lt;Handicap16, Perdu,IF(S64=Handicap16,IF(BK20=Handicap5,Exaequo,Gagne))),"")</f>
        <v>P</v>
      </c>
      <c r="U65" s="52"/>
      <c r="V65" s="46" t="str">
        <f>IF(N(BM20)&gt;0,IF(N(U64)=BM20,"-","Err"),"")</f>
        <v>-</v>
      </c>
      <c r="W65" s="9"/>
      <c r="X65" s="51" t="str">
        <f>IF(N(W64)&gt;0,IF(W64&lt;Handicap16, Perdu,IF(W64=Handicap16,IF(BK24=Handicap6,Exaequo,Gagne))),"")</f>
        <v/>
      </c>
      <c r="Y65" s="52"/>
      <c r="Z65" s="46" t="str">
        <f>IF(N(BM24)&gt;0,IF(N(Y64)=BM24,"-","Err"),"")</f>
        <v/>
      </c>
      <c r="AA65" s="9"/>
      <c r="AB65" s="51" t="str">
        <f>IF(N(AA64)&gt;0,IF(AA64&lt;Handicap16, Perdu,IF(AA64=Handicap16,IF(BK28=Handicap7,Exaequo,Gagne))),"")</f>
        <v>P</v>
      </c>
      <c r="AC65" s="52"/>
      <c r="AD65" s="46" t="str">
        <f>IF(N(BM28)&gt;0,IF(N(AC64)=BM28,"-","Err"),"")</f>
        <v>-</v>
      </c>
      <c r="AE65" s="9"/>
      <c r="AF65" s="51" t="str">
        <f>IF(N(AE64)&gt;0,IF(AE64&lt;Handicap16, Perdu,IF(AE64=Handicap16,IF(BK32=Handicap8,Exaequo,Gagne))),"")</f>
        <v/>
      </c>
      <c r="AG65" s="52"/>
      <c r="AH65" s="46" t="str">
        <f>IF(N(BM32)&gt;0,IF(N(AG64)=BM32,"-","Err"),"")</f>
        <v/>
      </c>
      <c r="AI65" s="9"/>
      <c r="AJ65" s="51" t="str">
        <f>IF(N(AI64)&gt;0,IF(AI64&lt;Handicap16, Perdu,IF(AI64=Handicap16,IF(BK36=Handicap9,Exaequo,Gagne))),"")</f>
        <v/>
      </c>
      <c r="AK65" s="52"/>
      <c r="AL65" s="46" t="str">
        <f>IF(N(BM36)&gt;0,IF(N(AK64)=BM36,"-","Err"),"")</f>
        <v/>
      </c>
      <c r="AM65" s="9"/>
      <c r="AN65" s="51" t="str">
        <f>IF(N(AM64)&gt;0,IF(AM64&lt;Handicap16, Perdu,IF(AM64=Handicap16,IF(BK40=Handicap10,Exaequo,Gagne))),"")</f>
        <v>P</v>
      </c>
      <c r="AO65" s="52"/>
      <c r="AP65" s="46" t="str">
        <f>IF(N(BM40)&gt;0,IF(N(AO64)=BM40,"-","Err"),"")</f>
        <v>-</v>
      </c>
      <c r="AQ65" s="9"/>
      <c r="AR65" s="51" t="str">
        <f>IF(N(AQ64)&gt;0,IF(AQ64&lt;Handicap16, Perdu,IF(AQ64=Handicap16,IF(BK44=Handicap11,Exaequo,Gagne))),"")</f>
        <v>P</v>
      </c>
      <c r="AS65" s="52"/>
      <c r="AT65" s="46" t="str">
        <f>IF(N(BM44)&gt;0,IF(N(AS64)=BM44,"-","Err"),"")</f>
        <v>-</v>
      </c>
      <c r="AU65" s="9"/>
      <c r="AV65" s="51" t="str">
        <f>IF(N(AU64)&gt;0,IF(AU64&lt;Handicap16, Perdu,IF(AU64=Handicap16,IF(BK48=Handicap12,Exaequo,Gagne))),"")</f>
        <v/>
      </c>
      <c r="AW65" s="52"/>
      <c r="AX65" s="46" t="str">
        <f>IF(N(BM48)&gt;0,IF(N(AW64)=BM48,"-","Err"),"")</f>
        <v/>
      </c>
      <c r="AY65" s="9"/>
      <c r="AZ65" s="51" t="str">
        <f>IF(N(AY64)&gt;0,IF(AY64&lt;Handicap16, Perdu,IF(AY64=Handicap16,IF(BK52=Handicap13,Exaequo,Gagne))),"")</f>
        <v>G</v>
      </c>
      <c r="BA65" s="52"/>
      <c r="BB65" s="46" t="str">
        <f>IF(N(BM52)&gt;0,IF(N(BA64)=BM52,"-","Err"),"")</f>
        <v>-</v>
      </c>
      <c r="BC65" s="9"/>
      <c r="BD65" s="51" t="str">
        <f>IF(N(BC64)&gt;0,IF(BC64&lt;Handicap16, Perdu,IF(BC64=Handicap16,IF(BK56=hANDICAP14,Exaequo,Gagne))),"")</f>
        <v>P</v>
      </c>
      <c r="BE65" s="52"/>
      <c r="BF65" s="46" t="str">
        <f>IF(N(BM56)&gt;0,IF(N(BE64)=BM56,"-","Err"),"")</f>
        <v>-</v>
      </c>
      <c r="BG65" s="9"/>
      <c r="BH65" s="51" t="str">
        <f>IF(N(BG64)&gt;0,IF(BG64&lt;Handicap16, Perdu,IF(BG64=Handicap16,IF(BK60=Handicap15,Exaequo,Gagne))),"")</f>
        <v>P</v>
      </c>
      <c r="BI65" s="52"/>
      <c r="BJ65" s="46" t="str">
        <f>IF(N(BM60)&gt;0,IF(N(BI64)=BM60,"-","Err"),"")</f>
        <v>-</v>
      </c>
      <c r="BK65" s="86"/>
      <c r="BL65" s="87"/>
      <c r="BM65" s="87"/>
      <c r="BN65" s="88"/>
      <c r="BO65" s="9"/>
      <c r="BP65" s="51" t="str">
        <f>IF(N(BO64)&gt;0,IF(BO64&lt;Handicap16, Perdu,IF(BO64=Handicap16,IF(BK68=Handicap17,Exaequo,Gagne))),"")</f>
        <v>P</v>
      </c>
      <c r="BQ65" s="52"/>
      <c r="BR65" s="46" t="str">
        <f>IF(N(BM68)&gt;0,IF(N(BQ64)=BM68,"-","Err"),"")</f>
        <v>-</v>
      </c>
      <c r="BS65" s="9"/>
      <c r="BT65" s="51" t="str">
        <f>IF(N(BS64)&gt;0,IF(BS64&lt;Handicap16, Perdu,IF(BS64=Handicap16,IF(BK72=Handicap18,Exaequo,Gagne))),"")</f>
        <v>G</v>
      </c>
      <c r="BU65" s="52"/>
      <c r="BV65" s="46" t="str">
        <f>IF(N(BM72)&gt;0,IF(N(BU64)=BM72,"-","Err"),"")</f>
        <v>-</v>
      </c>
      <c r="BW65" s="9"/>
      <c r="BX65" s="51" t="str">
        <f>IF(N(BW64)&gt;0,IF(BW64&lt;Handicap16, Perdu,IF(BW64=Handicap16,IF(BK76=Handicap19,Exaequo,Gagne))),"")</f>
        <v/>
      </c>
      <c r="BY65" s="52"/>
      <c r="BZ65" s="46" t="str">
        <f>IF(N(BM76)&gt;0,IF(N(BY64)=BM76,"-","Err"),"")</f>
        <v/>
      </c>
      <c r="CA65" s="9"/>
      <c r="CB65" s="51" t="str">
        <f>IF(N(CA64)&gt;0,IF(CA64&lt;Handicap16, Perdu,IF(CA64=Handicap16,IF(BK80=Handicap20,Exaequo,Gagne))),"")</f>
        <v>G</v>
      </c>
      <c r="CC65" s="52"/>
      <c r="CD65" s="46" t="str">
        <f>IF(N(BM80)&gt;0,IF(N(CC64)=BM80,"-","Err"),"")</f>
        <v>-</v>
      </c>
      <c r="CE65" s="9"/>
      <c r="CF65" s="51" t="str">
        <f>IF(N(CE64)&gt;0,IF(CE64&lt;Handicap16, Perdu,IF(CE64=Handicap16,IF(BK84=Handicap21,Exaequo,Gagne))),"")</f>
        <v/>
      </c>
      <c r="CG65" s="52"/>
      <c r="CH65" s="46" t="str">
        <f>IF(N(BM84)&gt;0,IF(N(CG64)=BM84,"-","Err"),"")</f>
        <v/>
      </c>
      <c r="CI65" s="9"/>
      <c r="CJ65" s="51" t="str">
        <f>IF(N(CI64)&gt;0,IF(CI64&lt;Handicap16, Perdu,IF(CI64=Handicap16,IF(BK88=Handicap22,Exaequo,Gagne))),"")</f>
        <v>G</v>
      </c>
      <c r="CK65" s="52"/>
      <c r="CL65" s="46" t="str">
        <f>IF(N(BM88)&gt;0,IF(N(CK64)=BM88,"-","Err"),"")</f>
        <v>-</v>
      </c>
      <c r="CM65" s="46" t="str">
        <f>IF(N(CM64)&gt;Handicap16,"Err","-")</f>
        <v>-</v>
      </c>
      <c r="CN65" s="51" t="str">
        <f>IF(N(CM64)&gt;0,IF(CM64&lt;Handicap16, Perdu,IF(CM64=Handicap16,IF(BK92=Handicap23,Exaequo,Gagne))),"")</f>
        <v/>
      </c>
      <c r="CO65" s="52"/>
      <c r="CP65" s="46" t="str">
        <f>IF(N(BM92)&gt;0,IF(N(CO64)=BM92,"-","Err"),"")</f>
        <v/>
      </c>
      <c r="CQ65" s="30"/>
      <c r="CR65" s="64" t="s">
        <v>6</v>
      </c>
      <c r="CS65" s="66">
        <f>(COUNTIF(C65:CP65,"G")*3)+(COUNTIF(C65:CP65,"Ex")*2)+COUNTIF(C65:CP65,"P")</f>
        <v>23</v>
      </c>
      <c r="CT65" s="68" t="s">
        <v>2</v>
      </c>
      <c r="CU65" s="69"/>
      <c r="CV65" s="72">
        <f>COUNTIF(C65:CN65,"P")</f>
        <v>8</v>
      </c>
      <c r="CW65" s="60">
        <f>IF(CS64&gt;0,CV65/CS64,0)</f>
        <v>0.61538461538461542</v>
      </c>
    </row>
    <row r="66" spans="2:101" ht="8.25" customHeight="1" x14ac:dyDescent="0.25">
      <c r="B66" s="93"/>
      <c r="C66" s="2"/>
      <c r="D66" s="53"/>
      <c r="E66" s="54"/>
      <c r="F66" s="46"/>
      <c r="G66" s="2"/>
      <c r="H66" s="53"/>
      <c r="I66" s="54"/>
      <c r="J66" s="46"/>
      <c r="K66" s="2"/>
      <c r="L66" s="53"/>
      <c r="M66" s="54"/>
      <c r="N66" s="46"/>
      <c r="O66" s="2"/>
      <c r="P66" s="53"/>
      <c r="Q66" s="54"/>
      <c r="R66" s="46"/>
      <c r="S66" s="2"/>
      <c r="T66" s="53"/>
      <c r="U66" s="54"/>
      <c r="V66" s="46"/>
      <c r="W66" s="2"/>
      <c r="X66" s="53"/>
      <c r="Y66" s="54"/>
      <c r="Z66" s="46"/>
      <c r="AA66" s="2"/>
      <c r="AB66" s="53"/>
      <c r="AC66" s="54"/>
      <c r="AD66" s="46"/>
      <c r="AE66" s="2"/>
      <c r="AF66" s="53"/>
      <c r="AG66" s="54"/>
      <c r="AH66" s="46"/>
      <c r="AI66" s="2"/>
      <c r="AJ66" s="53"/>
      <c r="AK66" s="54"/>
      <c r="AL66" s="46"/>
      <c r="AM66" s="2"/>
      <c r="AN66" s="53"/>
      <c r="AO66" s="54"/>
      <c r="AP66" s="46"/>
      <c r="AQ66" s="2"/>
      <c r="AR66" s="53"/>
      <c r="AS66" s="54"/>
      <c r="AT66" s="46"/>
      <c r="AU66" s="2"/>
      <c r="AV66" s="53"/>
      <c r="AW66" s="54"/>
      <c r="AX66" s="46"/>
      <c r="AY66" s="2"/>
      <c r="AZ66" s="53"/>
      <c r="BA66" s="54"/>
      <c r="BB66" s="46"/>
      <c r="BC66" s="2"/>
      <c r="BD66" s="53"/>
      <c r="BE66" s="54"/>
      <c r="BF66" s="46"/>
      <c r="BG66" s="2"/>
      <c r="BH66" s="53"/>
      <c r="BI66" s="54"/>
      <c r="BJ66" s="46"/>
      <c r="BK66" s="86"/>
      <c r="BL66" s="87"/>
      <c r="BM66" s="87"/>
      <c r="BN66" s="88"/>
      <c r="BO66" s="2"/>
      <c r="BP66" s="53"/>
      <c r="BQ66" s="54"/>
      <c r="BR66" s="46"/>
      <c r="BS66" s="2"/>
      <c r="BT66" s="53"/>
      <c r="BU66" s="54"/>
      <c r="BV66" s="46"/>
      <c r="BW66" s="2"/>
      <c r="BX66" s="53"/>
      <c r="BY66" s="54"/>
      <c r="BZ66" s="46"/>
      <c r="CA66" s="2"/>
      <c r="CB66" s="53"/>
      <c r="CC66" s="54"/>
      <c r="CD66" s="46"/>
      <c r="CE66" s="2"/>
      <c r="CF66" s="53"/>
      <c r="CG66" s="54"/>
      <c r="CH66" s="46"/>
      <c r="CI66" s="2"/>
      <c r="CJ66" s="53"/>
      <c r="CK66" s="54"/>
      <c r="CL66" s="46"/>
      <c r="CM66" s="46"/>
      <c r="CN66" s="53"/>
      <c r="CO66" s="54"/>
      <c r="CP66" s="46"/>
      <c r="CQ66" s="30"/>
      <c r="CR66" s="65"/>
      <c r="CS66" s="67"/>
      <c r="CT66" s="70"/>
      <c r="CU66" s="71"/>
      <c r="CV66" s="72"/>
      <c r="CW66" s="60"/>
    </row>
    <row r="67" spans="2:101" x14ac:dyDescent="0.25">
      <c r="B67" s="94"/>
      <c r="C67" s="55">
        <f>IF(COUNT(C64:E64)=2,C64/E64,"Moy")</f>
        <v>0.55319148936170215</v>
      </c>
      <c r="D67" s="56"/>
      <c r="E67" s="56">
        <v>3</v>
      </c>
      <c r="F67" s="59"/>
      <c r="G67" s="55" t="str">
        <f>IF(COUNT(G64:I64)=2,G64/I64,"Moy")</f>
        <v>Moy</v>
      </c>
      <c r="H67" s="56"/>
      <c r="I67" s="56" t="s">
        <v>0</v>
      </c>
      <c r="J67" s="59"/>
      <c r="K67" s="55">
        <f>IF(COUNT(K64:M64)=2,K64/M64,"Moy")</f>
        <v>0.61224489795918369</v>
      </c>
      <c r="L67" s="56"/>
      <c r="M67" s="56">
        <v>5</v>
      </c>
      <c r="N67" s="59"/>
      <c r="O67" s="55" t="str">
        <f>IF(COUNT(O64:Q64)=2,O64/Q64,"Moy")</f>
        <v>Moy</v>
      </c>
      <c r="P67" s="56"/>
      <c r="Q67" s="56" t="s">
        <v>0</v>
      </c>
      <c r="R67" s="59"/>
      <c r="S67" s="55">
        <f>IF(COUNT(S64:U64)=2,S64/U64,"Moy")</f>
        <v>0.54</v>
      </c>
      <c r="T67" s="56"/>
      <c r="U67" s="56">
        <v>5</v>
      </c>
      <c r="V67" s="59"/>
      <c r="W67" s="55" t="str">
        <f>IF(COUNT(W64:Y64)=2,W64/Y64,"Moy")</f>
        <v>Moy</v>
      </c>
      <c r="X67" s="56"/>
      <c r="Y67" s="56" t="s">
        <v>0</v>
      </c>
      <c r="Z67" s="59"/>
      <c r="AA67" s="55">
        <f>IF(COUNT(AA64:AC64)=2,AA64/AC64,"Moy")</f>
        <v>0.56521739130434778</v>
      </c>
      <c r="AB67" s="56"/>
      <c r="AC67" s="56">
        <v>4</v>
      </c>
      <c r="AD67" s="59"/>
      <c r="AE67" s="55" t="str">
        <f>IF(COUNT(AE64:AG64)=2,AE64/AG64,"Moy")</f>
        <v>Moy</v>
      </c>
      <c r="AF67" s="56"/>
      <c r="AG67" s="56" t="s">
        <v>0</v>
      </c>
      <c r="AH67" s="59"/>
      <c r="AI67" s="55" t="str">
        <f>IF(COUNT(AI64:AK64)=2,AI64/AK64,"Moy")</f>
        <v>Moy</v>
      </c>
      <c r="AJ67" s="56"/>
      <c r="AK67" s="56" t="s">
        <v>0</v>
      </c>
      <c r="AL67" s="59"/>
      <c r="AM67" s="55">
        <f>IF(COUNT(AM64:AO64)=2,AM64/AO64,"Moy")</f>
        <v>0.68292682926829273</v>
      </c>
      <c r="AN67" s="56"/>
      <c r="AO67" s="56">
        <v>3</v>
      </c>
      <c r="AP67" s="59"/>
      <c r="AQ67" s="55">
        <f>IF(COUNT(AQ64:AS64)=2,AQ64/AS64,"Moy")</f>
        <v>0.54347826086956519</v>
      </c>
      <c r="AR67" s="56"/>
      <c r="AS67" s="56">
        <v>3</v>
      </c>
      <c r="AT67" s="59"/>
      <c r="AU67" s="55" t="str">
        <f>IF(COUNT(AU64:AW64)=2,AU64/AW64,"Moy")</f>
        <v>Moy</v>
      </c>
      <c r="AV67" s="56"/>
      <c r="AW67" s="56" t="s">
        <v>0</v>
      </c>
      <c r="AX67" s="59"/>
      <c r="AY67" s="55">
        <f>IF(COUNT(AY64:BA64)=2,AY64/BA64,"Moy")</f>
        <v>0.9375</v>
      </c>
      <c r="AZ67" s="56"/>
      <c r="BA67" s="56">
        <v>4</v>
      </c>
      <c r="BB67" s="59"/>
      <c r="BC67" s="55">
        <f>IF(COUNT(BC64:BE64)=2,BC64/BE64,"Moy")</f>
        <v>0.47916666666666669</v>
      </c>
      <c r="BD67" s="56"/>
      <c r="BE67" s="56">
        <v>3</v>
      </c>
      <c r="BF67" s="59"/>
      <c r="BG67" s="55">
        <f>IF(COUNT(BG64:BI64)=2,BG64/BI64,"Moy")</f>
        <v>0.84375</v>
      </c>
      <c r="BH67" s="56"/>
      <c r="BI67" s="56">
        <v>4</v>
      </c>
      <c r="BJ67" s="59"/>
      <c r="BK67" s="89"/>
      <c r="BL67" s="90"/>
      <c r="BM67" s="90"/>
      <c r="BN67" s="91"/>
      <c r="BO67" s="55">
        <f>IF(COUNT(BO64:BQ64)=2,BO64/BQ64,"Moy")</f>
        <v>0.55813953488372092</v>
      </c>
      <c r="BP67" s="56"/>
      <c r="BQ67" s="56">
        <v>3</v>
      </c>
      <c r="BR67" s="59"/>
      <c r="BS67" s="55">
        <f>IF(COUNT(BS64:BU64)=2,BS64/BU64,"Moy")</f>
        <v>0.5</v>
      </c>
      <c r="BT67" s="56"/>
      <c r="BU67" s="56">
        <v>3</v>
      </c>
      <c r="BV67" s="59"/>
      <c r="BW67" s="55" t="str">
        <f>IF(COUNT(BW64:BY64)=2,BW64/BY64,"Moy")</f>
        <v>Moy</v>
      </c>
      <c r="BX67" s="56"/>
      <c r="BY67" s="56" t="s">
        <v>0</v>
      </c>
      <c r="BZ67" s="59"/>
      <c r="CA67" s="55">
        <f>IF(COUNT(CA64:CC64)=2,CA64/CC64,"Moy")</f>
        <v>0.54545454545454541</v>
      </c>
      <c r="CB67" s="56"/>
      <c r="CC67" s="56">
        <v>4</v>
      </c>
      <c r="CD67" s="59"/>
      <c r="CE67" s="55" t="str">
        <f>IF(COUNT(CE64:CG64)=2,CE64/CG64,"Moy")</f>
        <v>Moy</v>
      </c>
      <c r="CF67" s="56"/>
      <c r="CG67" s="56" t="s">
        <v>0</v>
      </c>
      <c r="CH67" s="59"/>
      <c r="CI67" s="55">
        <f>IF(COUNT(CI64:CK64)=2,CI64/CK64,"Moy")</f>
        <v>1.0344827586206897</v>
      </c>
      <c r="CJ67" s="56"/>
      <c r="CK67" s="56">
        <v>5</v>
      </c>
      <c r="CL67" s="59"/>
      <c r="CM67" s="55" t="str">
        <f>IF(COUNT(CM64:CO64)=2,CM64/CO64,"Moy")</f>
        <v>Moy</v>
      </c>
      <c r="CN67" s="56"/>
      <c r="CO67" s="56" t="s">
        <v>0</v>
      </c>
      <c r="CP67" s="59"/>
      <c r="CQ67" s="22"/>
      <c r="CR67" s="8" t="s">
        <v>5</v>
      </c>
      <c r="CS67" s="17">
        <f>IF(CS64&gt;0,((N(C67)+N(G67)+N(K67)+N(O67)+N(S67)+N(W67)+N(AA67)+N(AE67)+N(AI67)+N(AM67)+N(AQ67)+N(AU67)+N(AY67)+N(BC67)+N(BG67)+N(BK67)+N(BO67)+N(BS67)+N(BW67)+N(CA67)+N(CE67)+N(CI67))+N(CM67))/CS64,0)</f>
        <v>0.64581172110682428</v>
      </c>
      <c r="CT67" s="61" t="s">
        <v>3</v>
      </c>
      <c r="CU67" s="62"/>
      <c r="CV67" s="18">
        <f>COUNTIF(C65:CN65,"Ex")</f>
        <v>0</v>
      </c>
      <c r="CW67" s="19">
        <f>IF(CS64&gt;0,CV67/CS64,0)</f>
        <v>0</v>
      </c>
    </row>
    <row r="68" spans="2:101" x14ac:dyDescent="0.25">
      <c r="B68" s="100" t="s">
        <v>47</v>
      </c>
      <c r="C68" s="47">
        <v>30</v>
      </c>
      <c r="D68" s="48"/>
      <c r="E68" s="49">
        <v>30</v>
      </c>
      <c r="F68" s="50"/>
      <c r="G68" s="47" t="s">
        <v>22</v>
      </c>
      <c r="H68" s="48"/>
      <c r="I68" s="49" t="s">
        <v>23</v>
      </c>
      <c r="J68" s="50"/>
      <c r="K68" s="47">
        <v>30</v>
      </c>
      <c r="L68" s="48"/>
      <c r="M68" s="49">
        <v>42</v>
      </c>
      <c r="N68" s="50"/>
      <c r="O68" s="47" t="s">
        <v>22</v>
      </c>
      <c r="P68" s="48"/>
      <c r="Q68" s="49" t="s">
        <v>23</v>
      </c>
      <c r="R68" s="50"/>
      <c r="S68" s="47">
        <v>30</v>
      </c>
      <c r="T68" s="48"/>
      <c r="U68" s="49">
        <v>34</v>
      </c>
      <c r="V68" s="50"/>
      <c r="W68" s="47" t="s">
        <v>22</v>
      </c>
      <c r="X68" s="48"/>
      <c r="Y68" s="49" t="s">
        <v>23</v>
      </c>
      <c r="Z68" s="50"/>
      <c r="AA68" s="47">
        <v>23</v>
      </c>
      <c r="AB68" s="48"/>
      <c r="AC68" s="49">
        <v>26</v>
      </c>
      <c r="AD68" s="50"/>
      <c r="AE68" s="47">
        <v>30</v>
      </c>
      <c r="AF68" s="48"/>
      <c r="AG68" s="49">
        <v>22</v>
      </c>
      <c r="AH68" s="50"/>
      <c r="AI68" s="47">
        <v>7</v>
      </c>
      <c r="AJ68" s="48"/>
      <c r="AK68" s="49">
        <v>15</v>
      </c>
      <c r="AL68" s="50"/>
      <c r="AM68" s="47">
        <v>30</v>
      </c>
      <c r="AN68" s="48"/>
      <c r="AO68" s="49">
        <v>39</v>
      </c>
      <c r="AP68" s="50"/>
      <c r="AQ68" s="47">
        <v>30</v>
      </c>
      <c r="AR68" s="48"/>
      <c r="AS68" s="49">
        <v>29</v>
      </c>
      <c r="AT68" s="50"/>
      <c r="AU68" s="47" t="s">
        <v>22</v>
      </c>
      <c r="AV68" s="48"/>
      <c r="AW68" s="49" t="s">
        <v>23</v>
      </c>
      <c r="AX68" s="50"/>
      <c r="AY68" s="47" t="s">
        <v>22</v>
      </c>
      <c r="AZ68" s="48"/>
      <c r="BA68" s="49" t="s">
        <v>23</v>
      </c>
      <c r="BB68" s="50"/>
      <c r="BC68" s="47" t="s">
        <v>22</v>
      </c>
      <c r="BD68" s="48"/>
      <c r="BE68" s="49" t="s">
        <v>23</v>
      </c>
      <c r="BF68" s="50"/>
      <c r="BG68" s="47">
        <v>30</v>
      </c>
      <c r="BH68" s="48"/>
      <c r="BI68" s="49">
        <v>41</v>
      </c>
      <c r="BJ68" s="50"/>
      <c r="BK68" s="47">
        <v>30</v>
      </c>
      <c r="BL68" s="48"/>
      <c r="BM68" s="49">
        <v>43</v>
      </c>
      <c r="BN68" s="50"/>
      <c r="BO68" s="83">
        <v>30</v>
      </c>
      <c r="BP68" s="84"/>
      <c r="BQ68" s="84"/>
      <c r="BR68" s="85"/>
      <c r="BS68" s="47">
        <v>30</v>
      </c>
      <c r="BT68" s="48"/>
      <c r="BU68" s="49">
        <v>58</v>
      </c>
      <c r="BV68" s="50"/>
      <c r="BW68" s="47" t="s">
        <v>22</v>
      </c>
      <c r="BX68" s="48"/>
      <c r="BY68" s="49" t="s">
        <v>23</v>
      </c>
      <c r="BZ68" s="50"/>
      <c r="CA68" s="47" t="s">
        <v>22</v>
      </c>
      <c r="CB68" s="48"/>
      <c r="CC68" s="49" t="s">
        <v>23</v>
      </c>
      <c r="CD68" s="50"/>
      <c r="CE68" s="47" t="s">
        <v>22</v>
      </c>
      <c r="CF68" s="48"/>
      <c r="CG68" s="49" t="s">
        <v>23</v>
      </c>
      <c r="CH68" s="50"/>
      <c r="CI68" s="47">
        <v>30</v>
      </c>
      <c r="CJ68" s="48"/>
      <c r="CK68" s="49">
        <v>18</v>
      </c>
      <c r="CL68" s="50"/>
      <c r="CM68" s="47" t="s">
        <v>22</v>
      </c>
      <c r="CN68" s="48"/>
      <c r="CO68" s="49" t="s">
        <v>23</v>
      </c>
      <c r="CP68" s="50"/>
      <c r="CQ68" s="23"/>
      <c r="CR68" s="7" t="s">
        <v>11</v>
      </c>
      <c r="CS68" s="14">
        <f>COUNTIF(C69:CN69,"G")+COUNTIF(C69:CN69,"Ex")+COUNTIF(C69:CN69,"P")</f>
        <v>12</v>
      </c>
      <c r="CT68" s="63" t="s">
        <v>1</v>
      </c>
      <c r="CU68" s="62"/>
      <c r="CV68" s="15">
        <f>COUNTIF(C69:CN69,"G")</f>
        <v>10</v>
      </c>
      <c r="CW68" s="16">
        <f>IF(CS68&gt;0,CV68/CS68,0)</f>
        <v>0.83333333333333337</v>
      </c>
    </row>
    <row r="69" spans="2:101" ht="8.25" customHeight="1" x14ac:dyDescent="0.25">
      <c r="B69" s="81"/>
      <c r="C69" s="9"/>
      <c r="D69" s="51" t="str">
        <f>IF(N(C68)&gt;0,IF(C68&lt;Handicap17, Perdu,IF(C68=Handicap17,IF(BO4=Handicap1,Exaequo,Gagne))),"")</f>
        <v>G</v>
      </c>
      <c r="E69" s="52"/>
      <c r="F69" s="46" t="str">
        <f>IF(N(BQ4)&gt;0,IF(N(E68)=BQ4,"-","Err"),"")</f>
        <v>-</v>
      </c>
      <c r="G69" s="9"/>
      <c r="H69" s="51" t="str">
        <f>IF(N(G68)&gt;0,IF(G68&lt;Handicap17, Perdu,IF(G68=Handicap17,IF(BO8=Handicap2,Exaequo,Gagne))),"")</f>
        <v/>
      </c>
      <c r="I69" s="52"/>
      <c r="J69" s="46" t="str">
        <f>IF(N(BQ8)&gt;0,IF(N(I68)=BQ8,"-","Err"),"")</f>
        <v/>
      </c>
      <c r="K69" s="9"/>
      <c r="L69" s="51" t="str">
        <f>IF(N(K68)&gt;0,IF(K68&lt;Handicap17, Perdu,IF(K68=Handicap17,IF(BO12=Handicap3,Exaequo,Gagne))),"")</f>
        <v>G</v>
      </c>
      <c r="M69" s="52"/>
      <c r="N69" s="46" t="str">
        <f>IF(N(BQ12)&gt;0,IF(N(M68)=BQ12,"-","Err"),"")</f>
        <v>-</v>
      </c>
      <c r="O69" s="9"/>
      <c r="P69" s="51" t="str">
        <f>IF(N(O68)&gt;0,IF(O68&lt;Handicap17, Perdu,IF(O68=Handicap17,IF(BO16=Handicap4,Exaequo,Gagne))),"")</f>
        <v/>
      </c>
      <c r="Q69" s="52"/>
      <c r="R69" s="46" t="str">
        <f>IF(N(BQ16)&gt;0,IF(N(Q68)=BQ16,"-","Err"),"")</f>
        <v/>
      </c>
      <c r="S69" s="9"/>
      <c r="T69" s="51" t="str">
        <f>IF(N(S68)&gt;0,IF(S68&lt;Handicap17, Perdu,IF(S68=Handicap17,IF(BO20=Handicap5,Exaequo,Gagne))),"")</f>
        <v>G</v>
      </c>
      <c r="U69" s="52"/>
      <c r="V69" s="46" t="str">
        <f>IF(N(BQ20)&gt;0,IF(N(U68)=BQ20,"-","Err"),"")</f>
        <v>-</v>
      </c>
      <c r="W69" s="9"/>
      <c r="X69" s="51" t="str">
        <f>IF(N(W68)&gt;0,IF(W68&lt;Handicap17, Perdu,IF(W68=Handicap17,IF(BO24=Handicap6,Exaequo,Gagne))),"")</f>
        <v/>
      </c>
      <c r="Y69" s="52"/>
      <c r="Z69" s="46" t="str">
        <f>IF(N(BQ24)&gt;0,IF(N(Y68)=BQ24,"-","Err"),"")</f>
        <v/>
      </c>
      <c r="AA69" s="9"/>
      <c r="AB69" s="51" t="str">
        <f>IF(N(AA68)&gt;0,IF(AA68&lt;Handicap17, Perdu,IF(AA68=Handicap17,IF(BO28=Handicap7,Exaequo,Gagne))),"")</f>
        <v>P</v>
      </c>
      <c r="AC69" s="52"/>
      <c r="AD69" s="46" t="str">
        <f>IF(N(BQ28)&gt;0,IF(N(AC68)=BQ28,"-","Err"),"")</f>
        <v>-</v>
      </c>
      <c r="AE69" s="9"/>
      <c r="AF69" s="51" t="str">
        <f>IF(N(AE68)&gt;0,IF(AE68&lt;Handicap17, Perdu,IF(AE68=Handicap17,IF(BO32=Handicap8,Exaequo,Gagne))),"")</f>
        <v>G</v>
      </c>
      <c r="AG69" s="52"/>
      <c r="AH69" s="46" t="str">
        <f>IF(N(BQ32)&gt;0,IF(N(AG68)=BQ32,"-","Err"),"")</f>
        <v>-</v>
      </c>
      <c r="AI69" s="9"/>
      <c r="AJ69" s="51" t="str">
        <f>IF(N(AI68)&gt;0,IF(AI68&lt;Handicap17, Perdu,IF(AI68=Handicap17,IF(BO36=Handicap9,Exaequo,Gagne))),"")</f>
        <v>P</v>
      </c>
      <c r="AK69" s="52"/>
      <c r="AL69" s="46" t="str">
        <f>IF(N(BQ36)&gt;0,IF(N(AK68)=BQ36,"-","Err"),"")</f>
        <v>-</v>
      </c>
      <c r="AM69" s="9"/>
      <c r="AN69" s="51" t="str">
        <f>IF(N(AM68)&gt;0,IF(AM68&lt;Handicap17, Perdu,IF(AM68=Handicap17,IF(BO40=Handicap10,Exaequo,Gagne))),"")</f>
        <v>G</v>
      </c>
      <c r="AO69" s="52"/>
      <c r="AP69" s="46" t="str">
        <f>IF(N(BQ40)&gt;0,IF(N(AO68)=BQ40,"-","Err"),"")</f>
        <v>-</v>
      </c>
      <c r="AQ69" s="9"/>
      <c r="AR69" s="51" t="str">
        <f>IF(N(AQ68)&gt;0,IF(AQ68&lt;Handicap17, Perdu,IF(AQ68=Handicap17,IF(BO44=Handicap11,Exaequo,Gagne))),"")</f>
        <v>G</v>
      </c>
      <c r="AS69" s="52"/>
      <c r="AT69" s="46" t="str">
        <f>IF(N(BQ44)&gt;0,IF(N(AS68)=BQ44,"-","Err"),"")</f>
        <v>-</v>
      </c>
      <c r="AU69" s="9"/>
      <c r="AV69" s="51" t="str">
        <f>IF(N(AU68)&gt;0,IF(AU68&lt;Handicap17, Perdu,IF(AU68=Handicap17,IF(BO48=Handicap12,Exaequo,Gagne))),"")</f>
        <v/>
      </c>
      <c r="AW69" s="52"/>
      <c r="AX69" s="46" t="str">
        <f>IF(N(BQ48)&gt;0,IF(N(AW68)=BQ48,"-","Err"),"")</f>
        <v/>
      </c>
      <c r="AY69" s="9"/>
      <c r="AZ69" s="51" t="str">
        <f>IF(N(AY68)&gt;0,IF(AY68&lt;Handicap17, Perdu,IF(AY68=Handicap17,IF(BO52=Handicap13,Exaequo,Gagne))),"")</f>
        <v/>
      </c>
      <c r="BA69" s="52"/>
      <c r="BB69" s="46" t="str">
        <f>IF(N(BQ52)&gt;0,IF(N(BA68)=BQ52,"-","Err"),"")</f>
        <v/>
      </c>
      <c r="BC69" s="9"/>
      <c r="BD69" s="51" t="str">
        <f>IF(N(BC68)&gt;0,IF(BC68&lt;Handicap17, Perdu,IF(BC68=Handicap17,IF(BO56=hANDICAP14,Exaequo,Gagne))),"")</f>
        <v/>
      </c>
      <c r="BE69" s="52"/>
      <c r="BF69" s="46" t="str">
        <f>IF(N(BQ56)&gt;0,IF(N(BE68)=BQ56,"-","Err"),"")</f>
        <v/>
      </c>
      <c r="BG69" s="9"/>
      <c r="BH69" s="51" t="str">
        <f>IF(N(BG68)&gt;0,IF(BG68&lt;Handicap17, Perdu,IF(BG68=Handicap17,IF(BO60=Handicap15,Exaequo,Gagne))),"")</f>
        <v>G</v>
      </c>
      <c r="BI69" s="52"/>
      <c r="BJ69" s="46" t="str">
        <f>IF(N(BQ60)&gt;0,IF(N(BI68)=BQ60,"-","Err"),"")</f>
        <v>-</v>
      </c>
      <c r="BK69" s="9"/>
      <c r="BL69" s="51" t="str">
        <f>IF(N(BK68)&gt;0,IF(BK68&lt;Handicap17, Perdu,IF(BK68=Handicap17,IF(BO64=Handicap16,Exaequo,Gagne))),"")</f>
        <v>G</v>
      </c>
      <c r="BM69" s="52"/>
      <c r="BN69" s="46" t="str">
        <f>IF(N(BQ64)&gt;0,IF(N(BM68)=BQ64,"-","Err"),"")</f>
        <v>-</v>
      </c>
      <c r="BO69" s="86"/>
      <c r="BP69" s="87"/>
      <c r="BQ69" s="87"/>
      <c r="BR69" s="88"/>
      <c r="BS69" s="9"/>
      <c r="BT69" s="51" t="str">
        <f>IF(N(BS68)&gt;0,IF(BS68&lt;Handicap17, Perdu,IF(BS68=Handicap17,IF(BO72=Handicap18,Exaequo,Gagne))),"")</f>
        <v>G</v>
      </c>
      <c r="BU69" s="52"/>
      <c r="BV69" s="46" t="str">
        <f>IF(N(BQ72)&gt;0,IF(N(BU68)=BQ72,"-","Err"),"")</f>
        <v>-</v>
      </c>
      <c r="BW69" s="9"/>
      <c r="BX69" s="51" t="str">
        <f>IF(N(BW68)&gt;0,IF(BW68&lt;Handicap17, Perdu,IF(BW68=Handicap17,IF(BO76=Handicap19,Exaequo,Gagne))),"")</f>
        <v/>
      </c>
      <c r="BY69" s="52"/>
      <c r="BZ69" s="46" t="str">
        <f>IF(N(BQ76)&gt;0,IF(N(BY68)=BQ76,"-","Err"),"")</f>
        <v/>
      </c>
      <c r="CA69" s="9"/>
      <c r="CB69" s="51" t="str">
        <f>IF(N(CA68)&gt;0,IF(CA68&lt;Handicap17, Perdu,IF(CA68=Handicap17,IF(BO80=Handicap20,Exaequo,Gagne))),"")</f>
        <v/>
      </c>
      <c r="CC69" s="52"/>
      <c r="CD69" s="46" t="str">
        <f>IF(N(BQ80)&gt;0,IF(N(CC68)=BQ80,"-","Err"),"")</f>
        <v/>
      </c>
      <c r="CE69" s="9"/>
      <c r="CF69" s="51" t="str">
        <f>IF(N(CE68)&gt;0,IF(CE68&lt;Handicap17, Perdu,IF(CE68=Handicap17,IF(BO84=Handicap21,Exaequo,Gagne))),"")</f>
        <v/>
      </c>
      <c r="CG69" s="52"/>
      <c r="CH69" s="46" t="str">
        <f>IF(N(BQ84)&gt;0,IF(N(CG68)=BQ84,"-","Err"),"")</f>
        <v/>
      </c>
      <c r="CI69" s="9"/>
      <c r="CJ69" s="51" t="str">
        <f>IF(N(CI68)&gt;0,IF(CI68&lt;Handicap17, Perdu,IF(CI68=Handicap17,IF(BO88=Handicap22,Exaequo,Gagne))),"")</f>
        <v>G</v>
      </c>
      <c r="CK69" s="52"/>
      <c r="CL69" s="46" t="str">
        <f>IF(N(BQ88)&gt;0,IF(N(CK68)=BQ88,"-","Err"),"")</f>
        <v>-</v>
      </c>
      <c r="CM69" s="46" t="str">
        <f>IF(N(CM68)&gt;Handicap17,"Err","-")</f>
        <v>-</v>
      </c>
      <c r="CN69" s="51" t="str">
        <f>IF(N(CM68)&gt;0,IF(CM68&lt;Handicap17, Perdu,IF(CM68=Handicap17,IF(BO92=Handicap23,Exaequo,Gagne))),"")</f>
        <v/>
      </c>
      <c r="CO69" s="52"/>
      <c r="CP69" s="46" t="str">
        <f>IF(N(BQ92)&gt;0,IF(N(CO68)=BQ92,"-","Err"),"")</f>
        <v/>
      </c>
      <c r="CQ69" s="30"/>
      <c r="CR69" s="64" t="s">
        <v>6</v>
      </c>
      <c r="CS69" s="66">
        <f>(COUNTIF(C69:CP69,"G")*3)+(COUNTIF(C69:CP69,"Ex")*2)+COUNTIF(C69:CP69,"P")</f>
        <v>32</v>
      </c>
      <c r="CT69" s="68" t="s">
        <v>2</v>
      </c>
      <c r="CU69" s="69"/>
      <c r="CV69" s="72">
        <f>COUNTIF(C69:CN69,"P")</f>
        <v>2</v>
      </c>
      <c r="CW69" s="60">
        <f>IF(CS68&gt;0,CV69/CS68,0)</f>
        <v>0.16666666666666666</v>
      </c>
    </row>
    <row r="70" spans="2:101" ht="8.25" customHeight="1" x14ac:dyDescent="0.25">
      <c r="B70" s="81"/>
      <c r="C70" s="2"/>
      <c r="D70" s="53"/>
      <c r="E70" s="54"/>
      <c r="F70" s="46"/>
      <c r="G70" s="2"/>
      <c r="H70" s="53"/>
      <c r="I70" s="54"/>
      <c r="J70" s="46"/>
      <c r="K70" s="2"/>
      <c r="L70" s="53"/>
      <c r="M70" s="54"/>
      <c r="N70" s="46"/>
      <c r="O70" s="2"/>
      <c r="P70" s="53"/>
      <c r="Q70" s="54"/>
      <c r="R70" s="46"/>
      <c r="S70" s="2"/>
      <c r="T70" s="53"/>
      <c r="U70" s="54"/>
      <c r="V70" s="46"/>
      <c r="W70" s="2"/>
      <c r="X70" s="53"/>
      <c r="Y70" s="54"/>
      <c r="Z70" s="46"/>
      <c r="AA70" s="2"/>
      <c r="AB70" s="53"/>
      <c r="AC70" s="54"/>
      <c r="AD70" s="46"/>
      <c r="AE70" s="2"/>
      <c r="AF70" s="53"/>
      <c r="AG70" s="54"/>
      <c r="AH70" s="46"/>
      <c r="AI70" s="2"/>
      <c r="AJ70" s="53"/>
      <c r="AK70" s="54"/>
      <c r="AL70" s="46"/>
      <c r="AM70" s="2"/>
      <c r="AN70" s="53"/>
      <c r="AO70" s="54"/>
      <c r="AP70" s="46"/>
      <c r="AQ70" s="2"/>
      <c r="AR70" s="53"/>
      <c r="AS70" s="54"/>
      <c r="AT70" s="46"/>
      <c r="AU70" s="2"/>
      <c r="AV70" s="53"/>
      <c r="AW70" s="54"/>
      <c r="AX70" s="46"/>
      <c r="AY70" s="2"/>
      <c r="AZ70" s="53"/>
      <c r="BA70" s="54"/>
      <c r="BB70" s="46"/>
      <c r="BC70" s="2"/>
      <c r="BD70" s="53"/>
      <c r="BE70" s="54"/>
      <c r="BF70" s="46"/>
      <c r="BG70" s="2"/>
      <c r="BH70" s="53"/>
      <c r="BI70" s="54"/>
      <c r="BJ70" s="46"/>
      <c r="BK70" s="2"/>
      <c r="BL70" s="53"/>
      <c r="BM70" s="54"/>
      <c r="BN70" s="46"/>
      <c r="BO70" s="86"/>
      <c r="BP70" s="87"/>
      <c r="BQ70" s="87"/>
      <c r="BR70" s="88"/>
      <c r="BS70" s="2"/>
      <c r="BT70" s="53"/>
      <c r="BU70" s="54"/>
      <c r="BV70" s="46"/>
      <c r="BW70" s="2"/>
      <c r="BX70" s="53"/>
      <c r="BY70" s="54"/>
      <c r="BZ70" s="46"/>
      <c r="CA70" s="2"/>
      <c r="CB70" s="53"/>
      <c r="CC70" s="54"/>
      <c r="CD70" s="46"/>
      <c r="CE70" s="2"/>
      <c r="CF70" s="53"/>
      <c r="CG70" s="54"/>
      <c r="CH70" s="46"/>
      <c r="CI70" s="2"/>
      <c r="CJ70" s="53"/>
      <c r="CK70" s="54"/>
      <c r="CL70" s="46"/>
      <c r="CM70" s="46"/>
      <c r="CN70" s="53"/>
      <c r="CO70" s="54"/>
      <c r="CP70" s="46"/>
      <c r="CQ70" s="30"/>
      <c r="CR70" s="65"/>
      <c r="CS70" s="67"/>
      <c r="CT70" s="70"/>
      <c r="CU70" s="71"/>
      <c r="CV70" s="72"/>
      <c r="CW70" s="60"/>
    </row>
    <row r="71" spans="2:101" x14ac:dyDescent="0.25">
      <c r="B71" s="82"/>
      <c r="C71" s="55">
        <f>IF(COUNT(C68:E68)=2,C68/E68,"Moy")</f>
        <v>1</v>
      </c>
      <c r="D71" s="56"/>
      <c r="E71" s="56">
        <v>3</v>
      </c>
      <c r="F71" s="59"/>
      <c r="G71" s="55" t="str">
        <f>IF(COUNT(G68:I68)=2,G68/I68,"Moy")</f>
        <v>Moy</v>
      </c>
      <c r="H71" s="56"/>
      <c r="I71" s="56" t="s">
        <v>0</v>
      </c>
      <c r="J71" s="59"/>
      <c r="K71" s="55">
        <f>IF(COUNT(K68:M68)=2,K68/M68,"Moy")</f>
        <v>0.7142857142857143</v>
      </c>
      <c r="L71" s="56"/>
      <c r="M71" s="56">
        <v>4</v>
      </c>
      <c r="N71" s="59"/>
      <c r="O71" s="55" t="str">
        <f>IF(COUNT(O68:Q68)=2,O68/Q68,"Moy")</f>
        <v>Moy</v>
      </c>
      <c r="P71" s="56"/>
      <c r="Q71" s="56" t="s">
        <v>0</v>
      </c>
      <c r="R71" s="59"/>
      <c r="S71" s="55">
        <f>IF(COUNT(S68:U68)=2,S68/U68,"Moy")</f>
        <v>0.88235294117647056</v>
      </c>
      <c r="T71" s="56"/>
      <c r="U71" s="56">
        <v>6</v>
      </c>
      <c r="V71" s="59"/>
      <c r="W71" s="55" t="str">
        <f>IF(COUNT(W68:Y68)=2,W68/Y68,"Moy")</f>
        <v>Moy</v>
      </c>
      <c r="X71" s="56"/>
      <c r="Y71" s="56" t="s">
        <v>0</v>
      </c>
      <c r="Z71" s="59"/>
      <c r="AA71" s="55">
        <f>IF(COUNT(AA68:AC68)=2,AA68/AC68,"Moy")</f>
        <v>0.88461538461538458</v>
      </c>
      <c r="AB71" s="56"/>
      <c r="AC71" s="56">
        <v>4</v>
      </c>
      <c r="AD71" s="59"/>
      <c r="AE71" s="55">
        <f>IF(COUNT(AE68:AG68)=2,AE68/AG68,"Moy")</f>
        <v>1.3636363636363635</v>
      </c>
      <c r="AF71" s="56"/>
      <c r="AG71" s="56">
        <v>6</v>
      </c>
      <c r="AH71" s="59"/>
      <c r="AI71" s="55">
        <f>IF(COUNT(AI68:AK68)=2,AI68/AK68,"Moy")</f>
        <v>0.46666666666666667</v>
      </c>
      <c r="AJ71" s="56"/>
      <c r="AK71" s="56">
        <v>2</v>
      </c>
      <c r="AL71" s="59"/>
      <c r="AM71" s="55">
        <f>IF(COUNT(AM68:AO68)=2,AM68/AO68,"Moy")</f>
        <v>0.76923076923076927</v>
      </c>
      <c r="AN71" s="56"/>
      <c r="AO71" s="56">
        <v>6</v>
      </c>
      <c r="AP71" s="59"/>
      <c r="AQ71" s="55">
        <f>IF(COUNT(AQ68:AS68)=2,AQ68/AS68,"Moy")</f>
        <v>1.0344827586206897</v>
      </c>
      <c r="AR71" s="56"/>
      <c r="AS71" s="56">
        <v>6</v>
      </c>
      <c r="AT71" s="59"/>
      <c r="AU71" s="55" t="str">
        <f>IF(COUNT(AU68:AW68)=2,AU68/AW68,"Moy")</f>
        <v>Moy</v>
      </c>
      <c r="AV71" s="56"/>
      <c r="AW71" s="56" t="s">
        <v>0</v>
      </c>
      <c r="AX71" s="59"/>
      <c r="AY71" s="55" t="str">
        <f>IF(COUNT(AY68:BA68)=2,AY68/BA68,"Moy")</f>
        <v>Moy</v>
      </c>
      <c r="AZ71" s="56"/>
      <c r="BA71" s="56" t="s">
        <v>0</v>
      </c>
      <c r="BB71" s="59"/>
      <c r="BC71" s="55" t="str">
        <f>IF(COUNT(BC68:BE68)=2,BC68/BE68,"Moy")</f>
        <v>Moy</v>
      </c>
      <c r="BD71" s="56"/>
      <c r="BE71" s="56" t="s">
        <v>0</v>
      </c>
      <c r="BF71" s="59"/>
      <c r="BG71" s="55">
        <f>IF(COUNT(BG68:BI68)=2,BG68/BI68,"Moy")</f>
        <v>0.73170731707317072</v>
      </c>
      <c r="BH71" s="56"/>
      <c r="BI71" s="56">
        <v>5</v>
      </c>
      <c r="BJ71" s="59"/>
      <c r="BK71" s="55">
        <f>IF(COUNT(BK68:BM68)=2,BK68/BM68,"Moy")</f>
        <v>0.69767441860465118</v>
      </c>
      <c r="BL71" s="56"/>
      <c r="BM71" s="56">
        <v>3</v>
      </c>
      <c r="BN71" s="59"/>
      <c r="BO71" s="89"/>
      <c r="BP71" s="90"/>
      <c r="BQ71" s="90"/>
      <c r="BR71" s="91"/>
      <c r="BS71" s="55">
        <f>IF(COUNT(BS68:BU68)=2,BS68/BU68,"Moy")</f>
        <v>0.51724137931034486</v>
      </c>
      <c r="BT71" s="56"/>
      <c r="BU71" s="56">
        <v>6</v>
      </c>
      <c r="BV71" s="59"/>
      <c r="BW71" s="55" t="str">
        <f>IF(COUNT(BW68:BY68)=2,BW68/BY68,"Moy")</f>
        <v>Moy</v>
      </c>
      <c r="BX71" s="56"/>
      <c r="BY71" s="56" t="s">
        <v>0</v>
      </c>
      <c r="BZ71" s="59"/>
      <c r="CA71" s="55" t="str">
        <f>IF(COUNT(CA68:CC68)=2,CA68/CC68,"Moy")</f>
        <v>Moy</v>
      </c>
      <c r="CB71" s="56"/>
      <c r="CC71" s="56" t="s">
        <v>0</v>
      </c>
      <c r="CD71" s="59"/>
      <c r="CE71" s="55" t="str">
        <f>IF(COUNT(CE68:CG68)=2,CE68/CG68,"Moy")</f>
        <v>Moy</v>
      </c>
      <c r="CF71" s="56"/>
      <c r="CG71" s="56" t="s">
        <v>0</v>
      </c>
      <c r="CH71" s="59"/>
      <c r="CI71" s="55">
        <f>IF(COUNT(CI68:CK68)=2,CI68/CK68,"Moy")</f>
        <v>1.6666666666666667</v>
      </c>
      <c r="CJ71" s="56"/>
      <c r="CK71" s="56">
        <v>5</v>
      </c>
      <c r="CL71" s="59"/>
      <c r="CM71" s="55" t="str">
        <f>IF(COUNT(CM68:CO68)=2,CM68/CO68,"Moy")</f>
        <v>Moy</v>
      </c>
      <c r="CN71" s="56"/>
      <c r="CO71" s="56" t="s">
        <v>0</v>
      </c>
      <c r="CP71" s="59"/>
      <c r="CQ71" s="22"/>
      <c r="CR71" s="8" t="s">
        <v>5</v>
      </c>
      <c r="CS71" s="17">
        <f>IF(CS68&gt;0,((N(C71)+N(G71)+N(K71)+N(O71)+N(S71)+N(W71)+N(AA71)+N(AE71)+N(AI71)+N(AM71)+N(AQ71)+N(AU71)+N(AY71)+N(BC71)+N(BG71)+N(BK71)+N(BO71)+N(BS71)+N(BW71)+N(CA71)+N(CE71)+N(CI71))+N(CM71))/CS68,0)</f>
        <v>0.8940466983239076</v>
      </c>
      <c r="CT71" s="61" t="s">
        <v>3</v>
      </c>
      <c r="CU71" s="62"/>
      <c r="CV71" s="18">
        <f>COUNTIF(C69:CN69,"Ex")</f>
        <v>0</v>
      </c>
      <c r="CW71" s="19">
        <f>IF(CS68&gt;0,CV71/CS68,0)</f>
        <v>0</v>
      </c>
    </row>
    <row r="72" spans="2:101" x14ac:dyDescent="0.25">
      <c r="B72" s="92" t="s">
        <v>49</v>
      </c>
      <c r="C72" s="47" t="s">
        <v>22</v>
      </c>
      <c r="D72" s="48"/>
      <c r="E72" s="49" t="s">
        <v>23</v>
      </c>
      <c r="F72" s="50"/>
      <c r="G72" s="47" t="s">
        <v>22</v>
      </c>
      <c r="H72" s="48"/>
      <c r="I72" s="49" t="s">
        <v>23</v>
      </c>
      <c r="J72" s="50"/>
      <c r="K72" s="47" t="s">
        <v>22</v>
      </c>
      <c r="L72" s="48"/>
      <c r="M72" s="49" t="s">
        <v>23</v>
      </c>
      <c r="N72" s="50"/>
      <c r="O72" s="47" t="s">
        <v>22</v>
      </c>
      <c r="P72" s="48"/>
      <c r="Q72" s="49" t="s">
        <v>23</v>
      </c>
      <c r="R72" s="50"/>
      <c r="S72" s="47" t="s">
        <v>22</v>
      </c>
      <c r="T72" s="48"/>
      <c r="U72" s="49" t="s">
        <v>23</v>
      </c>
      <c r="V72" s="50"/>
      <c r="W72" s="47" t="s">
        <v>22</v>
      </c>
      <c r="X72" s="48"/>
      <c r="Y72" s="49" t="s">
        <v>23</v>
      </c>
      <c r="Z72" s="50"/>
      <c r="AA72" s="47" t="s">
        <v>22</v>
      </c>
      <c r="AB72" s="48"/>
      <c r="AC72" s="49" t="s">
        <v>23</v>
      </c>
      <c r="AD72" s="50"/>
      <c r="AE72" s="47" t="s">
        <v>22</v>
      </c>
      <c r="AF72" s="48"/>
      <c r="AG72" s="49" t="s">
        <v>23</v>
      </c>
      <c r="AH72" s="50"/>
      <c r="AI72" s="47" t="s">
        <v>22</v>
      </c>
      <c r="AJ72" s="48"/>
      <c r="AK72" s="49" t="s">
        <v>23</v>
      </c>
      <c r="AL72" s="50"/>
      <c r="AM72" s="47">
        <v>26</v>
      </c>
      <c r="AN72" s="48"/>
      <c r="AO72" s="49">
        <v>41</v>
      </c>
      <c r="AP72" s="50"/>
      <c r="AQ72" s="47">
        <v>26</v>
      </c>
      <c r="AR72" s="48"/>
      <c r="AS72" s="49">
        <v>41</v>
      </c>
      <c r="AT72" s="50"/>
      <c r="AU72" s="47">
        <v>20</v>
      </c>
      <c r="AV72" s="48"/>
      <c r="AW72" s="49">
        <v>38</v>
      </c>
      <c r="AX72" s="50"/>
      <c r="AY72" s="47">
        <v>16</v>
      </c>
      <c r="AZ72" s="48"/>
      <c r="BA72" s="49">
        <v>28</v>
      </c>
      <c r="BB72" s="50"/>
      <c r="BC72" s="47" t="s">
        <v>22</v>
      </c>
      <c r="BD72" s="48"/>
      <c r="BE72" s="49" t="s">
        <v>23</v>
      </c>
      <c r="BF72" s="50"/>
      <c r="BG72" s="47" t="s">
        <v>22</v>
      </c>
      <c r="BH72" s="48"/>
      <c r="BI72" s="49" t="s">
        <v>23</v>
      </c>
      <c r="BJ72" s="50"/>
      <c r="BK72" s="47">
        <v>29</v>
      </c>
      <c r="BL72" s="48"/>
      <c r="BM72" s="49">
        <v>60</v>
      </c>
      <c r="BN72" s="50"/>
      <c r="BO72" s="47">
        <v>18</v>
      </c>
      <c r="BP72" s="48"/>
      <c r="BQ72" s="49">
        <v>58</v>
      </c>
      <c r="BR72" s="50"/>
      <c r="BS72" s="83">
        <v>30</v>
      </c>
      <c r="BT72" s="84"/>
      <c r="BU72" s="84"/>
      <c r="BV72" s="85"/>
      <c r="BW72" s="47" t="s">
        <v>22</v>
      </c>
      <c r="BX72" s="48"/>
      <c r="BY72" s="49" t="s">
        <v>23</v>
      </c>
      <c r="BZ72" s="50"/>
      <c r="CA72" s="47">
        <v>23</v>
      </c>
      <c r="CB72" s="48"/>
      <c r="CC72" s="49">
        <v>73</v>
      </c>
      <c r="CD72" s="50"/>
      <c r="CE72" s="47" t="s">
        <v>22</v>
      </c>
      <c r="CF72" s="48"/>
      <c r="CG72" s="49" t="s">
        <v>23</v>
      </c>
      <c r="CH72" s="50"/>
      <c r="CI72" s="47">
        <v>18</v>
      </c>
      <c r="CJ72" s="48"/>
      <c r="CK72" s="49">
        <v>40</v>
      </c>
      <c r="CL72" s="50"/>
      <c r="CM72" s="47" t="s">
        <v>22</v>
      </c>
      <c r="CN72" s="48"/>
      <c r="CO72" s="49" t="s">
        <v>23</v>
      </c>
      <c r="CP72" s="50"/>
      <c r="CQ72" s="23"/>
      <c r="CR72" s="7" t="s">
        <v>11</v>
      </c>
      <c r="CS72" s="14">
        <f>COUNTIF(C73:CN73,"G")+COUNTIF(C73:CN73,"Ex")+COUNTIF(C73:CN73,"P")</f>
        <v>7</v>
      </c>
      <c r="CT72" s="63" t="s">
        <v>1</v>
      </c>
      <c r="CU72" s="62"/>
      <c r="CV72" s="15">
        <f>COUNTIF(C73:CN73,"G")</f>
        <v>0</v>
      </c>
      <c r="CW72" s="16">
        <f>IF(CS72&gt;0,CV72/CS72,0)</f>
        <v>0</v>
      </c>
    </row>
    <row r="73" spans="2:101" ht="8.25" customHeight="1" x14ac:dyDescent="0.25">
      <c r="B73" s="93"/>
      <c r="C73" s="9"/>
      <c r="D73" s="51" t="str">
        <f>IF(N(C72)&gt;0,IF(C72&lt;Handicap18, Perdu,IF(C72=Handicap18,IF(BS4=Handicap1,Exaequo,Gagne))),"")</f>
        <v/>
      </c>
      <c r="E73" s="52"/>
      <c r="F73" s="46" t="str">
        <f>IF(N(BU4)&gt;0,IF(N(E72)=BU4,"-","Err"),"")</f>
        <v/>
      </c>
      <c r="G73" s="9"/>
      <c r="H73" s="51" t="str">
        <f>IF(N(G72)&gt;0,IF(G72&lt;Handicap18, Perdu,IF(G72=Handicap18,IF(BS8=Handicap2,Exaequo,Gagne))),"")</f>
        <v/>
      </c>
      <c r="I73" s="52"/>
      <c r="J73" s="46" t="str">
        <f>IF(N(BU8)&gt;0,IF(N(I72)=BU8,"-","Err"),"")</f>
        <v/>
      </c>
      <c r="K73" s="9"/>
      <c r="L73" s="51" t="str">
        <f>IF(N(K72)&gt;0,IF(K72&lt;Handicap18, Perdu,IF(K72=Handicap18,IF(BS12=Handicap3,Exaequo,Gagne))),"")</f>
        <v/>
      </c>
      <c r="M73" s="52"/>
      <c r="N73" s="46" t="str">
        <f>IF(N(BU12)&gt;0,IF(N(M72)=BU12,"-","Err"),"")</f>
        <v/>
      </c>
      <c r="O73" s="9"/>
      <c r="P73" s="51" t="str">
        <f>IF(N(O72)&gt;0,IF(O72&lt;Handicap18, Perdu,IF(O72=Handicap18,IF(BS16=Handicap4,Exaequo,Gagne))),"")</f>
        <v/>
      </c>
      <c r="Q73" s="52"/>
      <c r="R73" s="46" t="str">
        <f>IF(N(BU16)&gt;0,IF(N(Q72)=BU16,"-","Err"),"")</f>
        <v/>
      </c>
      <c r="S73" s="9"/>
      <c r="T73" s="51" t="str">
        <f>IF(N(S72)&gt;0,IF(S72&lt;Handicap18, Perdu,IF(S72=Handicap18,IF(BS20=Handicap5,Exaequo,Gagne))),"")</f>
        <v/>
      </c>
      <c r="U73" s="52"/>
      <c r="V73" s="46" t="str">
        <f>IF(N(BU20)&gt;0,IF(N(U72)=BU20,"-","Err"),"")</f>
        <v/>
      </c>
      <c r="W73" s="9"/>
      <c r="X73" s="51" t="str">
        <f>IF(N(W72)&gt;0,IF(W72&lt;Handicap18, Perdu,IF(W72=Handicap18,IF(BS24=Handicap6,Exaequo,Gagne))),"")</f>
        <v/>
      </c>
      <c r="Y73" s="52"/>
      <c r="Z73" s="46" t="str">
        <f>IF(N(BU24)&gt;0,IF(N(Y72)=BU24,"-","Err"),"")</f>
        <v/>
      </c>
      <c r="AA73" s="9"/>
      <c r="AB73" s="51" t="str">
        <f>IF(N(AA72)&gt;0,IF(AA72&lt;Handicap18, Perdu,IF(AA72=Handicap18,IF(BS28=Handicap7,Exaequo,Gagne))),"")</f>
        <v/>
      </c>
      <c r="AC73" s="52"/>
      <c r="AD73" s="46" t="str">
        <f>IF(N(BU28)&gt;0,IF(N(AC72)=BU28,"-","Err"),"")</f>
        <v/>
      </c>
      <c r="AE73" s="9"/>
      <c r="AF73" s="51" t="str">
        <f>IF(N(AE72)&gt;0,IF(AE72&lt;Handicap18, Perdu,IF(AE72=Handicap18,IF(BS32=Handicap8,Exaequo,Gagne))),"")</f>
        <v/>
      </c>
      <c r="AG73" s="52"/>
      <c r="AH73" s="46" t="str">
        <f>IF(N(BU32)&gt;0,IF(N(AG72)=BU32,"-","Err"),"")</f>
        <v/>
      </c>
      <c r="AI73" s="9"/>
      <c r="AJ73" s="51" t="str">
        <f>IF(N(AI72)&gt;0,IF(AI72&lt;Handicap18, Perdu,IF(AI72=Handicap18,IF(BS36=Handicap9,Exaequo,Gagne))),"")</f>
        <v/>
      </c>
      <c r="AK73" s="52"/>
      <c r="AL73" s="46" t="str">
        <f>IF(N(BU36)&gt;0,IF(N(AK72)=BU36,"-","Err"),"")</f>
        <v/>
      </c>
      <c r="AM73" s="9"/>
      <c r="AN73" s="51" t="str">
        <f>IF(N(AM72)&gt;0,IF(AM72&lt;Handicap18, Perdu,IF(AM72=Handicap18,IF(BS40=Handicap10,Exaequo,Gagne))),"")</f>
        <v>P</v>
      </c>
      <c r="AO73" s="52"/>
      <c r="AP73" s="46" t="str">
        <f>IF(N(BU40)&gt;0,IF(N(AO72)=BU40,"-","Err"),"")</f>
        <v/>
      </c>
      <c r="AQ73" s="9"/>
      <c r="AR73" s="51">
        <v>3</v>
      </c>
      <c r="AS73" s="52"/>
      <c r="AT73" s="46" t="str">
        <f>IF(N(BU44)&gt;0,IF(N(AS72)=BU44,"-","Err"),"")</f>
        <v>-</v>
      </c>
      <c r="AU73" s="9"/>
      <c r="AV73" s="51" t="str">
        <f>IF(N(AU72)&gt;0,IF(AU72&lt;Handicap18, Perdu,IF(AU72=Handicap18,IF(BS48=Handicap12,Exaequo,Gagne))),"")</f>
        <v>P</v>
      </c>
      <c r="AW73" s="52"/>
      <c r="AX73" s="46" t="str">
        <f>IF(N(BU48)&gt;0,IF(N(AW72)=BU48,"-","Err"),"")</f>
        <v>-</v>
      </c>
      <c r="AY73" s="9"/>
      <c r="AZ73" s="51" t="str">
        <f>IF(N(AY72)&gt;0,IF(AY72&lt;Handicap18, Perdu,IF(AY72=Handicap18,IF(BS52=Handicap13,Exaequo,Gagne))),"")</f>
        <v>P</v>
      </c>
      <c r="BA73" s="52"/>
      <c r="BB73" s="46" t="str">
        <f>IF(N(BU52)&gt;0,IF(N(BA72)=BU52,"-","Err"),"")</f>
        <v>-</v>
      </c>
      <c r="BC73" s="9"/>
      <c r="BD73" s="51" t="str">
        <f>IF(N(BC72)&gt;0,IF(BC72&lt;Handicap18, Perdu,IF(BC72=Handicap18,IF(BS56=hANDICAP14,Exaequo,Gagne))),"")</f>
        <v/>
      </c>
      <c r="BE73" s="52"/>
      <c r="BF73" s="46" t="str">
        <f>IF(N(BU56)&gt;0,IF(N(BE72)=BU56,"-","Err"),"")</f>
        <v/>
      </c>
      <c r="BG73" s="9"/>
      <c r="BH73" s="51" t="str">
        <f>IF(N(BG72)&gt;0,IF(BG72&lt;Handicap18, Perdu,IF(BG72=Handicap18,IF(BS60=Handicap15,Exaequo,Gagne))),"")</f>
        <v/>
      </c>
      <c r="BI73" s="52"/>
      <c r="BJ73" s="46" t="str">
        <f>IF(N(BU60)&gt;0,IF(N(BI72)=BU60,"-","Err"),"")</f>
        <v/>
      </c>
      <c r="BK73" s="9"/>
      <c r="BL73" s="51" t="str">
        <f>IF(N(BK72)&gt;0,IF(BK72&lt;Handicap18, Perdu,IF(BK72=Handicap18,IF(BS64=Handicap16,Exaequo,Gagne))),"")</f>
        <v>P</v>
      </c>
      <c r="BM73" s="52"/>
      <c r="BN73" s="46" t="str">
        <f>IF(N(BU64)&gt;0,IF(N(BM72)=BU64,"-","Err"),"")</f>
        <v>-</v>
      </c>
      <c r="BO73" s="9"/>
      <c r="BP73" s="51" t="str">
        <f>IF(N(BO72)&gt;0,IF(BO72&lt;Handicap18, Perdu,IF(BO72=Handicap18,IF(BS68=Handicap17,Exaequo,Gagne))),"")</f>
        <v>P</v>
      </c>
      <c r="BQ73" s="52"/>
      <c r="BR73" s="46" t="str">
        <f>IF(N(BU68)&gt;0,IF(N(BQ72)=BU68,"-","Err"),"")</f>
        <v>-</v>
      </c>
      <c r="BS73" s="86"/>
      <c r="BT73" s="87"/>
      <c r="BU73" s="87"/>
      <c r="BV73" s="88"/>
      <c r="BW73" s="9"/>
      <c r="BX73" s="51" t="str">
        <f>IF(N(BW72)&gt;0,IF(BW72&lt;Handicap18, Perdu,IF(BW72=Handicap18,IF(BS76=Handicap19,Exaequo,Gagne))),"")</f>
        <v/>
      </c>
      <c r="BY73" s="52"/>
      <c r="BZ73" s="46" t="str">
        <f>IF(N(BU76)&gt;0,IF(N(BY72)=BU76,"-","Err"),"")</f>
        <v/>
      </c>
      <c r="CA73" s="9"/>
      <c r="CB73" s="51" t="str">
        <f>IF(N(CA72)&gt;0,IF(CA72&lt;Handicap18, Perdu,IF(CA72=Handicap18,IF(BS80=Handicap20,Exaequo,Gagne))),"")</f>
        <v>P</v>
      </c>
      <c r="CC73" s="52"/>
      <c r="CD73" s="46" t="str">
        <f>IF(N(BU80)&gt;0,IF(N(CC72)=BU80,"-","Err"),"")</f>
        <v>-</v>
      </c>
      <c r="CE73" s="9"/>
      <c r="CF73" s="51" t="str">
        <f>IF(N(CE72)&gt;0,IF(CE72&lt;Handicap18, Perdu,IF(CE72=Handicap18,IF(BS84=Handicap21,Exaequo,Gagne))),"")</f>
        <v/>
      </c>
      <c r="CG73" s="52"/>
      <c r="CH73" s="46" t="str">
        <f>IF(N(BU84)&gt;0,IF(N(CG72)=BU84,"-","Err"),"")</f>
        <v/>
      </c>
      <c r="CI73" s="9"/>
      <c r="CJ73" s="51" t="str">
        <f>IF(N(CI72)&gt;0,IF(CI72&lt;Handicap18, Perdu,IF(CI72=Handicap18,IF(BS88=Handicap22,Exaequo,Gagne))),"")</f>
        <v>P</v>
      </c>
      <c r="CK73" s="52"/>
      <c r="CL73" s="46" t="str">
        <f>IF(N(BU88)&gt;0,IF(N(CK72)=BU88,"-","Err"),"")</f>
        <v>-</v>
      </c>
      <c r="CM73" s="46" t="str">
        <f>IF(N(CM72)&gt;Handicap18,"Err","-")</f>
        <v>-</v>
      </c>
      <c r="CN73" s="51" t="str">
        <f>IF(N(CM72)&gt;0,IF(CM72&lt;Handicap18, Perdu,IF(CM72=Handicap18,IF(BS92=Handicap23,Exaequo,Gagne))),"")</f>
        <v/>
      </c>
      <c r="CO73" s="52"/>
      <c r="CP73" s="46" t="str">
        <f>IF(N(BU92)&gt;0,IF(N(CO72)=BU92,"-","Err"),"")</f>
        <v/>
      </c>
      <c r="CQ73" s="30"/>
      <c r="CR73" s="64" t="s">
        <v>6</v>
      </c>
      <c r="CS73" s="66">
        <f>(COUNTIF(C73:CP73,"G")*3)+(COUNTIF(C73:CP73,"Ex")*2)+COUNTIF(C73:CP73,"P")</f>
        <v>7</v>
      </c>
      <c r="CT73" s="68" t="s">
        <v>2</v>
      </c>
      <c r="CU73" s="69"/>
      <c r="CV73" s="72">
        <f>COUNTIF(C73:CN73,"P")</f>
        <v>7</v>
      </c>
      <c r="CW73" s="60">
        <f>IF(CS72&gt;0,CV73/CS72,0)</f>
        <v>1</v>
      </c>
    </row>
    <row r="74" spans="2:101" ht="8.25" customHeight="1" x14ac:dyDescent="0.25">
      <c r="B74" s="93"/>
      <c r="C74" s="2"/>
      <c r="D74" s="53"/>
      <c r="E74" s="54"/>
      <c r="F74" s="46"/>
      <c r="G74" s="2"/>
      <c r="H74" s="53"/>
      <c r="I74" s="54"/>
      <c r="J74" s="46"/>
      <c r="K74" s="2"/>
      <c r="L74" s="53"/>
      <c r="M74" s="54"/>
      <c r="N74" s="46"/>
      <c r="O74" s="2"/>
      <c r="P74" s="53"/>
      <c r="Q74" s="54"/>
      <c r="R74" s="46"/>
      <c r="S74" s="2"/>
      <c r="T74" s="53"/>
      <c r="U74" s="54"/>
      <c r="V74" s="46"/>
      <c r="W74" s="2"/>
      <c r="X74" s="53"/>
      <c r="Y74" s="54"/>
      <c r="Z74" s="46"/>
      <c r="AA74" s="2"/>
      <c r="AB74" s="53"/>
      <c r="AC74" s="54"/>
      <c r="AD74" s="46"/>
      <c r="AE74" s="2"/>
      <c r="AF74" s="53"/>
      <c r="AG74" s="54"/>
      <c r="AH74" s="46"/>
      <c r="AI74" s="2"/>
      <c r="AJ74" s="53"/>
      <c r="AK74" s="54"/>
      <c r="AL74" s="46"/>
      <c r="AM74" s="2"/>
      <c r="AN74" s="53"/>
      <c r="AO74" s="54"/>
      <c r="AP74" s="46"/>
      <c r="AQ74" s="2"/>
      <c r="AR74" s="53"/>
      <c r="AS74" s="54"/>
      <c r="AT74" s="46"/>
      <c r="AU74" s="2"/>
      <c r="AV74" s="53"/>
      <c r="AW74" s="54"/>
      <c r="AX74" s="46"/>
      <c r="AY74" s="2"/>
      <c r="AZ74" s="53"/>
      <c r="BA74" s="54"/>
      <c r="BB74" s="46"/>
      <c r="BC74" s="2"/>
      <c r="BD74" s="53"/>
      <c r="BE74" s="54"/>
      <c r="BF74" s="46"/>
      <c r="BG74" s="2"/>
      <c r="BH74" s="53"/>
      <c r="BI74" s="54"/>
      <c r="BJ74" s="46"/>
      <c r="BK74" s="2"/>
      <c r="BL74" s="53"/>
      <c r="BM74" s="54"/>
      <c r="BN74" s="46"/>
      <c r="BO74" s="2"/>
      <c r="BP74" s="53"/>
      <c r="BQ74" s="54"/>
      <c r="BR74" s="46"/>
      <c r="BS74" s="86"/>
      <c r="BT74" s="87"/>
      <c r="BU74" s="87"/>
      <c r="BV74" s="88"/>
      <c r="BW74" s="2"/>
      <c r="BX74" s="53"/>
      <c r="BY74" s="54"/>
      <c r="BZ74" s="46"/>
      <c r="CA74" s="2"/>
      <c r="CB74" s="53"/>
      <c r="CC74" s="54"/>
      <c r="CD74" s="46"/>
      <c r="CE74" s="2"/>
      <c r="CF74" s="53"/>
      <c r="CG74" s="54"/>
      <c r="CH74" s="46"/>
      <c r="CI74" s="2"/>
      <c r="CJ74" s="53"/>
      <c r="CK74" s="54"/>
      <c r="CL74" s="46"/>
      <c r="CM74" s="46"/>
      <c r="CN74" s="53"/>
      <c r="CO74" s="54"/>
      <c r="CP74" s="46"/>
      <c r="CQ74" s="30"/>
      <c r="CR74" s="65"/>
      <c r="CS74" s="67"/>
      <c r="CT74" s="70"/>
      <c r="CU74" s="71"/>
      <c r="CV74" s="72"/>
      <c r="CW74" s="60"/>
    </row>
    <row r="75" spans="2:101" x14ac:dyDescent="0.25">
      <c r="B75" s="94"/>
      <c r="C75" s="55" t="str">
        <f>IF(COUNT(C72:E72)=2,C72/E72,"Moy")</f>
        <v>Moy</v>
      </c>
      <c r="D75" s="56"/>
      <c r="E75" s="56" t="s">
        <v>0</v>
      </c>
      <c r="F75" s="59"/>
      <c r="G75" s="55" t="str">
        <f>IF(COUNT(G72:I72)=2,G72/I72,"Moy")</f>
        <v>Moy</v>
      </c>
      <c r="H75" s="56"/>
      <c r="I75" s="56" t="s">
        <v>0</v>
      </c>
      <c r="J75" s="59"/>
      <c r="K75" s="55" t="str">
        <f>IF(COUNT(K72:M72)=2,K72/M72,"Moy")</f>
        <v>Moy</v>
      </c>
      <c r="L75" s="56"/>
      <c r="M75" s="56" t="s">
        <v>0</v>
      </c>
      <c r="N75" s="59"/>
      <c r="O75" s="55" t="str">
        <f>IF(COUNT(O72:Q72)=2,O72/Q72,"Moy")</f>
        <v>Moy</v>
      </c>
      <c r="P75" s="56"/>
      <c r="Q75" s="56" t="s">
        <v>0</v>
      </c>
      <c r="R75" s="59"/>
      <c r="S75" s="55" t="str">
        <f>IF(COUNT(S72:U72)=2,S72/U72,"Moy")</f>
        <v>Moy</v>
      </c>
      <c r="T75" s="56"/>
      <c r="U75" s="56" t="s">
        <v>0</v>
      </c>
      <c r="V75" s="59"/>
      <c r="W75" s="55" t="str">
        <f>IF(COUNT(W72:Y72)=2,W72/Y72,"Moy")</f>
        <v>Moy</v>
      </c>
      <c r="X75" s="56"/>
      <c r="Y75" s="56" t="s">
        <v>0</v>
      </c>
      <c r="Z75" s="59"/>
      <c r="AA75" s="55" t="str">
        <f>IF(COUNT(AA72:AC72)=2,AA72/AC72,"Moy")</f>
        <v>Moy</v>
      </c>
      <c r="AB75" s="56"/>
      <c r="AC75" s="56" t="s">
        <v>0</v>
      </c>
      <c r="AD75" s="59"/>
      <c r="AE75" s="55" t="str">
        <f>IF(COUNT(AE72:AG72)=2,AE72/AG72,"Moy")</f>
        <v>Moy</v>
      </c>
      <c r="AF75" s="56"/>
      <c r="AG75" s="56" t="s">
        <v>0</v>
      </c>
      <c r="AH75" s="59"/>
      <c r="AI75" s="55" t="str">
        <f>IF(COUNT(AI72:AK72)=2,AI72/AK72,"Moy")</f>
        <v>Moy</v>
      </c>
      <c r="AJ75" s="56"/>
      <c r="AK75" s="56" t="s">
        <v>0</v>
      </c>
      <c r="AL75" s="59"/>
      <c r="AM75" s="55">
        <f>IF(COUNT(AM72:AO72)=2,AM72/AO72,"Moy")</f>
        <v>0.63414634146341464</v>
      </c>
      <c r="AN75" s="56"/>
      <c r="AO75" s="56">
        <v>3</v>
      </c>
      <c r="AP75" s="59"/>
      <c r="AQ75" s="55">
        <f>IF(COUNT(AQ72:AS72)=2,AQ72/AS72,"Moy")</f>
        <v>0.63414634146341464</v>
      </c>
      <c r="AR75" s="56"/>
      <c r="AS75" s="56" t="s">
        <v>0</v>
      </c>
      <c r="AT75" s="59"/>
      <c r="AU75" s="55">
        <f>IF(COUNT(AU72:AW72)=2,AU72/AW72,"Moy")</f>
        <v>0.52631578947368418</v>
      </c>
      <c r="AV75" s="56"/>
      <c r="AW75" s="56">
        <v>3</v>
      </c>
      <c r="AX75" s="59"/>
      <c r="AY75" s="55">
        <f>IF(COUNT(AY72:BA72)=2,AY72/BA72,"Moy")</f>
        <v>0.5714285714285714</v>
      </c>
      <c r="AZ75" s="56"/>
      <c r="BA75" s="56">
        <v>4</v>
      </c>
      <c r="BB75" s="59"/>
      <c r="BC75" s="55" t="str">
        <f>IF(COUNT(BC72:BE72)=2,BC72/BE72,"Moy")</f>
        <v>Moy</v>
      </c>
      <c r="BD75" s="56"/>
      <c r="BE75" s="56" t="s">
        <v>0</v>
      </c>
      <c r="BF75" s="59"/>
      <c r="BG75" s="55" t="str">
        <f>IF(COUNT(BG72:BI72)=2,BG72/BI72,"Moy")</f>
        <v>Moy</v>
      </c>
      <c r="BH75" s="56"/>
      <c r="BI75" s="56" t="s">
        <v>0</v>
      </c>
      <c r="BJ75" s="59"/>
      <c r="BK75" s="55">
        <f>IF(COUNT(BK72:BM72)=2,BK72/BM72,"Moy")</f>
        <v>0.48333333333333334</v>
      </c>
      <c r="BL75" s="56"/>
      <c r="BM75" s="56">
        <v>3</v>
      </c>
      <c r="BN75" s="59"/>
      <c r="BO75" s="55">
        <f>IF(COUNT(BO72:BQ72)=2,BO72/BQ72,"Moy")</f>
        <v>0.31034482758620691</v>
      </c>
      <c r="BP75" s="56"/>
      <c r="BQ75" s="56">
        <v>2</v>
      </c>
      <c r="BR75" s="59"/>
      <c r="BS75" s="89"/>
      <c r="BT75" s="90"/>
      <c r="BU75" s="90"/>
      <c r="BV75" s="91"/>
      <c r="BW75" s="55" t="str">
        <f>IF(COUNT(BW72:BY72)=2,BW72/BY72,"Moy")</f>
        <v>Moy</v>
      </c>
      <c r="BX75" s="56"/>
      <c r="BY75" s="56" t="s">
        <v>0</v>
      </c>
      <c r="BZ75" s="59"/>
      <c r="CA75" s="55">
        <f>IF(COUNT(CA72:CC72)=2,CA72/CC72,"Moy")</f>
        <v>0.31506849315068491</v>
      </c>
      <c r="CB75" s="56"/>
      <c r="CC75" s="56">
        <v>2</v>
      </c>
      <c r="CD75" s="59"/>
      <c r="CE75" s="55" t="str">
        <f>IF(COUNT(CE72:CG72)=2,CE72/CG72,"Moy")</f>
        <v>Moy</v>
      </c>
      <c r="CF75" s="56"/>
      <c r="CG75" s="56" t="s">
        <v>0</v>
      </c>
      <c r="CH75" s="59"/>
      <c r="CI75" s="55">
        <f>IF(COUNT(CI72:CK72)=2,CI72/CK72,"Moy")</f>
        <v>0.45</v>
      </c>
      <c r="CJ75" s="56"/>
      <c r="CK75" s="56">
        <v>5</v>
      </c>
      <c r="CL75" s="59"/>
      <c r="CM75" s="55" t="str">
        <f>IF(COUNT(CM72:CO72)=2,CM72/CO72,"Moy")</f>
        <v>Moy</v>
      </c>
      <c r="CN75" s="56"/>
      <c r="CO75" s="56" t="s">
        <v>0</v>
      </c>
      <c r="CP75" s="59"/>
      <c r="CQ75" s="22"/>
      <c r="CR75" s="8" t="s">
        <v>5</v>
      </c>
      <c r="CS75" s="17">
        <f>IF(CS72&gt;0,((N(C75)+N(G75)+N(K75)+N(O75)+N(S75)+N(W75)+N(AA75)+N(AE75)+N(AI75)+N(AM75)+N(AQ75)+N(AU75)+N(AY75)+N(BC75)+N(BG75)+N(BK75)+N(BO75)+N(BS75)+N(BW75)+N(CA75)+N(CE75)+N(CI75))+N(CM75))/CS72,0)</f>
        <v>0.56068338541418716</v>
      </c>
      <c r="CT75" s="61" t="s">
        <v>3</v>
      </c>
      <c r="CU75" s="62"/>
      <c r="CV75" s="18">
        <f>COUNTIF(C73:CN73,"Ex")</f>
        <v>0</v>
      </c>
      <c r="CW75" s="19">
        <f>IF(CS72&gt;0,CV75/CS72,0)</f>
        <v>0</v>
      </c>
    </row>
    <row r="76" spans="2:101" ht="15" customHeight="1" x14ac:dyDescent="0.25">
      <c r="B76" s="100" t="s">
        <v>48</v>
      </c>
      <c r="C76" s="47" t="s">
        <v>22</v>
      </c>
      <c r="D76" s="48"/>
      <c r="E76" s="49" t="s">
        <v>23</v>
      </c>
      <c r="F76" s="50"/>
      <c r="G76" s="47" t="s">
        <v>22</v>
      </c>
      <c r="H76" s="48"/>
      <c r="I76" s="49" t="s">
        <v>23</v>
      </c>
      <c r="J76" s="50"/>
      <c r="K76" s="47" t="s">
        <v>22</v>
      </c>
      <c r="L76" s="48"/>
      <c r="M76" s="49" t="s">
        <v>23</v>
      </c>
      <c r="N76" s="50"/>
      <c r="O76" s="47" t="s">
        <v>22</v>
      </c>
      <c r="P76" s="48"/>
      <c r="Q76" s="49" t="s">
        <v>23</v>
      </c>
      <c r="R76" s="50"/>
      <c r="S76" s="47" t="s">
        <v>22</v>
      </c>
      <c r="T76" s="48"/>
      <c r="U76" s="49" t="s">
        <v>23</v>
      </c>
      <c r="V76" s="50"/>
      <c r="W76" s="47" t="s">
        <v>22</v>
      </c>
      <c r="X76" s="48"/>
      <c r="Y76" s="49" t="s">
        <v>23</v>
      </c>
      <c r="Z76" s="50"/>
      <c r="AA76" s="47" t="s">
        <v>22</v>
      </c>
      <c r="AB76" s="48"/>
      <c r="AC76" s="49" t="s">
        <v>23</v>
      </c>
      <c r="AD76" s="50"/>
      <c r="AE76" s="47" t="s">
        <v>22</v>
      </c>
      <c r="AF76" s="48"/>
      <c r="AG76" s="49" t="s">
        <v>23</v>
      </c>
      <c r="AH76" s="50"/>
      <c r="AI76" s="47" t="s">
        <v>22</v>
      </c>
      <c r="AJ76" s="48"/>
      <c r="AK76" s="49" t="s">
        <v>23</v>
      </c>
      <c r="AL76" s="50"/>
      <c r="AM76" s="47" t="s">
        <v>22</v>
      </c>
      <c r="AN76" s="48"/>
      <c r="AO76" s="49" t="s">
        <v>23</v>
      </c>
      <c r="AP76" s="50"/>
      <c r="AQ76" s="47" t="s">
        <v>22</v>
      </c>
      <c r="AR76" s="48"/>
      <c r="AS76" s="49" t="s">
        <v>23</v>
      </c>
      <c r="AT76" s="50"/>
      <c r="AU76" s="47" t="s">
        <v>22</v>
      </c>
      <c r="AV76" s="48"/>
      <c r="AW76" s="49" t="s">
        <v>23</v>
      </c>
      <c r="AX76" s="50"/>
      <c r="AY76" s="47">
        <v>20</v>
      </c>
      <c r="AZ76" s="48"/>
      <c r="BA76" s="49">
        <v>25</v>
      </c>
      <c r="BB76" s="50"/>
      <c r="BC76" s="47" t="s">
        <v>22</v>
      </c>
      <c r="BD76" s="48"/>
      <c r="BE76" s="49" t="s">
        <v>23</v>
      </c>
      <c r="BF76" s="50"/>
      <c r="BG76" s="47" t="s">
        <v>22</v>
      </c>
      <c r="BH76" s="48"/>
      <c r="BI76" s="49" t="s">
        <v>23</v>
      </c>
      <c r="BJ76" s="50"/>
      <c r="BK76" s="47" t="s">
        <v>22</v>
      </c>
      <c r="BL76" s="48"/>
      <c r="BM76" s="49" t="s">
        <v>23</v>
      </c>
      <c r="BN76" s="50"/>
      <c r="BO76" s="47" t="s">
        <v>22</v>
      </c>
      <c r="BP76" s="48"/>
      <c r="BQ76" s="49" t="s">
        <v>23</v>
      </c>
      <c r="BR76" s="50"/>
      <c r="BS76" s="47" t="s">
        <v>22</v>
      </c>
      <c r="BT76" s="48"/>
      <c r="BU76" s="49" t="s">
        <v>23</v>
      </c>
      <c r="BV76" s="50"/>
      <c r="BW76" s="83">
        <v>30</v>
      </c>
      <c r="BX76" s="84"/>
      <c r="BY76" s="84"/>
      <c r="BZ76" s="85"/>
      <c r="CA76" s="47" t="s">
        <v>22</v>
      </c>
      <c r="CB76" s="48"/>
      <c r="CC76" s="49" t="s">
        <v>23</v>
      </c>
      <c r="CD76" s="50"/>
      <c r="CE76" s="47" t="s">
        <v>22</v>
      </c>
      <c r="CF76" s="48"/>
      <c r="CG76" s="49" t="s">
        <v>23</v>
      </c>
      <c r="CH76" s="50"/>
      <c r="CI76" s="47" t="s">
        <v>22</v>
      </c>
      <c r="CJ76" s="48"/>
      <c r="CK76" s="49" t="s">
        <v>23</v>
      </c>
      <c r="CL76" s="50"/>
      <c r="CM76" s="47" t="s">
        <v>22</v>
      </c>
      <c r="CN76" s="48"/>
      <c r="CO76" s="49" t="s">
        <v>23</v>
      </c>
      <c r="CP76" s="50"/>
      <c r="CQ76" s="23"/>
      <c r="CR76" s="7" t="s">
        <v>11</v>
      </c>
      <c r="CS76" s="14">
        <f>COUNTIF(C77:CN77,"G")+COUNTIF(C77:CN77,"Ex")+COUNTIF(C77:CN77,"P")</f>
        <v>1</v>
      </c>
      <c r="CT76" s="63" t="s">
        <v>1</v>
      </c>
      <c r="CU76" s="62"/>
      <c r="CV76" s="15">
        <f>COUNTIF(C77:CN77,"G")</f>
        <v>0</v>
      </c>
      <c r="CW76" s="16">
        <f>IF(CS76&gt;0,CV76/CS76,0)</f>
        <v>0</v>
      </c>
    </row>
    <row r="77" spans="2:101" ht="8.25" customHeight="1" x14ac:dyDescent="0.25">
      <c r="B77" s="81"/>
      <c r="C77" s="9"/>
      <c r="D77" s="51" t="str">
        <f>IF(N(C76)&gt;0,IF(C76&lt;Handicap19, Perdu,IF(C76=Handicap19,IF(BW4=Handicap1,Exaequo,Gagne))),"")</f>
        <v/>
      </c>
      <c r="E77" s="52"/>
      <c r="F77" s="46" t="str">
        <f>IF(N(BY4)&gt;0,IF(N(E76)=BY4,"-","Err"),"")</f>
        <v/>
      </c>
      <c r="G77" s="9"/>
      <c r="H77" s="51" t="str">
        <f>IF(N(G76)&gt;0,IF(G76&lt;Handicap19, Perdu,IF(G76=Handicap19,IF(BW8=Handicap2,Exaequo,Gagne))),"")</f>
        <v/>
      </c>
      <c r="I77" s="52"/>
      <c r="J77" s="46" t="str">
        <f>IF(N(BY8)&gt;0,IF(N(I76)=BY8,"-","Err"),"")</f>
        <v/>
      </c>
      <c r="K77" s="9"/>
      <c r="L77" s="51" t="str">
        <f>IF(N(K76)&gt;0,IF(K76&lt;Handicap19, Perdu,IF(K76=Handicap19,IF(BW12=Handicap3,Exaequo,Gagne))),"")</f>
        <v/>
      </c>
      <c r="M77" s="52"/>
      <c r="N77" s="46" t="str">
        <f>IF(N(BY12)&gt;0,IF(N(M76)=BY12,"-","Err"),"")</f>
        <v/>
      </c>
      <c r="O77" s="9"/>
      <c r="P77" s="51" t="str">
        <f>IF(N(O76)&gt;0,IF(O76&lt;Handicap19, Perdu,IF(O76=Handicap19,IF(BW16=Handicap4,Exaequo,Gagne))),"")</f>
        <v/>
      </c>
      <c r="Q77" s="52"/>
      <c r="R77" s="46" t="str">
        <f>IF(N(BY16)&gt;0,IF(N(Q76)=BY16,"-","Err"),"")</f>
        <v/>
      </c>
      <c r="S77" s="9"/>
      <c r="T77" s="51" t="str">
        <f>IF(N(S76)&gt;0,IF(S76&lt;Handicap19, Perdu,IF(S76=Handicap19,IF(BW20=Handicap5,Exaequo,Gagne))),"")</f>
        <v/>
      </c>
      <c r="U77" s="52"/>
      <c r="V77" s="46" t="str">
        <f>IF(N(BY20)&gt;0,IF(N(U76)=BY20,"-","Err"),"")</f>
        <v/>
      </c>
      <c r="W77" s="9"/>
      <c r="X77" s="51" t="str">
        <f>IF(N(W76)&gt;0,IF(W76&lt;Handicap19, Perdu,IF(W76=Handicap19,IF(BW24=Handicap6,Exaequo,Gagne))),"")</f>
        <v/>
      </c>
      <c r="Y77" s="52"/>
      <c r="Z77" s="46" t="str">
        <f>IF(N(BY24)&gt;0,IF(N(Y76)=BY24,"-","Err"),"")</f>
        <v/>
      </c>
      <c r="AA77" s="9"/>
      <c r="AB77" s="51" t="str">
        <f>IF(N(AA76)&gt;0,IF(AA76&lt;Handicap19, Perdu,IF(AA76=Handicap19,IF(BW28=Handicap7,Exaequo,Gagne))),"")</f>
        <v/>
      </c>
      <c r="AC77" s="52"/>
      <c r="AD77" s="46" t="str">
        <f>IF(N(BY28)&gt;0,IF(N(AC76)=BY28,"-","Err"),"")</f>
        <v/>
      </c>
      <c r="AE77" s="9"/>
      <c r="AF77" s="51" t="str">
        <f>IF(N(AE76)&gt;0,IF(AE76&lt;Handicap19, Perdu,IF(AE76=Handicap19,IF(BW32=Handicap8,Exaequo,Gagne))),"")</f>
        <v/>
      </c>
      <c r="AG77" s="52"/>
      <c r="AH77" s="46" t="str">
        <f>IF(N(BY32)&gt;0,IF(N(AG76)=BY32,"-","Err"),"")</f>
        <v/>
      </c>
      <c r="AI77" s="9"/>
      <c r="AJ77" s="51" t="str">
        <f>IF(N(AI76)&gt;0,IF(AI76&lt;Handicap19, Perdu,IF(AI76=Handicap19,IF(BW36=Handicap9,Exaequo,Gagne))),"")</f>
        <v/>
      </c>
      <c r="AK77" s="52"/>
      <c r="AL77" s="46" t="str">
        <f>IF(N(BY36)&gt;0,IF(N(AK76)=BY36,"-","Err"),"")</f>
        <v/>
      </c>
      <c r="AM77" s="9"/>
      <c r="AN77" s="51" t="str">
        <f>IF(N(AM76)&gt;0,IF(AM76&lt;Handicap19, Perdu,IF(AM76=Handicap19,IF(BW40=Handicap10,Exaequo,Gagne))),"")</f>
        <v/>
      </c>
      <c r="AO77" s="52"/>
      <c r="AP77" s="46" t="str">
        <f>IF(N(BY40)&gt;0,IF(N(AO76)=BY40,"-","Err"),"")</f>
        <v/>
      </c>
      <c r="AQ77" s="9"/>
      <c r="AR77" s="51" t="str">
        <f>IF(N(AQ76)&gt;0,IF(AQ76&lt;Handicap19, Perdu,IF(AQ76=Handicap19,IF(BW44=Handicap11,Exaequo,Gagne))),"")</f>
        <v/>
      </c>
      <c r="AS77" s="52"/>
      <c r="AT77" s="46" t="str">
        <f>IF(N(BY44)&gt;0,IF(N(AS76)=BY44,"-","Err"),"")</f>
        <v/>
      </c>
      <c r="AU77" s="9"/>
      <c r="AV77" s="51" t="str">
        <f>IF(N(AU76)&gt;0,IF(AU76&lt;Handicap19, Perdu,IF(AU76=Handicap19,IF(BW48=Handicap12,Exaequo,Gagne))),"")</f>
        <v/>
      </c>
      <c r="AW77" s="52"/>
      <c r="AX77" s="46" t="str">
        <f>IF(N(BY48)&gt;0,IF(N(AW76)=BY48,"-","Err"),"")</f>
        <v/>
      </c>
      <c r="AY77" s="9"/>
      <c r="AZ77" s="51" t="str">
        <f>IF(N(AY76)&gt;0,IF(AY76&lt;Handicap19, Perdu,IF(AY76=Handicap19,IF(BW52=Handicap13,Exaequo,Gagne))),"")</f>
        <v>P</v>
      </c>
      <c r="BA77" s="52"/>
      <c r="BB77" s="46" t="str">
        <f>IF(N(BY52)&gt;0,IF(N(BA76)=BY52,"-","Err"),"")</f>
        <v>-</v>
      </c>
      <c r="BC77" s="9"/>
      <c r="BD77" s="51" t="str">
        <f>IF(N(BC76)&gt;0,IF(BC76&lt;Handicap19, Perdu,IF(BC76=Handicap19,IF(BW56=hANDICAP14,Exaequo,Gagne))),"")</f>
        <v/>
      </c>
      <c r="BE77" s="52"/>
      <c r="BF77" s="46" t="str">
        <f>IF(N(BY56)&gt;0,IF(N(BE76)=BY56,"-","Err"),"")</f>
        <v/>
      </c>
      <c r="BG77" s="9"/>
      <c r="BH77" s="51" t="str">
        <f>IF(N(BG76)&gt;0,IF(BG76&lt;Handicap19, Perdu,IF(BG76=Handicap19,IF(BW60=Handicap15,Exaequo,Gagne))),"")</f>
        <v/>
      </c>
      <c r="BI77" s="52"/>
      <c r="BJ77" s="46" t="str">
        <f>IF(N(BY60)&gt;0,IF(N(BI76)=BY60,"-","Err"),"")</f>
        <v/>
      </c>
      <c r="BK77" s="9"/>
      <c r="BL77" s="51" t="str">
        <f>IF(N(BK76)&gt;0,IF(BK76&lt;Handicap19, Perdu,IF(BK76=Handicap19,IF(BW64=Handicap16,Exaequo,Gagne))),"")</f>
        <v/>
      </c>
      <c r="BM77" s="52"/>
      <c r="BN77" s="46" t="str">
        <f>IF(N(BY64)&gt;0,IF(N(BM76)=BY64,"-","Err"),"")</f>
        <v/>
      </c>
      <c r="BO77" s="9"/>
      <c r="BP77" s="51" t="str">
        <f>IF(N(BO76)&gt;0,IF(BO76&lt;Handicap19, Perdu,IF(BO76=Handicap19,IF(BW68=Handicap17,Exaequo,Gagne))),"")</f>
        <v/>
      </c>
      <c r="BQ77" s="52"/>
      <c r="BR77" s="46" t="str">
        <f>IF(N(BY68)&gt;0,IF(N(BQ76)=BY68,"-","Err"),"")</f>
        <v/>
      </c>
      <c r="BS77" s="9"/>
      <c r="BT77" s="51" t="str">
        <f>IF(N(BS76)&gt;0,IF(BS76&lt;Handicap19, Perdu,IF(BS76=Handicap19,IF(BW72=Handicap18,Exaequo,Gagne))),"")</f>
        <v/>
      </c>
      <c r="BU77" s="52"/>
      <c r="BV77" s="46" t="str">
        <f>IF(N(BY72)&gt;0,IF(N(BU76)=BY72,"-","Err"),"")</f>
        <v/>
      </c>
      <c r="BW77" s="86"/>
      <c r="BX77" s="87"/>
      <c r="BY77" s="87"/>
      <c r="BZ77" s="88"/>
      <c r="CA77" s="9"/>
      <c r="CB77" s="51" t="str">
        <f>IF(N(CA76)&gt;0,IF(CA76&lt;Handicap19, Perdu,IF(CA76=Handicap19,IF(BW80=Handicap20,Exaequo,Gagne))),"")</f>
        <v/>
      </c>
      <c r="CC77" s="52"/>
      <c r="CD77" s="46" t="str">
        <f>IF(N(BY80)&gt;0,IF(N(CC76)=BY80,"-","Err"),"")</f>
        <v/>
      </c>
      <c r="CE77" s="9"/>
      <c r="CF77" s="51" t="str">
        <f>IF(N(CE76)&gt;0,IF(CE76&lt;Handicap19, Perdu,IF(CE76=Handicap19,IF(BW84=Handicap21,Exaequo,Gagne))),"")</f>
        <v/>
      </c>
      <c r="CG77" s="52"/>
      <c r="CH77" s="46" t="str">
        <f>IF(N(BY84)&gt;0,IF(N(CG76)=BY84,"-","Err"),"")</f>
        <v/>
      </c>
      <c r="CI77" s="9"/>
      <c r="CJ77" s="51" t="str">
        <f>IF(N(CI76)&gt;0,IF(CI76&lt;Handicap19, Perdu,IF(CI76=Handicap19,IF(BW88=Handicap22,Exaequo,Gagne))),"")</f>
        <v/>
      </c>
      <c r="CK77" s="52"/>
      <c r="CL77" s="46" t="str">
        <f>IF(N(BY88)&gt;0,IF(N(CK76)=BY88,"-","Err"),"")</f>
        <v/>
      </c>
      <c r="CM77" s="46" t="str">
        <f>IF(N(CM76)&gt;Handicap19,"Err","-")</f>
        <v>-</v>
      </c>
      <c r="CN77" s="51" t="str">
        <f>IF(N(CM76)&gt;0,IF(CM76&lt;Handicap19, Perdu,IF(CM76=Handicap19,IF(BW92=Handicap23,Exaequo,Gagne))),"")</f>
        <v/>
      </c>
      <c r="CO77" s="52"/>
      <c r="CP77" s="46" t="str">
        <f>IF(N(BY92)&gt;0,IF(N(CO76)=BY92,"-","Err"),"")</f>
        <v/>
      </c>
      <c r="CQ77" s="30"/>
      <c r="CR77" s="64" t="s">
        <v>6</v>
      </c>
      <c r="CS77" s="66">
        <f>(COUNTIF(C77:CP77,"G")*3)+(COUNTIF(C77:CP77,"Ex")*2)+COUNTIF(C77:CP77,"P")</f>
        <v>1</v>
      </c>
      <c r="CT77" s="68" t="s">
        <v>2</v>
      </c>
      <c r="CU77" s="69"/>
      <c r="CV77" s="72">
        <f>COUNTIF(C77:CN77,"P")</f>
        <v>1</v>
      </c>
      <c r="CW77" s="60">
        <f>IF(CS76&gt;0,CV77/CS76,0)</f>
        <v>1</v>
      </c>
    </row>
    <row r="78" spans="2:101" ht="8.25" customHeight="1" x14ac:dyDescent="0.25">
      <c r="B78" s="81"/>
      <c r="C78" s="2"/>
      <c r="D78" s="53"/>
      <c r="E78" s="54"/>
      <c r="F78" s="46"/>
      <c r="G78" s="2"/>
      <c r="H78" s="53"/>
      <c r="I78" s="54"/>
      <c r="J78" s="46"/>
      <c r="K78" s="2"/>
      <c r="L78" s="53"/>
      <c r="M78" s="54"/>
      <c r="N78" s="46"/>
      <c r="O78" s="2"/>
      <c r="P78" s="53"/>
      <c r="Q78" s="54"/>
      <c r="R78" s="46"/>
      <c r="S78" s="2"/>
      <c r="T78" s="53"/>
      <c r="U78" s="54"/>
      <c r="V78" s="46"/>
      <c r="W78" s="2"/>
      <c r="X78" s="53"/>
      <c r="Y78" s="54"/>
      <c r="Z78" s="46"/>
      <c r="AA78" s="2"/>
      <c r="AB78" s="53"/>
      <c r="AC78" s="54"/>
      <c r="AD78" s="46"/>
      <c r="AE78" s="2"/>
      <c r="AF78" s="53"/>
      <c r="AG78" s="54"/>
      <c r="AH78" s="46"/>
      <c r="AI78" s="2"/>
      <c r="AJ78" s="53"/>
      <c r="AK78" s="54"/>
      <c r="AL78" s="46"/>
      <c r="AM78" s="2"/>
      <c r="AN78" s="53"/>
      <c r="AO78" s="54"/>
      <c r="AP78" s="46"/>
      <c r="AQ78" s="2"/>
      <c r="AR78" s="53"/>
      <c r="AS78" s="54"/>
      <c r="AT78" s="46"/>
      <c r="AU78" s="2"/>
      <c r="AV78" s="53"/>
      <c r="AW78" s="54"/>
      <c r="AX78" s="46"/>
      <c r="AY78" s="2"/>
      <c r="AZ78" s="53"/>
      <c r="BA78" s="54"/>
      <c r="BB78" s="46"/>
      <c r="BC78" s="2"/>
      <c r="BD78" s="53"/>
      <c r="BE78" s="54"/>
      <c r="BF78" s="46"/>
      <c r="BG78" s="2"/>
      <c r="BH78" s="53"/>
      <c r="BI78" s="54"/>
      <c r="BJ78" s="46"/>
      <c r="BK78" s="2"/>
      <c r="BL78" s="53"/>
      <c r="BM78" s="54"/>
      <c r="BN78" s="46"/>
      <c r="BO78" s="2"/>
      <c r="BP78" s="53"/>
      <c r="BQ78" s="54"/>
      <c r="BR78" s="46"/>
      <c r="BS78" s="2"/>
      <c r="BT78" s="53"/>
      <c r="BU78" s="54"/>
      <c r="BV78" s="46"/>
      <c r="BW78" s="86"/>
      <c r="BX78" s="87"/>
      <c r="BY78" s="87"/>
      <c r="BZ78" s="88"/>
      <c r="CA78" s="2"/>
      <c r="CB78" s="53"/>
      <c r="CC78" s="54"/>
      <c r="CD78" s="46"/>
      <c r="CE78" s="2"/>
      <c r="CF78" s="53"/>
      <c r="CG78" s="54"/>
      <c r="CH78" s="46"/>
      <c r="CI78" s="2"/>
      <c r="CJ78" s="53"/>
      <c r="CK78" s="54"/>
      <c r="CL78" s="46"/>
      <c r="CM78" s="46"/>
      <c r="CN78" s="53"/>
      <c r="CO78" s="54"/>
      <c r="CP78" s="46"/>
      <c r="CQ78" s="30"/>
      <c r="CR78" s="65"/>
      <c r="CS78" s="67"/>
      <c r="CT78" s="70"/>
      <c r="CU78" s="71"/>
      <c r="CV78" s="72"/>
      <c r="CW78" s="60"/>
    </row>
    <row r="79" spans="2:101" ht="15" customHeight="1" x14ac:dyDescent="0.25">
      <c r="B79" s="82"/>
      <c r="C79" s="55" t="str">
        <f>IF(COUNT(C76:E76)=2,C76/E76,"Moy")</f>
        <v>Moy</v>
      </c>
      <c r="D79" s="56"/>
      <c r="E79" s="56" t="s">
        <v>0</v>
      </c>
      <c r="F79" s="59"/>
      <c r="G79" s="55" t="str">
        <f>IF(COUNT(G76:I76)=2,G76/I76,"Moy")</f>
        <v>Moy</v>
      </c>
      <c r="H79" s="56"/>
      <c r="I79" s="56" t="s">
        <v>0</v>
      </c>
      <c r="J79" s="59"/>
      <c r="K79" s="55" t="str">
        <f>IF(COUNT(K76:M76)=2,K76/M76,"Moy")</f>
        <v>Moy</v>
      </c>
      <c r="L79" s="56"/>
      <c r="M79" s="56" t="s">
        <v>0</v>
      </c>
      <c r="N79" s="59"/>
      <c r="O79" s="55" t="str">
        <f>IF(COUNT(O76:Q76)=2,O76/Q76,"Moy")</f>
        <v>Moy</v>
      </c>
      <c r="P79" s="56"/>
      <c r="Q79" s="56" t="s">
        <v>0</v>
      </c>
      <c r="R79" s="59"/>
      <c r="S79" s="55" t="str">
        <f>IF(COUNT(S76:U76)=2,S76/U76,"Moy")</f>
        <v>Moy</v>
      </c>
      <c r="T79" s="56"/>
      <c r="U79" s="56" t="s">
        <v>0</v>
      </c>
      <c r="V79" s="59"/>
      <c r="W79" s="55" t="str">
        <f>IF(COUNT(W76:Y76)=2,W76/Y76,"Moy")</f>
        <v>Moy</v>
      </c>
      <c r="X79" s="56"/>
      <c r="Y79" s="56" t="s">
        <v>0</v>
      </c>
      <c r="Z79" s="59"/>
      <c r="AA79" s="55" t="str">
        <f>IF(COUNT(AA76:AC76)=2,AA76/AC76,"Moy")</f>
        <v>Moy</v>
      </c>
      <c r="AB79" s="56"/>
      <c r="AC79" s="56" t="s">
        <v>0</v>
      </c>
      <c r="AD79" s="59"/>
      <c r="AE79" s="55" t="str">
        <f>IF(COUNT(AE76:AG76)=2,AE76/AG76,"Moy")</f>
        <v>Moy</v>
      </c>
      <c r="AF79" s="56"/>
      <c r="AG79" s="56" t="s">
        <v>0</v>
      </c>
      <c r="AH79" s="59"/>
      <c r="AI79" s="55" t="str">
        <f>IF(COUNT(AI76:AK76)=2,AI76/AK76,"Moy")</f>
        <v>Moy</v>
      </c>
      <c r="AJ79" s="56"/>
      <c r="AK79" s="56" t="s">
        <v>0</v>
      </c>
      <c r="AL79" s="59"/>
      <c r="AM79" s="55" t="str">
        <f>IF(COUNT(AM76:AO76)=2,AM76/AO76,"Moy")</f>
        <v>Moy</v>
      </c>
      <c r="AN79" s="56"/>
      <c r="AO79" s="56" t="s">
        <v>0</v>
      </c>
      <c r="AP79" s="59"/>
      <c r="AQ79" s="55" t="str">
        <f>IF(COUNT(AQ76:AS76)=2,AQ76/AS76,"Moy")</f>
        <v>Moy</v>
      </c>
      <c r="AR79" s="56"/>
      <c r="AS79" s="56" t="s">
        <v>0</v>
      </c>
      <c r="AT79" s="59"/>
      <c r="AU79" s="55" t="str">
        <f>IF(COUNT(AU76:AW76)=2,AU76/AW76,"Moy")</f>
        <v>Moy</v>
      </c>
      <c r="AV79" s="56"/>
      <c r="AW79" s="56" t="s">
        <v>0</v>
      </c>
      <c r="AX79" s="59"/>
      <c r="AY79" s="55">
        <f>IF(COUNT(AY76:BA76)=2,AY76/BA76,"Moy")</f>
        <v>0.8</v>
      </c>
      <c r="AZ79" s="56"/>
      <c r="BA79" s="56">
        <v>9</v>
      </c>
      <c r="BB79" s="59"/>
      <c r="BC79" s="55" t="str">
        <f>IF(COUNT(BC76:BE76)=2,BC76/BE76,"Moy")</f>
        <v>Moy</v>
      </c>
      <c r="BD79" s="56"/>
      <c r="BE79" s="56" t="s">
        <v>0</v>
      </c>
      <c r="BF79" s="59"/>
      <c r="BG79" s="55" t="str">
        <f>IF(COUNT(BG76:BI76)=2,BG76/BI76,"Moy")</f>
        <v>Moy</v>
      </c>
      <c r="BH79" s="56"/>
      <c r="BI79" s="56" t="s">
        <v>0</v>
      </c>
      <c r="BJ79" s="59"/>
      <c r="BK79" s="55" t="str">
        <f>IF(COUNT(BK76:BM76)=2,BK76/BM76,"Moy")</f>
        <v>Moy</v>
      </c>
      <c r="BL79" s="56"/>
      <c r="BM79" s="56" t="s">
        <v>0</v>
      </c>
      <c r="BN79" s="59"/>
      <c r="BO79" s="55" t="str">
        <f>IF(COUNT(BO76:BQ76)=2,BO76/BQ76,"Moy")</f>
        <v>Moy</v>
      </c>
      <c r="BP79" s="56"/>
      <c r="BQ79" s="56" t="s">
        <v>0</v>
      </c>
      <c r="BR79" s="59"/>
      <c r="BS79" s="55" t="str">
        <f>IF(COUNT(BS76:BU76)=2,BS76/BU76,"Moy")</f>
        <v>Moy</v>
      </c>
      <c r="BT79" s="56"/>
      <c r="BU79" s="56" t="s">
        <v>0</v>
      </c>
      <c r="BV79" s="59"/>
      <c r="BW79" s="89"/>
      <c r="BX79" s="90"/>
      <c r="BY79" s="90"/>
      <c r="BZ79" s="91"/>
      <c r="CA79" s="55" t="str">
        <f>IF(COUNT(CA76:CC76)=2,CA76/CC76,"Moy")</f>
        <v>Moy</v>
      </c>
      <c r="CB79" s="56"/>
      <c r="CC79" s="56" t="s">
        <v>0</v>
      </c>
      <c r="CD79" s="59"/>
      <c r="CE79" s="55" t="str">
        <f>IF(COUNT(CE76:CG76)=2,CE76/CG76,"Moy")</f>
        <v>Moy</v>
      </c>
      <c r="CF79" s="56"/>
      <c r="CG79" s="56" t="s">
        <v>0</v>
      </c>
      <c r="CH79" s="59"/>
      <c r="CI79" s="55" t="str">
        <f>IF(COUNT(CI76:CK76)=2,CI76/CK76,"Moy")</f>
        <v>Moy</v>
      </c>
      <c r="CJ79" s="56"/>
      <c r="CK79" s="56" t="s">
        <v>0</v>
      </c>
      <c r="CL79" s="59"/>
      <c r="CM79" s="55" t="str">
        <f>IF(COUNT(CM76:CO76)=2,CM76/CO76,"Moy")</f>
        <v>Moy</v>
      </c>
      <c r="CN79" s="56"/>
      <c r="CO79" s="56" t="s">
        <v>0</v>
      </c>
      <c r="CP79" s="59"/>
      <c r="CQ79" s="22"/>
      <c r="CR79" s="8" t="s">
        <v>5</v>
      </c>
      <c r="CS79" s="17">
        <f>IF(CS76&gt;0,((N(C79)+N(G79)+N(K79)+N(O79)+N(S79)+N(W79)+N(AA79)+N(AE79)+N(AI79)+N(AM79)+N(AQ79)+N(AU79)+N(AY79)+N(BC79)+N(BG79)+N(BK79)+N(BO79)+N(BS79)+N(BW79)+N(CA79)+N(CE79)+N(CI79))+N(CM79))/CS76,0)</f>
        <v>0.8</v>
      </c>
      <c r="CT79" s="61" t="s">
        <v>3</v>
      </c>
      <c r="CU79" s="62"/>
      <c r="CV79" s="18">
        <f>COUNTIF(C77:CN77,"Ex")</f>
        <v>0</v>
      </c>
      <c r="CW79" s="19">
        <f>IF(CS76&gt;0,CV79/CS76,0)</f>
        <v>0</v>
      </c>
    </row>
    <row r="80" spans="2:101" ht="15" customHeight="1" x14ac:dyDescent="0.25">
      <c r="B80" s="92" t="s">
        <v>52</v>
      </c>
      <c r="C80" s="47" t="s">
        <v>22</v>
      </c>
      <c r="D80" s="48"/>
      <c r="E80" s="49" t="s">
        <v>23</v>
      </c>
      <c r="F80" s="50"/>
      <c r="G80" s="47" t="s">
        <v>22</v>
      </c>
      <c r="H80" s="48"/>
      <c r="I80" s="49" t="s">
        <v>23</v>
      </c>
      <c r="J80" s="50"/>
      <c r="K80" s="47" t="s">
        <v>22</v>
      </c>
      <c r="L80" s="48"/>
      <c r="M80" s="49" t="s">
        <v>23</v>
      </c>
      <c r="N80" s="50"/>
      <c r="O80" s="47" t="s">
        <v>22</v>
      </c>
      <c r="P80" s="48"/>
      <c r="Q80" s="49" t="s">
        <v>23</v>
      </c>
      <c r="R80" s="50"/>
      <c r="S80" s="47" t="s">
        <v>22</v>
      </c>
      <c r="T80" s="48"/>
      <c r="U80" s="49" t="s">
        <v>23</v>
      </c>
      <c r="V80" s="50"/>
      <c r="W80" s="47" t="s">
        <v>22</v>
      </c>
      <c r="X80" s="48"/>
      <c r="Y80" s="49" t="s">
        <v>23</v>
      </c>
      <c r="Z80" s="50"/>
      <c r="AA80" s="47">
        <v>10</v>
      </c>
      <c r="AB80" s="48"/>
      <c r="AC80" s="49">
        <v>23</v>
      </c>
      <c r="AD80" s="50"/>
      <c r="AE80" s="47">
        <v>30</v>
      </c>
      <c r="AF80" s="48"/>
      <c r="AG80" s="49">
        <v>61</v>
      </c>
      <c r="AH80" s="50"/>
      <c r="AI80" s="47" t="s">
        <v>22</v>
      </c>
      <c r="AJ80" s="48"/>
      <c r="AK80" s="49" t="s">
        <v>23</v>
      </c>
      <c r="AL80" s="50"/>
      <c r="AM80" s="47" t="s">
        <v>22</v>
      </c>
      <c r="AN80" s="48"/>
      <c r="AO80" s="49" t="s">
        <v>23</v>
      </c>
      <c r="AP80" s="50"/>
      <c r="AQ80" s="47" t="s">
        <v>22</v>
      </c>
      <c r="AR80" s="48"/>
      <c r="AS80" s="49" t="s">
        <v>23</v>
      </c>
      <c r="AT80" s="50"/>
      <c r="AU80" s="47" t="s">
        <v>22</v>
      </c>
      <c r="AV80" s="48"/>
      <c r="AW80" s="49" t="s">
        <v>23</v>
      </c>
      <c r="AX80" s="50"/>
      <c r="AY80" s="47">
        <v>19</v>
      </c>
      <c r="AZ80" s="48"/>
      <c r="BA80" s="49">
        <v>45</v>
      </c>
      <c r="BB80" s="50"/>
      <c r="BC80" s="47" t="s">
        <v>22</v>
      </c>
      <c r="BD80" s="48"/>
      <c r="BE80" s="49" t="s">
        <v>23</v>
      </c>
      <c r="BF80" s="50"/>
      <c r="BG80" s="47" t="s">
        <v>22</v>
      </c>
      <c r="BH80" s="48"/>
      <c r="BI80" s="49" t="s">
        <v>23</v>
      </c>
      <c r="BJ80" s="50"/>
      <c r="BK80" s="47">
        <v>23</v>
      </c>
      <c r="BL80" s="48"/>
      <c r="BM80" s="49">
        <v>55</v>
      </c>
      <c r="BN80" s="50"/>
      <c r="BO80" s="47" t="s">
        <v>22</v>
      </c>
      <c r="BP80" s="48"/>
      <c r="BQ80" s="49" t="s">
        <v>23</v>
      </c>
      <c r="BR80" s="50"/>
      <c r="BS80" s="47">
        <v>30</v>
      </c>
      <c r="BT80" s="48"/>
      <c r="BU80" s="49">
        <v>73</v>
      </c>
      <c r="BV80" s="50"/>
      <c r="BW80" s="47" t="s">
        <v>22</v>
      </c>
      <c r="BX80" s="48"/>
      <c r="BY80" s="49" t="s">
        <v>23</v>
      </c>
      <c r="BZ80" s="50"/>
      <c r="CA80" s="83">
        <v>30</v>
      </c>
      <c r="CB80" s="84"/>
      <c r="CC80" s="84"/>
      <c r="CD80" s="85"/>
      <c r="CE80" s="47" t="s">
        <v>22</v>
      </c>
      <c r="CF80" s="48"/>
      <c r="CG80" s="49" t="s">
        <v>23</v>
      </c>
      <c r="CH80" s="50"/>
      <c r="CI80" s="47" t="s">
        <v>22</v>
      </c>
      <c r="CJ80" s="48"/>
      <c r="CK80" s="49" t="s">
        <v>23</v>
      </c>
      <c r="CL80" s="50"/>
      <c r="CM80" s="47" t="s">
        <v>22</v>
      </c>
      <c r="CN80" s="48"/>
      <c r="CO80" s="49" t="s">
        <v>23</v>
      </c>
      <c r="CP80" s="50"/>
      <c r="CQ80" s="23"/>
      <c r="CR80" s="7" t="s">
        <v>11</v>
      </c>
      <c r="CS80" s="14">
        <f>COUNTIF(C81:CN81,"G")+COUNTIF(C81:CN81,"Ex")+COUNTIF(C81:CN81,"P")</f>
        <v>5</v>
      </c>
      <c r="CT80" s="63" t="s">
        <v>1</v>
      </c>
      <c r="CU80" s="62"/>
      <c r="CV80" s="15">
        <f>COUNTIF(C81:CN81,"G")</f>
        <v>2</v>
      </c>
      <c r="CW80" s="16">
        <f>IF(CS80&gt;0,CV80/CS80,0)</f>
        <v>0.4</v>
      </c>
    </row>
    <row r="81" spans="2:101" ht="8.25" customHeight="1" x14ac:dyDescent="0.25">
      <c r="B81" s="93"/>
      <c r="C81" s="9"/>
      <c r="D81" s="51" t="str">
        <f>IF(N(C80)&gt;0,IF(C80&lt;Handicap20, Perdu,IF(C80=Handicap20,IF(CA4=Handicap1,Exaequo,Gagne))),"")</f>
        <v/>
      </c>
      <c r="E81" s="52"/>
      <c r="F81" s="46" t="str">
        <f>IF(N(CC4)&gt;0,IF(N(E80)=CC4,"-","Err"),"")</f>
        <v/>
      </c>
      <c r="G81" s="9"/>
      <c r="H81" s="51" t="str">
        <f>IF(N(G80)&gt;0,IF(G80&lt;Handicap20, Perdu,IF(G80=Handicap20,IF(CA8=Handicap2,Exaequo,Gagne))),"")</f>
        <v/>
      </c>
      <c r="I81" s="52"/>
      <c r="J81" s="46" t="str">
        <f>IF(N(CC8)&gt;0,IF(N(I80)=CC8,"-","Err"),"")</f>
        <v/>
      </c>
      <c r="K81" s="9"/>
      <c r="L81" s="51" t="str">
        <f>IF(N(K80)&gt;0,IF(K80&lt;Handicap20, Perdu,IF(K80=Handicap20,IF(CA12=Handicap3,Exaequo,Gagne))),"")</f>
        <v/>
      </c>
      <c r="M81" s="52"/>
      <c r="N81" s="46" t="str">
        <f>IF(N(CC16)&gt;0,IF(N(M80)=CC16,"-","Err"),"")</f>
        <v/>
      </c>
      <c r="O81" s="9"/>
      <c r="P81" s="51" t="str">
        <f>IF(N(O80)&gt;0,IF(O80&lt;Handicap20, Perdu,IF(O80=Handicap20,IF(CA16=Handicap4,Exaequo,Gagne))),"")</f>
        <v/>
      </c>
      <c r="Q81" s="52"/>
      <c r="R81" s="46" t="str">
        <f>IF(N(CG12)&gt;0,IF(N(Q80)=CG12,"-","Err"),"")</f>
        <v/>
      </c>
      <c r="S81" s="9"/>
      <c r="T81" s="51" t="str">
        <f>IF(N(S80)&gt;0,IF(S80&lt;Handicap20, Perdu,IF(S80=Handicap20,IF(CA20=Handicap5,Exaequo,Gagne))),"")</f>
        <v/>
      </c>
      <c r="U81" s="52"/>
      <c r="V81" s="46" t="str">
        <f>IF(N(CC20)&gt;0,IF(N(U80)=CC20,"-","Err"),"")</f>
        <v/>
      </c>
      <c r="W81" s="9"/>
      <c r="X81" s="51" t="str">
        <f>IF(N(W80)&gt;0,IF(W80&lt;Handicap20, Perdu,IF(W80=Handicap20,IF(CA24=Handicap6,Exaequo,Gagne))),"")</f>
        <v/>
      </c>
      <c r="Y81" s="52"/>
      <c r="Z81" s="46" t="str">
        <f>IF(N(CC24)&gt;0,IF(N(Y80)=CC24,"-","Err"),"")</f>
        <v/>
      </c>
      <c r="AA81" s="9"/>
      <c r="AB81" s="51" t="str">
        <f>IF(N(AA80)&gt;0,IF(AA80&lt;Handicap20, Perdu,IF(AA80=Handicap20,IF(CA28=Handicap7,Exaequo,Gagne))),"")</f>
        <v>P</v>
      </c>
      <c r="AC81" s="52"/>
      <c r="AD81" s="46" t="str">
        <f>IF(N(CC28)&gt;0,IF(N(AC80)=CC28,"-","Err"),"")</f>
        <v>-</v>
      </c>
      <c r="AE81" s="9"/>
      <c r="AF81" s="51" t="str">
        <f>IF(N(AE80)&gt;0,IF(AE80&lt;Handicap20, Perdu,IF(AE80=Handicap20,IF(CA32=Handicap8,Exaequo,Gagne))),"")</f>
        <v>G</v>
      </c>
      <c r="AG81" s="52"/>
      <c r="AH81" s="46" t="str">
        <f>IF(N(CC32)&gt;0,IF(N(AG80)=CC32,"-","Err"),"")</f>
        <v>-</v>
      </c>
      <c r="AI81" s="9"/>
      <c r="AJ81" s="51" t="str">
        <f>IF(N(AI80)&gt;0,IF(AI80&lt;Handicap20, Perdu,IF(AI80=Handicap20,IF(CA36=Handicap9,Exaequo,Gagne))),"")</f>
        <v/>
      </c>
      <c r="AK81" s="52"/>
      <c r="AL81" s="46" t="str">
        <f>IF(N(CC36)&gt;0,IF(N(AK80)=CC36,"-","Err"),"")</f>
        <v/>
      </c>
      <c r="AM81" s="9"/>
      <c r="AN81" s="51" t="str">
        <f>IF(N(AM80)&gt;0,IF(AM80&lt;Handicap20, Perdu,IF(AM80=Handicap20,IF(CA40=Handicap10,Exaequo,Gagne))),"")</f>
        <v/>
      </c>
      <c r="AO81" s="52"/>
      <c r="AP81" s="46" t="str">
        <f>IF(N(CC40)&gt;0,IF(N(AO80)=CC40,"-","Err"),"")</f>
        <v/>
      </c>
      <c r="AQ81" s="9"/>
      <c r="AR81" s="51" t="str">
        <f>IF(N(AQ80)&gt;0,IF(AQ80&lt;Handicap20, Perdu,IF(AQ80=Handicap20,IF(CA44=Handicap11,Exaequo,Gagne))),"")</f>
        <v/>
      </c>
      <c r="AS81" s="52"/>
      <c r="AT81" s="46" t="str">
        <f>IF(N(CC44)&gt;0,IF(N(AS80)=CC44,"-","Err"),"")</f>
        <v/>
      </c>
      <c r="AU81" s="9"/>
      <c r="AV81" s="51" t="str">
        <f>IF(N(AU80)&gt;0,IF(AU80&lt;Handicap20, Perdu,IF(AU80=Handicap20,IF(CA48=Handicap12,Exaequo,Gagne))),"")</f>
        <v/>
      </c>
      <c r="AW81" s="52"/>
      <c r="AX81" s="46" t="str">
        <f>IF(N(CC48)&gt;0,IF(N(AW80)=CC48,"-","Err"),"")</f>
        <v/>
      </c>
      <c r="AY81" s="9"/>
      <c r="AZ81" s="51" t="str">
        <f>IF(N(AY80)&gt;0,IF(AY80&lt;Handicap20, Perdu,IF(AY80=Handicap20,IF(CA52=Handicap13,Exaequo,Gagne))),"")</f>
        <v>P</v>
      </c>
      <c r="BA81" s="52"/>
      <c r="BB81" s="46" t="str">
        <f>IF(N(CC52)&gt;0,IF(N(BA80)=CC52,"-","Err"),"")</f>
        <v>-</v>
      </c>
      <c r="BC81" s="9"/>
      <c r="BD81" s="51" t="str">
        <f>IF(N(BC80)&gt;0,IF(BC80&lt;Handicap20, Perdu,IF(BC80=Handicap20,IF(CA56=hANDICAP14,Exaequo,Gagne))),"")</f>
        <v/>
      </c>
      <c r="BE81" s="52"/>
      <c r="BF81" s="46" t="str">
        <f>IF(N(CC56)&gt;0,IF(N(BE80)=CC56,"-","Err"),"")</f>
        <v/>
      </c>
      <c r="BG81" s="9"/>
      <c r="BH81" s="51" t="str">
        <f>IF(N(BG80)&gt;0,IF(BG80&lt;Handicap20, Perdu,IF(BG80=Handicap20,IF(CA60=Handicap15,Exaequo,Gagne))),"")</f>
        <v/>
      </c>
      <c r="BI81" s="52"/>
      <c r="BJ81" s="46" t="str">
        <f>IF(N(CC60)&gt;0,IF(N(BI80)=CC60,"-","Err"),"")</f>
        <v/>
      </c>
      <c r="BK81" s="9"/>
      <c r="BL81" s="51" t="str">
        <f>IF(N(BK80)&gt;0,IF(BK80&lt;Handicap20, Perdu,IF(BK80=Handicap20,IF(CA64=Handicap16,Exaequo,Gagne))),"")</f>
        <v>P</v>
      </c>
      <c r="BM81" s="52"/>
      <c r="BN81" s="46" t="str">
        <f>IF(N(CC64)&gt;0,IF(N(BM80)=CC64,"-","Err"),"")</f>
        <v>-</v>
      </c>
      <c r="BO81" s="9"/>
      <c r="BP81" s="51" t="str">
        <f>IF(N(BO80)&gt;0,IF(BO80&lt;Handicap20, Perdu,IF(BO80=Handicap20,IF(CA68=Handicap17,Exaequo,Gagne))),"")</f>
        <v/>
      </c>
      <c r="BQ81" s="52"/>
      <c r="BR81" s="46" t="str">
        <f>IF(N(CC68)&gt;0,IF(N(BQ80)=CC68,"-","Err"),"")</f>
        <v/>
      </c>
      <c r="BS81" s="9"/>
      <c r="BT81" s="51" t="str">
        <f>IF(N(BS80)&gt;0,IF(BS80&lt;Handicap20, Perdu,IF(BS80=Handicap20,IF(CA72=Handicap18,Exaequo,Gagne))),"")</f>
        <v>G</v>
      </c>
      <c r="BU81" s="52"/>
      <c r="BV81" s="46" t="str">
        <f>IF(N(CC72)&gt;0,IF(N(BU80)=CC72,"-","Err"),"")</f>
        <v>-</v>
      </c>
      <c r="BW81" s="9"/>
      <c r="BX81" s="51" t="str">
        <f>IF(N(BW80)&gt;0,IF(BW80&lt;Handicap20, Perdu,IF(BW80=Handicap20,IF(CA76=Handicap19,Exaequo,Gagne))),"")</f>
        <v/>
      </c>
      <c r="BY81" s="52"/>
      <c r="BZ81" s="46" t="str">
        <f>IF(N(CC76)&gt;0,IF(N(BY80)=CC76,"-","Err"),"")</f>
        <v/>
      </c>
      <c r="CA81" s="86"/>
      <c r="CB81" s="87"/>
      <c r="CC81" s="87"/>
      <c r="CD81" s="88"/>
      <c r="CE81" s="9"/>
      <c r="CF81" s="51" t="str">
        <f>IF(N(CE80)&gt;0,IF(CE80&lt;Handicap20, Perdu,IF(CE80=Handicap20,IF(CA84=Handicap21,Exaequo,Gagne))),"")</f>
        <v/>
      </c>
      <c r="CG81" s="52"/>
      <c r="CH81" s="46" t="str">
        <f>IF(N(CC84)&gt;0,IF(N(CG80)=CC84,"-","Err"),"")</f>
        <v/>
      </c>
      <c r="CI81" s="9"/>
      <c r="CJ81" s="51" t="str">
        <f>IF(N(CI80)&gt;0,IF(CI80&lt;Handicap20, Perdu,IF(CI80=Handicap20,IF(CA88=Handicap22,Exaequo,Gagne))),"")</f>
        <v/>
      </c>
      <c r="CK81" s="52"/>
      <c r="CL81" s="46" t="str">
        <f>IF(N(CC88)&gt;0,IF(N(CK80)=CC88,"-","Err"),"")</f>
        <v/>
      </c>
      <c r="CM81" s="46" t="str">
        <f>IF(N(CM80)&gt;Handicap20,"Err","-")</f>
        <v>-</v>
      </c>
      <c r="CN81" s="51" t="str">
        <f>IF(N(CM80)&gt;0,IF(CM80&lt;Handicap20, Perdu,IF(CM80=Handicap20,IF(CA92=Handicap23,Exaequo,Gagne))),"")</f>
        <v/>
      </c>
      <c r="CO81" s="52"/>
      <c r="CP81" s="46" t="str">
        <f>IF(N(CC92)&gt;0,IF(N(CO80)=CC92,"-","Err"),"")</f>
        <v/>
      </c>
      <c r="CQ81" s="30"/>
      <c r="CR81" s="64" t="s">
        <v>6</v>
      </c>
      <c r="CS81" s="66">
        <f>(COUNTIF(C81:CP81,"G")*3)+(COUNTIF(C81:CP81,"Ex")*2)+COUNTIF(C81:CP81,"P")</f>
        <v>9</v>
      </c>
      <c r="CT81" s="68" t="s">
        <v>2</v>
      </c>
      <c r="CU81" s="69"/>
      <c r="CV81" s="72">
        <f>COUNTIF(C81:CN81,"P")</f>
        <v>3</v>
      </c>
      <c r="CW81" s="60">
        <f>IF(CS80&gt;0,CV81/CS80,0)</f>
        <v>0.6</v>
      </c>
    </row>
    <row r="82" spans="2:101" ht="8.25" customHeight="1" x14ac:dyDescent="0.25">
      <c r="B82" s="93"/>
      <c r="C82" s="2"/>
      <c r="D82" s="53"/>
      <c r="E82" s="54"/>
      <c r="F82" s="46"/>
      <c r="G82" s="2"/>
      <c r="H82" s="53"/>
      <c r="I82" s="54"/>
      <c r="J82" s="46"/>
      <c r="K82" s="2"/>
      <c r="L82" s="53"/>
      <c r="M82" s="54"/>
      <c r="N82" s="46"/>
      <c r="O82" s="2"/>
      <c r="P82" s="53"/>
      <c r="Q82" s="54"/>
      <c r="R82" s="46"/>
      <c r="S82" s="2"/>
      <c r="T82" s="53"/>
      <c r="U82" s="54"/>
      <c r="V82" s="46"/>
      <c r="W82" s="2"/>
      <c r="X82" s="53"/>
      <c r="Y82" s="54"/>
      <c r="Z82" s="46"/>
      <c r="AA82" s="2"/>
      <c r="AB82" s="53"/>
      <c r="AC82" s="54"/>
      <c r="AD82" s="46"/>
      <c r="AE82" s="2"/>
      <c r="AF82" s="53"/>
      <c r="AG82" s="54"/>
      <c r="AH82" s="46"/>
      <c r="AI82" s="2"/>
      <c r="AJ82" s="53"/>
      <c r="AK82" s="54"/>
      <c r="AL82" s="46"/>
      <c r="AM82" s="2"/>
      <c r="AN82" s="53"/>
      <c r="AO82" s="54"/>
      <c r="AP82" s="46"/>
      <c r="AQ82" s="2"/>
      <c r="AR82" s="53"/>
      <c r="AS82" s="54"/>
      <c r="AT82" s="46"/>
      <c r="AU82" s="2"/>
      <c r="AV82" s="53"/>
      <c r="AW82" s="54"/>
      <c r="AX82" s="46"/>
      <c r="AY82" s="2"/>
      <c r="AZ82" s="53"/>
      <c r="BA82" s="54"/>
      <c r="BB82" s="46"/>
      <c r="BC82" s="2"/>
      <c r="BD82" s="53"/>
      <c r="BE82" s="54"/>
      <c r="BF82" s="46"/>
      <c r="BG82" s="2"/>
      <c r="BH82" s="53"/>
      <c r="BI82" s="54"/>
      <c r="BJ82" s="46"/>
      <c r="BK82" s="2"/>
      <c r="BL82" s="53"/>
      <c r="BM82" s="54"/>
      <c r="BN82" s="46"/>
      <c r="BO82" s="2"/>
      <c r="BP82" s="53"/>
      <c r="BQ82" s="54"/>
      <c r="BR82" s="46"/>
      <c r="BS82" s="2"/>
      <c r="BT82" s="53"/>
      <c r="BU82" s="54"/>
      <c r="BV82" s="46"/>
      <c r="BW82" s="2"/>
      <c r="BX82" s="53"/>
      <c r="BY82" s="54"/>
      <c r="BZ82" s="46"/>
      <c r="CA82" s="86"/>
      <c r="CB82" s="87"/>
      <c r="CC82" s="87"/>
      <c r="CD82" s="88"/>
      <c r="CE82" s="2"/>
      <c r="CF82" s="53"/>
      <c r="CG82" s="54"/>
      <c r="CH82" s="46"/>
      <c r="CI82" s="2"/>
      <c r="CJ82" s="53"/>
      <c r="CK82" s="54"/>
      <c r="CL82" s="46"/>
      <c r="CM82" s="46"/>
      <c r="CN82" s="53"/>
      <c r="CO82" s="54"/>
      <c r="CP82" s="46"/>
      <c r="CQ82" s="30"/>
      <c r="CR82" s="65"/>
      <c r="CS82" s="67"/>
      <c r="CT82" s="70"/>
      <c r="CU82" s="71"/>
      <c r="CV82" s="72"/>
      <c r="CW82" s="60"/>
    </row>
    <row r="83" spans="2:101" ht="15" customHeight="1" x14ac:dyDescent="0.25">
      <c r="B83" s="94"/>
      <c r="C83" s="55" t="str">
        <f>IF(COUNT(C80:E80)=2,C80/E80,"Moy")</f>
        <v>Moy</v>
      </c>
      <c r="D83" s="56"/>
      <c r="E83" s="56" t="s">
        <v>0</v>
      </c>
      <c r="F83" s="59"/>
      <c r="G83" s="55" t="str">
        <f>IF(COUNT(G80:I80)=2,G80/I80,"Moy")</f>
        <v>Moy</v>
      </c>
      <c r="H83" s="56"/>
      <c r="I83" s="56" t="s">
        <v>0</v>
      </c>
      <c r="J83" s="59"/>
      <c r="K83" s="55" t="str">
        <f>IF(COUNT(K80:M80)=2,K80/M80,"Moy")</f>
        <v>Moy</v>
      </c>
      <c r="L83" s="56"/>
      <c r="M83" s="56" t="s">
        <v>0</v>
      </c>
      <c r="N83" s="59"/>
      <c r="O83" s="55" t="str">
        <f>IF(COUNT(O80:Q80)=2,O80/Q80,"Moy")</f>
        <v>Moy</v>
      </c>
      <c r="P83" s="56"/>
      <c r="Q83" s="56" t="s">
        <v>0</v>
      </c>
      <c r="R83" s="59"/>
      <c r="S83" s="55" t="str">
        <f>IF(COUNT(S80:U80)=2,S80/U80,"Moy")</f>
        <v>Moy</v>
      </c>
      <c r="T83" s="56"/>
      <c r="U83" s="56" t="s">
        <v>0</v>
      </c>
      <c r="V83" s="59"/>
      <c r="W83" s="55" t="str">
        <f>IF(COUNT(W80:Y80)=2,W80/Y80,"Moy")</f>
        <v>Moy</v>
      </c>
      <c r="X83" s="56"/>
      <c r="Y83" s="56" t="s">
        <v>0</v>
      </c>
      <c r="Z83" s="59"/>
      <c r="AA83" s="55">
        <f>IF(COUNT(AA80:AC80)=2,AA80/AC80,"Moy")</f>
        <v>0.43478260869565216</v>
      </c>
      <c r="AB83" s="56"/>
      <c r="AC83" s="56">
        <v>3</v>
      </c>
      <c r="AD83" s="59"/>
      <c r="AE83" s="55">
        <f>IF(COUNT(AE80:AG80)=2,AE80/AG80,"Moy")</f>
        <v>0.49180327868852458</v>
      </c>
      <c r="AF83" s="56"/>
      <c r="AG83" s="56">
        <v>4</v>
      </c>
      <c r="AH83" s="59"/>
      <c r="AI83" s="55" t="str">
        <f>IF(COUNT(AI80:AK80)=2,AI80/AK80,"Moy")</f>
        <v>Moy</v>
      </c>
      <c r="AJ83" s="56"/>
      <c r="AK83" s="56" t="s">
        <v>0</v>
      </c>
      <c r="AL83" s="59"/>
      <c r="AM83" s="55" t="str">
        <f>IF(COUNT(AM80:AO80)=2,AM80/AO80,"Moy")</f>
        <v>Moy</v>
      </c>
      <c r="AN83" s="56"/>
      <c r="AO83" s="56" t="s">
        <v>0</v>
      </c>
      <c r="AP83" s="59"/>
      <c r="AQ83" s="55" t="str">
        <f>IF(COUNT(AQ80:AS80)=2,AQ80/AS80,"Moy")</f>
        <v>Moy</v>
      </c>
      <c r="AR83" s="56"/>
      <c r="AS83" s="56" t="s">
        <v>0</v>
      </c>
      <c r="AT83" s="59"/>
      <c r="AU83" s="55" t="str">
        <f>IF(COUNT(AU80:AW80)=2,AU80/AW80,"Moy")</f>
        <v>Moy</v>
      </c>
      <c r="AV83" s="56"/>
      <c r="AW83" s="56" t="s">
        <v>0</v>
      </c>
      <c r="AX83" s="59"/>
      <c r="AY83" s="55">
        <f>IF(COUNT(AY80:BA80)=2,AY80/BA80,"Moy")</f>
        <v>0.42222222222222222</v>
      </c>
      <c r="AZ83" s="56"/>
      <c r="BA83" s="56">
        <v>2</v>
      </c>
      <c r="BB83" s="59"/>
      <c r="BC83" s="55" t="str">
        <f>IF(COUNT(BC80:BE80)=2,BC80/BE80,"Moy")</f>
        <v>Moy</v>
      </c>
      <c r="BD83" s="56"/>
      <c r="BE83" s="56" t="s">
        <v>0</v>
      </c>
      <c r="BF83" s="59"/>
      <c r="BG83" s="55" t="str">
        <f>IF(COUNT(BG80:BI80)=2,BG80/BI80,"Moy")</f>
        <v>Moy</v>
      </c>
      <c r="BH83" s="56"/>
      <c r="BI83" s="56" t="s">
        <v>0</v>
      </c>
      <c r="BJ83" s="59"/>
      <c r="BK83" s="55">
        <f>IF(COUNT(BK80:BM80)=2,BK80/BM80,"Moy")</f>
        <v>0.41818181818181815</v>
      </c>
      <c r="BL83" s="56"/>
      <c r="BM83" s="56">
        <v>3</v>
      </c>
      <c r="BN83" s="59"/>
      <c r="BO83" s="55" t="str">
        <f>IF(COUNT(BO80:BQ80)=2,BO80/BQ80,"Moy")</f>
        <v>Moy</v>
      </c>
      <c r="BP83" s="56"/>
      <c r="BQ83" s="56" t="s">
        <v>0</v>
      </c>
      <c r="BR83" s="59"/>
      <c r="BS83" s="55">
        <f>IF(COUNT(BS80:BU80)=2,BS80/BU80,"Moy")</f>
        <v>0.41095890410958902</v>
      </c>
      <c r="BT83" s="56"/>
      <c r="BU83" s="56">
        <v>2</v>
      </c>
      <c r="BV83" s="59"/>
      <c r="BW83" s="55" t="str">
        <f>IF(COUNT(BW80:BY80)=2,BW80/BY80,"Moy")</f>
        <v>Moy</v>
      </c>
      <c r="BX83" s="56"/>
      <c r="BY83" s="56" t="s">
        <v>0</v>
      </c>
      <c r="BZ83" s="59"/>
      <c r="CA83" s="89"/>
      <c r="CB83" s="90"/>
      <c r="CC83" s="90"/>
      <c r="CD83" s="91"/>
      <c r="CE83" s="55" t="str">
        <f>IF(COUNT(CE80:CG80)=2,CE80/CG80,"Moy")</f>
        <v>Moy</v>
      </c>
      <c r="CF83" s="56"/>
      <c r="CG83" s="56" t="s">
        <v>0</v>
      </c>
      <c r="CH83" s="59"/>
      <c r="CI83" s="55" t="str">
        <f>IF(COUNT(CI80:CK80)=2,CI80/CK80,"Moy")</f>
        <v>Moy</v>
      </c>
      <c r="CJ83" s="56"/>
      <c r="CK83" s="56" t="s">
        <v>0</v>
      </c>
      <c r="CL83" s="59"/>
      <c r="CM83" s="55" t="str">
        <f>IF(COUNT(CM80:CO80)=2,CM80/CO80,"Moy")</f>
        <v>Moy</v>
      </c>
      <c r="CN83" s="56"/>
      <c r="CO83" s="56" t="s">
        <v>0</v>
      </c>
      <c r="CP83" s="59"/>
      <c r="CQ83" s="22"/>
      <c r="CR83" s="8" t="s">
        <v>5</v>
      </c>
      <c r="CS83" s="17">
        <f>IF(CS80&gt;0,((N(C83)+N(G83)+N(K83)+N(O83)+N(S83)+N(W83)+N(AA83)+N(AE83)+N(AI83)+N(AM83)+N(AQ83)+N(AU83)+N(AY83)+N(BC83)+N(BG83)+N(BK83)+N(BO83)+N(BS83)+N(BW83)+N(CA83)+N(CE83)+N(CI83))+N(CM83))/CS80,0)</f>
        <v>0.43558976637956126</v>
      </c>
      <c r="CT83" s="61" t="s">
        <v>3</v>
      </c>
      <c r="CU83" s="62"/>
      <c r="CV83" s="18">
        <f>COUNTIF(C81:CN81,"Ex")</f>
        <v>0</v>
      </c>
      <c r="CW83" s="19">
        <f>IF(CS80&gt;0,CV83/CS80,0)</f>
        <v>0</v>
      </c>
    </row>
    <row r="84" spans="2:101" ht="15" customHeight="1" x14ac:dyDescent="0.25">
      <c r="B84" s="80" t="s">
        <v>53</v>
      </c>
      <c r="C84" s="47" t="s">
        <v>22</v>
      </c>
      <c r="D84" s="48"/>
      <c r="E84" s="49" t="s">
        <v>23</v>
      </c>
      <c r="F84" s="50"/>
      <c r="G84" s="47" t="s">
        <v>22</v>
      </c>
      <c r="H84" s="48"/>
      <c r="I84" s="49" t="s">
        <v>23</v>
      </c>
      <c r="J84" s="50"/>
      <c r="K84" s="47" t="s">
        <v>22</v>
      </c>
      <c r="L84" s="48"/>
      <c r="M84" s="49" t="s">
        <v>23</v>
      </c>
      <c r="N84" s="50"/>
      <c r="O84" s="47" t="s">
        <v>22</v>
      </c>
      <c r="P84" s="48"/>
      <c r="Q84" s="49" t="s">
        <v>23</v>
      </c>
      <c r="R84" s="50"/>
      <c r="S84" s="47" t="s">
        <v>22</v>
      </c>
      <c r="T84" s="48"/>
      <c r="U84" s="49" t="s">
        <v>23</v>
      </c>
      <c r="V84" s="50"/>
      <c r="W84" s="47" t="s">
        <v>22</v>
      </c>
      <c r="X84" s="48"/>
      <c r="Y84" s="49" t="s">
        <v>23</v>
      </c>
      <c r="Z84" s="50"/>
      <c r="AA84" s="47">
        <v>12</v>
      </c>
      <c r="AB84" s="48"/>
      <c r="AC84" s="49">
        <v>24</v>
      </c>
      <c r="AD84" s="50"/>
      <c r="AE84" s="47">
        <v>30</v>
      </c>
      <c r="AF84" s="48"/>
      <c r="AG84" s="49">
        <v>38</v>
      </c>
      <c r="AH84" s="50"/>
      <c r="AI84" s="47">
        <v>30</v>
      </c>
      <c r="AJ84" s="48"/>
      <c r="AK84" s="49">
        <v>21</v>
      </c>
      <c r="AL84" s="50"/>
      <c r="AM84" s="47" t="s">
        <v>22</v>
      </c>
      <c r="AN84" s="48"/>
      <c r="AO84" s="49" t="s">
        <v>23</v>
      </c>
      <c r="AP84" s="50"/>
      <c r="AQ84" s="47" t="s">
        <v>22</v>
      </c>
      <c r="AR84" s="48"/>
      <c r="AS84" s="49" t="s">
        <v>23</v>
      </c>
      <c r="AT84" s="50"/>
      <c r="AU84" s="47" t="s">
        <v>22</v>
      </c>
      <c r="AV84" s="48"/>
      <c r="AW84" s="49" t="s">
        <v>23</v>
      </c>
      <c r="AX84" s="50"/>
      <c r="AY84" s="47" t="s">
        <v>22</v>
      </c>
      <c r="AZ84" s="48"/>
      <c r="BA84" s="49" t="s">
        <v>23</v>
      </c>
      <c r="BB84" s="50"/>
      <c r="BC84" s="47" t="s">
        <v>22</v>
      </c>
      <c r="BD84" s="48"/>
      <c r="BE84" s="49" t="s">
        <v>23</v>
      </c>
      <c r="BF84" s="50"/>
      <c r="BG84" s="47" t="s">
        <v>22</v>
      </c>
      <c r="BH84" s="48"/>
      <c r="BI84" s="49" t="s">
        <v>23</v>
      </c>
      <c r="BJ84" s="50"/>
      <c r="BK84" s="47" t="s">
        <v>22</v>
      </c>
      <c r="BL84" s="48"/>
      <c r="BM84" s="49" t="s">
        <v>23</v>
      </c>
      <c r="BN84" s="50"/>
      <c r="BO84" s="47" t="s">
        <v>22</v>
      </c>
      <c r="BP84" s="48"/>
      <c r="BQ84" s="49" t="s">
        <v>23</v>
      </c>
      <c r="BR84" s="50"/>
      <c r="BS84" s="47" t="s">
        <v>22</v>
      </c>
      <c r="BT84" s="48"/>
      <c r="BU84" s="49" t="s">
        <v>23</v>
      </c>
      <c r="BV84" s="50"/>
      <c r="BW84" s="47" t="s">
        <v>22</v>
      </c>
      <c r="BX84" s="48"/>
      <c r="BY84" s="49" t="s">
        <v>23</v>
      </c>
      <c r="BZ84" s="50"/>
      <c r="CA84" s="47" t="s">
        <v>22</v>
      </c>
      <c r="CB84" s="48"/>
      <c r="CC84" s="49" t="s">
        <v>23</v>
      </c>
      <c r="CD84" s="50"/>
      <c r="CE84" s="83">
        <v>30</v>
      </c>
      <c r="CF84" s="84"/>
      <c r="CG84" s="84"/>
      <c r="CH84" s="85"/>
      <c r="CI84" s="47">
        <v>29</v>
      </c>
      <c r="CJ84" s="48"/>
      <c r="CK84" s="49">
        <v>33</v>
      </c>
      <c r="CL84" s="50"/>
      <c r="CM84" s="47" t="s">
        <v>22</v>
      </c>
      <c r="CN84" s="48"/>
      <c r="CO84" s="49" t="s">
        <v>23</v>
      </c>
      <c r="CP84" s="50"/>
      <c r="CQ84" s="23"/>
      <c r="CR84" s="7" t="s">
        <v>11</v>
      </c>
      <c r="CS84" s="14">
        <f>COUNTIF(C85:CN85,"G")+COUNTIF(C85:CN85,"Ex")+COUNTIF(C85:CN85,"P")</f>
        <v>4</v>
      </c>
      <c r="CT84" s="63" t="s">
        <v>1</v>
      </c>
      <c r="CU84" s="62"/>
      <c r="CV84" s="15">
        <f>COUNTIF(C85:CN85,"G")</f>
        <v>2</v>
      </c>
      <c r="CW84" s="16">
        <f>IF(CS84&gt;0,CV84/CS84,0)</f>
        <v>0.5</v>
      </c>
    </row>
    <row r="85" spans="2:101" ht="7.5" customHeight="1" x14ac:dyDescent="0.25">
      <c r="B85" s="81"/>
      <c r="C85" s="9"/>
      <c r="D85" s="51" t="str">
        <f>IF(N(C84)&gt;0,IF(C84&lt;Handicap21, Perdu,IF(C84=Handicap21,IF(CE4=Handicap1,Exaequo,Gagne))),"")</f>
        <v/>
      </c>
      <c r="E85" s="52"/>
      <c r="F85" s="46" t="str">
        <f>IF(N(CG4)&gt;0,IF(N(E84)=CG4,"-","Err"),"")</f>
        <v/>
      </c>
      <c r="G85" s="9"/>
      <c r="H85" s="51" t="str">
        <f>IF(N(G84)&gt;0,IF(G84&lt;Handicap21, Perdu,IF(G84=Handicap21,IF(CE8=Handicap2,Exaequo,Gagne))),"")</f>
        <v/>
      </c>
      <c r="I85" s="52"/>
      <c r="J85" s="46" t="str">
        <f>IF(N(CG8)&gt;0,IF(N(I84)=CG8,"-","Err"),"")</f>
        <v/>
      </c>
      <c r="K85" s="9"/>
      <c r="L85" s="51" t="str">
        <f>IF(N(K84)&gt;0,IF(K84&lt;Handicap21, Perdu,IF(K84=Handicap21,IF(CE12=Handicap3,Exaequo,Gagne))),"")</f>
        <v/>
      </c>
      <c r="M85" s="52"/>
      <c r="N85" s="46" t="str">
        <f>IF(N(CG12)&gt;0,IF(N(M84)=CG12,"-","Err"),"")</f>
        <v/>
      </c>
      <c r="O85" s="9"/>
      <c r="P85" s="51" t="str">
        <f>IF(N(O84)&gt;0,IF(O84&lt;Handicap21, Perdu,IF(O84=Handicap21,IF(CE16=Handicap4,Exaequo,Gagne))),"")</f>
        <v/>
      </c>
      <c r="Q85" s="52"/>
      <c r="R85" s="46" t="str">
        <f>IF(N(CG16)&gt;0,IF(N(Q84)=CG16,"-","Err"),"")</f>
        <v/>
      </c>
      <c r="S85" s="9"/>
      <c r="T85" s="51" t="str">
        <f>IF(N(S84)&gt;0,IF(S84&lt;Handicap21, Perdu,IF(S84=Handicap21,IF(CE20=Handicap5,Exaequo,Gagne))),"")</f>
        <v/>
      </c>
      <c r="U85" s="52"/>
      <c r="V85" s="46" t="str">
        <f>IF(N(CG20)&gt;0,IF(N(U84)=CG20,"-","Err"),"")</f>
        <v/>
      </c>
      <c r="W85" s="9"/>
      <c r="X85" s="51" t="str">
        <f>IF(N(W84)&gt;0,IF(W84&lt;Handicap21, Perdu,IF(W84=Handicap21,IF(CE24=Handicap6,Exaequo,Gagne))),"")</f>
        <v/>
      </c>
      <c r="Y85" s="52"/>
      <c r="Z85" s="46" t="str">
        <f>IF(N(CG24)&gt;0,IF(N(Y84)=CG24,"-","Err"),"")</f>
        <v/>
      </c>
      <c r="AA85" s="9"/>
      <c r="AB85" s="51" t="str">
        <f>IF(N(AA84)&gt;0,IF(AA84&lt;Handicap21, Perdu,IF(AA84=Handicap21,IF(CE28=Handicap7,Exaequo,Gagne))),"")</f>
        <v>P</v>
      </c>
      <c r="AC85" s="52"/>
      <c r="AD85" s="46" t="str">
        <f>IF(N(CG28)&gt;0,IF(N(AC84)=CG28,"-","Err"),"")</f>
        <v>-</v>
      </c>
      <c r="AE85" s="9"/>
      <c r="AF85" s="51" t="str">
        <f>IF(N(AE84)&gt;0,IF(AE84&lt;Handicap21, Perdu,IF(AE84=Handicap21,IF(CE32=Handicap8,Exaequo,Gagne))),"")</f>
        <v>G</v>
      </c>
      <c r="AG85" s="52"/>
      <c r="AH85" s="46" t="str">
        <f>IF(N(CG32)&gt;0,IF(N(AG84)=CG32,"-","Err"),"")</f>
        <v>-</v>
      </c>
      <c r="AI85" s="9"/>
      <c r="AJ85" s="51" t="str">
        <f>IF(N(AI84)&gt;0,IF(AI84&lt;Handicap21, Perdu,IF(AI84=Handicap21,IF(CE36=Handicap9,Exaequo,Gagne))),"")</f>
        <v>G</v>
      </c>
      <c r="AK85" s="52"/>
      <c r="AL85" s="46" t="str">
        <f>IF(N(CG36)&gt;0,IF(N(AK84)=CG36,"-","Err"),"")</f>
        <v>-</v>
      </c>
      <c r="AM85" s="9"/>
      <c r="AN85" s="51" t="str">
        <f>IF(N(AM84)&gt;0,IF(AM84&lt;Handicap21, Perdu,IF(AM84=Handicap21,IF(CE40=Handicap10,Exaequo,Gagne))),"")</f>
        <v/>
      </c>
      <c r="AO85" s="52"/>
      <c r="AP85" s="46" t="str">
        <f>IF(N(CG40)&gt;0,IF(N(AO84)=CG40,"-","Err"),"")</f>
        <v/>
      </c>
      <c r="AQ85" s="9"/>
      <c r="AR85" s="51" t="str">
        <f>IF(N(AQ84)&gt;0,IF(AQ84&lt;Handicap21, Perdu,IF(AQ84=Handicap21,IF(CE44=Handicap11,Exaequo,Gagne))),"")</f>
        <v/>
      </c>
      <c r="AS85" s="52"/>
      <c r="AT85" s="46" t="str">
        <f>IF(N(CG44)&gt;0,IF(N(AS84)=CG44,"-","Err"),"")</f>
        <v/>
      </c>
      <c r="AU85" s="9"/>
      <c r="AV85" s="51" t="str">
        <f>IF(N(AU84)&gt;0,IF(AU84&lt;Handicap21, Perdu,IF(AU84=Handicap21,IF(CE48=Handicap12,Exaequo,Gagne))),"")</f>
        <v/>
      </c>
      <c r="AW85" s="52"/>
      <c r="AX85" s="46" t="str">
        <f>IF(N(CG48)&gt;0,IF(N(AW84)=CG48,"-","Err"),"")</f>
        <v/>
      </c>
      <c r="AY85" s="9"/>
      <c r="AZ85" s="51" t="str">
        <f>IF(N(AY84)&gt;0,IF(AY84&lt;Handicap21, Perdu,IF(AY84=Handicap21,IF(CE52=Handicap13,Exaequo,Gagne))),"")</f>
        <v/>
      </c>
      <c r="BA85" s="52"/>
      <c r="BB85" s="46" t="str">
        <f>IF(N(CG52)&gt;0,IF(N(BA84)=CG52,"-","Err"),"")</f>
        <v/>
      </c>
      <c r="BC85" s="9"/>
      <c r="BD85" s="51" t="str">
        <f>IF(N(BC84)&gt;0,IF(BC84&lt;Handicap21, Perdu,IF(BC84=Handicap21,IF(CE56=hANDICAP14,Exaequo,Gagne))),"")</f>
        <v/>
      </c>
      <c r="BE85" s="52"/>
      <c r="BF85" s="46" t="str">
        <f>IF(N(CG56)&gt;0,IF(N(BE84)=CG56,"-","Err"),"")</f>
        <v/>
      </c>
      <c r="BG85" s="9"/>
      <c r="BH85" s="51" t="str">
        <f>IF(N(BG84)&gt;0,IF(BG84&lt;Handicap21, Perdu,IF(BG84=Handicap21,IF(CE60=Handicap15,Exaequo,Gagne))),"")</f>
        <v/>
      </c>
      <c r="BI85" s="52"/>
      <c r="BJ85" s="46" t="str">
        <f>IF(N(CG60)&gt;0,IF(N(BI84)=CG60,"-","Err"),"")</f>
        <v/>
      </c>
      <c r="BK85" s="9"/>
      <c r="BL85" s="51" t="str">
        <f>IF(N(BK84)&gt;0,IF(BK84&lt;Handicap21, Perdu,IF(BK84=Handicap21,IF(CE64=Handicap16,Exaequo,Gagne))),"")</f>
        <v/>
      </c>
      <c r="BM85" s="52"/>
      <c r="BN85" s="46" t="str">
        <f>IF(N(CG64)&gt;0,IF(N(BM84)=CG64,"-","Err"),"")</f>
        <v/>
      </c>
      <c r="BO85" s="9"/>
      <c r="BP85" s="51" t="str">
        <f>IF(N(BO84)&gt;0,IF(BO84&lt;Handicap21, Perdu,IF(BO84=Handicap21,IF(CE68=Handicap17,Exaequo,Gagne))),"")</f>
        <v/>
      </c>
      <c r="BQ85" s="52"/>
      <c r="BR85" s="46" t="str">
        <f>IF(N(CG68)&gt;0,IF(N(BQ84)=CG68,"-","Err"),"")</f>
        <v/>
      </c>
      <c r="BS85" s="9"/>
      <c r="BT85" s="51" t="str">
        <f>IF(N(BS84)&gt;0,IF(BS84&lt;Handicap21, Perdu,IF(BS84=Handicap21,IF(CE72=Handicap18,Exaequo,Gagne))),"")</f>
        <v/>
      </c>
      <c r="BU85" s="52"/>
      <c r="BV85" s="46" t="str">
        <f>IF(N(CG72)&gt;0,IF(N(BU84)=CG72,"-","Err"),"")</f>
        <v/>
      </c>
      <c r="BW85" s="9"/>
      <c r="BX85" s="51" t="str">
        <f>IF(N(BW84)&gt;0,IF(BW84&lt;Handicap21, Perdu,IF(BW84=Handicap21,IF(CE76=Handicap19,Exaequo,Gagne))),"")</f>
        <v/>
      </c>
      <c r="BY85" s="52"/>
      <c r="BZ85" s="46" t="str">
        <f>IF(N(CG76)&gt;0,IF(N(BY84)=CG76,"-","Err"),"")</f>
        <v/>
      </c>
      <c r="CA85" s="9"/>
      <c r="CB85" s="51" t="str">
        <f>IF(N(CA84)&gt;0,IF(CA84&lt;Handicap21, Perdu,IF(CA84=Handicap21,IF(CE80=Handicap20,Exaequo,Gagne))),"")</f>
        <v/>
      </c>
      <c r="CC85" s="52"/>
      <c r="CD85" s="46" t="str">
        <f>IF(N(CG80)&gt;0,IF(N(CC84)=CG80,"-","Err"),"")</f>
        <v/>
      </c>
      <c r="CE85" s="86"/>
      <c r="CF85" s="87"/>
      <c r="CG85" s="87"/>
      <c r="CH85" s="88"/>
      <c r="CI85" s="9"/>
      <c r="CJ85" s="51" t="str">
        <f>IF(N(CI84)&gt;0,IF(CI84&lt;Handicap21, Perdu,IF(CI84=Handicap21,IF(CE88=Handicap22,Exaequo,Gagne))),"")</f>
        <v>P</v>
      </c>
      <c r="CK85" s="52"/>
      <c r="CL85" s="46" t="str">
        <f>IF(N(CG88)&gt;0,IF(N(CK84)=CG88,"-","Err"),"")</f>
        <v>-</v>
      </c>
      <c r="CM85" s="46" t="str">
        <f>IF(N(CM84)&gt;Handicap21,"Err","-")</f>
        <v>-</v>
      </c>
      <c r="CN85" s="51" t="str">
        <f>IF(N(CM84)&gt;0,IF(CM84&lt;Handicap21, Perdu,IF(CM84=Handicap21,IF(CE92=Handicap23,Exaequo,Gagne))),"")</f>
        <v/>
      </c>
      <c r="CO85" s="52"/>
      <c r="CP85" s="46" t="str">
        <f>IF(N(CG92)&gt;0,IF(N(CO84)=CG92,"-","Err"),"")</f>
        <v/>
      </c>
      <c r="CQ85" s="30"/>
      <c r="CR85" s="64" t="s">
        <v>6</v>
      </c>
      <c r="CS85" s="66">
        <f>(COUNTIF(C85:CP85,"G")*3)+(COUNTIF(C85:CP85,"Ex")*2)+COUNTIF(C85:CP85,"P")</f>
        <v>8</v>
      </c>
      <c r="CT85" s="68" t="s">
        <v>2</v>
      </c>
      <c r="CU85" s="69"/>
      <c r="CV85" s="72">
        <f>COUNTIF(C85:CN85,"P")</f>
        <v>2</v>
      </c>
      <c r="CW85" s="60">
        <f>IF(CS84&gt;0,CV85/CS84,0)</f>
        <v>0.5</v>
      </c>
    </row>
    <row r="86" spans="2:101" ht="7.5" customHeight="1" x14ac:dyDescent="0.25">
      <c r="B86" s="81"/>
      <c r="C86" s="2"/>
      <c r="D86" s="53"/>
      <c r="E86" s="54"/>
      <c r="F86" s="46"/>
      <c r="G86" s="2"/>
      <c r="H86" s="53"/>
      <c r="I86" s="54"/>
      <c r="J86" s="46"/>
      <c r="K86" s="2"/>
      <c r="L86" s="53"/>
      <c r="M86" s="54"/>
      <c r="N86" s="46"/>
      <c r="O86" s="2"/>
      <c r="P86" s="53"/>
      <c r="Q86" s="54"/>
      <c r="R86" s="46"/>
      <c r="S86" s="2"/>
      <c r="T86" s="53"/>
      <c r="U86" s="54"/>
      <c r="V86" s="46"/>
      <c r="W86" s="2"/>
      <c r="X86" s="53"/>
      <c r="Y86" s="54"/>
      <c r="Z86" s="46"/>
      <c r="AA86" s="2"/>
      <c r="AB86" s="53"/>
      <c r="AC86" s="54"/>
      <c r="AD86" s="46"/>
      <c r="AE86" s="2"/>
      <c r="AF86" s="53"/>
      <c r="AG86" s="54"/>
      <c r="AH86" s="46"/>
      <c r="AI86" s="2"/>
      <c r="AJ86" s="53"/>
      <c r="AK86" s="54"/>
      <c r="AL86" s="46"/>
      <c r="AM86" s="2"/>
      <c r="AN86" s="53"/>
      <c r="AO86" s="54"/>
      <c r="AP86" s="46"/>
      <c r="AQ86" s="2"/>
      <c r="AR86" s="53"/>
      <c r="AS86" s="54"/>
      <c r="AT86" s="46"/>
      <c r="AU86" s="2"/>
      <c r="AV86" s="53"/>
      <c r="AW86" s="54"/>
      <c r="AX86" s="46"/>
      <c r="AY86" s="2"/>
      <c r="AZ86" s="53"/>
      <c r="BA86" s="54"/>
      <c r="BB86" s="46"/>
      <c r="BC86" s="2"/>
      <c r="BD86" s="53"/>
      <c r="BE86" s="54"/>
      <c r="BF86" s="46"/>
      <c r="BG86" s="2"/>
      <c r="BH86" s="53"/>
      <c r="BI86" s="54"/>
      <c r="BJ86" s="46"/>
      <c r="BK86" s="2"/>
      <c r="BL86" s="53"/>
      <c r="BM86" s="54"/>
      <c r="BN86" s="46"/>
      <c r="BO86" s="2"/>
      <c r="BP86" s="53"/>
      <c r="BQ86" s="54"/>
      <c r="BR86" s="46"/>
      <c r="BS86" s="2"/>
      <c r="BT86" s="53"/>
      <c r="BU86" s="54"/>
      <c r="BV86" s="46"/>
      <c r="BW86" s="2"/>
      <c r="BX86" s="53"/>
      <c r="BY86" s="54"/>
      <c r="BZ86" s="46"/>
      <c r="CA86" s="2"/>
      <c r="CB86" s="53"/>
      <c r="CC86" s="54"/>
      <c r="CD86" s="46"/>
      <c r="CE86" s="86"/>
      <c r="CF86" s="87"/>
      <c r="CG86" s="87"/>
      <c r="CH86" s="88"/>
      <c r="CI86" s="2"/>
      <c r="CJ86" s="53"/>
      <c r="CK86" s="54"/>
      <c r="CL86" s="46"/>
      <c r="CM86" s="46"/>
      <c r="CN86" s="53"/>
      <c r="CO86" s="54"/>
      <c r="CP86" s="46"/>
      <c r="CQ86" s="30"/>
      <c r="CR86" s="65"/>
      <c r="CS86" s="67"/>
      <c r="CT86" s="70"/>
      <c r="CU86" s="71"/>
      <c r="CV86" s="72"/>
      <c r="CW86" s="60"/>
    </row>
    <row r="87" spans="2:101" ht="15" customHeight="1" x14ac:dyDescent="0.25">
      <c r="B87" s="82"/>
      <c r="C87" s="55" t="str">
        <f>IF(COUNT(C84:E84)=2,C84/E84,"Moy")</f>
        <v>Moy</v>
      </c>
      <c r="D87" s="56"/>
      <c r="E87" s="56" t="s">
        <v>0</v>
      </c>
      <c r="F87" s="59"/>
      <c r="G87" s="55" t="str">
        <f>IF(COUNT(G84:I84)=2,G84/I84,"Moy")</f>
        <v>Moy</v>
      </c>
      <c r="H87" s="56"/>
      <c r="I87" s="56" t="s">
        <v>0</v>
      </c>
      <c r="J87" s="59"/>
      <c r="K87" s="55" t="str">
        <f>IF(COUNT(K84:M84)=2,K84/M84,"Moy")</f>
        <v>Moy</v>
      </c>
      <c r="L87" s="56"/>
      <c r="M87" s="56" t="s">
        <v>0</v>
      </c>
      <c r="N87" s="59"/>
      <c r="O87" s="55" t="str">
        <f>IF(COUNT(O84:Q84)=2,O84/Q84,"Moy")</f>
        <v>Moy</v>
      </c>
      <c r="P87" s="56"/>
      <c r="Q87" s="56" t="s">
        <v>0</v>
      </c>
      <c r="R87" s="59"/>
      <c r="S87" s="55" t="str">
        <f>IF(COUNT(S84:U84)=2,S84/U84,"Moy")</f>
        <v>Moy</v>
      </c>
      <c r="T87" s="56"/>
      <c r="U87" s="56" t="s">
        <v>0</v>
      </c>
      <c r="V87" s="59"/>
      <c r="W87" s="55" t="str">
        <f>IF(COUNT(W84:Y84)=2,W84/Y84,"Moy")</f>
        <v>Moy</v>
      </c>
      <c r="X87" s="56"/>
      <c r="Y87" s="56" t="s">
        <v>0</v>
      </c>
      <c r="Z87" s="59"/>
      <c r="AA87" s="55">
        <f>IF(COUNT(AA84:AC84)=2,AA84/AC84,"Moy")</f>
        <v>0.5</v>
      </c>
      <c r="AB87" s="56"/>
      <c r="AC87" s="56">
        <v>2</v>
      </c>
      <c r="AD87" s="59"/>
      <c r="AE87" s="55">
        <f>IF(COUNT(AE84:AG84)=2,AE84/AG84,"Moy")</f>
        <v>0.78947368421052633</v>
      </c>
      <c r="AF87" s="56"/>
      <c r="AG87" s="56">
        <v>5</v>
      </c>
      <c r="AH87" s="59"/>
      <c r="AI87" s="55">
        <f>IF(COUNT(AI84:AK84)=2,AI84/AK84,"Moy")</f>
        <v>1.4285714285714286</v>
      </c>
      <c r="AJ87" s="56"/>
      <c r="AK87" s="56">
        <v>5</v>
      </c>
      <c r="AL87" s="59"/>
      <c r="AM87" s="55" t="str">
        <f>IF(COUNT(AM84:AO84)=2,AM84/AO84,"Moy")</f>
        <v>Moy</v>
      </c>
      <c r="AN87" s="56"/>
      <c r="AO87" s="56" t="s">
        <v>0</v>
      </c>
      <c r="AP87" s="59"/>
      <c r="AQ87" s="55" t="str">
        <f>IF(COUNT(AQ84:AS84)=2,AQ84/AS84,"Moy")</f>
        <v>Moy</v>
      </c>
      <c r="AR87" s="56"/>
      <c r="AS87" s="56" t="s">
        <v>0</v>
      </c>
      <c r="AT87" s="59"/>
      <c r="AU87" s="55" t="str">
        <f>IF(COUNT(AU84:AW84)=2,AU84/AW84,"Moy")</f>
        <v>Moy</v>
      </c>
      <c r="AV87" s="56"/>
      <c r="AW87" s="56" t="s">
        <v>0</v>
      </c>
      <c r="AX87" s="59"/>
      <c r="AY87" s="55" t="str">
        <f>IF(COUNT(AY84:BA84)=2,AY84/BA84,"Moy")</f>
        <v>Moy</v>
      </c>
      <c r="AZ87" s="56"/>
      <c r="BA87" s="56" t="s">
        <v>0</v>
      </c>
      <c r="BB87" s="59"/>
      <c r="BC87" s="55" t="str">
        <f>IF(COUNT(BC84:BE84)=2,BC84/BE84,"Moy")</f>
        <v>Moy</v>
      </c>
      <c r="BD87" s="56"/>
      <c r="BE87" s="56" t="s">
        <v>0</v>
      </c>
      <c r="BF87" s="59"/>
      <c r="BG87" s="55" t="str">
        <f>IF(COUNT(BG84:BI84)=2,BG84/BI84,"Moy")</f>
        <v>Moy</v>
      </c>
      <c r="BH87" s="56"/>
      <c r="BI87" s="56" t="s">
        <v>0</v>
      </c>
      <c r="BJ87" s="59"/>
      <c r="BK87" s="55" t="str">
        <f>IF(COUNT(BK84:BM84)=2,BK84/BM84,"Moy")</f>
        <v>Moy</v>
      </c>
      <c r="BL87" s="56"/>
      <c r="BM87" s="56" t="s">
        <v>0</v>
      </c>
      <c r="BN87" s="59"/>
      <c r="BO87" s="55" t="str">
        <f>IF(COUNT(BO84:BQ84)=2,BO84/BQ84,"Moy")</f>
        <v>Moy</v>
      </c>
      <c r="BP87" s="56"/>
      <c r="BQ87" s="56" t="s">
        <v>0</v>
      </c>
      <c r="BR87" s="59"/>
      <c r="BS87" s="55" t="str">
        <f>IF(COUNT(BS84:BU84)=2,BS84/BU84,"Moy")</f>
        <v>Moy</v>
      </c>
      <c r="BT87" s="56"/>
      <c r="BU87" s="56" t="s">
        <v>0</v>
      </c>
      <c r="BV87" s="59"/>
      <c r="BW87" s="55" t="str">
        <f>IF(COUNT(BW84:BY84)=2,BW84/BY84,"Moy")</f>
        <v>Moy</v>
      </c>
      <c r="BX87" s="56"/>
      <c r="BY87" s="56" t="s">
        <v>0</v>
      </c>
      <c r="BZ87" s="59"/>
      <c r="CA87" s="55" t="str">
        <f>IF(COUNT(CA84:CC84)=2,CA84/CC84,"Moy")</f>
        <v>Moy</v>
      </c>
      <c r="CB87" s="56"/>
      <c r="CC87" s="56" t="s">
        <v>0</v>
      </c>
      <c r="CD87" s="59"/>
      <c r="CE87" s="89"/>
      <c r="CF87" s="90"/>
      <c r="CG87" s="90"/>
      <c r="CH87" s="91"/>
      <c r="CI87" s="55">
        <f>IF(COUNT(CI84:CK84)=2,CI84/CK84,"Moy")</f>
        <v>0.87878787878787878</v>
      </c>
      <c r="CJ87" s="56"/>
      <c r="CK87" s="56">
        <v>4</v>
      </c>
      <c r="CL87" s="59"/>
      <c r="CM87" s="55" t="str">
        <f>IF(COUNT(CM84:CO84)=2,CM84/CO84,"Moy")</f>
        <v>Moy</v>
      </c>
      <c r="CN87" s="56"/>
      <c r="CO87" s="56" t="s">
        <v>0</v>
      </c>
      <c r="CP87" s="59"/>
      <c r="CQ87" s="22"/>
      <c r="CR87" s="8" t="s">
        <v>5</v>
      </c>
      <c r="CS87" s="17">
        <f>IF(CS84&gt;0,((N(C87)+N(G87)+N(K87)+N(O87)+N(S87)+N(W87)+N(AA87)+N(AE87)+N(AI87)+N(AM87)+N(AQ87)+N(AU87)+N(AY87)+N(BC87)+N(BG87)+N(BK87)+N(BO87)+N(BS87)+N(BW87)+N(CA87)+N(CE87)+N(CI87))+N(CM87))/CS84,0)</f>
        <v>0.89920824789245846</v>
      </c>
      <c r="CT87" s="61" t="s">
        <v>3</v>
      </c>
      <c r="CU87" s="62"/>
      <c r="CV87" s="18">
        <f>COUNTIF(C85:CN85,"Ex")</f>
        <v>0</v>
      </c>
      <c r="CW87" s="19">
        <f>IF(CS84&gt;0,CV87/CS84,0)</f>
        <v>0</v>
      </c>
    </row>
    <row r="88" spans="2:101" ht="15" customHeight="1" x14ac:dyDescent="0.25">
      <c r="B88" s="92" t="s">
        <v>54</v>
      </c>
      <c r="C88" s="47">
        <v>30</v>
      </c>
      <c r="D88" s="48"/>
      <c r="E88" s="49">
        <v>44</v>
      </c>
      <c r="F88" s="50"/>
      <c r="G88" s="47" t="s">
        <v>22</v>
      </c>
      <c r="H88" s="48"/>
      <c r="I88" s="49" t="s">
        <v>23</v>
      </c>
      <c r="J88" s="50"/>
      <c r="K88" s="47">
        <v>30</v>
      </c>
      <c r="L88" s="48"/>
      <c r="M88" s="49">
        <v>66</v>
      </c>
      <c r="N88" s="50"/>
      <c r="O88" s="47" t="s">
        <v>22</v>
      </c>
      <c r="P88" s="48"/>
      <c r="Q88" s="49" t="s">
        <v>23</v>
      </c>
      <c r="R88" s="50"/>
      <c r="S88" s="47">
        <v>19</v>
      </c>
      <c r="T88" s="48"/>
      <c r="U88" s="49">
        <v>47</v>
      </c>
      <c r="V88" s="50"/>
      <c r="W88" s="47">
        <v>19</v>
      </c>
      <c r="X88" s="48"/>
      <c r="Y88" s="49">
        <v>47</v>
      </c>
      <c r="Z88" s="50"/>
      <c r="AA88" s="47">
        <v>14</v>
      </c>
      <c r="AB88" s="48"/>
      <c r="AC88" s="49">
        <v>31</v>
      </c>
      <c r="AD88" s="50"/>
      <c r="AE88" s="47" t="s">
        <v>22</v>
      </c>
      <c r="AF88" s="48"/>
      <c r="AG88" s="49" t="s">
        <v>23</v>
      </c>
      <c r="AH88" s="50"/>
      <c r="AI88" s="47">
        <v>9</v>
      </c>
      <c r="AJ88" s="48"/>
      <c r="AK88" s="49">
        <v>31</v>
      </c>
      <c r="AL88" s="50"/>
      <c r="AM88" s="47" t="s">
        <v>22</v>
      </c>
      <c r="AN88" s="48"/>
      <c r="AO88" s="49" t="s">
        <v>23</v>
      </c>
      <c r="AP88" s="50"/>
      <c r="AQ88" s="47">
        <v>30</v>
      </c>
      <c r="AR88" s="48"/>
      <c r="AS88" s="49">
        <v>48</v>
      </c>
      <c r="AT88" s="50"/>
      <c r="AU88" s="47" t="s">
        <v>22</v>
      </c>
      <c r="AV88" s="48"/>
      <c r="AW88" s="49" t="s">
        <v>23</v>
      </c>
      <c r="AX88" s="50"/>
      <c r="AY88" s="47">
        <v>13</v>
      </c>
      <c r="AZ88" s="48"/>
      <c r="BA88" s="49">
        <v>26</v>
      </c>
      <c r="BB88" s="50"/>
      <c r="BC88" s="47">
        <v>18</v>
      </c>
      <c r="BD88" s="48"/>
      <c r="BE88" s="49">
        <v>29</v>
      </c>
      <c r="BF88" s="50"/>
      <c r="BG88" s="47">
        <v>23</v>
      </c>
      <c r="BH88" s="48"/>
      <c r="BI88" s="49">
        <v>59</v>
      </c>
      <c r="BJ88" s="50"/>
      <c r="BK88" s="47">
        <v>25</v>
      </c>
      <c r="BL88" s="48"/>
      <c r="BM88" s="49">
        <v>29</v>
      </c>
      <c r="BN88" s="50"/>
      <c r="BO88" s="47">
        <v>11</v>
      </c>
      <c r="BP88" s="48"/>
      <c r="BQ88" s="49">
        <v>18</v>
      </c>
      <c r="BR88" s="50"/>
      <c r="BS88" s="47">
        <v>30</v>
      </c>
      <c r="BT88" s="48"/>
      <c r="BU88" s="49">
        <v>40</v>
      </c>
      <c r="BV88" s="50"/>
      <c r="BW88" s="47" t="s">
        <v>22</v>
      </c>
      <c r="BX88" s="48"/>
      <c r="BY88" s="49" t="s">
        <v>23</v>
      </c>
      <c r="BZ88" s="50"/>
      <c r="CA88" s="47" t="s">
        <v>22</v>
      </c>
      <c r="CB88" s="48"/>
      <c r="CC88" s="49" t="s">
        <v>23</v>
      </c>
      <c r="CD88" s="50"/>
      <c r="CE88" s="47">
        <v>30</v>
      </c>
      <c r="CF88" s="48"/>
      <c r="CG88" s="49">
        <v>33</v>
      </c>
      <c r="CH88" s="50"/>
      <c r="CI88" s="83">
        <v>30</v>
      </c>
      <c r="CJ88" s="84"/>
      <c r="CK88" s="84"/>
      <c r="CL88" s="85"/>
      <c r="CM88" s="47" t="s">
        <v>22</v>
      </c>
      <c r="CN88" s="48"/>
      <c r="CO88" s="49" t="s">
        <v>23</v>
      </c>
      <c r="CP88" s="50"/>
      <c r="CQ88" s="23"/>
      <c r="CR88" s="7" t="s">
        <v>11</v>
      </c>
      <c r="CS88" s="14">
        <f>COUNTIF(C89:CN89,"G")+COUNTIF(C89:CN89,"Ex")+COUNTIF(C89:CN89,"P")</f>
        <v>14</v>
      </c>
      <c r="CT88" s="63" t="s">
        <v>1</v>
      </c>
      <c r="CU88" s="62"/>
      <c r="CV88" s="15">
        <f>COUNTIF(C89:CN89,"G")</f>
        <v>5</v>
      </c>
      <c r="CW88" s="16">
        <f>IF(CS88&gt;0,CV88/CS88,0)</f>
        <v>0.35714285714285715</v>
      </c>
    </row>
    <row r="89" spans="2:101" ht="7.5" customHeight="1" x14ac:dyDescent="0.25">
      <c r="B89" s="93"/>
      <c r="C89" s="9"/>
      <c r="D89" s="51" t="str">
        <f>IF(N(C88)&gt;0,IF(C88&lt;Handicap22, Perdu,IF(C88=Handicap22,IF(CI4=Handicap1,Exaequo,Gagne))),"")</f>
        <v>G</v>
      </c>
      <c r="E89" s="52"/>
      <c r="F89" s="46" t="str">
        <f>IF(N(CK4)&gt;0,IF(N(E88)=CK4,"-","Err"),"")</f>
        <v>-</v>
      </c>
      <c r="G89" s="9"/>
      <c r="H89" s="51" t="str">
        <f>IF(N(G88)&gt;0,IF(G88&lt;Handicap22, Perdu,IF(G88=Handicap22,IF(CI8=Handicap2,Exaequo,Gagne))),"")</f>
        <v/>
      </c>
      <c r="I89" s="52"/>
      <c r="J89" s="46" t="str">
        <f>IF(N(CK8)&gt;0,IF(N(I88)=CK8,"-","Err"),"")</f>
        <v/>
      </c>
      <c r="K89" s="9"/>
      <c r="L89" s="51" t="str">
        <f>IF(N(K88)&gt;0,IF(K88&lt;Handicap22, Perdu,IF(K88=Handicap22,IF(CI12=Handicap3,Exaequo,Gagne))),"")</f>
        <v>G</v>
      </c>
      <c r="M89" s="52"/>
      <c r="N89" s="46" t="str">
        <f>IF(N(CK12)&gt;0,IF(N(M88)=CK12,"-","Err"),"")</f>
        <v>-</v>
      </c>
      <c r="O89" s="9"/>
      <c r="P89" s="51" t="str">
        <f>IF(N(O88)&gt;0,IF(O88&lt;Handicap22, Perdu,IF(O88=Handicap22,IF(CI16=Handicap4,Exaequo,Gagne))),"")</f>
        <v/>
      </c>
      <c r="Q89" s="52"/>
      <c r="R89" s="46" t="str">
        <f>IF(N(CK16)&gt;0,IF(N(Q88)=CK16,"-","Err"),"")</f>
        <v/>
      </c>
      <c r="S89" s="9"/>
      <c r="T89" s="51" t="str">
        <f>IF(N(S88)&gt;0,IF(S88&lt;Handicap22, Perdu,IF(S88=Handicap22,IF(CI20=Handicap5,Exaequo,Gagne))),"")</f>
        <v>P</v>
      </c>
      <c r="U89" s="52"/>
      <c r="V89" s="46" t="str">
        <f>IF(N(CK20)&gt;0,IF(N(U88)=CK20,"-","Err"),"")</f>
        <v>-</v>
      </c>
      <c r="W89" s="9"/>
      <c r="X89" s="51" t="str">
        <f>IF(N(W88)&gt;0,IF(W88&lt;Handicap22, Perdu,IF(W88=Handicap22,IF(CI24=Handicap6,Exaequo,Gagne))),"")</f>
        <v>P</v>
      </c>
      <c r="Y89" s="52"/>
      <c r="Z89" s="46" t="str">
        <f>IF(N(CK24)&gt;0,IF(N(Y88)=CK24,"-","Err"),"")</f>
        <v/>
      </c>
      <c r="AA89" s="9"/>
      <c r="AB89" s="51" t="str">
        <f>IF(N(AA88)&gt;0,IF(AA88&lt;Handicap22, Perdu,IF(AA88=Handicap22,IF(CI28=Handicap7,Exaequo,Gagne))),"")</f>
        <v>P</v>
      </c>
      <c r="AC89" s="52"/>
      <c r="AD89" s="46" t="str">
        <f>IF(N(CK28)&gt;0,IF(N(AC88)=CK28,"-","Err"),"")</f>
        <v>-</v>
      </c>
      <c r="AE89" s="9"/>
      <c r="AF89" s="51" t="str">
        <f>IF(N(AE88)&gt;0,IF(AE88&lt;Handicap22, Perdu,IF(AE88=Handicap22,IF(CI32=Handicap8,Exaequo,Gagne))),"")</f>
        <v/>
      </c>
      <c r="AG89" s="52"/>
      <c r="AH89" s="46" t="str">
        <f>IF(N(CK32)&gt;0,IF(N(AG88)=CK32,"-","Err"),"")</f>
        <v/>
      </c>
      <c r="AI89" s="9"/>
      <c r="AJ89" s="51" t="str">
        <f>IF(N(AI88)&gt;0,IF(AI88&lt;Handicap22, Perdu,IF(AI88=Handicap22,IF(CI36=Handicap9,Exaequo,Gagne))),"")</f>
        <v>P</v>
      </c>
      <c r="AK89" s="52"/>
      <c r="AL89" s="46" t="str">
        <f>IF(N(CK36)&gt;0,IF(N(AK88)=CK36,"-","Err"),"")</f>
        <v>-</v>
      </c>
      <c r="AM89" s="9"/>
      <c r="AN89" s="51" t="str">
        <f>IF(N(AM88)&gt;0,IF(AM88&lt;Handicap22, Perdu,IF(AM88=Handicap22,IF(CI40=Handicap10,Exaequo,Gagne))),"")</f>
        <v/>
      </c>
      <c r="AO89" s="52"/>
      <c r="AP89" s="46" t="str">
        <f>IF(N(CK40)&gt;0,IF(N(AO88)=CK40,"-","Err"),"")</f>
        <v/>
      </c>
      <c r="AQ89" s="9"/>
      <c r="AR89" s="51" t="str">
        <f>IF(N(AQ88)&gt;0,IF(AQ88&lt;Handicap22, Perdu,IF(AQ88=Handicap22,IF(CI44=Handicap11,Exaequo,Gagne))),"")</f>
        <v>G</v>
      </c>
      <c r="AS89" s="52"/>
      <c r="AT89" s="46" t="str">
        <f>IF(N(CK44)&gt;0,IF(N(AS88)=CK44,"-","Err"),"")</f>
        <v>-</v>
      </c>
      <c r="AU89" s="9"/>
      <c r="AV89" s="51" t="str">
        <f>IF(N(AU88)&gt;0,IF(AU88&lt;Handicap22, Perdu,IF(AU88=Handicap22,IF(CI48=Handicap12,Exaequo,Gagne))),"")</f>
        <v/>
      </c>
      <c r="AW89" s="52"/>
      <c r="AX89" s="46"/>
      <c r="AY89" s="9"/>
      <c r="AZ89" s="51" t="str">
        <f>IF(N(AY88)&gt;0,IF(AY88&lt;Handicap22, Perdu,IF(AY88=Handicap22,IF(CI52=Handicap13,Exaequo,Gagne))),"")</f>
        <v>P</v>
      </c>
      <c r="BA89" s="52"/>
      <c r="BB89" s="46"/>
      <c r="BC89" s="9"/>
      <c r="BD89" s="51" t="str">
        <f>IF(N(BC88)&gt;0,IF(BC88&lt;Handicap22, Perdu,IF(BC88=Handicap22,IF(CI56=hANDICAP14,Exaequo,Gagne))),"")</f>
        <v>P</v>
      </c>
      <c r="BE89" s="52"/>
      <c r="BF89" s="46" t="str">
        <f>IF(N(CK56)&gt;0,IF(N(BE88)=CK56,"-","Err"),"")</f>
        <v>-</v>
      </c>
      <c r="BG89" s="9"/>
      <c r="BH89" s="51" t="str">
        <f>IF(N(BG88)&gt;0,IF(BG88&lt;Handicap22, Perdu,IF(BG88=Handicap22,IF(CI60=Handicap15,Exaequo,Gagne))),"")</f>
        <v>P</v>
      </c>
      <c r="BI89" s="52"/>
      <c r="BJ89" s="46" t="str">
        <f>IF(N(CK60)&gt;0,IF(N(BI88)=CK60,"-","Err"),"")</f>
        <v>-</v>
      </c>
      <c r="BK89" s="9"/>
      <c r="BL89" s="51" t="str">
        <f>IF(N(BK88)&gt;0,IF(BK88&lt;Handicap22, Perdu,IF(BK88=Handicap22,IF(CI64=Handicap16,Exaequo,Gagne))),"")</f>
        <v>P</v>
      </c>
      <c r="BM89" s="52"/>
      <c r="BN89" s="46" t="str">
        <f>IF(N(CK64)&gt;0,IF(N(BM88)=CK64,"-","Err"),"")</f>
        <v>-</v>
      </c>
      <c r="BO89" s="9"/>
      <c r="BP89" s="51" t="str">
        <f>IF(N(BO88)&gt;0,IF(BO88&lt;Handicap22, Perdu,IF(BO88=Handicap22,IF(CI68=Handicap17,Exaequo,Gagne))),"")</f>
        <v>P</v>
      </c>
      <c r="BQ89" s="52"/>
      <c r="BR89" s="46" t="str">
        <f>IF(N(CK68)&gt;0,IF(N(BQ88)=CK68,"-","Err"),"")</f>
        <v>-</v>
      </c>
      <c r="BS89" s="9"/>
      <c r="BT89" s="51" t="str">
        <f>IF(N(BS88)&gt;0,IF(BS88&lt;Handicap22, Perdu,IF(BS88=Handicap22,IF(CI72=Handicap18,Exaequo,Gagne))),"")</f>
        <v>G</v>
      </c>
      <c r="BU89" s="52"/>
      <c r="BV89" s="46" t="str">
        <f>IF(N(CK72)&gt;0,IF(N(BU88)=CK72,"-","Err"),"")</f>
        <v>-</v>
      </c>
      <c r="BW89" s="9"/>
      <c r="BX89" s="51" t="str">
        <f>IF(N(BW88)&gt;0,IF(BW88&lt;Handicap22, Perdu,IF(BW88=Handicap22,IF(CI76=Handicap19,Exaequo,Gagne))),"")</f>
        <v/>
      </c>
      <c r="BY89" s="52"/>
      <c r="BZ89" s="46" t="str">
        <f>IF(N(CK76)&gt;0,IF(N(BY88)=CK76,"-","Err"),"")</f>
        <v/>
      </c>
      <c r="CA89" s="9"/>
      <c r="CB89" s="51" t="str">
        <f>IF(N(CA88)&gt;0,IF(CA88&lt;Handicap22, Perdu,IF(CA88=Handicap22,IF(CI80=Handicap20,Exaequo,Gagne))),"")</f>
        <v/>
      </c>
      <c r="CC89" s="52"/>
      <c r="CD89" s="46" t="str">
        <f>IF(N(CK80)&gt;0,IF(N(CC88)=CK80,"-","Err"),"")</f>
        <v/>
      </c>
      <c r="CE89" s="9"/>
      <c r="CF89" s="51" t="str">
        <f>IF(N(CE88)&gt;0,IF(CE88&lt;Handicap22, Perdu,IF(CE88=Handicap22,IF(CI84=Handicap21,Exaequo,Gagne))),"")</f>
        <v>G</v>
      </c>
      <c r="CG89" s="52"/>
      <c r="CH89" s="46" t="str">
        <f>IF(N(CK84)&gt;0,IF(N(CG88)=CK84,"-","Err"),"")</f>
        <v>-</v>
      </c>
      <c r="CI89" s="86"/>
      <c r="CJ89" s="87"/>
      <c r="CK89" s="87"/>
      <c r="CL89" s="88"/>
      <c r="CM89" s="46" t="str">
        <f>IF(N(CM88)&gt;Handicap22,"Err","-")</f>
        <v>-</v>
      </c>
      <c r="CN89" s="51" t="str">
        <f>IF(N(CM88)&gt;0,IF(CM88&lt;Handicap22, Perdu,IF(CM88=Handicap22,IF(CI92=Handicap23,Exaequo,Gagne))),"")</f>
        <v/>
      </c>
      <c r="CO89" s="52"/>
      <c r="CP89" s="46" t="str">
        <f>IF(N(CK92)&gt;0,IF(N(CO88)=CK92,"-","Err"),"")</f>
        <v/>
      </c>
      <c r="CQ89" s="30"/>
      <c r="CR89" s="64" t="s">
        <v>6</v>
      </c>
      <c r="CS89" s="66">
        <f>(COUNTIF(C89:CP89,"G")*3)+(COUNTIF(C89:CP89,"Ex")*2)+COUNTIF(C89:CP89,"P")</f>
        <v>24</v>
      </c>
      <c r="CT89" s="68" t="s">
        <v>2</v>
      </c>
      <c r="CU89" s="69"/>
      <c r="CV89" s="72">
        <f>COUNTIF(C89:CN89,"P")</f>
        <v>9</v>
      </c>
      <c r="CW89" s="60">
        <f>IF(CS88&gt;0,CV89/CS88,0)</f>
        <v>0.6428571428571429</v>
      </c>
    </row>
    <row r="90" spans="2:101" ht="7.5" customHeight="1" x14ac:dyDescent="0.25">
      <c r="B90" s="93"/>
      <c r="C90" s="2"/>
      <c r="D90" s="53"/>
      <c r="E90" s="54"/>
      <c r="F90" s="46"/>
      <c r="G90" s="2"/>
      <c r="H90" s="53"/>
      <c r="I90" s="54"/>
      <c r="J90" s="46"/>
      <c r="K90" s="2"/>
      <c r="L90" s="53"/>
      <c r="M90" s="54"/>
      <c r="N90" s="46"/>
      <c r="O90" s="2"/>
      <c r="P90" s="53"/>
      <c r="Q90" s="54"/>
      <c r="R90" s="46"/>
      <c r="S90" s="2"/>
      <c r="T90" s="53"/>
      <c r="U90" s="54"/>
      <c r="V90" s="46"/>
      <c r="W90" s="2"/>
      <c r="X90" s="53"/>
      <c r="Y90" s="54"/>
      <c r="Z90" s="46"/>
      <c r="AA90" s="2"/>
      <c r="AB90" s="53"/>
      <c r="AC90" s="54"/>
      <c r="AD90" s="46"/>
      <c r="AE90" s="2"/>
      <c r="AF90" s="53"/>
      <c r="AG90" s="54"/>
      <c r="AH90" s="46"/>
      <c r="AI90" s="2"/>
      <c r="AJ90" s="53"/>
      <c r="AK90" s="54"/>
      <c r="AL90" s="46"/>
      <c r="AM90" s="2"/>
      <c r="AN90" s="53"/>
      <c r="AO90" s="54"/>
      <c r="AP90" s="46"/>
      <c r="AQ90" s="2"/>
      <c r="AR90" s="53"/>
      <c r="AS90" s="54"/>
      <c r="AT90" s="46"/>
      <c r="AU90" s="2"/>
      <c r="AV90" s="53"/>
      <c r="AW90" s="54"/>
      <c r="AX90" s="46"/>
      <c r="AY90" s="2"/>
      <c r="AZ90" s="53"/>
      <c r="BA90" s="54"/>
      <c r="BB90" s="46"/>
      <c r="BC90" s="2"/>
      <c r="BD90" s="53"/>
      <c r="BE90" s="54"/>
      <c r="BF90" s="46"/>
      <c r="BG90" s="2"/>
      <c r="BH90" s="53"/>
      <c r="BI90" s="54"/>
      <c r="BJ90" s="46"/>
      <c r="BK90" s="2"/>
      <c r="BL90" s="53"/>
      <c r="BM90" s="54"/>
      <c r="BN90" s="46"/>
      <c r="BO90" s="2"/>
      <c r="BP90" s="53"/>
      <c r="BQ90" s="54"/>
      <c r="BR90" s="46"/>
      <c r="BS90" s="2"/>
      <c r="BT90" s="53"/>
      <c r="BU90" s="54"/>
      <c r="BV90" s="46"/>
      <c r="BW90" s="2"/>
      <c r="BX90" s="53"/>
      <c r="BY90" s="54"/>
      <c r="BZ90" s="46"/>
      <c r="CA90" s="2"/>
      <c r="CB90" s="53"/>
      <c r="CC90" s="54"/>
      <c r="CD90" s="46"/>
      <c r="CE90" s="2"/>
      <c r="CF90" s="53"/>
      <c r="CG90" s="54"/>
      <c r="CH90" s="46"/>
      <c r="CI90" s="86"/>
      <c r="CJ90" s="87"/>
      <c r="CK90" s="87"/>
      <c r="CL90" s="88"/>
      <c r="CM90" s="46"/>
      <c r="CN90" s="53"/>
      <c r="CO90" s="54"/>
      <c r="CP90" s="46"/>
      <c r="CQ90" s="30"/>
      <c r="CR90" s="65"/>
      <c r="CS90" s="67"/>
      <c r="CT90" s="70"/>
      <c r="CU90" s="71"/>
      <c r="CV90" s="72"/>
      <c r="CW90" s="60"/>
    </row>
    <row r="91" spans="2:101" ht="15" customHeight="1" x14ac:dyDescent="0.25">
      <c r="B91" s="94"/>
      <c r="C91" s="55">
        <f>IF(COUNT(C88:E88)=2,C88/E88,"Moy")</f>
        <v>0.68181818181818177</v>
      </c>
      <c r="D91" s="56"/>
      <c r="E91" s="56">
        <v>4</v>
      </c>
      <c r="F91" s="59"/>
      <c r="G91" s="55" t="str">
        <f>IF(COUNT(G88:I88)=2,G88/I88,"Moy")</f>
        <v>Moy</v>
      </c>
      <c r="H91" s="56"/>
      <c r="I91" s="56" t="s">
        <v>0</v>
      </c>
      <c r="J91" s="59"/>
      <c r="K91" s="55">
        <f>IF(COUNT(K88:M88)=2,K88/M88,"Moy")</f>
        <v>0.45454545454545453</v>
      </c>
      <c r="L91" s="56"/>
      <c r="M91" s="56">
        <v>3</v>
      </c>
      <c r="N91" s="59"/>
      <c r="O91" s="55" t="str">
        <f>IF(COUNT(O88:Q88)=2,O88/Q88,"Moy")</f>
        <v>Moy</v>
      </c>
      <c r="P91" s="56"/>
      <c r="Q91" s="56" t="s">
        <v>0</v>
      </c>
      <c r="R91" s="59"/>
      <c r="S91" s="55">
        <f>IF(COUNT(S88:U88)=2,S88/U88,"Moy")</f>
        <v>0.40425531914893614</v>
      </c>
      <c r="T91" s="56"/>
      <c r="U91" s="56">
        <v>3</v>
      </c>
      <c r="V91" s="59"/>
      <c r="W91" s="55">
        <f>IF(COUNT(W88:Y88)=2,W88/Y88,"Moy")</f>
        <v>0.40425531914893614</v>
      </c>
      <c r="X91" s="56"/>
      <c r="Y91" s="56">
        <v>3</v>
      </c>
      <c r="Z91" s="59"/>
      <c r="AA91" s="55">
        <f>IF(COUNT(AA88:AC88)=2,AA88/AC88,"Moy")</f>
        <v>0.45161290322580644</v>
      </c>
      <c r="AB91" s="56"/>
      <c r="AC91" s="56">
        <v>2</v>
      </c>
      <c r="AD91" s="59"/>
      <c r="AE91" s="55" t="str">
        <f>IF(COUNT(AE88:AG88)=2,AE88/AG88,"Moy")</f>
        <v>Moy</v>
      </c>
      <c r="AF91" s="56"/>
      <c r="AG91" s="56" t="s">
        <v>0</v>
      </c>
      <c r="AH91" s="59"/>
      <c r="AI91" s="55">
        <f>IF(COUNT(AI88:AK88)=2,AI88/AK88,"Moy")</f>
        <v>0.29032258064516131</v>
      </c>
      <c r="AJ91" s="56"/>
      <c r="AK91" s="56">
        <v>1</v>
      </c>
      <c r="AL91" s="59"/>
      <c r="AM91" s="55" t="str">
        <f>IF(COUNT(AM88:AO88)=2,AM88/AO88,"Moy")</f>
        <v>Moy</v>
      </c>
      <c r="AN91" s="56"/>
      <c r="AO91" s="56" t="s">
        <v>0</v>
      </c>
      <c r="AP91" s="59"/>
      <c r="AQ91" s="55">
        <f>IF(COUNT(AQ88:AS88)=2,AQ88/AS88,"Moy")</f>
        <v>0.625</v>
      </c>
      <c r="AR91" s="56"/>
      <c r="AS91" s="56">
        <v>3</v>
      </c>
      <c r="AT91" s="59"/>
      <c r="AU91" s="55" t="str">
        <f>IF(COUNT(AU88:AW88)=2,AU88/AW88,"Moy")</f>
        <v>Moy</v>
      </c>
      <c r="AV91" s="56"/>
      <c r="AW91" s="56" t="s">
        <v>0</v>
      </c>
      <c r="AX91" s="59"/>
      <c r="AY91" s="55">
        <f>IF(COUNT(AY88:BA88)=2,AY88/BA88,"Moy")</f>
        <v>0.5</v>
      </c>
      <c r="AZ91" s="56"/>
      <c r="BA91" s="56">
        <v>5</v>
      </c>
      <c r="BB91" s="59"/>
      <c r="BC91" s="55">
        <f>IF(COUNT(BC88:BE88)=2,BC88/BE88,"Moy")</f>
        <v>0.62068965517241381</v>
      </c>
      <c r="BD91" s="56"/>
      <c r="BE91" s="56">
        <v>4</v>
      </c>
      <c r="BF91" s="59"/>
      <c r="BG91" s="55">
        <f>IF(COUNT(BG88:BI88)=2,BG88/BI88,"Moy")</f>
        <v>0.38983050847457629</v>
      </c>
      <c r="BH91" s="56"/>
      <c r="BI91" s="56">
        <v>3</v>
      </c>
      <c r="BJ91" s="59"/>
      <c r="BK91" s="55">
        <f>IF(COUNT(BK88:BM88)=2,BK88/BM88,"Moy")</f>
        <v>0.86206896551724133</v>
      </c>
      <c r="BL91" s="56"/>
      <c r="BM91" s="56">
        <v>4</v>
      </c>
      <c r="BN91" s="59"/>
      <c r="BO91" s="55">
        <f>IF(COUNT(BO88:BQ88)=2,BO88/BQ88,"Moy")</f>
        <v>0.61111111111111116</v>
      </c>
      <c r="BP91" s="56"/>
      <c r="BQ91" s="56">
        <v>3</v>
      </c>
      <c r="BR91" s="59"/>
      <c r="BS91" s="55">
        <f>IF(COUNT(BS88:BU88)=2,BS88/BU88,"Moy")</f>
        <v>0.75</v>
      </c>
      <c r="BT91" s="56"/>
      <c r="BU91" s="56">
        <v>5</v>
      </c>
      <c r="BV91" s="59"/>
      <c r="BW91" s="55" t="str">
        <f>IF(COUNT(BW88:BY88)=2,BW88/BY88,"Moy")</f>
        <v>Moy</v>
      </c>
      <c r="BX91" s="56"/>
      <c r="BY91" s="56" t="s">
        <v>0</v>
      </c>
      <c r="BZ91" s="59"/>
      <c r="CA91" s="55" t="str">
        <f>IF(COUNT(CA88:CC88)=2,CA88/CC88,"Moy")</f>
        <v>Moy</v>
      </c>
      <c r="CB91" s="56"/>
      <c r="CC91" s="56" t="s">
        <v>0</v>
      </c>
      <c r="CD91" s="59"/>
      <c r="CE91" s="55">
        <f>IF(COUNT(CE88:CG88)=2,CE88/CG88,"Moy")</f>
        <v>0.90909090909090906</v>
      </c>
      <c r="CF91" s="56"/>
      <c r="CG91" s="56">
        <v>7</v>
      </c>
      <c r="CH91" s="59"/>
      <c r="CI91" s="89"/>
      <c r="CJ91" s="90"/>
      <c r="CK91" s="90"/>
      <c r="CL91" s="91"/>
      <c r="CM91" s="55" t="str">
        <f>IF(COUNT(CM88:CO88)=2,CM88/CO88,"Moy")</f>
        <v>Moy</v>
      </c>
      <c r="CN91" s="56"/>
      <c r="CO91" s="56" t="s">
        <v>0</v>
      </c>
      <c r="CP91" s="59"/>
      <c r="CQ91" s="22"/>
      <c r="CR91" s="8" t="s">
        <v>5</v>
      </c>
      <c r="CS91" s="17">
        <f>IF(CS88&gt;0,((N(C91)+N(G91)+N(K91)+N(O91)+N(S91)+N(W91)+N(AA91)+N(AE91)+N(AI91)+N(AM91)+N(AQ91)+N(AU91)+N(AY91)+N(BC91)+N(BG91)+N(BK91)+N(BO91)+N(BS91)+N(BW91)+N(CA91)+N(CE91)+N(CI91))+N(CM91))/CS88,0)</f>
        <v>0.56818577913562351</v>
      </c>
      <c r="CT91" s="61" t="s">
        <v>3</v>
      </c>
      <c r="CU91" s="62"/>
      <c r="CV91" s="18">
        <f>COUNTIF(C89:CN89,"Ex")</f>
        <v>0</v>
      </c>
      <c r="CW91" s="19">
        <f>IF(CS88&gt;0,CV91/CS88,0)</f>
        <v>0</v>
      </c>
    </row>
    <row r="92" spans="2:101" ht="15" customHeight="1" x14ac:dyDescent="0.25">
      <c r="B92" s="80" t="s">
        <v>25</v>
      </c>
      <c r="C92" s="47" t="s">
        <v>22</v>
      </c>
      <c r="D92" s="48"/>
      <c r="E92" s="49" t="s">
        <v>23</v>
      </c>
      <c r="F92" s="50"/>
      <c r="G92" s="47" t="s">
        <v>22</v>
      </c>
      <c r="H92" s="48"/>
      <c r="I92" s="49" t="s">
        <v>23</v>
      </c>
      <c r="J92" s="50"/>
      <c r="K92" s="47" t="s">
        <v>22</v>
      </c>
      <c r="L92" s="48"/>
      <c r="M92" s="49" t="s">
        <v>23</v>
      </c>
      <c r="N92" s="50"/>
      <c r="O92" s="47" t="s">
        <v>22</v>
      </c>
      <c r="P92" s="48"/>
      <c r="Q92" s="49" t="s">
        <v>23</v>
      </c>
      <c r="R92" s="50"/>
      <c r="S92" s="47" t="s">
        <v>22</v>
      </c>
      <c r="T92" s="48"/>
      <c r="U92" s="49" t="s">
        <v>23</v>
      </c>
      <c r="V92" s="50"/>
      <c r="W92" s="47" t="s">
        <v>22</v>
      </c>
      <c r="X92" s="48"/>
      <c r="Y92" s="49" t="s">
        <v>23</v>
      </c>
      <c r="Z92" s="50"/>
      <c r="AA92" s="47" t="s">
        <v>22</v>
      </c>
      <c r="AB92" s="48"/>
      <c r="AC92" s="49" t="s">
        <v>23</v>
      </c>
      <c r="AD92" s="50"/>
      <c r="AE92" s="47" t="s">
        <v>22</v>
      </c>
      <c r="AF92" s="48"/>
      <c r="AG92" s="49" t="s">
        <v>23</v>
      </c>
      <c r="AH92" s="50"/>
      <c r="AI92" s="47" t="s">
        <v>22</v>
      </c>
      <c r="AJ92" s="48"/>
      <c r="AK92" s="49" t="s">
        <v>23</v>
      </c>
      <c r="AL92" s="50"/>
      <c r="AM92" s="47" t="s">
        <v>22</v>
      </c>
      <c r="AN92" s="48"/>
      <c r="AO92" s="49" t="s">
        <v>23</v>
      </c>
      <c r="AP92" s="50"/>
      <c r="AQ92" s="47" t="s">
        <v>22</v>
      </c>
      <c r="AR92" s="48"/>
      <c r="AS92" s="49" t="s">
        <v>23</v>
      </c>
      <c r="AT92" s="50"/>
      <c r="AU92" s="47" t="s">
        <v>22</v>
      </c>
      <c r="AV92" s="48"/>
      <c r="AW92" s="49" t="s">
        <v>23</v>
      </c>
      <c r="AX92" s="50"/>
      <c r="AY92" s="47" t="s">
        <v>22</v>
      </c>
      <c r="AZ92" s="48"/>
      <c r="BA92" s="49" t="s">
        <v>23</v>
      </c>
      <c r="BB92" s="50"/>
      <c r="BC92" s="47" t="s">
        <v>22</v>
      </c>
      <c r="BD92" s="48"/>
      <c r="BE92" s="49" t="s">
        <v>23</v>
      </c>
      <c r="BF92" s="50"/>
      <c r="BG92" s="47" t="s">
        <v>22</v>
      </c>
      <c r="BH92" s="48"/>
      <c r="BI92" s="49" t="s">
        <v>23</v>
      </c>
      <c r="BJ92" s="50"/>
      <c r="BK92" s="47" t="s">
        <v>22</v>
      </c>
      <c r="BL92" s="48"/>
      <c r="BM92" s="49" t="s">
        <v>23</v>
      </c>
      <c r="BN92" s="50"/>
      <c r="BO92" s="47" t="s">
        <v>22</v>
      </c>
      <c r="BP92" s="48"/>
      <c r="BQ92" s="49" t="s">
        <v>23</v>
      </c>
      <c r="BR92" s="50"/>
      <c r="BS92" s="47" t="s">
        <v>22</v>
      </c>
      <c r="BT92" s="48"/>
      <c r="BU92" s="49" t="s">
        <v>23</v>
      </c>
      <c r="BV92" s="50"/>
      <c r="BW92" s="47" t="s">
        <v>22</v>
      </c>
      <c r="BX92" s="48"/>
      <c r="BY92" s="49" t="s">
        <v>23</v>
      </c>
      <c r="BZ92" s="50"/>
      <c r="CA92" s="47" t="s">
        <v>22</v>
      </c>
      <c r="CB92" s="48"/>
      <c r="CC92" s="49" t="s">
        <v>23</v>
      </c>
      <c r="CD92" s="50"/>
      <c r="CE92" s="47" t="s">
        <v>22</v>
      </c>
      <c r="CF92" s="48"/>
      <c r="CG92" s="49" t="s">
        <v>23</v>
      </c>
      <c r="CH92" s="50"/>
      <c r="CI92" s="47" t="s">
        <v>22</v>
      </c>
      <c r="CJ92" s="48"/>
      <c r="CK92" s="49" t="s">
        <v>23</v>
      </c>
      <c r="CL92" s="50"/>
      <c r="CM92" s="83">
        <v>0</v>
      </c>
      <c r="CN92" s="84"/>
      <c r="CO92" s="84"/>
      <c r="CP92" s="85"/>
      <c r="CQ92" s="25"/>
      <c r="CR92" s="7" t="s">
        <v>11</v>
      </c>
      <c r="CS92" s="14">
        <f>COUNTIF(C93:CN93,"G")+COUNTIF(C93:CN93,"Ex")+COUNTIF(C93:CN93,"P")</f>
        <v>0</v>
      </c>
      <c r="CT92" s="63" t="s">
        <v>1</v>
      </c>
      <c r="CU92" s="62"/>
      <c r="CV92" s="15">
        <f>COUNTIF(C93:CN93,"G")</f>
        <v>0</v>
      </c>
      <c r="CW92" s="16">
        <f>IF(CS92&gt;0,CV92/CS92,0)</f>
        <v>0</v>
      </c>
    </row>
    <row r="93" spans="2:101" ht="7.5" customHeight="1" x14ac:dyDescent="0.25">
      <c r="B93" s="81"/>
      <c r="C93" s="46" t="str">
        <f>IF(N(C92)&gt;Handicap23,"Err","-")</f>
        <v>-</v>
      </c>
      <c r="D93" s="51" t="str">
        <f>IF(N(C92)&gt;0,IF(C92&lt;Handicap23, Perdu,IF(C92=Handicap23,IF(CM4=Handicap1,Exaequo,Gagne))),"")</f>
        <v/>
      </c>
      <c r="E93" s="52"/>
      <c r="F93" s="46" t="str">
        <f>IF(N(CO4)&gt;0,IF(N(E92)=CO4,"-","Err"),"")</f>
        <v/>
      </c>
      <c r="G93" s="46" t="str">
        <f>IF(N(G92)&gt;Handicap23,"Err","-")</f>
        <v>-</v>
      </c>
      <c r="H93" s="51" t="str">
        <f>IF(N(G92)&gt;0,IF(G92&lt;Handicap23, Perdu,IF(G92=Handicap23,IF(CM8=Handicap2,Exaequo,Gagne))),"")</f>
        <v/>
      </c>
      <c r="I93" s="52"/>
      <c r="J93" s="46" t="str">
        <f>IF(N(CO8)&gt;0,IF(N(I92)=CO8,"-","Err"),"")</f>
        <v/>
      </c>
      <c r="K93" s="46" t="str">
        <f>IF(N(K92)&gt;Handicap23,"Err","-")</f>
        <v>-</v>
      </c>
      <c r="L93" s="51" t="str">
        <f>IF(N(K92)&gt;0,IF(K92&lt;Handicap23, Perdu,IF(K92=Handicap23,IF(CM12=Handicap3,Exaequo,Gagne))),"")</f>
        <v/>
      </c>
      <c r="M93" s="52"/>
      <c r="N93" s="46" t="str">
        <f>IF(N(CO12)&gt;0,IF(N(M92)=CO12,"-","Err"),"")</f>
        <v/>
      </c>
      <c r="O93" s="46" t="str">
        <f>IF(N(O92)&gt;Handicap23,"Err","-")</f>
        <v>-</v>
      </c>
      <c r="P93" s="51" t="str">
        <f>IF(N(O92)&gt;0,IF(O92&lt;Handicap23, Perdu,IF(O92=Handicap23,IF(CM16=Handicap4,Exaequo,Gagne))),"")</f>
        <v/>
      </c>
      <c r="Q93" s="52"/>
      <c r="R93" s="46" t="str">
        <f>IF(N(CO16)&gt;0,IF(N(Q92)=CO16,"-","Err"),"")</f>
        <v/>
      </c>
      <c r="S93" s="46" t="str">
        <f>IF(N(S92)&gt;Handicap23,"Err","-")</f>
        <v>-</v>
      </c>
      <c r="T93" s="51" t="str">
        <f>IF(N(S92)&gt;0,IF(S92&lt;Handicap23, Perdu,IF(S92=Handicap23,IF(CM20=Handicap5,Exaequo,Gagne))),"")</f>
        <v/>
      </c>
      <c r="U93" s="52"/>
      <c r="V93" s="46" t="str">
        <f>IF(N(CO20)&gt;0,IF(N(U92)=CO20,"-","Err"),"")</f>
        <v/>
      </c>
      <c r="W93" s="46" t="str">
        <f>IF(N(W92)&gt;Handicap23,"Err","-")</f>
        <v>-</v>
      </c>
      <c r="X93" s="51" t="str">
        <f>IF(N(W92)&gt;0,IF(W92&lt;Handicap23, Perdu,IF(W92=Handicap23,IF(CM24=Handicap6,Exaequo,Gagne))),"")</f>
        <v/>
      </c>
      <c r="Y93" s="52"/>
      <c r="Z93" s="46" t="str">
        <f>IF(N(CO24)&gt;0,IF(N(Y92)=CO24,"-","Err"),"")</f>
        <v/>
      </c>
      <c r="AA93" s="46" t="str">
        <f>IF(N(AA92)&gt;Handicap23,"Err","-")</f>
        <v>-</v>
      </c>
      <c r="AB93" s="51" t="str">
        <f>IF(N(AA92)&gt;0,IF(AA92&lt;Handicap23, Perdu,IF(AA92=Handicap23,IF(CM28=Handicap7,Exaequo,Gagne))),"")</f>
        <v/>
      </c>
      <c r="AC93" s="52"/>
      <c r="AD93" s="46" t="str">
        <f>IF(N(CO28)&gt;0,IF(N(AC92)=CO28,"-","Err"),"")</f>
        <v/>
      </c>
      <c r="AE93" s="46" t="str">
        <f>IF(N(AE92)&gt;Handicap23,"Err","-")</f>
        <v>-</v>
      </c>
      <c r="AF93" s="51" t="str">
        <f>IF(N(AE92)&gt;0,IF(AE92&lt;Handicap23, Perdu,IF(AE92=Handicap23,IF(CM32=Handicap8,Exaequo,Gagne))),"")</f>
        <v/>
      </c>
      <c r="AG93" s="52"/>
      <c r="AH93" s="46" t="str">
        <f>IF(N(CO32)&gt;0,IF(N(AG92)=CO32,"-","Err"),"")</f>
        <v/>
      </c>
      <c r="AI93" s="46" t="str">
        <f>IF(N(AI92)&gt;Handicap23,"Err","-")</f>
        <v>-</v>
      </c>
      <c r="AJ93" s="51" t="str">
        <f>IF(N(AI92)&gt;0,IF(AI92&lt;Handicap23, Perdu,IF(AI92=Handicap23,IF(CM36=Handicap9,Exaequo,Gagne))),"")</f>
        <v/>
      </c>
      <c r="AK93" s="52"/>
      <c r="AL93" s="46" t="str">
        <f>IF(N(CO36)&gt;0,IF(N(AK92)=CO36,"-","Err"),"")</f>
        <v/>
      </c>
      <c r="AM93" s="46" t="str">
        <f>IF(N(AM92)&gt;Handicap23,"Err","-")</f>
        <v>-</v>
      </c>
      <c r="AN93" s="51" t="str">
        <f>IF(N(AM92)&gt;0,IF(AM92&lt;Handicap23, Perdu,IF(AM92=Handicap23,IF(CM40=Handicap10,Exaequo,Gagne))),"")</f>
        <v/>
      </c>
      <c r="AO93" s="52"/>
      <c r="AP93" s="46" t="str">
        <f>IF(N(CO40)&gt;0,IF(N(AO92)=CO40,"-","Err"),"")</f>
        <v/>
      </c>
      <c r="AQ93" s="46" t="str">
        <f>IF(N(AQ92)&gt;Handicap23,"Err","-")</f>
        <v>-</v>
      </c>
      <c r="AR93" s="51" t="str">
        <f>IF(N(AQ92)&gt;0,IF(AQ92&lt;Handicap23, Perdu,IF(AQ92=Handicap23,IF(CM44=Handicap11,Exaequo,Gagne))),"")</f>
        <v/>
      </c>
      <c r="AS93" s="52"/>
      <c r="AT93" s="46" t="str">
        <f>IF(N(CO44)&gt;0,IF(N(AS92)=CO44,"-","Err"),"")</f>
        <v/>
      </c>
      <c r="AU93" s="46" t="str">
        <f>IF(N(AU92)&gt;Handicap23,"Err","-")</f>
        <v>-</v>
      </c>
      <c r="AV93" s="51" t="str">
        <f>IF(N(AU92)&gt;0,IF(AU92&lt;Handicap23, Perdu,IF(AU92=Handicap23,IF(CM48=Handicap12,Exaequo,Gagne))),"")</f>
        <v/>
      </c>
      <c r="AW93" s="52"/>
      <c r="AX93" s="46" t="str">
        <f>IF(N(CO48)&gt;0,IF(N(AW92)=CO48,"-","Err"),"")</f>
        <v/>
      </c>
      <c r="AY93" s="46" t="str">
        <f>IF(N(AY92)&gt;Handicap23,"Err","-")</f>
        <v>-</v>
      </c>
      <c r="AZ93" s="51" t="str">
        <f>IF(N(AY92)&gt;0,IF(AY92&lt;Handicap23, Perdu,IF(AY92=Handicap23,IF(CM52=Handicap13,Exaequo,Gagne))),"")</f>
        <v/>
      </c>
      <c r="BA93" s="52"/>
      <c r="BB93" s="46" t="str">
        <f>IF(N(CO52)&gt;0,IF(N(BA92)=CO52,"-","Err"),"")</f>
        <v/>
      </c>
      <c r="BC93" s="46" t="str">
        <f>IF(N(BC92)&gt;Handicap23,"Err","-")</f>
        <v>-</v>
      </c>
      <c r="BD93" s="51" t="str">
        <f>IF(N(BC92)&gt;0,IF(BC92&lt;Handicap23, Perdu,IF(BC92=Handicap23,IF(CM56=hANDICAP14,Exaequo,Gagne))),"")</f>
        <v/>
      </c>
      <c r="BE93" s="52"/>
      <c r="BF93" s="46" t="str">
        <f>IF(N(CO56)&gt;0,IF(N(BE92)=CO56,"-","Err"),"")</f>
        <v/>
      </c>
      <c r="BG93" s="46" t="str">
        <f>IF(N(BG92)&gt;Handicap23,"Err","-")</f>
        <v>-</v>
      </c>
      <c r="BH93" s="51" t="str">
        <f>IF(N(BG92)&gt;0,IF(BG92&lt;Handicap23, Perdu,IF(BG92=Handicap23,IF(CM60=Handicap15,Exaequo,Gagne))),"")</f>
        <v/>
      </c>
      <c r="BI93" s="52"/>
      <c r="BJ93" s="46" t="str">
        <f>IF(N(CO60)&gt;0,IF(N(BI92)=CO60,"-","Err"),"")</f>
        <v/>
      </c>
      <c r="BK93" s="46" t="str">
        <f>IF(N(BK92)&gt;Handicap23,"Err","-")</f>
        <v>-</v>
      </c>
      <c r="BL93" s="51" t="str">
        <f>IF(N(BK92)&gt;0,IF(BK92&lt;Handicap23, Perdu,IF(BK92=Handicap23,IF(CM64=Handicap16,Exaequo,Gagne))),"")</f>
        <v/>
      </c>
      <c r="BM93" s="52"/>
      <c r="BN93" s="46" t="str">
        <f>IF(N(CO64)&gt;0,IF(N(BM92)=CO64,"-","Err"),"")</f>
        <v/>
      </c>
      <c r="BO93" s="46" t="str">
        <f>IF(N(BO92)&gt;Handicap23,"Err","-")</f>
        <v>-</v>
      </c>
      <c r="BP93" s="51" t="str">
        <f>IF(N(BO92)&gt;0,IF(BO92&lt;Handicap23, Perdu,IF(BO92=Handicap23,IF(CM68=Handicap17,Exaequo,Gagne))),"")</f>
        <v/>
      </c>
      <c r="BQ93" s="52"/>
      <c r="BR93" s="46" t="str">
        <f>IF(N(CO68)&gt;0,IF(N(BQ92)=CO68,"-","Err"),"")</f>
        <v/>
      </c>
      <c r="BS93" s="46" t="str">
        <f>IF(N(BS92)&gt;Handicap23,"Err","-")</f>
        <v>-</v>
      </c>
      <c r="BT93" s="51" t="str">
        <f>IF(N(BS92)&gt;0,IF(BS92&lt;Handicap23, Perdu,IF(BS92=Handicap23,IF(CM72=Handicap18,Exaequo,Gagne))),"")</f>
        <v/>
      </c>
      <c r="BU93" s="52"/>
      <c r="BV93" s="46" t="str">
        <f>IF(N(CO72)&gt;0,IF(N(BU92)=CO72,"-","Err"),"")</f>
        <v/>
      </c>
      <c r="BW93" s="46" t="str">
        <f>IF(N(BW92)&gt;Handicap23,"Err","-")</f>
        <v>-</v>
      </c>
      <c r="BX93" s="51" t="str">
        <f>IF(N(BW92)&gt;0,IF(BW92&lt;Handicap23, Perdu,IF(BW92=Handicap23,IF(CM76=Handicap19,Exaequo,Gagne))),"")</f>
        <v/>
      </c>
      <c r="BY93" s="52"/>
      <c r="BZ93" s="46" t="str">
        <f>IF(N(CO76)&gt;0,IF(N(BY92)=CO76,"-","Err"),"")</f>
        <v/>
      </c>
      <c r="CA93" s="46" t="str">
        <f>IF(N(CA92)&gt;Handicap23,"Err","-")</f>
        <v>-</v>
      </c>
      <c r="CB93" s="51" t="str">
        <f>IF(N(CA92)&gt;0,IF(CA92&lt;Handicap23, Perdu,IF(CA92=Handicap23,IF(CM80=Handicap20,Exaequo,Gagne))),"")</f>
        <v/>
      </c>
      <c r="CC93" s="52"/>
      <c r="CD93" s="46" t="str">
        <f>IF(N(CO80)&gt;0,IF(N(CC92)=CO80,"-","Err"),"")</f>
        <v/>
      </c>
      <c r="CE93" s="46" t="str">
        <f>IF(N(CE92)&gt;Handicap23,"Err","-")</f>
        <v>-</v>
      </c>
      <c r="CF93" s="51" t="str">
        <f>IF(N(CE92)&gt;0,IF(CE92&lt;Handicap23, Perdu,IF(CE92=Handicap23,IF(CM84=Handicap21,Exaequo,Gagne))),"")</f>
        <v/>
      </c>
      <c r="CG93" s="73"/>
      <c r="CH93" s="46" t="str">
        <f>IF(N(CO84)&gt;0,IF(N(CG92)=CO84,"-","Err"),"")</f>
        <v/>
      </c>
      <c r="CI93" s="46" t="str">
        <f>IF(N(CI92)&gt;Handicap23,"Err","-")</f>
        <v>-</v>
      </c>
      <c r="CJ93" s="51" t="str">
        <f>IF(N(CI92)&gt;0,IF(CI92&lt;Handicap23, Perdu,IF(CI92=Handicap23,IF(CM88=Handicap22,Exaequo,Gagne))),"")</f>
        <v/>
      </c>
      <c r="CK93" s="73"/>
      <c r="CL93" s="46" t="str">
        <f>IF(N(CO88)&gt;0,IF(N(CK92)=CO88,"-","Err"),"")</f>
        <v/>
      </c>
      <c r="CM93" s="86"/>
      <c r="CN93" s="87"/>
      <c r="CO93" s="87"/>
      <c r="CP93" s="88"/>
      <c r="CQ93" s="26"/>
      <c r="CR93" s="64" t="s">
        <v>6</v>
      </c>
      <c r="CS93" s="66">
        <f>(COUNTIF(C93:CP93,"G")*3)+(COUNTIF(C93:CP93,"Ex")*2)+COUNTIF(C93:CP93,"P")</f>
        <v>0</v>
      </c>
      <c r="CT93" s="68" t="s">
        <v>2</v>
      </c>
      <c r="CU93" s="69"/>
      <c r="CV93" s="72">
        <f>COUNTIF(C93:CN93,"P")</f>
        <v>0</v>
      </c>
      <c r="CW93" s="60">
        <f>IF(CS92&gt;0,CV93/CS92,0)</f>
        <v>0</v>
      </c>
    </row>
    <row r="94" spans="2:101" ht="7.5" customHeight="1" x14ac:dyDescent="0.25">
      <c r="B94" s="81"/>
      <c r="C94" s="46"/>
      <c r="D94" s="53"/>
      <c r="E94" s="54"/>
      <c r="F94" s="46"/>
      <c r="G94" s="46"/>
      <c r="H94" s="53"/>
      <c r="I94" s="54"/>
      <c r="J94" s="46"/>
      <c r="K94" s="46"/>
      <c r="L94" s="53"/>
      <c r="M94" s="54"/>
      <c r="N94" s="46"/>
      <c r="O94" s="46"/>
      <c r="P94" s="53"/>
      <c r="Q94" s="54"/>
      <c r="R94" s="46"/>
      <c r="S94" s="46"/>
      <c r="T94" s="53"/>
      <c r="U94" s="54"/>
      <c r="V94" s="46"/>
      <c r="W94" s="46"/>
      <c r="X94" s="53"/>
      <c r="Y94" s="54"/>
      <c r="Z94" s="46"/>
      <c r="AA94" s="46"/>
      <c r="AB94" s="53"/>
      <c r="AC94" s="54"/>
      <c r="AD94" s="46"/>
      <c r="AE94" s="46"/>
      <c r="AF94" s="53"/>
      <c r="AG94" s="54"/>
      <c r="AH94" s="46"/>
      <c r="AI94" s="46"/>
      <c r="AJ94" s="53"/>
      <c r="AK94" s="54"/>
      <c r="AL94" s="46"/>
      <c r="AM94" s="46"/>
      <c r="AN94" s="53"/>
      <c r="AO94" s="54"/>
      <c r="AP94" s="46"/>
      <c r="AQ94" s="46"/>
      <c r="AR94" s="53"/>
      <c r="AS94" s="54"/>
      <c r="AT94" s="46"/>
      <c r="AU94" s="46"/>
      <c r="AV94" s="53"/>
      <c r="AW94" s="54"/>
      <c r="AX94" s="46"/>
      <c r="AY94" s="46"/>
      <c r="AZ94" s="53"/>
      <c r="BA94" s="54"/>
      <c r="BB94" s="46"/>
      <c r="BC94" s="46"/>
      <c r="BD94" s="53"/>
      <c r="BE94" s="54"/>
      <c r="BF94" s="46"/>
      <c r="BG94" s="46"/>
      <c r="BH94" s="53"/>
      <c r="BI94" s="54"/>
      <c r="BJ94" s="46"/>
      <c r="BK94" s="46"/>
      <c r="BL94" s="53"/>
      <c r="BM94" s="54"/>
      <c r="BN94" s="46"/>
      <c r="BO94" s="46"/>
      <c r="BP94" s="53"/>
      <c r="BQ94" s="54"/>
      <c r="BR94" s="46"/>
      <c r="BS94" s="46"/>
      <c r="BT94" s="53"/>
      <c r="BU94" s="54"/>
      <c r="BV94" s="46"/>
      <c r="BW94" s="46"/>
      <c r="BX94" s="53"/>
      <c r="BY94" s="54"/>
      <c r="BZ94" s="46"/>
      <c r="CA94" s="46"/>
      <c r="CB94" s="53"/>
      <c r="CC94" s="54"/>
      <c r="CD94" s="46"/>
      <c r="CE94" s="46"/>
      <c r="CF94" s="74"/>
      <c r="CG94" s="75"/>
      <c r="CH94" s="46"/>
      <c r="CI94" s="46"/>
      <c r="CJ94" s="74"/>
      <c r="CK94" s="75"/>
      <c r="CL94" s="46"/>
      <c r="CM94" s="86"/>
      <c r="CN94" s="87"/>
      <c r="CO94" s="87"/>
      <c r="CP94" s="88"/>
      <c r="CQ94" s="26"/>
      <c r="CR94" s="65"/>
      <c r="CS94" s="67"/>
      <c r="CT94" s="70"/>
      <c r="CU94" s="71"/>
      <c r="CV94" s="72"/>
      <c r="CW94" s="60"/>
    </row>
    <row r="95" spans="2:101" ht="15" customHeight="1" x14ac:dyDescent="0.25">
      <c r="B95" s="82"/>
      <c r="C95" s="55" t="str">
        <f>IF(COUNT(C92:E92)=2,C92/E92,"Moy")</f>
        <v>Moy</v>
      </c>
      <c r="D95" s="56"/>
      <c r="E95" s="56" t="s">
        <v>0</v>
      </c>
      <c r="F95" s="59"/>
      <c r="G95" s="55" t="str">
        <f>IF(COUNT(G92:I92)=2,G92/I92,"Moy")</f>
        <v>Moy</v>
      </c>
      <c r="H95" s="56"/>
      <c r="I95" s="56" t="s">
        <v>0</v>
      </c>
      <c r="J95" s="59"/>
      <c r="K95" s="55" t="str">
        <f>IF(COUNT(K92:M92)=2,K92/M92,"Moy")</f>
        <v>Moy</v>
      </c>
      <c r="L95" s="56"/>
      <c r="M95" s="56" t="s">
        <v>0</v>
      </c>
      <c r="N95" s="59"/>
      <c r="O95" s="55" t="str">
        <f>IF(COUNT(O92:Q92)=2,O92/Q92,"Moy")</f>
        <v>Moy</v>
      </c>
      <c r="P95" s="56"/>
      <c r="Q95" s="56" t="s">
        <v>0</v>
      </c>
      <c r="R95" s="59"/>
      <c r="S95" s="55" t="str">
        <f>IF(COUNT(S92:U92)=2,S92/U92,"Moy")</f>
        <v>Moy</v>
      </c>
      <c r="T95" s="56"/>
      <c r="U95" s="56" t="s">
        <v>0</v>
      </c>
      <c r="V95" s="59"/>
      <c r="W95" s="55" t="str">
        <f>IF(COUNT(W92:Y92)=2,W92/Y92,"Moy")</f>
        <v>Moy</v>
      </c>
      <c r="X95" s="56"/>
      <c r="Y95" s="56" t="s">
        <v>0</v>
      </c>
      <c r="Z95" s="59"/>
      <c r="AA95" s="55" t="str">
        <f>IF(COUNT(AA92:AC92)=2,AA92/AC92,"Moy")</f>
        <v>Moy</v>
      </c>
      <c r="AB95" s="56"/>
      <c r="AC95" s="56" t="s">
        <v>0</v>
      </c>
      <c r="AD95" s="59"/>
      <c r="AE95" s="55" t="str">
        <f>IF(COUNT(AE92:AG92)=2,AE92/AG92,"Moy")</f>
        <v>Moy</v>
      </c>
      <c r="AF95" s="56"/>
      <c r="AG95" s="56" t="s">
        <v>0</v>
      </c>
      <c r="AH95" s="59"/>
      <c r="AI95" s="55" t="str">
        <f>IF(COUNT(AI92:AK92)=2,AI92/AK92,"Moy")</f>
        <v>Moy</v>
      </c>
      <c r="AJ95" s="56"/>
      <c r="AK95" s="56" t="s">
        <v>0</v>
      </c>
      <c r="AL95" s="59"/>
      <c r="AM95" s="55" t="str">
        <f>IF(COUNT(AM92:AO92)=2,AM92/AO92,"Moy")</f>
        <v>Moy</v>
      </c>
      <c r="AN95" s="56"/>
      <c r="AO95" s="56" t="s">
        <v>0</v>
      </c>
      <c r="AP95" s="59"/>
      <c r="AQ95" s="55" t="str">
        <f>IF(COUNT(AQ92:AS92)=2,AQ92/AS92,"Moy")</f>
        <v>Moy</v>
      </c>
      <c r="AR95" s="56"/>
      <c r="AS95" s="56" t="s">
        <v>0</v>
      </c>
      <c r="AT95" s="59"/>
      <c r="AU95" s="55" t="str">
        <f>IF(COUNT(AU92:AW92)=2,AU92/AW92,"Moy")</f>
        <v>Moy</v>
      </c>
      <c r="AV95" s="56"/>
      <c r="AW95" s="56" t="s">
        <v>0</v>
      </c>
      <c r="AX95" s="59"/>
      <c r="AY95" s="55" t="str">
        <f>IF(COUNT(AY92:BA92)=2,AY92/BA92,"Moy")</f>
        <v>Moy</v>
      </c>
      <c r="AZ95" s="56"/>
      <c r="BA95" s="56" t="s">
        <v>0</v>
      </c>
      <c r="BB95" s="59"/>
      <c r="BC95" s="55" t="str">
        <f>IF(COUNT(BC92:BE92)=2,BC92/BE92,"Moy")</f>
        <v>Moy</v>
      </c>
      <c r="BD95" s="56"/>
      <c r="BE95" s="56" t="s">
        <v>0</v>
      </c>
      <c r="BF95" s="59"/>
      <c r="BG95" s="55" t="str">
        <f>IF(COUNT(BG92:BI92)=2,BG92/BI92,"Moy")</f>
        <v>Moy</v>
      </c>
      <c r="BH95" s="56"/>
      <c r="BI95" s="56" t="s">
        <v>0</v>
      </c>
      <c r="BJ95" s="59"/>
      <c r="BK95" s="55" t="str">
        <f>IF(COUNT(BK92:BM92)=2,BK92/BM92,"Moy")</f>
        <v>Moy</v>
      </c>
      <c r="BL95" s="56"/>
      <c r="BM95" s="56" t="s">
        <v>0</v>
      </c>
      <c r="BN95" s="59"/>
      <c r="BO95" s="55" t="str">
        <f>IF(COUNT(BO92:BQ92)=2,BO92/BQ92,"Moy")</f>
        <v>Moy</v>
      </c>
      <c r="BP95" s="56"/>
      <c r="BQ95" s="56" t="s">
        <v>0</v>
      </c>
      <c r="BR95" s="59"/>
      <c r="BS95" s="55" t="str">
        <f>IF(COUNT(BS92:BU92)=2,BS92/BU92,"Moy")</f>
        <v>Moy</v>
      </c>
      <c r="BT95" s="56"/>
      <c r="BU95" s="56" t="s">
        <v>0</v>
      </c>
      <c r="BV95" s="59"/>
      <c r="BW95" s="55" t="str">
        <f>IF(COUNT(BW92:BY92)=2,BW92/BY92,"Moy")</f>
        <v>Moy</v>
      </c>
      <c r="BX95" s="56"/>
      <c r="BY95" s="56" t="s">
        <v>0</v>
      </c>
      <c r="BZ95" s="59"/>
      <c r="CA95" s="55" t="str">
        <f>IF(COUNT(CA92:CC92)=2,CA92/CC92,"Moy")</f>
        <v>Moy</v>
      </c>
      <c r="CB95" s="56"/>
      <c r="CC95" s="56" t="s">
        <v>0</v>
      </c>
      <c r="CD95" s="59"/>
      <c r="CE95" s="55" t="str">
        <f>IF(COUNT(CE92:CG92)=2,CE92/CG92,"Moy")</f>
        <v>Moy</v>
      </c>
      <c r="CF95" s="76"/>
      <c r="CG95" s="56" t="s">
        <v>0</v>
      </c>
      <c r="CH95" s="59"/>
      <c r="CI95" s="55" t="str">
        <f>IF(COUNT(CI92:CK92)=2,CI92/CK92,"Moy")</f>
        <v>Moy</v>
      </c>
      <c r="CJ95" s="76"/>
      <c r="CK95" s="56" t="s">
        <v>0</v>
      </c>
      <c r="CL95" s="59"/>
      <c r="CM95" s="89"/>
      <c r="CN95" s="90"/>
      <c r="CO95" s="90"/>
      <c r="CP95" s="91"/>
      <c r="CQ95" s="27"/>
      <c r="CR95" s="8" t="s">
        <v>5</v>
      </c>
      <c r="CS95" s="17">
        <f>IF(CS92&gt;0,((N(C95)+N(G95)+N(K95)+N(O95)+N(S95)+N(W95)+N(AA95)+N(AE95)+N(AI95)+N(AM95)+N(AQ95)+N(AU95)+N(AY95)+N(BC95)+N(BG95)+N(BK95)+N(BO95)+N(BS95)+N(BW95)+N(CA95)+N(CE95)+N(CI95))+N(CM95))/CS92,0)</f>
        <v>0</v>
      </c>
      <c r="CT95" s="61" t="s">
        <v>3</v>
      </c>
      <c r="CU95" s="62"/>
      <c r="CV95" s="18">
        <f>COUNTIF(C93:CN93,"Ex")</f>
        <v>0</v>
      </c>
      <c r="CW95" s="19">
        <f>IF(CS92&gt;0,CV95/CS92,0)</f>
        <v>0</v>
      </c>
    </row>
    <row r="96" spans="2:101" ht="10.5" customHeight="1" x14ac:dyDescent="0.25">
      <c r="C96" s="21"/>
      <c r="D96" s="21"/>
      <c r="F96" s="21"/>
    </row>
    <row r="97" spans="2:101" x14ac:dyDescent="0.25">
      <c r="B97" s="4" t="s">
        <v>13</v>
      </c>
      <c r="K97" s="4" t="s">
        <v>12</v>
      </c>
      <c r="L97" s="4"/>
      <c r="CR97" s="113" t="s">
        <v>26</v>
      </c>
      <c r="CS97" s="116">
        <f>(CS4+CS8+CS12+CS16+CS20+CS24+CS28+CS32+CS36+CS40+CS44+CS48+CS52+CS56+CS60+CS64+CS68+CS72+CS76+CS80+CS84+CS88+CS92)/2-0.5</f>
        <v>80</v>
      </c>
      <c r="CT97" s="108" t="s">
        <v>31</v>
      </c>
      <c r="CU97" s="109"/>
      <c r="CV97" s="109"/>
      <c r="CW97" s="110">
        <f>CS97/506</f>
        <v>0.15810276679841898</v>
      </c>
    </row>
    <row r="98" spans="2:101" ht="7.5" customHeight="1" x14ac:dyDescent="0.25">
      <c r="CR98" s="114"/>
      <c r="CS98" s="117"/>
      <c r="CT98" s="108"/>
      <c r="CU98" s="109"/>
      <c r="CV98" s="109"/>
      <c r="CW98" s="111"/>
    </row>
    <row r="99" spans="2:101" x14ac:dyDescent="0.25">
      <c r="C99" s="5" t="s">
        <v>8</v>
      </c>
      <c r="D99" s="63" t="s">
        <v>1</v>
      </c>
      <c r="E99" s="62"/>
      <c r="F99" s="1">
        <v>3</v>
      </c>
      <c r="G99" t="s">
        <v>16</v>
      </c>
      <c r="M99" t="s">
        <v>15</v>
      </c>
      <c r="CR99" s="114"/>
      <c r="CS99" s="117"/>
      <c r="CT99" s="108"/>
      <c r="CU99" s="109"/>
      <c r="CV99" s="109"/>
      <c r="CW99" s="111"/>
    </row>
    <row r="100" spans="2:101" ht="7.5" customHeight="1" x14ac:dyDescent="0.25">
      <c r="CR100" s="115"/>
      <c r="CS100" s="59"/>
      <c r="CT100" s="108"/>
      <c r="CU100" s="109"/>
      <c r="CV100" s="109"/>
      <c r="CW100" s="112"/>
    </row>
    <row r="101" spans="2:101" x14ac:dyDescent="0.25">
      <c r="C101" s="5" t="s">
        <v>9</v>
      </c>
      <c r="D101" s="101" t="s">
        <v>2</v>
      </c>
      <c r="E101" s="62"/>
      <c r="F101" s="1">
        <v>1</v>
      </c>
      <c r="G101" t="s">
        <v>17</v>
      </c>
      <c r="M101" t="s">
        <v>20</v>
      </c>
      <c r="CS101"/>
    </row>
    <row r="102" spans="2:101" ht="7.5" customHeight="1" x14ac:dyDescent="0.25">
      <c r="CR102" s="28"/>
      <c r="CS102" s="29"/>
    </row>
    <row r="103" spans="2:101" x14ac:dyDescent="0.25">
      <c r="C103" s="5" t="s">
        <v>10</v>
      </c>
      <c r="D103" s="61" t="s">
        <v>3</v>
      </c>
      <c r="E103" s="62"/>
      <c r="F103" s="1">
        <v>2</v>
      </c>
      <c r="G103" t="s">
        <v>16</v>
      </c>
      <c r="M103" t="s">
        <v>19</v>
      </c>
      <c r="CR103" s="28"/>
      <c r="CS103" s="29"/>
    </row>
    <row r="104" spans="2:101" ht="7.5" customHeight="1" x14ac:dyDescent="0.25">
      <c r="CR104" s="28"/>
      <c r="CS104" s="29"/>
    </row>
    <row r="105" spans="2:101" x14ac:dyDescent="0.25">
      <c r="C105" s="5" t="s">
        <v>14</v>
      </c>
      <c r="D105" s="102"/>
      <c r="E105" s="103"/>
      <c r="F105" s="1">
        <v>0</v>
      </c>
      <c r="G105" t="s">
        <v>17</v>
      </c>
      <c r="M105" t="s">
        <v>21</v>
      </c>
      <c r="AA105" s="11"/>
      <c r="AB105" s="11"/>
      <c r="AD105" s="11"/>
      <c r="AG105" s="11"/>
      <c r="CR105" s="28"/>
      <c r="CS105" s="29"/>
    </row>
    <row r="109" spans="2:101" x14ac:dyDescent="0.25">
      <c r="Y109" s="13"/>
    </row>
  </sheetData>
  <mergeCells count="3321">
    <mergeCell ref="CT97:CV100"/>
    <mergeCell ref="CW97:CW100"/>
    <mergeCell ref="CR97:CR100"/>
    <mergeCell ref="CS97:CS100"/>
    <mergeCell ref="CR1:CW1"/>
    <mergeCell ref="CM69:CM70"/>
    <mergeCell ref="BO93:BO94"/>
    <mergeCell ref="CI92:CJ92"/>
    <mergeCell ref="CK92:CL92"/>
    <mergeCell ref="CJ93:CK94"/>
    <mergeCell ref="CL93:CL94"/>
    <mergeCell ref="CI95:CJ95"/>
    <mergeCell ref="CK95:CL95"/>
    <mergeCell ref="CM88:CN88"/>
    <mergeCell ref="CO88:CP88"/>
    <mergeCell ref="CN89:CO90"/>
    <mergeCell ref="CP89:CP90"/>
    <mergeCell ref="CM91:CN91"/>
    <mergeCell ref="CO91:CP91"/>
    <mergeCell ref="CV93:CV94"/>
    <mergeCell ref="CW93:CW94"/>
    <mergeCell ref="BY92:BZ92"/>
    <mergeCell ref="CN57:CO58"/>
    <mergeCell ref="CP57:CP58"/>
    <mergeCell ref="CM59:CN59"/>
    <mergeCell ref="CO59:CP59"/>
    <mergeCell ref="CM60:CN60"/>
    <mergeCell ref="CO60:CP60"/>
    <mergeCell ref="CN61:CO62"/>
    <mergeCell ref="CP61:CP62"/>
    <mergeCell ref="CM63:CN63"/>
    <mergeCell ref="CO63:CP63"/>
    <mergeCell ref="BC95:BD95"/>
    <mergeCell ref="BE95:BF95"/>
    <mergeCell ref="BG95:BH95"/>
    <mergeCell ref="BI95:BJ95"/>
    <mergeCell ref="BK95:BL95"/>
    <mergeCell ref="BM95:BN95"/>
    <mergeCell ref="BO95:BP95"/>
    <mergeCell ref="BQ95:BR95"/>
    <mergeCell ref="BS95:BT95"/>
    <mergeCell ref="BU95:BV95"/>
    <mergeCell ref="BW95:BX95"/>
    <mergeCell ref="BY95:BZ95"/>
    <mergeCell ref="CA95:CB95"/>
    <mergeCell ref="CC95:CD95"/>
    <mergeCell ref="CE95:CF95"/>
    <mergeCell ref="CG95:CH95"/>
    <mergeCell ref="CF93:CG94"/>
    <mergeCell ref="C95:D95"/>
    <mergeCell ref="E95:F95"/>
    <mergeCell ref="G95:H95"/>
    <mergeCell ref="I95:J95"/>
    <mergeCell ref="K95:L95"/>
    <mergeCell ref="M95:N95"/>
    <mergeCell ref="O95:P95"/>
    <mergeCell ref="Q95:R95"/>
    <mergeCell ref="S95:T95"/>
    <mergeCell ref="U95:V95"/>
    <mergeCell ref="W95:X95"/>
    <mergeCell ref="Y95:Z95"/>
    <mergeCell ref="AA95:AB95"/>
    <mergeCell ref="AC95:AD95"/>
    <mergeCell ref="AE95:AF95"/>
    <mergeCell ref="AG95:AH95"/>
    <mergeCell ref="AI95:AJ95"/>
    <mergeCell ref="AK95:AL95"/>
    <mergeCell ref="AM95:AN95"/>
    <mergeCell ref="AO95:AP95"/>
    <mergeCell ref="AQ95:AR95"/>
    <mergeCell ref="AS95:AT95"/>
    <mergeCell ref="AU95:AV95"/>
    <mergeCell ref="AW95:AX95"/>
    <mergeCell ref="AY95:AZ95"/>
    <mergeCell ref="BG93:BG94"/>
    <mergeCell ref="BK93:BK94"/>
    <mergeCell ref="BB93:BB94"/>
    <mergeCell ref="CD93:CD94"/>
    <mergeCell ref="CT95:CU95"/>
    <mergeCell ref="CH93:CH94"/>
    <mergeCell ref="CR93:CR94"/>
    <mergeCell ref="CS93:CS94"/>
    <mergeCell ref="CT93:CU94"/>
    <mergeCell ref="CM92:CP95"/>
    <mergeCell ref="CT92:CU92"/>
    <mergeCell ref="BG92:BH92"/>
    <mergeCell ref="BI92:BJ92"/>
    <mergeCell ref="BK92:BL92"/>
    <mergeCell ref="BM92:BN92"/>
    <mergeCell ref="BO92:BP92"/>
    <mergeCell ref="BQ92:BR92"/>
    <mergeCell ref="BS92:BT92"/>
    <mergeCell ref="BU92:BV92"/>
    <mergeCell ref="BW92:BX92"/>
    <mergeCell ref="CE92:CF92"/>
    <mergeCell ref="CG92:CH92"/>
    <mergeCell ref="CA92:CB92"/>
    <mergeCell ref="CC92:CD92"/>
    <mergeCell ref="AD93:AD94"/>
    <mergeCell ref="AF93:AG94"/>
    <mergeCell ref="AH93:AH94"/>
    <mergeCell ref="AJ93:AK94"/>
    <mergeCell ref="BD93:BE94"/>
    <mergeCell ref="BF93:BF94"/>
    <mergeCell ref="BH93:BI94"/>
    <mergeCell ref="BJ93:BJ94"/>
    <mergeCell ref="BL93:BM94"/>
    <mergeCell ref="BN93:BN94"/>
    <mergeCell ref="BP93:BQ94"/>
    <mergeCell ref="BR93:BR94"/>
    <mergeCell ref="BT93:BU94"/>
    <mergeCell ref="BV93:BV94"/>
    <mergeCell ref="BX93:BY94"/>
    <mergeCell ref="BZ93:BZ94"/>
    <mergeCell ref="CB93:CC94"/>
    <mergeCell ref="AL93:AL94"/>
    <mergeCell ref="AN93:AO94"/>
    <mergeCell ref="AP93:AP94"/>
    <mergeCell ref="AR93:AS94"/>
    <mergeCell ref="AT93:AT94"/>
    <mergeCell ref="AV93:AW94"/>
    <mergeCell ref="AX93:AX94"/>
    <mergeCell ref="AY93:AY94"/>
    <mergeCell ref="BC93:BC94"/>
    <mergeCell ref="AQ92:AR92"/>
    <mergeCell ref="AS92:AT92"/>
    <mergeCell ref="AU92:AV92"/>
    <mergeCell ref="AW92:AX92"/>
    <mergeCell ref="BA95:BB95"/>
    <mergeCell ref="AZ93:BA94"/>
    <mergeCell ref="AY92:AZ92"/>
    <mergeCell ref="BA92:BB92"/>
    <mergeCell ref="BC92:BD92"/>
    <mergeCell ref="BE92:BF92"/>
    <mergeCell ref="CN81:CO82"/>
    <mergeCell ref="CP81:CP82"/>
    <mergeCell ref="CM83:CN83"/>
    <mergeCell ref="CO83:CP83"/>
    <mergeCell ref="CM84:CN84"/>
    <mergeCell ref="CO84:CP84"/>
    <mergeCell ref="CN85:CO86"/>
    <mergeCell ref="CP85:CP86"/>
    <mergeCell ref="CM87:CN87"/>
    <mergeCell ref="CO87:CP87"/>
    <mergeCell ref="BN85:BN86"/>
    <mergeCell ref="BK87:BL87"/>
    <mergeCell ref="BM87:BN87"/>
    <mergeCell ref="BX85:BY86"/>
    <mergeCell ref="BZ85:BZ86"/>
    <mergeCell ref="BW87:BX87"/>
    <mergeCell ref="BY87:BZ87"/>
    <mergeCell ref="BU83:BV83"/>
    <mergeCell ref="CB89:CC90"/>
    <mergeCell ref="CD89:CD90"/>
    <mergeCell ref="CA91:CB91"/>
    <mergeCell ref="CC91:CD91"/>
    <mergeCell ref="B92:B95"/>
    <mergeCell ref="C92:D92"/>
    <mergeCell ref="E92:F92"/>
    <mergeCell ref="G92:H92"/>
    <mergeCell ref="I92:J92"/>
    <mergeCell ref="K92:L92"/>
    <mergeCell ref="M92:N92"/>
    <mergeCell ref="O92:P92"/>
    <mergeCell ref="Q92:R92"/>
    <mergeCell ref="S92:T92"/>
    <mergeCell ref="U92:V92"/>
    <mergeCell ref="W92:X92"/>
    <mergeCell ref="Y92:Z92"/>
    <mergeCell ref="AA92:AB92"/>
    <mergeCell ref="AC92:AD92"/>
    <mergeCell ref="AE92:AF92"/>
    <mergeCell ref="AG92:AH92"/>
    <mergeCell ref="C93:C94"/>
    <mergeCell ref="G93:G94"/>
    <mergeCell ref="D93:E94"/>
    <mergeCell ref="F93:F94"/>
    <mergeCell ref="H93:I94"/>
    <mergeCell ref="J93:J94"/>
    <mergeCell ref="L93:M94"/>
    <mergeCell ref="N93:N94"/>
    <mergeCell ref="P93:Q94"/>
    <mergeCell ref="R93:R94"/>
    <mergeCell ref="T93:U94"/>
    <mergeCell ref="V93:V94"/>
    <mergeCell ref="X93:Y94"/>
    <mergeCell ref="Z93:Z94"/>
    <mergeCell ref="AB93:AC94"/>
    <mergeCell ref="AI92:AJ92"/>
    <mergeCell ref="AK92:AL92"/>
    <mergeCell ref="AM92:AN92"/>
    <mergeCell ref="AO92:AP92"/>
    <mergeCell ref="CN69:CO70"/>
    <mergeCell ref="CP69:CP70"/>
    <mergeCell ref="CM71:CN71"/>
    <mergeCell ref="CO71:CP71"/>
    <mergeCell ref="CM72:CN72"/>
    <mergeCell ref="CO72:CP72"/>
    <mergeCell ref="CN73:CO74"/>
    <mergeCell ref="CP73:CP74"/>
    <mergeCell ref="CM75:CN75"/>
    <mergeCell ref="CO75:CP75"/>
    <mergeCell ref="CM76:CN76"/>
    <mergeCell ref="CO76:CP76"/>
    <mergeCell ref="CN77:CO78"/>
    <mergeCell ref="CP77:CP78"/>
    <mergeCell ref="CM79:CN79"/>
    <mergeCell ref="CO79:CP79"/>
    <mergeCell ref="CM80:CN80"/>
    <mergeCell ref="CO80:CP80"/>
    <mergeCell ref="CI87:CJ87"/>
    <mergeCell ref="CK87:CL87"/>
    <mergeCell ref="BX89:BY90"/>
    <mergeCell ref="BZ89:BZ90"/>
    <mergeCell ref="BW91:BX91"/>
    <mergeCell ref="BY91:BZ91"/>
    <mergeCell ref="CI76:CJ76"/>
    <mergeCell ref="CK76:CL76"/>
    <mergeCell ref="CJ77:CK78"/>
    <mergeCell ref="CL77:CL78"/>
    <mergeCell ref="CP45:CP46"/>
    <mergeCell ref="CM47:CN47"/>
    <mergeCell ref="CO47:CP47"/>
    <mergeCell ref="CM48:CN48"/>
    <mergeCell ref="CO48:CP48"/>
    <mergeCell ref="CN49:CO50"/>
    <mergeCell ref="CP49:CP50"/>
    <mergeCell ref="CM51:CN51"/>
    <mergeCell ref="CO51:CP51"/>
    <mergeCell ref="CM52:CN52"/>
    <mergeCell ref="CO52:CP52"/>
    <mergeCell ref="CN53:CO54"/>
    <mergeCell ref="CP53:CP54"/>
    <mergeCell ref="CM55:CN55"/>
    <mergeCell ref="CO55:CP55"/>
    <mergeCell ref="CM56:CN56"/>
    <mergeCell ref="CO56:CP56"/>
    <mergeCell ref="CM53:CM54"/>
    <mergeCell ref="CP33:CP34"/>
    <mergeCell ref="CM35:CN35"/>
    <mergeCell ref="CO35:CP35"/>
    <mergeCell ref="CM36:CN36"/>
    <mergeCell ref="CO36:CP36"/>
    <mergeCell ref="CN37:CO38"/>
    <mergeCell ref="CP37:CP38"/>
    <mergeCell ref="CM39:CN39"/>
    <mergeCell ref="CO39:CP39"/>
    <mergeCell ref="CM40:CN40"/>
    <mergeCell ref="CO40:CP40"/>
    <mergeCell ref="CN41:CO42"/>
    <mergeCell ref="CP41:CP42"/>
    <mergeCell ref="CM43:CN43"/>
    <mergeCell ref="CO43:CP43"/>
    <mergeCell ref="CM44:CN44"/>
    <mergeCell ref="CO44:CP44"/>
    <mergeCell ref="CP21:CP22"/>
    <mergeCell ref="CM23:CN23"/>
    <mergeCell ref="CO23:CP23"/>
    <mergeCell ref="CM24:CN24"/>
    <mergeCell ref="CO24:CP24"/>
    <mergeCell ref="CN25:CO26"/>
    <mergeCell ref="CP25:CP26"/>
    <mergeCell ref="CM27:CN27"/>
    <mergeCell ref="CO27:CP27"/>
    <mergeCell ref="CM28:CN28"/>
    <mergeCell ref="CO28:CP28"/>
    <mergeCell ref="CN29:CO30"/>
    <mergeCell ref="CP29:CP30"/>
    <mergeCell ref="CM31:CN31"/>
    <mergeCell ref="CO31:CP31"/>
    <mergeCell ref="CM32:CN32"/>
    <mergeCell ref="CO32:CP32"/>
    <mergeCell ref="CP9:CP10"/>
    <mergeCell ref="CM11:CN11"/>
    <mergeCell ref="CO11:CP11"/>
    <mergeCell ref="CM12:CN12"/>
    <mergeCell ref="CO12:CP12"/>
    <mergeCell ref="CN13:CO14"/>
    <mergeCell ref="CP13:CP14"/>
    <mergeCell ref="CM15:CN15"/>
    <mergeCell ref="CO15:CP15"/>
    <mergeCell ref="CM16:CN16"/>
    <mergeCell ref="CO16:CP16"/>
    <mergeCell ref="CN17:CO18"/>
    <mergeCell ref="CP17:CP18"/>
    <mergeCell ref="CM19:CN19"/>
    <mergeCell ref="CO19:CP19"/>
    <mergeCell ref="CM20:CN20"/>
    <mergeCell ref="CO20:CP20"/>
    <mergeCell ref="CI67:CJ67"/>
    <mergeCell ref="CK67:CL67"/>
    <mergeCell ref="CG72:CH72"/>
    <mergeCell ref="CF73:CG74"/>
    <mergeCell ref="CH73:CH74"/>
    <mergeCell ref="CE76:CF76"/>
    <mergeCell ref="CE68:CF68"/>
    <mergeCell ref="CG68:CH68"/>
    <mergeCell ref="CE71:CF71"/>
    <mergeCell ref="CG71:CH71"/>
    <mergeCell ref="CI68:CJ68"/>
    <mergeCell ref="CK68:CL68"/>
    <mergeCell ref="CJ69:CK70"/>
    <mergeCell ref="CL69:CL70"/>
    <mergeCell ref="CI71:CJ71"/>
    <mergeCell ref="CK71:CL71"/>
    <mergeCell ref="CN9:CO10"/>
    <mergeCell ref="CN21:CO22"/>
    <mergeCell ref="CN33:CO34"/>
    <mergeCell ref="CM61:CM62"/>
    <mergeCell ref="CM65:CM66"/>
    <mergeCell ref="CM57:CM58"/>
    <mergeCell ref="CN45:CO46"/>
    <mergeCell ref="CM64:CN64"/>
    <mergeCell ref="CO64:CP64"/>
    <mergeCell ref="CN65:CO66"/>
    <mergeCell ref="CP65:CP66"/>
    <mergeCell ref="CM67:CN67"/>
    <mergeCell ref="CO67:CP67"/>
    <mergeCell ref="CM68:CN68"/>
    <mergeCell ref="CO68:CP68"/>
    <mergeCell ref="CI72:CJ72"/>
    <mergeCell ref="CK72:CL72"/>
    <mergeCell ref="CJ73:CK74"/>
    <mergeCell ref="CL73:CL74"/>
    <mergeCell ref="CI75:CJ75"/>
    <mergeCell ref="CK75:CL75"/>
    <mergeCell ref="BW88:BX88"/>
    <mergeCell ref="BY88:BZ88"/>
    <mergeCell ref="CI79:CJ79"/>
    <mergeCell ref="CK79:CL79"/>
    <mergeCell ref="CA88:CB88"/>
    <mergeCell ref="CC88:CD88"/>
    <mergeCell ref="BU87:BV87"/>
    <mergeCell ref="CE72:CF72"/>
    <mergeCell ref="CI80:CJ80"/>
    <mergeCell ref="CK80:CL80"/>
    <mergeCell ref="CJ81:CK82"/>
    <mergeCell ref="CL81:CL82"/>
    <mergeCell ref="CI83:CJ83"/>
    <mergeCell ref="CK83:CL83"/>
    <mergeCell ref="CH77:CH78"/>
    <mergeCell ref="CE79:CF79"/>
    <mergeCell ref="CF81:CG82"/>
    <mergeCell ref="CH81:CH82"/>
    <mergeCell ref="CE83:CF83"/>
    <mergeCell ref="CG83:CH83"/>
    <mergeCell ref="CK84:CL84"/>
    <mergeCell ref="CJ85:CK86"/>
    <mergeCell ref="CL85:CL86"/>
    <mergeCell ref="CE88:CF88"/>
    <mergeCell ref="CG88:CH88"/>
    <mergeCell ref="CI84:CJ84"/>
    <mergeCell ref="BW75:BX75"/>
    <mergeCell ref="CI56:CJ56"/>
    <mergeCell ref="CK56:CL56"/>
    <mergeCell ref="CJ57:CK58"/>
    <mergeCell ref="CL57:CL58"/>
    <mergeCell ref="CI59:CJ59"/>
    <mergeCell ref="CK59:CL59"/>
    <mergeCell ref="BG88:BH88"/>
    <mergeCell ref="BI88:BJ88"/>
    <mergeCell ref="BH89:BI90"/>
    <mergeCell ref="BJ89:BJ90"/>
    <mergeCell ref="BG91:BH91"/>
    <mergeCell ref="BI91:BJ91"/>
    <mergeCell ref="CI60:CJ60"/>
    <mergeCell ref="CK60:CL60"/>
    <mergeCell ref="CJ61:CK62"/>
    <mergeCell ref="CL61:CL62"/>
    <mergeCell ref="CI63:CJ63"/>
    <mergeCell ref="CK63:CL63"/>
    <mergeCell ref="BK88:BL88"/>
    <mergeCell ref="BM88:BN88"/>
    <mergeCell ref="BL89:BM90"/>
    <mergeCell ref="BN89:BN90"/>
    <mergeCell ref="BK91:BL91"/>
    <mergeCell ref="BM91:BN91"/>
    <mergeCell ref="BO88:BP88"/>
    <mergeCell ref="BQ88:BR88"/>
    <mergeCell ref="BP89:BQ90"/>
    <mergeCell ref="BR89:BR90"/>
    <mergeCell ref="BO91:BP91"/>
    <mergeCell ref="BQ91:BR91"/>
    <mergeCell ref="BS88:BT88"/>
    <mergeCell ref="BU88:BV88"/>
    <mergeCell ref="CI44:CJ44"/>
    <mergeCell ref="CK44:CL44"/>
    <mergeCell ref="CJ45:CK46"/>
    <mergeCell ref="CL45:CL46"/>
    <mergeCell ref="CI47:CJ47"/>
    <mergeCell ref="CK47:CL47"/>
    <mergeCell ref="AU88:AV88"/>
    <mergeCell ref="AW88:AX88"/>
    <mergeCell ref="AV89:AW90"/>
    <mergeCell ref="AX89:AX90"/>
    <mergeCell ref="AU91:AV91"/>
    <mergeCell ref="AW91:AX91"/>
    <mergeCell ref="CI48:CJ48"/>
    <mergeCell ref="CK48:CL48"/>
    <mergeCell ref="CJ49:CK50"/>
    <mergeCell ref="CL49:CL50"/>
    <mergeCell ref="CI51:CJ51"/>
    <mergeCell ref="CK51:CL51"/>
    <mergeCell ref="AY88:AZ88"/>
    <mergeCell ref="BA88:BB88"/>
    <mergeCell ref="AZ89:BA90"/>
    <mergeCell ref="BB89:BB90"/>
    <mergeCell ref="AY91:AZ91"/>
    <mergeCell ref="BA91:BB91"/>
    <mergeCell ref="CI52:CJ52"/>
    <mergeCell ref="CK52:CL52"/>
    <mergeCell ref="CJ53:CK54"/>
    <mergeCell ref="CL53:CL54"/>
    <mergeCell ref="CI55:CJ55"/>
    <mergeCell ref="CK55:CL55"/>
    <mergeCell ref="BC88:BD88"/>
    <mergeCell ref="BE88:BF88"/>
    <mergeCell ref="CI32:CJ32"/>
    <mergeCell ref="CK32:CL32"/>
    <mergeCell ref="CJ33:CK34"/>
    <mergeCell ref="CL33:CL34"/>
    <mergeCell ref="CI35:CJ35"/>
    <mergeCell ref="CK35:CL35"/>
    <mergeCell ref="AI88:AJ88"/>
    <mergeCell ref="AK88:AL88"/>
    <mergeCell ref="AJ89:AK90"/>
    <mergeCell ref="AL89:AL90"/>
    <mergeCell ref="AI91:AJ91"/>
    <mergeCell ref="AK91:AL91"/>
    <mergeCell ref="CI36:CJ36"/>
    <mergeCell ref="CK36:CL36"/>
    <mergeCell ref="CJ37:CK38"/>
    <mergeCell ref="CL37:CL38"/>
    <mergeCell ref="CI39:CJ39"/>
    <mergeCell ref="CK39:CL39"/>
    <mergeCell ref="AM88:AN88"/>
    <mergeCell ref="AO88:AP88"/>
    <mergeCell ref="AN89:AO90"/>
    <mergeCell ref="AP89:AP90"/>
    <mergeCell ref="AM91:AN91"/>
    <mergeCell ref="AO91:AP91"/>
    <mergeCell ref="CI40:CJ40"/>
    <mergeCell ref="CK40:CL40"/>
    <mergeCell ref="CJ41:CK42"/>
    <mergeCell ref="CL41:CL42"/>
    <mergeCell ref="CI43:CJ43"/>
    <mergeCell ref="CK43:CL43"/>
    <mergeCell ref="AQ88:AR88"/>
    <mergeCell ref="AS88:AT88"/>
    <mergeCell ref="CC36:CD36"/>
    <mergeCell ref="CB37:CC38"/>
    <mergeCell ref="CD37:CD38"/>
    <mergeCell ref="CA39:CB39"/>
    <mergeCell ref="CC39:CD39"/>
    <mergeCell ref="AM80:AN80"/>
    <mergeCell ref="AO80:AP80"/>
    <mergeCell ref="AN81:AO82"/>
    <mergeCell ref="AP81:AP82"/>
    <mergeCell ref="AM83:AN83"/>
    <mergeCell ref="AO83:AP83"/>
    <mergeCell ref="CA40:CB40"/>
    <mergeCell ref="CC40:CD40"/>
    <mergeCell ref="CB41:CC42"/>
    <mergeCell ref="CD41:CD42"/>
    <mergeCell ref="CA43:CB43"/>
    <mergeCell ref="CC43:CD43"/>
    <mergeCell ref="BY75:BZ75"/>
    <mergeCell ref="BK79:BL79"/>
    <mergeCell ref="BM79:BN79"/>
    <mergeCell ref="BW64:BX64"/>
    <mergeCell ref="BY64:BZ64"/>
    <mergeCell ref="BX65:BY66"/>
    <mergeCell ref="CA79:CB79"/>
    <mergeCell ref="BR77:BR78"/>
    <mergeCell ref="BO79:BP79"/>
    <mergeCell ref="BS79:BT79"/>
    <mergeCell ref="BU79:BV79"/>
    <mergeCell ref="BW72:BX72"/>
    <mergeCell ref="BY72:BZ72"/>
    <mergeCell ref="BX73:BY74"/>
    <mergeCell ref="BZ73:BZ74"/>
    <mergeCell ref="CD25:CD26"/>
    <mergeCell ref="CA27:CB27"/>
    <mergeCell ref="CC27:CD27"/>
    <mergeCell ref="AA80:AB80"/>
    <mergeCell ref="AC80:AD80"/>
    <mergeCell ref="AB81:AC82"/>
    <mergeCell ref="AD81:AD82"/>
    <mergeCell ref="AA83:AB83"/>
    <mergeCell ref="AC83:AD83"/>
    <mergeCell ref="CA28:CB28"/>
    <mergeCell ref="CC28:CD28"/>
    <mergeCell ref="CB29:CC30"/>
    <mergeCell ref="CD29:CD30"/>
    <mergeCell ref="CA31:CB31"/>
    <mergeCell ref="CC31:CD31"/>
    <mergeCell ref="AE80:AF80"/>
    <mergeCell ref="AG80:AH80"/>
    <mergeCell ref="AF81:AG82"/>
    <mergeCell ref="AH81:AH82"/>
    <mergeCell ref="AE83:AF83"/>
    <mergeCell ref="AG83:AH83"/>
    <mergeCell ref="CA32:CB32"/>
    <mergeCell ref="CC32:CD32"/>
    <mergeCell ref="CB33:CC34"/>
    <mergeCell ref="CD33:CD34"/>
    <mergeCell ref="AI80:AJ80"/>
    <mergeCell ref="AK80:AL80"/>
    <mergeCell ref="AJ81:AK82"/>
    <mergeCell ref="AL81:AL82"/>
    <mergeCell ref="AI83:AJ83"/>
    <mergeCell ref="AK83:AL83"/>
    <mergeCell ref="CA36:CB36"/>
    <mergeCell ref="CA16:CB16"/>
    <mergeCell ref="CC16:CD16"/>
    <mergeCell ref="CB17:CC18"/>
    <mergeCell ref="CD17:CD18"/>
    <mergeCell ref="CA19:CB19"/>
    <mergeCell ref="CC19:CD19"/>
    <mergeCell ref="O80:P80"/>
    <mergeCell ref="Q80:R80"/>
    <mergeCell ref="P81:Q82"/>
    <mergeCell ref="R81:R82"/>
    <mergeCell ref="O83:P83"/>
    <mergeCell ref="Q83:R83"/>
    <mergeCell ref="S80:T80"/>
    <mergeCell ref="U80:V80"/>
    <mergeCell ref="T81:U82"/>
    <mergeCell ref="V81:V82"/>
    <mergeCell ref="S83:T83"/>
    <mergeCell ref="U83:V83"/>
    <mergeCell ref="CA20:CB20"/>
    <mergeCell ref="CC20:CD20"/>
    <mergeCell ref="CB21:CC22"/>
    <mergeCell ref="CD21:CD22"/>
    <mergeCell ref="CA23:CB23"/>
    <mergeCell ref="CC23:CD23"/>
    <mergeCell ref="W80:X80"/>
    <mergeCell ref="Y80:Z80"/>
    <mergeCell ref="Z81:Z82"/>
    <mergeCell ref="W83:X83"/>
    <mergeCell ref="Y83:Z83"/>
    <mergeCell ref="CA24:CB24"/>
    <mergeCell ref="CC24:CD24"/>
    <mergeCell ref="CB25:CC26"/>
    <mergeCell ref="CT80:CU80"/>
    <mergeCell ref="CR81:CR82"/>
    <mergeCell ref="CS81:CS82"/>
    <mergeCell ref="CT81:CU82"/>
    <mergeCell ref="CV81:CV82"/>
    <mergeCell ref="CW81:CW82"/>
    <mergeCell ref="CT83:CU83"/>
    <mergeCell ref="CA8:CB8"/>
    <mergeCell ref="CC8:CD8"/>
    <mergeCell ref="CB9:CC10"/>
    <mergeCell ref="CD9:CD10"/>
    <mergeCell ref="CA11:CB11"/>
    <mergeCell ref="CC11:CD11"/>
    <mergeCell ref="G80:H80"/>
    <mergeCell ref="I80:J80"/>
    <mergeCell ref="H81:I82"/>
    <mergeCell ref="J81:J82"/>
    <mergeCell ref="G83:H83"/>
    <mergeCell ref="I83:J83"/>
    <mergeCell ref="CA12:CB12"/>
    <mergeCell ref="CC12:CD12"/>
    <mergeCell ref="CB13:CC14"/>
    <mergeCell ref="CD13:CD14"/>
    <mergeCell ref="CA15:CB15"/>
    <mergeCell ref="CC15:CD15"/>
    <mergeCell ref="BN77:BN78"/>
    <mergeCell ref="K80:L80"/>
    <mergeCell ref="M80:N80"/>
    <mergeCell ref="L81:M82"/>
    <mergeCell ref="N81:N82"/>
    <mergeCell ref="K83:L83"/>
    <mergeCell ref="M83:N83"/>
    <mergeCell ref="BT69:BU70"/>
    <mergeCell ref="BV69:BV70"/>
    <mergeCell ref="BS71:BT71"/>
    <mergeCell ref="BU71:BV71"/>
    <mergeCell ref="C80:D80"/>
    <mergeCell ref="E80:F80"/>
    <mergeCell ref="D81:E82"/>
    <mergeCell ref="F81:F82"/>
    <mergeCell ref="C83:D83"/>
    <mergeCell ref="E83:F83"/>
    <mergeCell ref="BD77:BE78"/>
    <mergeCell ref="BF77:BF78"/>
    <mergeCell ref="BC79:BD79"/>
    <mergeCell ref="BE79:BF79"/>
    <mergeCell ref="BW56:BX56"/>
    <mergeCell ref="BY56:BZ56"/>
    <mergeCell ref="BX57:BY58"/>
    <mergeCell ref="BZ57:BZ58"/>
    <mergeCell ref="BW59:BX59"/>
    <mergeCell ref="BY59:BZ59"/>
    <mergeCell ref="BG76:BH76"/>
    <mergeCell ref="BI76:BJ76"/>
    <mergeCell ref="BH77:BI78"/>
    <mergeCell ref="BJ77:BJ78"/>
    <mergeCell ref="BG79:BH79"/>
    <mergeCell ref="BI79:BJ79"/>
    <mergeCell ref="BW60:BX60"/>
    <mergeCell ref="BY60:BZ60"/>
    <mergeCell ref="BX61:BY62"/>
    <mergeCell ref="BZ61:BZ62"/>
    <mergeCell ref="BW63:BX63"/>
    <mergeCell ref="BY63:BZ63"/>
    <mergeCell ref="BK76:BL76"/>
    <mergeCell ref="BM76:BN76"/>
    <mergeCell ref="BZ65:BZ66"/>
    <mergeCell ref="BW67:BX67"/>
    <mergeCell ref="BY67:BZ67"/>
    <mergeCell ref="BO76:BP76"/>
    <mergeCell ref="BQ76:BR76"/>
    <mergeCell ref="BP77:BQ78"/>
    <mergeCell ref="BQ79:BR79"/>
    <mergeCell ref="BW68:BX68"/>
    <mergeCell ref="AR77:AS78"/>
    <mergeCell ref="AT77:AT78"/>
    <mergeCell ref="AQ79:AR79"/>
    <mergeCell ref="AS79:AT79"/>
    <mergeCell ref="BW44:BX44"/>
    <mergeCell ref="BY44:BZ44"/>
    <mergeCell ref="BX45:BY46"/>
    <mergeCell ref="BZ45:BZ46"/>
    <mergeCell ref="BW47:BX47"/>
    <mergeCell ref="BY47:BZ47"/>
    <mergeCell ref="AU76:AV76"/>
    <mergeCell ref="AW76:AX76"/>
    <mergeCell ref="AV77:AW78"/>
    <mergeCell ref="AX77:AX78"/>
    <mergeCell ref="AU79:AV79"/>
    <mergeCell ref="AW79:AX79"/>
    <mergeCell ref="BW48:BX48"/>
    <mergeCell ref="BY48:BZ48"/>
    <mergeCell ref="BX49:BY50"/>
    <mergeCell ref="BZ49:BZ50"/>
    <mergeCell ref="BW51:BX51"/>
    <mergeCell ref="BY51:BZ51"/>
    <mergeCell ref="AY76:AZ76"/>
    <mergeCell ref="BA76:BB76"/>
    <mergeCell ref="BW52:BX52"/>
    <mergeCell ref="BY52:BZ52"/>
    <mergeCell ref="BX53:BY54"/>
    <mergeCell ref="BZ53:BZ54"/>
    <mergeCell ref="BW55:BX55"/>
    <mergeCell ref="BY55:BZ55"/>
    <mergeCell ref="BC76:BD76"/>
    <mergeCell ref="BE76:BF76"/>
    <mergeCell ref="AF77:AG78"/>
    <mergeCell ref="AH77:AH78"/>
    <mergeCell ref="AE79:AF79"/>
    <mergeCell ref="AG79:AH79"/>
    <mergeCell ref="BW32:BX32"/>
    <mergeCell ref="BY32:BZ32"/>
    <mergeCell ref="BX33:BY34"/>
    <mergeCell ref="BZ33:BZ34"/>
    <mergeCell ref="BW35:BX35"/>
    <mergeCell ref="BY35:BZ35"/>
    <mergeCell ref="AI76:AJ76"/>
    <mergeCell ref="AK76:AL76"/>
    <mergeCell ref="AJ77:AK78"/>
    <mergeCell ref="AL77:AL78"/>
    <mergeCell ref="AI79:AJ79"/>
    <mergeCell ref="AK79:AL79"/>
    <mergeCell ref="BW36:BX36"/>
    <mergeCell ref="BY36:BZ36"/>
    <mergeCell ref="BX37:BY38"/>
    <mergeCell ref="BZ37:BZ38"/>
    <mergeCell ref="BW39:BX39"/>
    <mergeCell ref="BY39:BZ39"/>
    <mergeCell ref="AM76:AN76"/>
    <mergeCell ref="AO76:AP76"/>
    <mergeCell ref="BW40:BX40"/>
    <mergeCell ref="BY40:BZ40"/>
    <mergeCell ref="BX41:BY42"/>
    <mergeCell ref="BZ41:BZ42"/>
    <mergeCell ref="BW43:BX43"/>
    <mergeCell ref="BY43:BZ43"/>
    <mergeCell ref="AQ76:AR76"/>
    <mergeCell ref="AS76:AT76"/>
    <mergeCell ref="C72:D72"/>
    <mergeCell ref="E72:F72"/>
    <mergeCell ref="D73:E74"/>
    <mergeCell ref="F73:F74"/>
    <mergeCell ref="C75:D75"/>
    <mergeCell ref="E75:F75"/>
    <mergeCell ref="BP53:BQ54"/>
    <mergeCell ref="BR53:BR54"/>
    <mergeCell ref="BO55:BP55"/>
    <mergeCell ref="BQ55:BR55"/>
    <mergeCell ref="BC68:BD68"/>
    <mergeCell ref="BE68:BF68"/>
    <mergeCell ref="BD69:BE70"/>
    <mergeCell ref="BF69:BF70"/>
    <mergeCell ref="BC71:BD71"/>
    <mergeCell ref="BE71:BF71"/>
    <mergeCell ref="BO56:BP56"/>
    <mergeCell ref="BQ56:BR56"/>
    <mergeCell ref="BP57:BQ58"/>
    <mergeCell ref="BR57:BR58"/>
    <mergeCell ref="BO59:BP59"/>
    <mergeCell ref="BQ59:BR59"/>
    <mergeCell ref="BG68:BH68"/>
    <mergeCell ref="BI68:BJ68"/>
    <mergeCell ref="BG71:BH71"/>
    <mergeCell ref="BI71:BJ71"/>
    <mergeCell ref="BO60:BP60"/>
    <mergeCell ref="BQ60:BR60"/>
    <mergeCell ref="BP61:BQ62"/>
    <mergeCell ref="BR61:BR62"/>
    <mergeCell ref="BO63:BP63"/>
    <mergeCell ref="BQ63:BR63"/>
    <mergeCell ref="CT75:CU75"/>
    <mergeCell ref="AM68:AN68"/>
    <mergeCell ref="AO68:AP68"/>
    <mergeCell ref="AN69:AO70"/>
    <mergeCell ref="AP69:AP70"/>
    <mergeCell ref="AM71:AN71"/>
    <mergeCell ref="AO71:AP71"/>
    <mergeCell ref="CT61:CU62"/>
    <mergeCell ref="BA71:BB71"/>
    <mergeCell ref="BI67:BJ67"/>
    <mergeCell ref="BK60:BL60"/>
    <mergeCell ref="AM64:AN64"/>
    <mergeCell ref="AO64:AP64"/>
    <mergeCell ref="AN65:AO66"/>
    <mergeCell ref="AP65:AP66"/>
    <mergeCell ref="AM67:AN67"/>
    <mergeCell ref="AO67:AP67"/>
    <mergeCell ref="BE63:BF63"/>
    <mergeCell ref="BK71:BL71"/>
    <mergeCell ref="BM71:BN71"/>
    <mergeCell ref="AS60:AT60"/>
    <mergeCell ref="AR61:AS62"/>
    <mergeCell ref="AT61:AT62"/>
    <mergeCell ref="AQ63:AR63"/>
    <mergeCell ref="AS63:AT63"/>
    <mergeCell ref="AU72:AV72"/>
    <mergeCell ref="AW72:AX72"/>
    <mergeCell ref="AV73:AW74"/>
    <mergeCell ref="CI64:CJ64"/>
    <mergeCell ref="CK64:CL64"/>
    <mergeCell ref="CJ65:CK66"/>
    <mergeCell ref="CL65:CL66"/>
    <mergeCell ref="CV61:CV62"/>
    <mergeCell ref="CW61:CW62"/>
    <mergeCell ref="CT63:CU63"/>
    <mergeCell ref="CT64:CU64"/>
    <mergeCell ref="CT65:CU66"/>
    <mergeCell ref="CV65:CV66"/>
    <mergeCell ref="CW65:CW66"/>
    <mergeCell ref="CT67:CU67"/>
    <mergeCell ref="CT68:CU68"/>
    <mergeCell ref="CT69:CU70"/>
    <mergeCell ref="CV69:CV70"/>
    <mergeCell ref="CW69:CW70"/>
    <mergeCell ref="CT71:CU71"/>
    <mergeCell ref="CT72:CU72"/>
    <mergeCell ref="CR73:CR74"/>
    <mergeCell ref="CS73:CS74"/>
    <mergeCell ref="CT73:CU74"/>
    <mergeCell ref="CV73:CV74"/>
    <mergeCell ref="CW73:CW74"/>
    <mergeCell ref="CR65:CR66"/>
    <mergeCell ref="CS65:CS66"/>
    <mergeCell ref="CR61:CR62"/>
    <mergeCell ref="CS61:CS62"/>
    <mergeCell ref="CR69:CR70"/>
    <mergeCell ref="CS69:CS70"/>
    <mergeCell ref="CT47:CU47"/>
    <mergeCell ref="CT48:CU48"/>
    <mergeCell ref="CT49:CU50"/>
    <mergeCell ref="CV49:CV50"/>
    <mergeCell ref="CW49:CW50"/>
    <mergeCell ref="CT51:CU51"/>
    <mergeCell ref="CT52:CU52"/>
    <mergeCell ref="CT53:CU54"/>
    <mergeCell ref="CV53:CV54"/>
    <mergeCell ref="CW53:CW54"/>
    <mergeCell ref="CT55:CU55"/>
    <mergeCell ref="CT56:CU56"/>
    <mergeCell ref="CT57:CU58"/>
    <mergeCell ref="CV57:CV58"/>
    <mergeCell ref="CW57:CW58"/>
    <mergeCell ref="CT59:CU59"/>
    <mergeCell ref="CT60:CU60"/>
    <mergeCell ref="CT33:CU34"/>
    <mergeCell ref="CV33:CV34"/>
    <mergeCell ref="CW33:CW34"/>
    <mergeCell ref="CT35:CU35"/>
    <mergeCell ref="CT36:CU36"/>
    <mergeCell ref="CT37:CU38"/>
    <mergeCell ref="CV37:CV38"/>
    <mergeCell ref="CW37:CW38"/>
    <mergeCell ref="CT39:CU39"/>
    <mergeCell ref="CT40:CU40"/>
    <mergeCell ref="CT41:CU42"/>
    <mergeCell ref="CV41:CV42"/>
    <mergeCell ref="CW41:CW42"/>
    <mergeCell ref="CT43:CU43"/>
    <mergeCell ref="CT44:CU44"/>
    <mergeCell ref="CT45:CU46"/>
    <mergeCell ref="CV45:CV46"/>
    <mergeCell ref="CW45:CW46"/>
    <mergeCell ref="CT19:CU19"/>
    <mergeCell ref="CT20:CU20"/>
    <mergeCell ref="CT21:CU22"/>
    <mergeCell ref="CV21:CV22"/>
    <mergeCell ref="CW21:CW22"/>
    <mergeCell ref="CT23:CU23"/>
    <mergeCell ref="CT24:CU24"/>
    <mergeCell ref="CT25:CU26"/>
    <mergeCell ref="CV25:CV26"/>
    <mergeCell ref="CW25:CW26"/>
    <mergeCell ref="CT27:CU27"/>
    <mergeCell ref="CT28:CU28"/>
    <mergeCell ref="CT29:CU30"/>
    <mergeCell ref="CV29:CV30"/>
    <mergeCell ref="CW29:CW30"/>
    <mergeCell ref="CT31:CU31"/>
    <mergeCell ref="CT32:CU32"/>
    <mergeCell ref="CI7:CJ7"/>
    <mergeCell ref="CK7:CL7"/>
    <mergeCell ref="CV5:CV6"/>
    <mergeCell ref="CW5:CW6"/>
    <mergeCell ref="CR3:CW3"/>
    <mergeCell ref="CT8:CU8"/>
    <mergeCell ref="CT9:CU10"/>
    <mergeCell ref="CV9:CV10"/>
    <mergeCell ref="CW9:CW10"/>
    <mergeCell ref="CT11:CU11"/>
    <mergeCell ref="CT12:CU12"/>
    <mergeCell ref="CT13:CU14"/>
    <mergeCell ref="CV13:CV14"/>
    <mergeCell ref="CW13:CW14"/>
    <mergeCell ref="CT15:CU15"/>
    <mergeCell ref="CT16:CU16"/>
    <mergeCell ref="CT17:CU18"/>
    <mergeCell ref="CV17:CV18"/>
    <mergeCell ref="CW17:CW18"/>
    <mergeCell ref="CT4:CU4"/>
    <mergeCell ref="CT7:CU7"/>
    <mergeCell ref="CT5:CU6"/>
    <mergeCell ref="CI3:CL3"/>
    <mergeCell ref="CM3:CP3"/>
    <mergeCell ref="CM4:CN4"/>
    <mergeCell ref="CO4:CP4"/>
    <mergeCell ref="CN5:CO6"/>
    <mergeCell ref="CP5:CP6"/>
    <mergeCell ref="CM7:CN7"/>
    <mergeCell ref="CO7:CP7"/>
    <mergeCell ref="CM8:CN8"/>
    <mergeCell ref="CO8:CP8"/>
    <mergeCell ref="BU4:BV4"/>
    <mergeCell ref="BT5:BU6"/>
    <mergeCell ref="BV5:BV6"/>
    <mergeCell ref="BS7:BT7"/>
    <mergeCell ref="BU7:BV7"/>
    <mergeCell ref="BW4:BX4"/>
    <mergeCell ref="BY4:BZ4"/>
    <mergeCell ref="BX5:BY6"/>
    <mergeCell ref="BZ5:BZ6"/>
    <mergeCell ref="BW7:BX7"/>
    <mergeCell ref="BY7:BZ7"/>
    <mergeCell ref="CA4:CB4"/>
    <mergeCell ref="CC4:CD4"/>
    <mergeCell ref="CB5:CC6"/>
    <mergeCell ref="CD5:CD6"/>
    <mergeCell ref="CA7:CB7"/>
    <mergeCell ref="CC7:CD7"/>
    <mergeCell ref="CG4:CH4"/>
    <mergeCell ref="CF5:CG6"/>
    <mergeCell ref="CH5:CH6"/>
    <mergeCell ref="CE7:CF7"/>
    <mergeCell ref="CG7:CH7"/>
    <mergeCell ref="CI4:CJ4"/>
    <mergeCell ref="CK4:CL4"/>
    <mergeCell ref="CJ5:CK6"/>
    <mergeCell ref="CL5:CL6"/>
    <mergeCell ref="AG71:AH71"/>
    <mergeCell ref="BO32:BP32"/>
    <mergeCell ref="BQ32:BR32"/>
    <mergeCell ref="BP33:BQ34"/>
    <mergeCell ref="BR33:BR34"/>
    <mergeCell ref="BO35:BP35"/>
    <mergeCell ref="BQ35:BR35"/>
    <mergeCell ref="AI68:AJ68"/>
    <mergeCell ref="AK68:AL68"/>
    <mergeCell ref="AJ69:AK70"/>
    <mergeCell ref="AL69:AL70"/>
    <mergeCell ref="AI71:AJ71"/>
    <mergeCell ref="AK71:AL71"/>
    <mergeCell ref="BO36:BP36"/>
    <mergeCell ref="BQ36:BR36"/>
    <mergeCell ref="BP37:BQ38"/>
    <mergeCell ref="BR37:BR38"/>
    <mergeCell ref="BO39:BP39"/>
    <mergeCell ref="BQ39:BR39"/>
    <mergeCell ref="BQ48:BR48"/>
    <mergeCell ref="BP49:BQ50"/>
    <mergeCell ref="BR49:BR50"/>
    <mergeCell ref="BS4:BT4"/>
    <mergeCell ref="U68:V68"/>
    <mergeCell ref="T69:U70"/>
    <mergeCell ref="V69:V70"/>
    <mergeCell ref="S71:T71"/>
    <mergeCell ref="U71:V71"/>
    <mergeCell ref="BO20:BP20"/>
    <mergeCell ref="BQ20:BR20"/>
    <mergeCell ref="BP21:BQ22"/>
    <mergeCell ref="BR21:BR22"/>
    <mergeCell ref="BO23:BP23"/>
    <mergeCell ref="BQ23:BR23"/>
    <mergeCell ref="W68:X68"/>
    <mergeCell ref="Y68:Z68"/>
    <mergeCell ref="X69:Y70"/>
    <mergeCell ref="Z69:Z70"/>
    <mergeCell ref="W71:X71"/>
    <mergeCell ref="Y71:Z71"/>
    <mergeCell ref="BO24:BP24"/>
    <mergeCell ref="BQ24:BR24"/>
    <mergeCell ref="BP25:BQ26"/>
    <mergeCell ref="BR25:BR26"/>
    <mergeCell ref="BO27:BP27"/>
    <mergeCell ref="BQ27:BR27"/>
    <mergeCell ref="AA68:AB68"/>
    <mergeCell ref="AC68:AD68"/>
    <mergeCell ref="AB69:AC70"/>
    <mergeCell ref="AD69:AD70"/>
    <mergeCell ref="BO40:BP40"/>
    <mergeCell ref="BQ40:BR40"/>
    <mergeCell ref="BG64:BH64"/>
    <mergeCell ref="BI64:BJ64"/>
    <mergeCell ref="AY68:AZ68"/>
    <mergeCell ref="R69:R70"/>
    <mergeCell ref="O71:P71"/>
    <mergeCell ref="Q71:R71"/>
    <mergeCell ref="BO16:BP16"/>
    <mergeCell ref="BQ16:BR16"/>
    <mergeCell ref="BP17:BQ18"/>
    <mergeCell ref="BR17:BR18"/>
    <mergeCell ref="BO19:BP19"/>
    <mergeCell ref="BQ19:BR19"/>
    <mergeCell ref="BO28:BP28"/>
    <mergeCell ref="BQ28:BR28"/>
    <mergeCell ref="BP29:BQ30"/>
    <mergeCell ref="BR29:BR30"/>
    <mergeCell ref="BO31:BP31"/>
    <mergeCell ref="BQ31:BR31"/>
    <mergeCell ref="AE68:AF68"/>
    <mergeCell ref="AG68:AH68"/>
    <mergeCell ref="AF69:AG70"/>
    <mergeCell ref="BO52:BP52"/>
    <mergeCell ref="BQ52:BR52"/>
    <mergeCell ref="BP41:BQ42"/>
    <mergeCell ref="BR41:BR42"/>
    <mergeCell ref="BO43:BP43"/>
    <mergeCell ref="BQ43:BR43"/>
    <mergeCell ref="AQ68:AR68"/>
    <mergeCell ref="AS68:AT68"/>
    <mergeCell ref="AR69:AS70"/>
    <mergeCell ref="AT69:AT70"/>
    <mergeCell ref="AQ71:AR71"/>
    <mergeCell ref="AS71:AT71"/>
    <mergeCell ref="BO44:BP44"/>
    <mergeCell ref="S68:T68"/>
    <mergeCell ref="C68:D68"/>
    <mergeCell ref="E68:F68"/>
    <mergeCell ref="D69:E70"/>
    <mergeCell ref="F69:F70"/>
    <mergeCell ref="C71:D71"/>
    <mergeCell ref="E71:F71"/>
    <mergeCell ref="BO8:BP8"/>
    <mergeCell ref="BQ8:BR8"/>
    <mergeCell ref="BP9:BQ10"/>
    <mergeCell ref="BR9:BR10"/>
    <mergeCell ref="BO11:BP11"/>
    <mergeCell ref="BQ11:BR11"/>
    <mergeCell ref="G68:H68"/>
    <mergeCell ref="I68:J68"/>
    <mergeCell ref="H69:I70"/>
    <mergeCell ref="J69:J70"/>
    <mergeCell ref="G71:H71"/>
    <mergeCell ref="I71:J71"/>
    <mergeCell ref="K68:L68"/>
    <mergeCell ref="AA71:AB71"/>
    <mergeCell ref="AC71:AD71"/>
    <mergeCell ref="N69:N70"/>
    <mergeCell ref="K71:L71"/>
    <mergeCell ref="M71:N71"/>
    <mergeCell ref="BO12:BP12"/>
    <mergeCell ref="BQ12:BR12"/>
    <mergeCell ref="BP13:BQ14"/>
    <mergeCell ref="BR13:BR14"/>
    <mergeCell ref="BO15:BP15"/>
    <mergeCell ref="BQ15:BR15"/>
    <mergeCell ref="O68:P68"/>
    <mergeCell ref="Q68:R68"/>
    <mergeCell ref="AE71:AF71"/>
    <mergeCell ref="BM60:BN60"/>
    <mergeCell ref="BL61:BM62"/>
    <mergeCell ref="BN61:BN62"/>
    <mergeCell ref="BK63:BL63"/>
    <mergeCell ref="BM63:BN63"/>
    <mergeCell ref="BO4:BP4"/>
    <mergeCell ref="BQ4:BR4"/>
    <mergeCell ref="BP5:BQ6"/>
    <mergeCell ref="BR5:BR6"/>
    <mergeCell ref="BO7:BP7"/>
    <mergeCell ref="BQ7:BR7"/>
    <mergeCell ref="BQ44:BR44"/>
    <mergeCell ref="BP45:BQ46"/>
    <mergeCell ref="BR45:BR46"/>
    <mergeCell ref="BO47:BP47"/>
    <mergeCell ref="BQ47:BR47"/>
    <mergeCell ref="AU68:AV68"/>
    <mergeCell ref="AW68:AX68"/>
    <mergeCell ref="AV69:AW70"/>
    <mergeCell ref="AX69:AX70"/>
    <mergeCell ref="AU71:AV71"/>
    <mergeCell ref="AW71:AX71"/>
    <mergeCell ref="BO48:BP48"/>
    <mergeCell ref="BO51:BP51"/>
    <mergeCell ref="BQ51:BR51"/>
    <mergeCell ref="BC60:BD60"/>
    <mergeCell ref="BE60:BF60"/>
    <mergeCell ref="BA68:BB68"/>
    <mergeCell ref="AZ69:BA70"/>
    <mergeCell ref="BB69:BB70"/>
    <mergeCell ref="AY71:AZ71"/>
    <mergeCell ref="M68:N68"/>
    <mergeCell ref="L69:M70"/>
    <mergeCell ref="BM51:BN51"/>
    <mergeCell ref="AY64:AZ64"/>
    <mergeCell ref="BA64:BB64"/>
    <mergeCell ref="AZ65:BA66"/>
    <mergeCell ref="BB65:BB66"/>
    <mergeCell ref="AY67:AZ67"/>
    <mergeCell ref="BA67:BB67"/>
    <mergeCell ref="BK52:BL52"/>
    <mergeCell ref="BM52:BN52"/>
    <mergeCell ref="BL53:BM54"/>
    <mergeCell ref="BN53:BN54"/>
    <mergeCell ref="BK55:BL55"/>
    <mergeCell ref="BM55:BN55"/>
    <mergeCell ref="BC64:BD64"/>
    <mergeCell ref="BE64:BF64"/>
    <mergeCell ref="BD65:BE66"/>
    <mergeCell ref="BF65:BF66"/>
    <mergeCell ref="BC67:BD67"/>
    <mergeCell ref="BE67:BF67"/>
    <mergeCell ref="BK56:BL56"/>
    <mergeCell ref="BM56:BN56"/>
    <mergeCell ref="BL57:BM58"/>
    <mergeCell ref="BN57:BN58"/>
    <mergeCell ref="AI64:AJ64"/>
    <mergeCell ref="AK64:AL64"/>
    <mergeCell ref="BH65:BI66"/>
    <mergeCell ref="BJ65:BJ66"/>
    <mergeCell ref="BG67:BH67"/>
    <mergeCell ref="AH69:AH70"/>
    <mergeCell ref="P69:Q70"/>
    <mergeCell ref="AQ64:AR64"/>
    <mergeCell ref="AS64:AT64"/>
    <mergeCell ref="AR65:AS66"/>
    <mergeCell ref="AT65:AT66"/>
    <mergeCell ref="AQ67:AR67"/>
    <mergeCell ref="AS67:AT67"/>
    <mergeCell ref="BK44:BL44"/>
    <mergeCell ref="BM44:BN44"/>
    <mergeCell ref="BL45:BM46"/>
    <mergeCell ref="BN45:BN46"/>
    <mergeCell ref="BK47:BL47"/>
    <mergeCell ref="BM47:BN47"/>
    <mergeCell ref="AU64:AV64"/>
    <mergeCell ref="AW64:AX64"/>
    <mergeCell ref="AV65:AW66"/>
    <mergeCell ref="AX65:AX66"/>
    <mergeCell ref="AU67:AV67"/>
    <mergeCell ref="AW67:AX67"/>
    <mergeCell ref="BK48:BL48"/>
    <mergeCell ref="BM48:BN48"/>
    <mergeCell ref="BI59:BJ59"/>
    <mergeCell ref="AU63:AV63"/>
    <mergeCell ref="BI55:BJ55"/>
    <mergeCell ref="BK59:BL59"/>
    <mergeCell ref="BM59:BN59"/>
    <mergeCell ref="AQ60:AR60"/>
    <mergeCell ref="AU60:AV60"/>
    <mergeCell ref="AW60:AX60"/>
    <mergeCell ref="AV61:AW62"/>
    <mergeCell ref="AX61:AX62"/>
    <mergeCell ref="AY60:AZ60"/>
    <mergeCell ref="BA60:BB60"/>
    <mergeCell ref="AB65:AC66"/>
    <mergeCell ref="AD65:AD66"/>
    <mergeCell ref="AA67:AB67"/>
    <mergeCell ref="AC67:AD67"/>
    <mergeCell ref="BK28:BL28"/>
    <mergeCell ref="BM28:BN28"/>
    <mergeCell ref="BL29:BM30"/>
    <mergeCell ref="BN29:BN30"/>
    <mergeCell ref="BK31:BL31"/>
    <mergeCell ref="BM31:BN31"/>
    <mergeCell ref="AE64:AF64"/>
    <mergeCell ref="AG64:AH64"/>
    <mergeCell ref="AF65:AG66"/>
    <mergeCell ref="AH65:AH66"/>
    <mergeCell ref="AE67:AF67"/>
    <mergeCell ref="AG67:AH67"/>
    <mergeCell ref="BK32:BL32"/>
    <mergeCell ref="BM32:BN32"/>
    <mergeCell ref="BL33:BM34"/>
    <mergeCell ref="BN33:BN34"/>
    <mergeCell ref="BK35:BL35"/>
    <mergeCell ref="BM35:BN35"/>
    <mergeCell ref="AJ65:AK66"/>
    <mergeCell ref="AL65:AL66"/>
    <mergeCell ref="AI67:AJ67"/>
    <mergeCell ref="AK67:AL67"/>
    <mergeCell ref="BK36:BL36"/>
    <mergeCell ref="BM36:BN36"/>
    <mergeCell ref="BL41:BM42"/>
    <mergeCell ref="BN41:BN42"/>
    <mergeCell ref="BK43:BL43"/>
    <mergeCell ref="BM43:BN43"/>
    <mergeCell ref="O64:P64"/>
    <mergeCell ref="Q64:R64"/>
    <mergeCell ref="P65:Q66"/>
    <mergeCell ref="R65:R66"/>
    <mergeCell ref="O67:P67"/>
    <mergeCell ref="Q67:R67"/>
    <mergeCell ref="BK16:BL16"/>
    <mergeCell ref="BM16:BN16"/>
    <mergeCell ref="BL17:BM18"/>
    <mergeCell ref="BN17:BN18"/>
    <mergeCell ref="BK19:BL19"/>
    <mergeCell ref="BM19:BN19"/>
    <mergeCell ref="S64:T64"/>
    <mergeCell ref="U64:V64"/>
    <mergeCell ref="T65:U66"/>
    <mergeCell ref="V65:V66"/>
    <mergeCell ref="S67:T67"/>
    <mergeCell ref="U67:V67"/>
    <mergeCell ref="BK20:BL20"/>
    <mergeCell ref="BM20:BN20"/>
    <mergeCell ref="BL21:BM22"/>
    <mergeCell ref="BN21:BN22"/>
    <mergeCell ref="W64:X64"/>
    <mergeCell ref="Y64:Z64"/>
    <mergeCell ref="X65:Y66"/>
    <mergeCell ref="Z65:Z66"/>
    <mergeCell ref="W67:X67"/>
    <mergeCell ref="Y67:Z67"/>
    <mergeCell ref="BK24:BL24"/>
    <mergeCell ref="BM24:BN24"/>
    <mergeCell ref="AA64:AB64"/>
    <mergeCell ref="AC64:AD64"/>
    <mergeCell ref="C64:D64"/>
    <mergeCell ref="E64:F64"/>
    <mergeCell ref="D65:E66"/>
    <mergeCell ref="F65:F66"/>
    <mergeCell ref="C67:D67"/>
    <mergeCell ref="E67:F67"/>
    <mergeCell ref="G64:H64"/>
    <mergeCell ref="I64:J64"/>
    <mergeCell ref="H65:I66"/>
    <mergeCell ref="J65:J66"/>
    <mergeCell ref="G67:H67"/>
    <mergeCell ref="I67:J67"/>
    <mergeCell ref="BK8:BL8"/>
    <mergeCell ref="BM8:BN8"/>
    <mergeCell ref="BL9:BM10"/>
    <mergeCell ref="BN9:BN10"/>
    <mergeCell ref="BK11:BL11"/>
    <mergeCell ref="BM11:BN11"/>
    <mergeCell ref="K64:L64"/>
    <mergeCell ref="M64:N64"/>
    <mergeCell ref="L65:M66"/>
    <mergeCell ref="N65:N66"/>
    <mergeCell ref="K67:L67"/>
    <mergeCell ref="M67:N67"/>
    <mergeCell ref="BK12:BL12"/>
    <mergeCell ref="BM12:BN12"/>
    <mergeCell ref="BL13:BM14"/>
    <mergeCell ref="BN13:BN14"/>
    <mergeCell ref="BK15:BL15"/>
    <mergeCell ref="BM15:BN15"/>
    <mergeCell ref="BJ53:BJ54"/>
    <mergeCell ref="BG55:BH55"/>
    <mergeCell ref="BL25:BM26"/>
    <mergeCell ref="BN25:BN26"/>
    <mergeCell ref="BK27:BL27"/>
    <mergeCell ref="BM27:BN27"/>
    <mergeCell ref="BL37:BM38"/>
    <mergeCell ref="BN37:BN38"/>
    <mergeCell ref="BK39:BL39"/>
    <mergeCell ref="BM39:BN39"/>
    <mergeCell ref="BL49:BM50"/>
    <mergeCell ref="BN49:BN50"/>
    <mergeCell ref="BK51:BL51"/>
    <mergeCell ref="BG23:BH23"/>
    <mergeCell ref="BI23:BJ23"/>
    <mergeCell ref="BG4:BH4"/>
    <mergeCell ref="BI4:BJ4"/>
    <mergeCell ref="BH5:BI6"/>
    <mergeCell ref="BJ5:BJ6"/>
    <mergeCell ref="BG7:BH7"/>
    <mergeCell ref="BI7:BJ7"/>
    <mergeCell ref="BK40:BL40"/>
    <mergeCell ref="BM40:BN40"/>
    <mergeCell ref="BJ21:BJ22"/>
    <mergeCell ref="BK23:BL23"/>
    <mergeCell ref="BM23:BN23"/>
    <mergeCell ref="BG44:BH44"/>
    <mergeCell ref="BI44:BJ44"/>
    <mergeCell ref="BH45:BI46"/>
    <mergeCell ref="BJ45:BJ46"/>
    <mergeCell ref="BG47:BH47"/>
    <mergeCell ref="BI47:BJ47"/>
    <mergeCell ref="BG51:BH51"/>
    <mergeCell ref="BI51:BJ51"/>
    <mergeCell ref="AV29:AW30"/>
    <mergeCell ref="AS24:AT24"/>
    <mergeCell ref="AR25:AS26"/>
    <mergeCell ref="AT25:AT26"/>
    <mergeCell ref="AQ27:AR27"/>
    <mergeCell ref="AS27:AT27"/>
    <mergeCell ref="AR21:AS22"/>
    <mergeCell ref="AT21:AT22"/>
    <mergeCell ref="AQ23:AR23"/>
    <mergeCell ref="AS23:AT23"/>
    <mergeCell ref="AZ29:BA30"/>
    <mergeCell ref="BB29:BB30"/>
    <mergeCell ref="AY31:AZ31"/>
    <mergeCell ref="BA31:BB31"/>
    <mergeCell ref="AY24:AZ24"/>
    <mergeCell ref="BH49:BI50"/>
    <mergeCell ref="BJ49:BJ50"/>
    <mergeCell ref="BG32:BH32"/>
    <mergeCell ref="BI32:BJ32"/>
    <mergeCell ref="BH33:BI34"/>
    <mergeCell ref="BJ33:BJ34"/>
    <mergeCell ref="BG35:BH35"/>
    <mergeCell ref="BI35:BJ35"/>
    <mergeCell ref="AS40:AT40"/>
    <mergeCell ref="AR41:AS42"/>
    <mergeCell ref="AT41:AT42"/>
    <mergeCell ref="AQ43:AR43"/>
    <mergeCell ref="AS43:AT43"/>
    <mergeCell ref="BC28:BD28"/>
    <mergeCell ref="BE28:BF28"/>
    <mergeCell ref="BD29:BE30"/>
    <mergeCell ref="BF29:BF30"/>
    <mergeCell ref="BH53:BI54"/>
    <mergeCell ref="BC44:BD44"/>
    <mergeCell ref="BE44:BF44"/>
    <mergeCell ref="BG56:BH56"/>
    <mergeCell ref="BI56:BJ56"/>
    <mergeCell ref="BF53:BF54"/>
    <mergeCell ref="BC55:BD55"/>
    <mergeCell ref="BE55:BF55"/>
    <mergeCell ref="BD61:BE62"/>
    <mergeCell ref="BF61:BF62"/>
    <mergeCell ref="BC63:BD63"/>
    <mergeCell ref="BH57:BI58"/>
    <mergeCell ref="BJ57:BJ58"/>
    <mergeCell ref="AY59:AZ59"/>
    <mergeCell ref="BA59:BB59"/>
    <mergeCell ref="BC52:BD52"/>
    <mergeCell ref="BE52:BF52"/>
    <mergeCell ref="BD53:BE54"/>
    <mergeCell ref="BI48:BJ48"/>
    <mergeCell ref="AI60:AJ60"/>
    <mergeCell ref="AK60:AL60"/>
    <mergeCell ref="AJ61:AK62"/>
    <mergeCell ref="AL61:AL62"/>
    <mergeCell ref="AI63:AJ63"/>
    <mergeCell ref="AK63:AL63"/>
    <mergeCell ref="BG36:BH36"/>
    <mergeCell ref="BI36:BJ36"/>
    <mergeCell ref="BH37:BI38"/>
    <mergeCell ref="BJ37:BJ38"/>
    <mergeCell ref="BG39:BH39"/>
    <mergeCell ref="BI39:BJ39"/>
    <mergeCell ref="AM60:AN60"/>
    <mergeCell ref="AO60:AP60"/>
    <mergeCell ref="AN61:AO62"/>
    <mergeCell ref="AP61:AP62"/>
    <mergeCell ref="AM63:AN63"/>
    <mergeCell ref="AO63:AP63"/>
    <mergeCell ref="BG40:BH40"/>
    <mergeCell ref="BI40:BJ40"/>
    <mergeCell ref="BH41:BI42"/>
    <mergeCell ref="BJ41:BJ42"/>
    <mergeCell ref="BG43:BH43"/>
    <mergeCell ref="BI43:BJ43"/>
    <mergeCell ref="AO51:AP51"/>
    <mergeCell ref="AW63:AX63"/>
    <mergeCell ref="AO44:AP44"/>
    <mergeCell ref="AN45:AO46"/>
    <mergeCell ref="AP45:AP46"/>
    <mergeCell ref="AM47:AN47"/>
    <mergeCell ref="AO47:AP47"/>
    <mergeCell ref="AQ40:AR40"/>
    <mergeCell ref="W60:X60"/>
    <mergeCell ref="Y60:Z60"/>
    <mergeCell ref="X61:Y62"/>
    <mergeCell ref="Z61:Z62"/>
    <mergeCell ref="W63:X63"/>
    <mergeCell ref="Y63:Z63"/>
    <mergeCell ref="BG24:BH24"/>
    <mergeCell ref="BI24:BJ24"/>
    <mergeCell ref="BH25:BI26"/>
    <mergeCell ref="BJ25:BJ26"/>
    <mergeCell ref="BG27:BH27"/>
    <mergeCell ref="BI27:BJ27"/>
    <mergeCell ref="AA60:AB60"/>
    <mergeCell ref="AC60:AD60"/>
    <mergeCell ref="AB61:AC62"/>
    <mergeCell ref="AD61:AD62"/>
    <mergeCell ref="AA63:AB63"/>
    <mergeCell ref="AC63:AD63"/>
    <mergeCell ref="BG28:BH28"/>
    <mergeCell ref="BI28:BJ28"/>
    <mergeCell ref="BH29:BI30"/>
    <mergeCell ref="BJ29:BJ30"/>
    <mergeCell ref="BG31:BH31"/>
    <mergeCell ref="BI31:BJ31"/>
    <mergeCell ref="AE60:AF60"/>
    <mergeCell ref="AG60:AH60"/>
    <mergeCell ref="AF61:AG62"/>
    <mergeCell ref="AH61:AH62"/>
    <mergeCell ref="AE63:AF63"/>
    <mergeCell ref="AU28:AV28"/>
    <mergeCell ref="AW28:AX28"/>
    <mergeCell ref="AG63:AH63"/>
    <mergeCell ref="S52:T52"/>
    <mergeCell ref="G60:H60"/>
    <mergeCell ref="I60:J60"/>
    <mergeCell ref="H61:I62"/>
    <mergeCell ref="J61:J62"/>
    <mergeCell ref="G63:H63"/>
    <mergeCell ref="I63:J63"/>
    <mergeCell ref="BG8:BH8"/>
    <mergeCell ref="BI8:BJ8"/>
    <mergeCell ref="BH9:BI10"/>
    <mergeCell ref="BJ9:BJ10"/>
    <mergeCell ref="BG11:BH11"/>
    <mergeCell ref="BI11:BJ11"/>
    <mergeCell ref="K60:L60"/>
    <mergeCell ref="M60:N60"/>
    <mergeCell ref="L61:M62"/>
    <mergeCell ref="N61:N62"/>
    <mergeCell ref="K63:L63"/>
    <mergeCell ref="M63:N63"/>
    <mergeCell ref="BG12:BH12"/>
    <mergeCell ref="BI12:BJ12"/>
    <mergeCell ref="BH13:BI14"/>
    <mergeCell ref="BJ13:BJ14"/>
    <mergeCell ref="BG15:BH15"/>
    <mergeCell ref="BI15:BJ15"/>
    <mergeCell ref="O60:P60"/>
    <mergeCell ref="Q60:R60"/>
    <mergeCell ref="P61:Q62"/>
    <mergeCell ref="R61:R62"/>
    <mergeCell ref="O63:P63"/>
    <mergeCell ref="Q63:R63"/>
    <mergeCell ref="AA51:AB51"/>
    <mergeCell ref="C60:D60"/>
    <mergeCell ref="E60:F60"/>
    <mergeCell ref="D61:E62"/>
    <mergeCell ref="F61:F62"/>
    <mergeCell ref="C63:D63"/>
    <mergeCell ref="E63:F63"/>
    <mergeCell ref="BG16:BH16"/>
    <mergeCell ref="BI16:BJ16"/>
    <mergeCell ref="BH17:BI18"/>
    <mergeCell ref="BJ17:BJ18"/>
    <mergeCell ref="BG19:BH19"/>
    <mergeCell ref="BI19:BJ19"/>
    <mergeCell ref="S60:T60"/>
    <mergeCell ref="U60:V60"/>
    <mergeCell ref="T61:U62"/>
    <mergeCell ref="V61:V62"/>
    <mergeCell ref="S63:T63"/>
    <mergeCell ref="U63:V63"/>
    <mergeCell ref="BG20:BH20"/>
    <mergeCell ref="BI20:BJ20"/>
    <mergeCell ref="BH21:BI22"/>
    <mergeCell ref="P53:Q54"/>
    <mergeCell ref="R53:R54"/>
    <mergeCell ref="O55:P55"/>
    <mergeCell ref="Q55:R55"/>
    <mergeCell ref="AY16:AZ16"/>
    <mergeCell ref="BA16:BB16"/>
    <mergeCell ref="AZ17:BA18"/>
    <mergeCell ref="BB17:BB18"/>
    <mergeCell ref="AY19:AZ19"/>
    <mergeCell ref="BA19:BB19"/>
    <mergeCell ref="Q52:R52"/>
    <mergeCell ref="U52:V52"/>
    <mergeCell ref="T53:U54"/>
    <mergeCell ref="V53:V54"/>
    <mergeCell ref="S55:T55"/>
    <mergeCell ref="U55:V55"/>
    <mergeCell ref="AY20:AZ20"/>
    <mergeCell ref="BA20:BB20"/>
    <mergeCell ref="AZ21:BA22"/>
    <mergeCell ref="BB21:BB22"/>
    <mergeCell ref="AY23:AZ23"/>
    <mergeCell ref="BA23:BB23"/>
    <mergeCell ref="AQ51:AR51"/>
    <mergeCell ref="AS51:AT51"/>
    <mergeCell ref="AU44:AV44"/>
    <mergeCell ref="AW44:AX44"/>
    <mergeCell ref="AV45:AW46"/>
    <mergeCell ref="AX45:AX46"/>
    <mergeCell ref="AU47:AV47"/>
    <mergeCell ref="AW47:AX47"/>
    <mergeCell ref="AR49:AS50"/>
    <mergeCell ref="AT49:AT50"/>
    <mergeCell ref="AW36:AX36"/>
    <mergeCell ref="AV37:AW38"/>
    <mergeCell ref="AX37:AX38"/>
    <mergeCell ref="AU39:AV39"/>
    <mergeCell ref="AW39:AX39"/>
    <mergeCell ref="AM48:AN48"/>
    <mergeCell ref="AO48:AP48"/>
    <mergeCell ref="AN49:AO50"/>
    <mergeCell ref="AP49:AP50"/>
    <mergeCell ref="AM51:AN51"/>
    <mergeCell ref="AU35:AV35"/>
    <mergeCell ref="C52:D52"/>
    <mergeCell ref="E52:F52"/>
    <mergeCell ref="D53:E54"/>
    <mergeCell ref="F53:F54"/>
    <mergeCell ref="C55:D55"/>
    <mergeCell ref="E55:F55"/>
    <mergeCell ref="G52:H52"/>
    <mergeCell ref="I52:J52"/>
    <mergeCell ref="H53:I54"/>
    <mergeCell ref="J53:J54"/>
    <mergeCell ref="G55:H55"/>
    <mergeCell ref="I55:J55"/>
    <mergeCell ref="AY8:AZ8"/>
    <mergeCell ref="BA8:BB8"/>
    <mergeCell ref="AZ9:BA10"/>
    <mergeCell ref="BB9:BB10"/>
    <mergeCell ref="AY11:AZ11"/>
    <mergeCell ref="BA11:BB11"/>
    <mergeCell ref="K52:L52"/>
    <mergeCell ref="M52:N52"/>
    <mergeCell ref="L53:M54"/>
    <mergeCell ref="N53:N54"/>
    <mergeCell ref="K55:L55"/>
    <mergeCell ref="M55:N55"/>
    <mergeCell ref="AY12:AZ12"/>
    <mergeCell ref="BA12:BB12"/>
    <mergeCell ref="AZ13:BA14"/>
    <mergeCell ref="BB13:BB14"/>
    <mergeCell ref="AY15:AZ15"/>
    <mergeCell ref="BA15:BB15"/>
    <mergeCell ref="O52:P52"/>
    <mergeCell ref="V49:V50"/>
    <mergeCell ref="Y51:Z51"/>
    <mergeCell ref="AU24:AV24"/>
    <mergeCell ref="AW24:AX24"/>
    <mergeCell ref="AV25:AW26"/>
    <mergeCell ref="AX25:AX26"/>
    <mergeCell ref="AU27:AV27"/>
    <mergeCell ref="AW27:AX27"/>
    <mergeCell ref="AA48:AB48"/>
    <mergeCell ref="AC48:AD48"/>
    <mergeCell ref="AB49:AC50"/>
    <mergeCell ref="AD49:AD50"/>
    <mergeCell ref="AX29:AX30"/>
    <mergeCell ref="AU31:AV31"/>
    <mergeCell ref="AW31:AX31"/>
    <mergeCell ref="AE48:AF48"/>
    <mergeCell ref="AG48:AH48"/>
    <mergeCell ref="AF49:AG50"/>
    <mergeCell ref="AH49:AH50"/>
    <mergeCell ref="AE51:AF51"/>
    <mergeCell ref="AG51:AH51"/>
    <mergeCell ref="AU32:AV32"/>
    <mergeCell ref="AW32:AX32"/>
    <mergeCell ref="Y43:Z43"/>
    <mergeCell ref="AC51:AD51"/>
    <mergeCell ref="Y44:Z44"/>
    <mergeCell ref="AS31:AT31"/>
    <mergeCell ref="AR33:AS34"/>
    <mergeCell ref="AI24:AJ24"/>
    <mergeCell ref="AK24:AL24"/>
    <mergeCell ref="AO39:AP39"/>
    <mergeCell ref="AM24:AN24"/>
    <mergeCell ref="AM44:AN44"/>
    <mergeCell ref="M51:N51"/>
    <mergeCell ref="AU12:AV12"/>
    <mergeCell ref="AW12:AX12"/>
    <mergeCell ref="AV13:AW14"/>
    <mergeCell ref="AX13:AX14"/>
    <mergeCell ref="AU15:AV15"/>
    <mergeCell ref="AW15:AX15"/>
    <mergeCell ref="O48:P48"/>
    <mergeCell ref="Q48:R48"/>
    <mergeCell ref="P49:Q50"/>
    <mergeCell ref="R49:R50"/>
    <mergeCell ref="O51:P51"/>
    <mergeCell ref="Q51:R51"/>
    <mergeCell ref="AU16:AV16"/>
    <mergeCell ref="AW16:AX16"/>
    <mergeCell ref="AV17:AW18"/>
    <mergeCell ref="AX17:AX18"/>
    <mergeCell ref="AU19:AV19"/>
    <mergeCell ref="AW19:AX19"/>
    <mergeCell ref="S48:T48"/>
    <mergeCell ref="U48:V48"/>
    <mergeCell ref="T49:U50"/>
    <mergeCell ref="S51:T51"/>
    <mergeCell ref="U51:V51"/>
    <mergeCell ref="X37:Y38"/>
    <mergeCell ref="AV41:AW42"/>
    <mergeCell ref="AX41:AX42"/>
    <mergeCell ref="AU43:AV43"/>
    <mergeCell ref="AW43:AX43"/>
    <mergeCell ref="AQ48:AR48"/>
    <mergeCell ref="AS48:AT48"/>
    <mergeCell ref="W51:X51"/>
    <mergeCell ref="AE44:AF44"/>
    <mergeCell ref="AG44:AH44"/>
    <mergeCell ref="AF45:AG46"/>
    <mergeCell ref="W48:X48"/>
    <mergeCell ref="Y48:Z48"/>
    <mergeCell ref="W44:X44"/>
    <mergeCell ref="AA44:AB44"/>
    <mergeCell ref="AI48:AJ48"/>
    <mergeCell ref="AK48:AL48"/>
    <mergeCell ref="AH45:AH46"/>
    <mergeCell ref="AE47:AF47"/>
    <mergeCell ref="AG47:AH47"/>
    <mergeCell ref="AL41:AL42"/>
    <mergeCell ref="AI43:AJ43"/>
    <mergeCell ref="AU20:AV20"/>
    <mergeCell ref="AW20:AX20"/>
    <mergeCell ref="AV21:AW22"/>
    <mergeCell ref="AX21:AX22"/>
    <mergeCell ref="AU23:AV23"/>
    <mergeCell ref="AW23:AX23"/>
    <mergeCell ref="AQ24:AR24"/>
    <mergeCell ref="AW35:AX35"/>
    <mergeCell ref="AJ25:AK26"/>
    <mergeCell ref="AL25:AL26"/>
    <mergeCell ref="AF25:AG26"/>
    <mergeCell ref="AJ21:AK22"/>
    <mergeCell ref="AL21:AL22"/>
    <mergeCell ref="AP21:AP22"/>
    <mergeCell ref="AO32:AP32"/>
    <mergeCell ref="AN33:AO34"/>
    <mergeCell ref="AP33:AP34"/>
    <mergeCell ref="AM35:AN35"/>
    <mergeCell ref="I39:J39"/>
    <mergeCell ref="K39:L39"/>
    <mergeCell ref="M39:N39"/>
    <mergeCell ref="O39:P39"/>
    <mergeCell ref="Q39:R39"/>
    <mergeCell ref="L37:M38"/>
    <mergeCell ref="N37:N38"/>
    <mergeCell ref="M35:N35"/>
    <mergeCell ref="P37:Q38"/>
    <mergeCell ref="O28:P28"/>
    <mergeCell ref="Q28:R28"/>
    <mergeCell ref="P29:Q30"/>
    <mergeCell ref="R29:R30"/>
    <mergeCell ref="S27:T27"/>
    <mergeCell ref="R37:R38"/>
    <mergeCell ref="C40:D40"/>
    <mergeCell ref="E40:F40"/>
    <mergeCell ref="D29:E30"/>
    <mergeCell ref="F29:F30"/>
    <mergeCell ref="I28:J28"/>
    <mergeCell ref="H29:I30"/>
    <mergeCell ref="J29:J30"/>
    <mergeCell ref="M27:N27"/>
    <mergeCell ref="E28:F28"/>
    <mergeCell ref="M28:N28"/>
    <mergeCell ref="L29:M30"/>
    <mergeCell ref="N29:N30"/>
    <mergeCell ref="C35:D35"/>
    <mergeCell ref="E35:F35"/>
    <mergeCell ref="G32:H32"/>
    <mergeCell ref="I32:J32"/>
    <mergeCell ref="H33:I34"/>
    <mergeCell ref="D41:E42"/>
    <mergeCell ref="D99:E99"/>
    <mergeCell ref="D101:E101"/>
    <mergeCell ref="D103:E103"/>
    <mergeCell ref="D105:E105"/>
    <mergeCell ref="M7:N7"/>
    <mergeCell ref="J5:J6"/>
    <mergeCell ref="F9:F10"/>
    <mergeCell ref="G7:H7"/>
    <mergeCell ref="I7:J7"/>
    <mergeCell ref="L5:M6"/>
    <mergeCell ref="K7:L7"/>
    <mergeCell ref="H5:I6"/>
    <mergeCell ref="E8:F8"/>
    <mergeCell ref="K8:L8"/>
    <mergeCell ref="N5:N6"/>
    <mergeCell ref="I48:J48"/>
    <mergeCell ref="H49:I50"/>
    <mergeCell ref="J49:J50"/>
    <mergeCell ref="G51:H51"/>
    <mergeCell ref="I51:J51"/>
    <mergeCell ref="K48:L48"/>
    <mergeCell ref="M48:N48"/>
    <mergeCell ref="F17:F18"/>
    <mergeCell ref="C16:D16"/>
    <mergeCell ref="N21:N22"/>
    <mergeCell ref="K23:L23"/>
    <mergeCell ref="M23:N23"/>
    <mergeCell ref="C20:D20"/>
    <mergeCell ref="E20:F20"/>
    <mergeCell ref="E16:F16"/>
    <mergeCell ref="M19:N19"/>
    <mergeCell ref="B80:B83"/>
    <mergeCell ref="CA80:CD83"/>
    <mergeCell ref="B60:B63"/>
    <mergeCell ref="BG60:BJ63"/>
    <mergeCell ref="B64:B67"/>
    <mergeCell ref="BK64:BN67"/>
    <mergeCell ref="B68:B71"/>
    <mergeCell ref="BO68:BR71"/>
    <mergeCell ref="B72:B75"/>
    <mergeCell ref="BS72:BV75"/>
    <mergeCell ref="B76:B79"/>
    <mergeCell ref="B48:B51"/>
    <mergeCell ref="AU48:AX51"/>
    <mergeCell ref="B52:B55"/>
    <mergeCell ref="AY52:BB55"/>
    <mergeCell ref="B56:B59"/>
    <mergeCell ref="BC56:BF59"/>
    <mergeCell ref="BW76:BZ79"/>
    <mergeCell ref="C48:D48"/>
    <mergeCell ref="E48:F48"/>
    <mergeCell ref="D49:E50"/>
    <mergeCell ref="F49:F50"/>
    <mergeCell ref="C51:D51"/>
    <mergeCell ref="E51:F51"/>
    <mergeCell ref="G48:H48"/>
    <mergeCell ref="L49:M50"/>
    <mergeCell ref="N49:N50"/>
    <mergeCell ref="X49:Y50"/>
    <mergeCell ref="Z49:Z50"/>
    <mergeCell ref="AJ49:AK50"/>
    <mergeCell ref="AL49:AL50"/>
    <mergeCell ref="K51:L51"/>
    <mergeCell ref="B12:B15"/>
    <mergeCell ref="K12:N15"/>
    <mergeCell ref="B16:B19"/>
    <mergeCell ref="O16:R19"/>
    <mergeCell ref="B20:B23"/>
    <mergeCell ref="C19:D19"/>
    <mergeCell ref="E19:F19"/>
    <mergeCell ref="AQ44:AT47"/>
    <mergeCell ref="B24:B27"/>
    <mergeCell ref="W24:Z27"/>
    <mergeCell ref="B28:B31"/>
    <mergeCell ref="AA28:AD31"/>
    <mergeCell ref="B32:B35"/>
    <mergeCell ref="AE32:AH35"/>
    <mergeCell ref="D13:E14"/>
    <mergeCell ref="S20:V23"/>
    <mergeCell ref="C15:D15"/>
    <mergeCell ref="E15:F15"/>
    <mergeCell ref="C12:D12"/>
    <mergeCell ref="E12:F12"/>
    <mergeCell ref="F13:F14"/>
    <mergeCell ref="G12:H12"/>
    <mergeCell ref="I12:J12"/>
    <mergeCell ref="H13:I14"/>
    <mergeCell ref="B36:B39"/>
    <mergeCell ref="AI36:AL39"/>
    <mergeCell ref="B40:B43"/>
    <mergeCell ref="AM40:AP43"/>
    <mergeCell ref="B44:B47"/>
    <mergeCell ref="H37:I38"/>
    <mergeCell ref="J37:J38"/>
    <mergeCell ref="G39:H39"/>
    <mergeCell ref="BW3:BZ3"/>
    <mergeCell ref="CA3:CD3"/>
    <mergeCell ref="CR9:CR10"/>
    <mergeCell ref="CS9:CS10"/>
    <mergeCell ref="CR13:CR14"/>
    <mergeCell ref="CS13:CS14"/>
    <mergeCell ref="CR17:CR18"/>
    <mergeCell ref="CS17:CS18"/>
    <mergeCell ref="Q8:R8"/>
    <mergeCell ref="P9:Q10"/>
    <mergeCell ref="R9:R10"/>
    <mergeCell ref="O11:P11"/>
    <mergeCell ref="Q11:R11"/>
    <mergeCell ref="G16:H16"/>
    <mergeCell ref="I16:J16"/>
    <mergeCell ref="H17:I18"/>
    <mergeCell ref="J17:J18"/>
    <mergeCell ref="CS5:CS6"/>
    <mergeCell ref="G4:H4"/>
    <mergeCell ref="I4:J4"/>
    <mergeCell ref="CR5:CR6"/>
    <mergeCell ref="K4:L4"/>
    <mergeCell ref="M4:N4"/>
    <mergeCell ref="AW8:AX8"/>
    <mergeCell ref="AV9:AW10"/>
    <mergeCell ref="AX9:AX10"/>
    <mergeCell ref="AU11:AV11"/>
    <mergeCell ref="AW11:AX11"/>
    <mergeCell ref="BS3:BV3"/>
    <mergeCell ref="O12:P12"/>
    <mergeCell ref="CE4:CF4"/>
    <mergeCell ref="O4:P4"/>
    <mergeCell ref="Q12:R12"/>
    <mergeCell ref="P13:Q14"/>
    <mergeCell ref="R13:R14"/>
    <mergeCell ref="O15:P15"/>
    <mergeCell ref="Q15:R15"/>
    <mergeCell ref="T9:U10"/>
    <mergeCell ref="V9:V10"/>
    <mergeCell ref="S11:T11"/>
    <mergeCell ref="U11:V11"/>
    <mergeCell ref="X9:Y10"/>
    <mergeCell ref="AG16:AH16"/>
    <mergeCell ref="AK16:AL16"/>
    <mergeCell ref="AR9:AS10"/>
    <mergeCell ref="AT9:AT10"/>
    <mergeCell ref="AQ11:AR11"/>
    <mergeCell ref="W11:X11"/>
    <mergeCell ref="J13:J14"/>
    <mergeCell ref="K16:L16"/>
    <mergeCell ref="M16:N16"/>
    <mergeCell ref="S12:T12"/>
    <mergeCell ref="U12:V12"/>
    <mergeCell ref="W16:X16"/>
    <mergeCell ref="Y16:Z16"/>
    <mergeCell ref="AT13:AT14"/>
    <mergeCell ref="AQ15:AR15"/>
    <mergeCell ref="AS15:AT15"/>
    <mergeCell ref="BO3:BR3"/>
    <mergeCell ref="S8:T8"/>
    <mergeCell ref="U8:V8"/>
    <mergeCell ref="W3:Z3"/>
    <mergeCell ref="W4:X4"/>
    <mergeCell ref="Y4:Z4"/>
    <mergeCell ref="X5:Y6"/>
    <mergeCell ref="Z5:Z6"/>
    <mergeCell ref="W7:X7"/>
    <mergeCell ref="Y7:Z7"/>
    <mergeCell ref="W8:X8"/>
    <mergeCell ref="Y8:Z8"/>
    <mergeCell ref="AU8:AV8"/>
    <mergeCell ref="AQ4:AR4"/>
    <mergeCell ref="AS4:AT4"/>
    <mergeCell ref="AR5:AS6"/>
    <mergeCell ref="AT5:AT6"/>
    <mergeCell ref="AQ7:AR7"/>
    <mergeCell ref="S4:T4"/>
    <mergeCell ref="U4:V4"/>
    <mergeCell ref="T5:U6"/>
    <mergeCell ref="V5:V6"/>
    <mergeCell ref="S7:T7"/>
    <mergeCell ref="U7:V7"/>
    <mergeCell ref="AC4:AD4"/>
    <mergeCell ref="AD5:AD6"/>
    <mergeCell ref="AO4:AP4"/>
    <mergeCell ref="AP5:AP6"/>
    <mergeCell ref="AU4:AV4"/>
    <mergeCell ref="BK4:BL4"/>
    <mergeCell ref="BM4:BN4"/>
    <mergeCell ref="BL5:BM6"/>
    <mergeCell ref="AW4:AX4"/>
    <mergeCell ref="AV5:AW6"/>
    <mergeCell ref="AX5:AX6"/>
    <mergeCell ref="AU7:AV7"/>
    <mergeCell ref="AW7:AX7"/>
    <mergeCell ref="BA4:BB4"/>
    <mergeCell ref="AY4:AZ4"/>
    <mergeCell ref="AZ5:BA6"/>
    <mergeCell ref="BB5:BB6"/>
    <mergeCell ref="AY7:AZ7"/>
    <mergeCell ref="BA7:BB7"/>
    <mergeCell ref="BC3:BF3"/>
    <mergeCell ref="BG3:BJ3"/>
    <mergeCell ref="BK3:BN3"/>
    <mergeCell ref="Q4:R4"/>
    <mergeCell ref="P5:Q6"/>
    <mergeCell ref="O7:P7"/>
    <mergeCell ref="Q7:R7"/>
    <mergeCell ref="R5:R6"/>
    <mergeCell ref="AE4:AF4"/>
    <mergeCell ref="AG4:AH4"/>
    <mergeCell ref="AE7:AF7"/>
    <mergeCell ref="AG7:AH7"/>
    <mergeCell ref="AS7:AT7"/>
    <mergeCell ref="L17:M18"/>
    <mergeCell ref="N17:N18"/>
    <mergeCell ref="K19:L19"/>
    <mergeCell ref="BN5:BN6"/>
    <mergeCell ref="BK7:BL7"/>
    <mergeCell ref="BM7:BN7"/>
    <mergeCell ref="S19:T19"/>
    <mergeCell ref="Y11:Z11"/>
    <mergeCell ref="W12:X12"/>
    <mergeCell ref="Y12:Z12"/>
    <mergeCell ref="X13:Y14"/>
    <mergeCell ref="Z13:Z14"/>
    <mergeCell ref="AA8:AB8"/>
    <mergeCell ref="AC8:AD8"/>
    <mergeCell ref="AB9:AC10"/>
    <mergeCell ref="AD9:AD10"/>
    <mergeCell ref="AA11:AB11"/>
    <mergeCell ref="AC11:AD11"/>
    <mergeCell ref="AA12:AB12"/>
    <mergeCell ref="AC12:AD12"/>
    <mergeCell ref="AB13:AC14"/>
    <mergeCell ref="AD13:AD14"/>
    <mergeCell ref="AA15:AB15"/>
    <mergeCell ref="AC15:AD15"/>
    <mergeCell ref="AC16:AD16"/>
    <mergeCell ref="AB17:AC18"/>
    <mergeCell ref="AD17:AD18"/>
    <mergeCell ref="AA19:AB19"/>
    <mergeCell ref="AC19:AD19"/>
    <mergeCell ref="V17:V18"/>
    <mergeCell ref="AF5:AG6"/>
    <mergeCell ref="AH5:AH6"/>
    <mergeCell ref="B8:B11"/>
    <mergeCell ref="G8:J11"/>
    <mergeCell ref="D9:E10"/>
    <mergeCell ref="C8:D8"/>
    <mergeCell ref="AY3:BB3"/>
    <mergeCell ref="AA3:AD3"/>
    <mergeCell ref="AE3:AH3"/>
    <mergeCell ref="AI3:AL3"/>
    <mergeCell ref="AM3:AP3"/>
    <mergeCell ref="AQ3:AT3"/>
    <mergeCell ref="AU3:AX3"/>
    <mergeCell ref="C3:F3"/>
    <mergeCell ref="G3:J3"/>
    <mergeCell ref="K3:N3"/>
    <mergeCell ref="O3:R3"/>
    <mergeCell ref="S3:V3"/>
    <mergeCell ref="C11:D11"/>
    <mergeCell ref="E11:F11"/>
    <mergeCell ref="M8:N8"/>
    <mergeCell ref="L9:M10"/>
    <mergeCell ref="N9:N10"/>
    <mergeCell ref="K11:L11"/>
    <mergeCell ref="M11:N11"/>
    <mergeCell ref="O8:P8"/>
    <mergeCell ref="B4:B7"/>
    <mergeCell ref="C4:F7"/>
    <mergeCell ref="AA4:AB4"/>
    <mergeCell ref="AB5:AC6"/>
    <mergeCell ref="AA7:AB7"/>
    <mergeCell ref="AC7:AD7"/>
    <mergeCell ref="Z9:Z10"/>
    <mergeCell ref="AO7:AP7"/>
    <mergeCell ref="D21:E22"/>
    <mergeCell ref="F21:F22"/>
    <mergeCell ref="C23:D23"/>
    <mergeCell ref="E23:F23"/>
    <mergeCell ref="G20:H20"/>
    <mergeCell ref="I20:J20"/>
    <mergeCell ref="H21:I22"/>
    <mergeCell ref="J21:J22"/>
    <mergeCell ref="G23:H23"/>
    <mergeCell ref="I23:J23"/>
    <mergeCell ref="T13:U14"/>
    <mergeCell ref="V13:V14"/>
    <mergeCell ref="S15:T15"/>
    <mergeCell ref="U15:V15"/>
    <mergeCell ref="O20:P20"/>
    <mergeCell ref="Q20:R20"/>
    <mergeCell ref="P21:Q22"/>
    <mergeCell ref="R21:R22"/>
    <mergeCell ref="O23:P23"/>
    <mergeCell ref="Q23:R23"/>
    <mergeCell ref="S16:T16"/>
    <mergeCell ref="U16:V16"/>
    <mergeCell ref="T17:U18"/>
    <mergeCell ref="D17:E18"/>
    <mergeCell ref="K20:L20"/>
    <mergeCell ref="M20:N20"/>
    <mergeCell ref="L21:M22"/>
    <mergeCell ref="U19:V19"/>
    <mergeCell ref="G19:H19"/>
    <mergeCell ref="I19:J19"/>
    <mergeCell ref="G15:H15"/>
    <mergeCell ref="I15:J15"/>
    <mergeCell ref="G24:H24"/>
    <mergeCell ref="I24:J24"/>
    <mergeCell ref="H25:I26"/>
    <mergeCell ref="J25:J26"/>
    <mergeCell ref="C24:D24"/>
    <mergeCell ref="E24:F24"/>
    <mergeCell ref="D25:E26"/>
    <mergeCell ref="F25:F26"/>
    <mergeCell ref="C27:D27"/>
    <mergeCell ref="E27:F27"/>
    <mergeCell ref="G27:H27"/>
    <mergeCell ref="I27:J27"/>
    <mergeCell ref="K27:L27"/>
    <mergeCell ref="K24:L24"/>
    <mergeCell ref="M24:N24"/>
    <mergeCell ref="L25:M26"/>
    <mergeCell ref="N25:N26"/>
    <mergeCell ref="J33:J34"/>
    <mergeCell ref="G35:H35"/>
    <mergeCell ref="I35:J35"/>
    <mergeCell ref="AE8:AF8"/>
    <mergeCell ref="AG8:AH8"/>
    <mergeCell ref="AF9:AG10"/>
    <mergeCell ref="AH9:AH10"/>
    <mergeCell ref="AE11:AF11"/>
    <mergeCell ref="AG11:AH11"/>
    <mergeCell ref="Y23:Z23"/>
    <mergeCell ref="O31:P31"/>
    <mergeCell ref="Q31:R31"/>
    <mergeCell ref="AA16:AB16"/>
    <mergeCell ref="K31:L31"/>
    <mergeCell ref="M31:N31"/>
    <mergeCell ref="W15:X15"/>
    <mergeCell ref="Y15:Z15"/>
    <mergeCell ref="O24:P24"/>
    <mergeCell ref="Q24:R24"/>
    <mergeCell ref="P25:Q26"/>
    <mergeCell ref="R25:R26"/>
    <mergeCell ref="G31:H31"/>
    <mergeCell ref="I31:J31"/>
    <mergeCell ref="AA35:AB35"/>
    <mergeCell ref="AC35:AD35"/>
    <mergeCell ref="AE28:AF28"/>
    <mergeCell ref="AG28:AH28"/>
    <mergeCell ref="AF29:AG30"/>
    <mergeCell ref="AH29:AH30"/>
    <mergeCell ref="AE31:AF31"/>
    <mergeCell ref="AG31:AH31"/>
    <mergeCell ref="Y19:Z19"/>
    <mergeCell ref="C32:D32"/>
    <mergeCell ref="E32:F32"/>
    <mergeCell ref="D33:E34"/>
    <mergeCell ref="F33:F34"/>
    <mergeCell ref="V29:V30"/>
    <mergeCell ref="S31:T31"/>
    <mergeCell ref="U31:V31"/>
    <mergeCell ref="AA20:AB20"/>
    <mergeCell ref="AC20:AD20"/>
    <mergeCell ref="AB21:AC22"/>
    <mergeCell ref="AD21:AD22"/>
    <mergeCell ref="AA23:AB23"/>
    <mergeCell ref="AC23:AD23"/>
    <mergeCell ref="W28:X28"/>
    <mergeCell ref="Y28:Z28"/>
    <mergeCell ref="C31:D31"/>
    <mergeCell ref="E31:F31"/>
    <mergeCell ref="C28:D28"/>
    <mergeCell ref="U27:V27"/>
    <mergeCell ref="W20:X20"/>
    <mergeCell ref="Y20:Z20"/>
    <mergeCell ref="S24:T24"/>
    <mergeCell ref="U24:V24"/>
    <mergeCell ref="T25:U26"/>
    <mergeCell ref="V25:V26"/>
    <mergeCell ref="O27:P27"/>
    <mergeCell ref="Q27:R27"/>
    <mergeCell ref="G28:H28"/>
    <mergeCell ref="X21:Y22"/>
    <mergeCell ref="Z21:Z22"/>
    <mergeCell ref="W23:X23"/>
    <mergeCell ref="K28:L28"/>
    <mergeCell ref="B84:B87"/>
    <mergeCell ref="CE84:CH87"/>
    <mergeCell ref="B88:B91"/>
    <mergeCell ref="CI88:CL91"/>
    <mergeCell ref="C36:D36"/>
    <mergeCell ref="E36:F36"/>
    <mergeCell ref="D37:E38"/>
    <mergeCell ref="F37:F38"/>
    <mergeCell ref="C39:D39"/>
    <mergeCell ref="E39:F39"/>
    <mergeCell ref="AI4:AJ4"/>
    <mergeCell ref="AK4:AL4"/>
    <mergeCell ref="AJ5:AK6"/>
    <mergeCell ref="AL5:AL6"/>
    <mergeCell ref="AI7:AJ7"/>
    <mergeCell ref="AK7:AL7"/>
    <mergeCell ref="G36:H36"/>
    <mergeCell ref="I36:J36"/>
    <mergeCell ref="AA32:AB32"/>
    <mergeCell ref="AC32:AD32"/>
    <mergeCell ref="AB33:AC34"/>
    <mergeCell ref="AD33:AD34"/>
    <mergeCell ref="AH25:AH26"/>
    <mergeCell ref="AE27:AF27"/>
    <mergeCell ref="AG27:AH27"/>
    <mergeCell ref="K32:L32"/>
    <mergeCell ref="M32:N32"/>
    <mergeCell ref="L33:M34"/>
    <mergeCell ref="N33:N34"/>
    <mergeCell ref="K35:L35"/>
    <mergeCell ref="AJ17:AK18"/>
    <mergeCell ref="AL17:AL18"/>
    <mergeCell ref="CE3:CH3"/>
    <mergeCell ref="O35:P35"/>
    <mergeCell ref="Q35:R35"/>
    <mergeCell ref="X29:Y30"/>
    <mergeCell ref="Z29:Z30"/>
    <mergeCell ref="AE12:AF12"/>
    <mergeCell ref="AG12:AH12"/>
    <mergeCell ref="AF13:AG14"/>
    <mergeCell ref="AH13:AH14"/>
    <mergeCell ref="AE15:AF15"/>
    <mergeCell ref="AG15:AH15"/>
    <mergeCell ref="O32:P32"/>
    <mergeCell ref="Q32:R32"/>
    <mergeCell ref="P33:Q34"/>
    <mergeCell ref="R33:R34"/>
    <mergeCell ref="AE16:AF16"/>
    <mergeCell ref="AI8:AJ8"/>
    <mergeCell ref="AK8:AL8"/>
    <mergeCell ref="S28:T28"/>
    <mergeCell ref="U28:V28"/>
    <mergeCell ref="T29:U30"/>
    <mergeCell ref="AH17:AH18"/>
    <mergeCell ref="AE19:AF19"/>
    <mergeCell ref="AG19:AH19"/>
    <mergeCell ref="W31:X31"/>
    <mergeCell ref="Y31:Z31"/>
    <mergeCell ref="AA24:AB24"/>
    <mergeCell ref="AC24:AD24"/>
    <mergeCell ref="AB25:AC26"/>
    <mergeCell ref="AD25:AD26"/>
    <mergeCell ref="AA27:AB27"/>
    <mergeCell ref="AC27:AD27"/>
    <mergeCell ref="X17:Y18"/>
    <mergeCell ref="Z17:Z18"/>
    <mergeCell ref="W19:X19"/>
    <mergeCell ref="AJ9:AK10"/>
    <mergeCell ref="AL9:AL10"/>
    <mergeCell ref="AI11:AJ11"/>
    <mergeCell ref="AK11:AL11"/>
    <mergeCell ref="K36:L36"/>
    <mergeCell ref="M36:N36"/>
    <mergeCell ref="S32:T32"/>
    <mergeCell ref="U32:V32"/>
    <mergeCell ref="T33:U34"/>
    <mergeCell ref="V33:V34"/>
    <mergeCell ref="S35:T35"/>
    <mergeCell ref="U35:V35"/>
    <mergeCell ref="AE20:AF20"/>
    <mergeCell ref="AG20:AH20"/>
    <mergeCell ref="AF21:AG22"/>
    <mergeCell ref="AH21:AH22"/>
    <mergeCell ref="AE23:AF23"/>
    <mergeCell ref="AG23:AH23"/>
    <mergeCell ref="W32:X32"/>
    <mergeCell ref="Y32:Z32"/>
    <mergeCell ref="AJ33:AK34"/>
    <mergeCell ref="AL33:AL34"/>
    <mergeCell ref="W35:X35"/>
    <mergeCell ref="AI12:AJ12"/>
    <mergeCell ref="AK12:AL12"/>
    <mergeCell ref="AJ13:AK14"/>
    <mergeCell ref="AL13:AL14"/>
    <mergeCell ref="AI15:AJ15"/>
    <mergeCell ref="AK15:AL15"/>
    <mergeCell ref="O36:P36"/>
    <mergeCell ref="Q36:R36"/>
    <mergeCell ref="AI16:AJ16"/>
    <mergeCell ref="F41:F42"/>
    <mergeCell ref="C43:D43"/>
    <mergeCell ref="E43:F43"/>
    <mergeCell ref="AM4:AN4"/>
    <mergeCell ref="G43:H43"/>
    <mergeCell ref="I43:J43"/>
    <mergeCell ref="K43:L43"/>
    <mergeCell ref="M43:N43"/>
    <mergeCell ref="AI27:AJ27"/>
    <mergeCell ref="AK27:AL27"/>
    <mergeCell ref="AA36:AB36"/>
    <mergeCell ref="AC36:AD36"/>
    <mergeCell ref="AB37:AC38"/>
    <mergeCell ref="AD37:AD38"/>
    <mergeCell ref="AA39:AB39"/>
    <mergeCell ref="AC39:AD39"/>
    <mergeCell ref="AI28:AJ28"/>
    <mergeCell ref="AK28:AL28"/>
    <mergeCell ref="AJ29:AK30"/>
    <mergeCell ref="AL29:AL30"/>
    <mergeCell ref="AI31:AJ31"/>
    <mergeCell ref="AN5:AO6"/>
    <mergeCell ref="AM7:AN7"/>
    <mergeCell ref="AI19:AJ19"/>
    <mergeCell ref="AK19:AL19"/>
    <mergeCell ref="S36:T36"/>
    <mergeCell ref="U36:V36"/>
    <mergeCell ref="T37:U38"/>
    <mergeCell ref="V37:V38"/>
    <mergeCell ref="S39:T39"/>
    <mergeCell ref="U39:V39"/>
    <mergeCell ref="AF17:AG18"/>
    <mergeCell ref="G40:H40"/>
    <mergeCell ref="I40:J40"/>
    <mergeCell ref="H41:I42"/>
    <mergeCell ref="J41:J42"/>
    <mergeCell ref="AM8:AN8"/>
    <mergeCell ref="AO8:AP8"/>
    <mergeCell ref="AN9:AO10"/>
    <mergeCell ref="AP9:AP10"/>
    <mergeCell ref="AM11:AN11"/>
    <mergeCell ref="AO11:AP11"/>
    <mergeCell ref="K40:L40"/>
    <mergeCell ref="M40:N40"/>
    <mergeCell ref="L41:M42"/>
    <mergeCell ref="N41:N42"/>
    <mergeCell ref="AM12:AN12"/>
    <mergeCell ref="AO12:AP12"/>
    <mergeCell ref="AN13:AO14"/>
    <mergeCell ref="AP13:AP14"/>
    <mergeCell ref="AM15:AN15"/>
    <mergeCell ref="AO15:AP15"/>
    <mergeCell ref="O40:P40"/>
    <mergeCell ref="Q40:R40"/>
    <mergeCell ref="P41:Q42"/>
    <mergeCell ref="R41:R42"/>
    <mergeCell ref="Y35:Z35"/>
    <mergeCell ref="AE24:AF24"/>
    <mergeCell ref="AI20:AJ20"/>
    <mergeCell ref="AK20:AL20"/>
    <mergeCell ref="AG24:AH24"/>
    <mergeCell ref="D45:E46"/>
    <mergeCell ref="F45:F46"/>
    <mergeCell ref="C47:D47"/>
    <mergeCell ref="E47:F47"/>
    <mergeCell ref="O43:P43"/>
    <mergeCell ref="Q43:R43"/>
    <mergeCell ref="AM16:AN16"/>
    <mergeCell ref="AO16:AP16"/>
    <mergeCell ref="AN17:AO18"/>
    <mergeCell ref="AP17:AP18"/>
    <mergeCell ref="AM19:AN19"/>
    <mergeCell ref="AO19:AP19"/>
    <mergeCell ref="AI35:AJ35"/>
    <mergeCell ref="AK35:AL35"/>
    <mergeCell ref="AK31:AL31"/>
    <mergeCell ref="AE36:AF36"/>
    <mergeCell ref="AG36:AH36"/>
    <mergeCell ref="AF37:AG38"/>
    <mergeCell ref="AH37:AH38"/>
    <mergeCell ref="AE39:AF39"/>
    <mergeCell ref="AG39:AH39"/>
    <mergeCell ref="AI32:AJ32"/>
    <mergeCell ref="AK32:AL32"/>
    <mergeCell ref="S40:T40"/>
    <mergeCell ref="U40:V40"/>
    <mergeCell ref="T41:U42"/>
    <mergeCell ref="V41:V42"/>
    <mergeCell ref="S43:T43"/>
    <mergeCell ref="W39:X39"/>
    <mergeCell ref="Y39:Z39"/>
    <mergeCell ref="X33:Y34"/>
    <mergeCell ref="Z33:Z34"/>
    <mergeCell ref="G44:H44"/>
    <mergeCell ref="I44:J44"/>
    <mergeCell ref="H45:I46"/>
    <mergeCell ref="J45:J46"/>
    <mergeCell ref="G47:H47"/>
    <mergeCell ref="I47:J47"/>
    <mergeCell ref="AQ8:AR8"/>
    <mergeCell ref="AS8:AT8"/>
    <mergeCell ref="AK43:AL43"/>
    <mergeCell ref="AM36:AN36"/>
    <mergeCell ref="AO36:AP36"/>
    <mergeCell ref="AN37:AO38"/>
    <mergeCell ref="AP37:AP38"/>
    <mergeCell ref="AM39:AN39"/>
    <mergeCell ref="C44:D44"/>
    <mergeCell ref="E44:F44"/>
    <mergeCell ref="AC43:AD43"/>
    <mergeCell ref="AM28:AN28"/>
    <mergeCell ref="AO28:AP28"/>
    <mergeCell ref="AN29:AO30"/>
    <mergeCell ref="AP29:AP30"/>
    <mergeCell ref="AM31:AN31"/>
    <mergeCell ref="AS11:AT11"/>
    <mergeCell ref="K44:L44"/>
    <mergeCell ref="M44:N44"/>
    <mergeCell ref="L45:M46"/>
    <mergeCell ref="N45:N46"/>
    <mergeCell ref="K47:L47"/>
    <mergeCell ref="M47:N47"/>
    <mergeCell ref="AQ12:AR12"/>
    <mergeCell ref="AS12:AT12"/>
    <mergeCell ref="AR13:AS14"/>
    <mergeCell ref="O44:P44"/>
    <mergeCell ref="Q44:R44"/>
    <mergeCell ref="P45:Q46"/>
    <mergeCell ref="R45:R46"/>
    <mergeCell ref="O47:P47"/>
    <mergeCell ref="Q47:R47"/>
    <mergeCell ref="AQ16:AR16"/>
    <mergeCell ref="AS16:AT16"/>
    <mergeCell ref="AO31:AP31"/>
    <mergeCell ref="AE40:AF40"/>
    <mergeCell ref="AG40:AH40"/>
    <mergeCell ref="AF41:AG42"/>
    <mergeCell ref="AH41:AH42"/>
    <mergeCell ref="AE43:AF43"/>
    <mergeCell ref="AG43:AH43"/>
    <mergeCell ref="AM32:AN32"/>
    <mergeCell ref="AR17:AS18"/>
    <mergeCell ref="AT17:AT18"/>
    <mergeCell ref="AQ19:AR19"/>
    <mergeCell ref="AS19:AT19"/>
    <mergeCell ref="S44:T44"/>
    <mergeCell ref="U44:V44"/>
    <mergeCell ref="T45:U46"/>
    <mergeCell ref="V45:V46"/>
    <mergeCell ref="S47:T47"/>
    <mergeCell ref="U47:V47"/>
    <mergeCell ref="AQ20:AR20"/>
    <mergeCell ref="AS20:AT20"/>
    <mergeCell ref="U43:V43"/>
    <mergeCell ref="AM20:AN20"/>
    <mergeCell ref="AO20:AP20"/>
    <mergeCell ref="AN21:AO22"/>
    <mergeCell ref="AJ41:AK42"/>
    <mergeCell ref="AM23:AN23"/>
    <mergeCell ref="AO23:AP23"/>
    <mergeCell ref="W40:X40"/>
    <mergeCell ref="AN25:AO26"/>
    <mergeCell ref="AP25:AP26"/>
    <mergeCell ref="AM27:AN27"/>
    <mergeCell ref="AO27:AP27"/>
    <mergeCell ref="AA40:AB40"/>
    <mergeCell ref="AC40:AD40"/>
    <mergeCell ref="AB41:AC42"/>
    <mergeCell ref="AD41:AD42"/>
    <mergeCell ref="AA43:AB43"/>
    <mergeCell ref="AI23:AJ23"/>
    <mergeCell ref="AK23:AL23"/>
    <mergeCell ref="W36:X36"/>
    <mergeCell ref="Y36:Z36"/>
    <mergeCell ref="AO24:AP24"/>
    <mergeCell ref="Z37:Z38"/>
    <mergeCell ref="Z53:Z54"/>
    <mergeCell ref="W55:X55"/>
    <mergeCell ref="Y55:Z55"/>
    <mergeCell ref="AA52:AB52"/>
    <mergeCell ref="AC52:AD52"/>
    <mergeCell ref="AB53:AC54"/>
    <mergeCell ref="AD53:AD54"/>
    <mergeCell ref="AA55:AB55"/>
    <mergeCell ref="AC55:AD55"/>
    <mergeCell ref="AT33:AT34"/>
    <mergeCell ref="AQ35:AR35"/>
    <mergeCell ref="AS35:AT35"/>
    <mergeCell ref="AI44:AJ44"/>
    <mergeCell ref="AK44:AL44"/>
    <mergeCell ref="AJ45:AK46"/>
    <mergeCell ref="AL45:AL46"/>
    <mergeCell ref="AI47:AJ47"/>
    <mergeCell ref="AK47:AL47"/>
    <mergeCell ref="AQ36:AR36"/>
    <mergeCell ref="X45:Y46"/>
    <mergeCell ref="Z45:Z46"/>
    <mergeCell ref="W47:X47"/>
    <mergeCell ref="Y47:Z47"/>
    <mergeCell ref="Y40:Z40"/>
    <mergeCell ref="X41:Y42"/>
    <mergeCell ref="Z41:Z42"/>
    <mergeCell ref="W43:X43"/>
    <mergeCell ref="AE52:AF52"/>
    <mergeCell ref="AG52:AH52"/>
    <mergeCell ref="AC44:AD44"/>
    <mergeCell ref="AB45:AC46"/>
    <mergeCell ref="AD45:AD46"/>
    <mergeCell ref="C56:D56"/>
    <mergeCell ref="E56:F56"/>
    <mergeCell ref="D57:E58"/>
    <mergeCell ref="F57:F58"/>
    <mergeCell ref="C59:D59"/>
    <mergeCell ref="E59:F59"/>
    <mergeCell ref="BC4:BD4"/>
    <mergeCell ref="BE4:BF4"/>
    <mergeCell ref="BD5:BE6"/>
    <mergeCell ref="BF5:BF6"/>
    <mergeCell ref="BC7:BD7"/>
    <mergeCell ref="BE7:BF7"/>
    <mergeCell ref="G56:H56"/>
    <mergeCell ref="I56:J56"/>
    <mergeCell ref="H57:I58"/>
    <mergeCell ref="J57:J58"/>
    <mergeCell ref="G59:H59"/>
    <mergeCell ref="I59:J59"/>
    <mergeCell ref="BC8:BD8"/>
    <mergeCell ref="BE8:BF8"/>
    <mergeCell ref="BD9:BE10"/>
    <mergeCell ref="BF9:BF10"/>
    <mergeCell ref="BC11:BD11"/>
    <mergeCell ref="BE11:BF11"/>
    <mergeCell ref="AY47:AZ47"/>
    <mergeCell ref="BA47:BB47"/>
    <mergeCell ref="AU52:AV52"/>
    <mergeCell ref="AW52:AX52"/>
    <mergeCell ref="AV53:AW54"/>
    <mergeCell ref="AX53:AX54"/>
    <mergeCell ref="AU55:AV55"/>
    <mergeCell ref="AW55:AX55"/>
    <mergeCell ref="L57:M58"/>
    <mergeCell ref="N57:N58"/>
    <mergeCell ref="K59:L59"/>
    <mergeCell ref="M59:N59"/>
    <mergeCell ref="BC12:BD12"/>
    <mergeCell ref="BE12:BF12"/>
    <mergeCell ref="BD13:BE14"/>
    <mergeCell ref="BF13:BF14"/>
    <mergeCell ref="BC15:BD15"/>
    <mergeCell ref="BE15:BF15"/>
    <mergeCell ref="O56:P56"/>
    <mergeCell ref="Q56:R56"/>
    <mergeCell ref="P57:Q58"/>
    <mergeCell ref="R57:R58"/>
    <mergeCell ref="O59:P59"/>
    <mergeCell ref="Q59:R59"/>
    <mergeCell ref="BC16:BD16"/>
    <mergeCell ref="BE16:BF16"/>
    <mergeCell ref="BD17:BE18"/>
    <mergeCell ref="BF17:BF18"/>
    <mergeCell ref="BC19:BD19"/>
    <mergeCell ref="BE19:BF19"/>
    <mergeCell ref="AY48:AZ48"/>
    <mergeCell ref="BA48:BB48"/>
    <mergeCell ref="AZ49:BA50"/>
    <mergeCell ref="BB49:BB50"/>
    <mergeCell ref="AY51:AZ51"/>
    <mergeCell ref="BA51:BB51"/>
    <mergeCell ref="AY39:AZ39"/>
    <mergeCell ref="BA39:BB39"/>
    <mergeCell ref="AI51:AJ51"/>
    <mergeCell ref="AV33:AW34"/>
    <mergeCell ref="BC20:BD20"/>
    <mergeCell ref="BE20:BF20"/>
    <mergeCell ref="BD21:BE22"/>
    <mergeCell ref="BF21:BF22"/>
    <mergeCell ref="BC23:BD23"/>
    <mergeCell ref="BE23:BF23"/>
    <mergeCell ref="W56:X56"/>
    <mergeCell ref="Y56:Z56"/>
    <mergeCell ref="X57:Y58"/>
    <mergeCell ref="Z57:Z58"/>
    <mergeCell ref="W59:X59"/>
    <mergeCell ref="Y59:Z59"/>
    <mergeCell ref="BC24:BD24"/>
    <mergeCell ref="BE24:BF24"/>
    <mergeCell ref="BD25:BE26"/>
    <mergeCell ref="BF25:BF26"/>
    <mergeCell ref="BC27:BD27"/>
    <mergeCell ref="BE27:BF27"/>
    <mergeCell ref="AM52:AN52"/>
    <mergeCell ref="AO52:AP52"/>
    <mergeCell ref="AN53:AO54"/>
    <mergeCell ref="AP53:AP54"/>
    <mergeCell ref="AM55:AN55"/>
    <mergeCell ref="AO55:AP55"/>
    <mergeCell ref="AY40:AZ40"/>
    <mergeCell ref="BA40:BB40"/>
    <mergeCell ref="AX33:AX34"/>
    <mergeCell ref="AR53:AS54"/>
    <mergeCell ref="AT53:AT54"/>
    <mergeCell ref="W52:X52"/>
    <mergeCell ref="Y52:Z52"/>
    <mergeCell ref="X53:Y54"/>
    <mergeCell ref="CR41:CR42"/>
    <mergeCell ref="CS41:CS42"/>
    <mergeCell ref="CR45:CR46"/>
    <mergeCell ref="CS45:CS46"/>
    <mergeCell ref="CR49:CR50"/>
    <mergeCell ref="CS49:CS50"/>
    <mergeCell ref="CR53:CR54"/>
    <mergeCell ref="CS53:CS54"/>
    <mergeCell ref="CR57:CR58"/>
    <mergeCell ref="CS57:CS58"/>
    <mergeCell ref="CR21:CR22"/>
    <mergeCell ref="CS21:CS22"/>
    <mergeCell ref="CR25:CR26"/>
    <mergeCell ref="CS25:CS26"/>
    <mergeCell ref="CR29:CR30"/>
    <mergeCell ref="CS29:CS30"/>
    <mergeCell ref="CR33:CR34"/>
    <mergeCell ref="CS33:CS34"/>
    <mergeCell ref="CR37:CR38"/>
    <mergeCell ref="CS37:CS38"/>
    <mergeCell ref="BC31:BD31"/>
    <mergeCell ref="BE31:BF31"/>
    <mergeCell ref="AE56:AF56"/>
    <mergeCell ref="AG56:AH56"/>
    <mergeCell ref="AF57:AG58"/>
    <mergeCell ref="AH57:AH58"/>
    <mergeCell ref="AE59:AF59"/>
    <mergeCell ref="AG59:AH59"/>
    <mergeCell ref="BC32:BD32"/>
    <mergeCell ref="BE32:BF32"/>
    <mergeCell ref="BD33:BE34"/>
    <mergeCell ref="BF33:BF34"/>
    <mergeCell ref="BC35:BD35"/>
    <mergeCell ref="AF53:AG54"/>
    <mergeCell ref="AH53:AH54"/>
    <mergeCell ref="AE55:AF55"/>
    <mergeCell ref="AG55:AH55"/>
    <mergeCell ref="AY32:AZ32"/>
    <mergeCell ref="BA32:BB32"/>
    <mergeCell ref="AZ33:BA34"/>
    <mergeCell ref="BB33:BB34"/>
    <mergeCell ref="AY35:AZ35"/>
    <mergeCell ref="BA35:BB35"/>
    <mergeCell ref="AI52:AJ52"/>
    <mergeCell ref="AK52:AL52"/>
    <mergeCell ref="AJ53:AK54"/>
    <mergeCell ref="BE43:BF43"/>
    <mergeCell ref="AQ55:AR55"/>
    <mergeCell ref="AS59:AT59"/>
    <mergeCell ref="AO35:AP35"/>
    <mergeCell ref="AI40:AJ40"/>
    <mergeCell ref="AK40:AL40"/>
    <mergeCell ref="AQ28:AR28"/>
    <mergeCell ref="AS28:AT28"/>
    <mergeCell ref="BA24:BB24"/>
    <mergeCell ref="AZ25:BA26"/>
    <mergeCell ref="BB25:BB26"/>
    <mergeCell ref="AY27:AZ27"/>
    <mergeCell ref="BA27:BB27"/>
    <mergeCell ref="AY28:AZ28"/>
    <mergeCell ref="BA28:BB28"/>
    <mergeCell ref="AU40:AV40"/>
    <mergeCell ref="AW40:AX40"/>
    <mergeCell ref="AA56:AB56"/>
    <mergeCell ref="AC56:AD56"/>
    <mergeCell ref="AB57:AC58"/>
    <mergeCell ref="AD57:AD58"/>
    <mergeCell ref="AL53:AL54"/>
    <mergeCell ref="AI55:AJ55"/>
    <mergeCell ref="AK55:AL55"/>
    <mergeCell ref="AY36:AZ36"/>
    <mergeCell ref="BA36:BB36"/>
    <mergeCell ref="AZ37:BA38"/>
    <mergeCell ref="BB37:BB38"/>
    <mergeCell ref="AS36:AT36"/>
    <mergeCell ref="AR37:AS38"/>
    <mergeCell ref="AT37:AT38"/>
    <mergeCell ref="AQ39:AR39"/>
    <mergeCell ref="AS39:AT39"/>
    <mergeCell ref="AQ32:AR32"/>
    <mergeCell ref="AS32:AT32"/>
    <mergeCell ref="AA47:AB47"/>
    <mergeCell ref="AC47:AD47"/>
    <mergeCell ref="AR29:AS30"/>
    <mergeCell ref="AT29:AT30"/>
    <mergeCell ref="AQ31:AR31"/>
    <mergeCell ref="BE35:BF35"/>
    <mergeCell ref="AZ41:BA42"/>
    <mergeCell ref="BB41:BB42"/>
    <mergeCell ref="AY43:AZ43"/>
    <mergeCell ref="BA43:BB43"/>
    <mergeCell ref="AQ52:AR52"/>
    <mergeCell ref="AS52:AT52"/>
    <mergeCell ref="AI56:AJ56"/>
    <mergeCell ref="AK56:AL56"/>
    <mergeCell ref="AJ57:AK58"/>
    <mergeCell ref="AL57:AL58"/>
    <mergeCell ref="AI59:AJ59"/>
    <mergeCell ref="AK59:AL59"/>
    <mergeCell ref="BC36:BD36"/>
    <mergeCell ref="BE36:BF36"/>
    <mergeCell ref="BD37:BE38"/>
    <mergeCell ref="BF37:BF38"/>
    <mergeCell ref="BC39:BD39"/>
    <mergeCell ref="BE39:BF39"/>
    <mergeCell ref="AM56:AN56"/>
    <mergeCell ref="AO56:AP56"/>
    <mergeCell ref="AN57:AO58"/>
    <mergeCell ref="AP57:AP58"/>
    <mergeCell ref="AM59:AN59"/>
    <mergeCell ref="AO59:AP59"/>
    <mergeCell ref="BC40:BD40"/>
    <mergeCell ref="BE40:BF40"/>
    <mergeCell ref="BD41:BE42"/>
    <mergeCell ref="BF41:BF42"/>
    <mergeCell ref="BC43:BD43"/>
    <mergeCell ref="BS8:BT8"/>
    <mergeCell ref="BU8:BV8"/>
    <mergeCell ref="BT9:BU10"/>
    <mergeCell ref="BV9:BV10"/>
    <mergeCell ref="BS11:BT11"/>
    <mergeCell ref="BU11:BV11"/>
    <mergeCell ref="K72:L72"/>
    <mergeCell ref="M72:N72"/>
    <mergeCell ref="L73:M74"/>
    <mergeCell ref="N73:N74"/>
    <mergeCell ref="K75:L75"/>
    <mergeCell ref="M75:N75"/>
    <mergeCell ref="BS12:BT12"/>
    <mergeCell ref="BU12:BV12"/>
    <mergeCell ref="BT13:BU14"/>
    <mergeCell ref="BV13:BV14"/>
    <mergeCell ref="BS15:BT15"/>
    <mergeCell ref="BU15:BV15"/>
    <mergeCell ref="O72:P72"/>
    <mergeCell ref="Q72:R72"/>
    <mergeCell ref="AS55:AT55"/>
    <mergeCell ref="AY44:AZ44"/>
    <mergeCell ref="BA44:BB44"/>
    <mergeCell ref="AZ45:BA46"/>
    <mergeCell ref="BB45:BB46"/>
    <mergeCell ref="AK51:AL51"/>
    <mergeCell ref="AU36:AV36"/>
    <mergeCell ref="BD45:BE46"/>
    <mergeCell ref="BF45:BF46"/>
    <mergeCell ref="BC47:BD47"/>
    <mergeCell ref="BE47:BF47"/>
    <mergeCell ref="AU56:AV56"/>
    <mergeCell ref="G72:H72"/>
    <mergeCell ref="I72:J72"/>
    <mergeCell ref="H73:I74"/>
    <mergeCell ref="J73:J74"/>
    <mergeCell ref="G75:H75"/>
    <mergeCell ref="I75:J75"/>
    <mergeCell ref="AW56:AX56"/>
    <mergeCell ref="AV57:AW58"/>
    <mergeCell ref="AX57:AX58"/>
    <mergeCell ref="AU59:AV59"/>
    <mergeCell ref="AW59:AX59"/>
    <mergeCell ref="BC48:BD48"/>
    <mergeCell ref="BE48:BF48"/>
    <mergeCell ref="BD49:BE50"/>
    <mergeCell ref="BF49:BF50"/>
    <mergeCell ref="BC51:BD51"/>
    <mergeCell ref="BE51:BF51"/>
    <mergeCell ref="AY56:AZ56"/>
    <mergeCell ref="BA56:BB56"/>
    <mergeCell ref="AZ57:BA58"/>
    <mergeCell ref="BB57:BB58"/>
    <mergeCell ref="AA59:AB59"/>
    <mergeCell ref="AC59:AD59"/>
    <mergeCell ref="S56:T56"/>
    <mergeCell ref="U56:V56"/>
    <mergeCell ref="T57:U58"/>
    <mergeCell ref="V57:V58"/>
    <mergeCell ref="S59:T59"/>
    <mergeCell ref="U59:V59"/>
    <mergeCell ref="K56:L56"/>
    <mergeCell ref="M56:N56"/>
    <mergeCell ref="Q75:R75"/>
    <mergeCell ref="BS16:BT16"/>
    <mergeCell ref="BU16:BV16"/>
    <mergeCell ref="BT17:BU18"/>
    <mergeCell ref="BV17:BV18"/>
    <mergeCell ref="BS19:BT19"/>
    <mergeCell ref="BU19:BV19"/>
    <mergeCell ref="S72:T72"/>
    <mergeCell ref="U72:V72"/>
    <mergeCell ref="T73:U74"/>
    <mergeCell ref="V73:V74"/>
    <mergeCell ref="S75:T75"/>
    <mergeCell ref="U75:V75"/>
    <mergeCell ref="BS20:BT20"/>
    <mergeCell ref="BU20:BV20"/>
    <mergeCell ref="BT21:BU22"/>
    <mergeCell ref="BV21:BV22"/>
    <mergeCell ref="BS23:BT23"/>
    <mergeCell ref="BU23:BV23"/>
    <mergeCell ref="W72:X72"/>
    <mergeCell ref="Y72:Z72"/>
    <mergeCell ref="X73:Y74"/>
    <mergeCell ref="Z73:Z74"/>
    <mergeCell ref="W75:X75"/>
    <mergeCell ref="Y75:Z75"/>
    <mergeCell ref="BS24:BT24"/>
    <mergeCell ref="BU24:BV24"/>
    <mergeCell ref="AQ56:AR56"/>
    <mergeCell ref="AS56:AT56"/>
    <mergeCell ref="AR57:AS58"/>
    <mergeCell ref="AT57:AT58"/>
    <mergeCell ref="AQ59:AR59"/>
    <mergeCell ref="BS27:BT27"/>
    <mergeCell ref="BU27:BV27"/>
    <mergeCell ref="AA72:AB72"/>
    <mergeCell ref="AC72:AD72"/>
    <mergeCell ref="AB73:AC74"/>
    <mergeCell ref="AD73:AD74"/>
    <mergeCell ref="AA75:AB75"/>
    <mergeCell ref="AC75:AD75"/>
    <mergeCell ref="BS28:BT28"/>
    <mergeCell ref="BU28:BV28"/>
    <mergeCell ref="BT29:BU30"/>
    <mergeCell ref="BV29:BV30"/>
    <mergeCell ref="BS31:BT31"/>
    <mergeCell ref="BU31:BV31"/>
    <mergeCell ref="AE72:AF72"/>
    <mergeCell ref="AG72:AH72"/>
    <mergeCell ref="AF73:AG74"/>
    <mergeCell ref="AH73:AH74"/>
    <mergeCell ref="AE75:AF75"/>
    <mergeCell ref="AG75:AH75"/>
    <mergeCell ref="BS32:BT32"/>
    <mergeCell ref="BU32:BV32"/>
    <mergeCell ref="BT33:BU34"/>
    <mergeCell ref="BV33:BV34"/>
    <mergeCell ref="BS35:BT35"/>
    <mergeCell ref="BU35:BV35"/>
    <mergeCell ref="AI72:AJ72"/>
    <mergeCell ref="AK72:AL72"/>
    <mergeCell ref="AJ73:AK74"/>
    <mergeCell ref="AL73:AL74"/>
    <mergeCell ref="BT57:BU58"/>
    <mergeCell ref="BV57:BV58"/>
    <mergeCell ref="BG48:BH48"/>
    <mergeCell ref="BS36:BT36"/>
    <mergeCell ref="BU36:BV36"/>
    <mergeCell ref="BT37:BU38"/>
    <mergeCell ref="BV37:BV38"/>
    <mergeCell ref="BS39:BT39"/>
    <mergeCell ref="BU39:BV39"/>
    <mergeCell ref="AM72:AN72"/>
    <mergeCell ref="AO72:AP72"/>
    <mergeCell ref="AN73:AO74"/>
    <mergeCell ref="AP73:AP74"/>
    <mergeCell ref="AM75:AN75"/>
    <mergeCell ref="AO75:AP75"/>
    <mergeCell ref="BS40:BT40"/>
    <mergeCell ref="BU40:BV40"/>
    <mergeCell ref="BT41:BU42"/>
    <mergeCell ref="BV41:BV42"/>
    <mergeCell ref="BS43:BT43"/>
    <mergeCell ref="BU43:BV43"/>
    <mergeCell ref="AQ72:AR72"/>
    <mergeCell ref="AS72:AT72"/>
    <mergeCell ref="AR73:AS74"/>
    <mergeCell ref="AT73:AT74"/>
    <mergeCell ref="AQ75:AR75"/>
    <mergeCell ref="AS75:AT75"/>
    <mergeCell ref="BS44:BT44"/>
    <mergeCell ref="BU44:BV44"/>
    <mergeCell ref="BT45:BU46"/>
    <mergeCell ref="BV45:BV46"/>
    <mergeCell ref="BS47:BT47"/>
    <mergeCell ref="BU47:BV47"/>
    <mergeCell ref="BS51:BT51"/>
    <mergeCell ref="BU51:BV51"/>
    <mergeCell ref="AY72:AZ72"/>
    <mergeCell ref="BA72:BB72"/>
    <mergeCell ref="AZ73:BA74"/>
    <mergeCell ref="BB73:BB74"/>
    <mergeCell ref="AY75:AZ75"/>
    <mergeCell ref="BA75:BB75"/>
    <mergeCell ref="BS52:BT52"/>
    <mergeCell ref="BU52:BV52"/>
    <mergeCell ref="BT53:BU54"/>
    <mergeCell ref="BV53:BV54"/>
    <mergeCell ref="BS55:BT55"/>
    <mergeCell ref="BU55:BV55"/>
    <mergeCell ref="BC72:BD72"/>
    <mergeCell ref="BE72:BF72"/>
    <mergeCell ref="BD73:BE74"/>
    <mergeCell ref="BF73:BF74"/>
    <mergeCell ref="BC75:BD75"/>
    <mergeCell ref="BE75:BF75"/>
    <mergeCell ref="BS56:BT56"/>
    <mergeCell ref="BU56:BV56"/>
    <mergeCell ref="BU63:BV63"/>
    <mergeCell ref="BK72:BL72"/>
    <mergeCell ref="BM72:BN72"/>
    <mergeCell ref="BG59:BH59"/>
    <mergeCell ref="BH69:BI70"/>
    <mergeCell ref="BJ69:BJ70"/>
    <mergeCell ref="AZ61:BA62"/>
    <mergeCell ref="BB61:BB62"/>
    <mergeCell ref="AY63:AZ63"/>
    <mergeCell ref="BA63:BB63"/>
    <mergeCell ref="BG52:BH52"/>
    <mergeCell ref="BI52:BJ52"/>
    <mergeCell ref="K79:L79"/>
    <mergeCell ref="M79:N79"/>
    <mergeCell ref="BS64:BT64"/>
    <mergeCell ref="BU64:BV64"/>
    <mergeCell ref="BT65:BU66"/>
    <mergeCell ref="BV65:BV66"/>
    <mergeCell ref="BS67:BT67"/>
    <mergeCell ref="BU67:BV67"/>
    <mergeCell ref="BO72:BP72"/>
    <mergeCell ref="BQ72:BR72"/>
    <mergeCell ref="BP73:BQ74"/>
    <mergeCell ref="BR73:BR74"/>
    <mergeCell ref="BO75:BP75"/>
    <mergeCell ref="BQ75:BR75"/>
    <mergeCell ref="BO64:BP64"/>
    <mergeCell ref="BQ64:BR64"/>
    <mergeCell ref="BP65:BQ66"/>
    <mergeCell ref="BR65:BR66"/>
    <mergeCell ref="BO67:BP67"/>
    <mergeCell ref="BQ67:BR67"/>
    <mergeCell ref="BK68:BL68"/>
    <mergeCell ref="BM68:BN68"/>
    <mergeCell ref="BL69:BM70"/>
    <mergeCell ref="BN69:BN70"/>
    <mergeCell ref="AX73:AX74"/>
    <mergeCell ref="AU75:AV75"/>
    <mergeCell ref="AW75:AX75"/>
    <mergeCell ref="AI75:AJ75"/>
    <mergeCell ref="AK75:AL75"/>
    <mergeCell ref="P73:Q74"/>
    <mergeCell ref="R73:R74"/>
    <mergeCell ref="O75:P75"/>
    <mergeCell ref="C76:D76"/>
    <mergeCell ref="E76:F76"/>
    <mergeCell ref="D77:E78"/>
    <mergeCell ref="F77:F78"/>
    <mergeCell ref="C79:D79"/>
    <mergeCell ref="E79:F79"/>
    <mergeCell ref="BW8:BX8"/>
    <mergeCell ref="BY8:BZ8"/>
    <mergeCell ref="BX9:BY10"/>
    <mergeCell ref="BZ9:BZ10"/>
    <mergeCell ref="BW11:BX11"/>
    <mergeCell ref="BY11:BZ11"/>
    <mergeCell ref="G76:H76"/>
    <mergeCell ref="I76:J76"/>
    <mergeCell ref="H77:I78"/>
    <mergeCell ref="J77:J78"/>
    <mergeCell ref="G79:H79"/>
    <mergeCell ref="I79:J79"/>
    <mergeCell ref="BW12:BX12"/>
    <mergeCell ref="BY12:BZ12"/>
    <mergeCell ref="BX13:BY14"/>
    <mergeCell ref="BZ13:BZ14"/>
    <mergeCell ref="BW15:BX15"/>
    <mergeCell ref="BY15:BZ15"/>
    <mergeCell ref="K76:L76"/>
    <mergeCell ref="M76:N76"/>
    <mergeCell ref="BS59:BT59"/>
    <mergeCell ref="BU59:BV59"/>
    <mergeCell ref="L77:M78"/>
    <mergeCell ref="N77:N78"/>
    <mergeCell ref="BG75:BH75"/>
    <mergeCell ref="BI75:BJ75"/>
    <mergeCell ref="CT76:CU76"/>
    <mergeCell ref="CR77:CR78"/>
    <mergeCell ref="CS77:CS78"/>
    <mergeCell ref="CT77:CU78"/>
    <mergeCell ref="CV77:CV78"/>
    <mergeCell ref="CW77:CW78"/>
    <mergeCell ref="CT79:CU79"/>
    <mergeCell ref="O76:P76"/>
    <mergeCell ref="Q76:R76"/>
    <mergeCell ref="P77:Q78"/>
    <mergeCell ref="R77:R78"/>
    <mergeCell ref="O79:P79"/>
    <mergeCell ref="Q79:R79"/>
    <mergeCell ref="AA76:AB76"/>
    <mergeCell ref="AC76:AD76"/>
    <mergeCell ref="AB77:AC78"/>
    <mergeCell ref="AD77:AD78"/>
    <mergeCell ref="AA79:AB79"/>
    <mergeCell ref="AC79:AD79"/>
    <mergeCell ref="AN77:AO78"/>
    <mergeCell ref="AP77:AP78"/>
    <mergeCell ref="AM79:AN79"/>
    <mergeCell ref="AO79:AP79"/>
    <mergeCell ref="AZ77:BA78"/>
    <mergeCell ref="BB77:BB78"/>
    <mergeCell ref="AY79:AZ79"/>
    <mergeCell ref="BA79:BB79"/>
    <mergeCell ref="BL77:BM78"/>
    <mergeCell ref="CG76:CH76"/>
    <mergeCell ref="CF77:CG78"/>
    <mergeCell ref="AE76:AF76"/>
    <mergeCell ref="AG76:AH76"/>
    <mergeCell ref="S76:T76"/>
    <mergeCell ref="U76:V76"/>
    <mergeCell ref="T77:U78"/>
    <mergeCell ref="V77:V78"/>
    <mergeCell ref="S79:T79"/>
    <mergeCell ref="U79:V79"/>
    <mergeCell ref="BW20:BX20"/>
    <mergeCell ref="BY20:BZ20"/>
    <mergeCell ref="BX21:BY22"/>
    <mergeCell ref="BZ21:BZ22"/>
    <mergeCell ref="BW23:BX23"/>
    <mergeCell ref="BY23:BZ23"/>
    <mergeCell ref="W76:X76"/>
    <mergeCell ref="Y76:Z76"/>
    <mergeCell ref="X77:Y78"/>
    <mergeCell ref="Z77:Z78"/>
    <mergeCell ref="W79:X79"/>
    <mergeCell ref="Y79:Z79"/>
    <mergeCell ref="BW24:BX24"/>
    <mergeCell ref="BY24:BZ24"/>
    <mergeCell ref="BX25:BY26"/>
    <mergeCell ref="BZ25:BZ26"/>
    <mergeCell ref="BW27:BX27"/>
    <mergeCell ref="BY27:BZ27"/>
    <mergeCell ref="BS68:BT68"/>
    <mergeCell ref="BU68:BV68"/>
    <mergeCell ref="BG72:BH72"/>
    <mergeCell ref="BI72:BJ72"/>
    <mergeCell ref="BH73:BI74"/>
    <mergeCell ref="BJ73:BJ74"/>
    <mergeCell ref="BS48:BT48"/>
    <mergeCell ref="BU48:BV48"/>
    <mergeCell ref="AR81:AS82"/>
    <mergeCell ref="AT81:AT82"/>
    <mergeCell ref="AQ83:AR83"/>
    <mergeCell ref="AS83:AT83"/>
    <mergeCell ref="CA44:CB44"/>
    <mergeCell ref="CC44:CD44"/>
    <mergeCell ref="CB45:CC46"/>
    <mergeCell ref="CD45:CD46"/>
    <mergeCell ref="CA47:CB47"/>
    <mergeCell ref="CC47:CD47"/>
    <mergeCell ref="AU80:AV80"/>
    <mergeCell ref="AW80:AX80"/>
    <mergeCell ref="AV81:AW82"/>
    <mergeCell ref="AX81:AX82"/>
    <mergeCell ref="AU83:AV83"/>
    <mergeCell ref="AW83:AX83"/>
    <mergeCell ref="CA48:CB48"/>
    <mergeCell ref="CC48:CD48"/>
    <mergeCell ref="CB49:CC50"/>
    <mergeCell ref="CD49:CD50"/>
    <mergeCell ref="CA51:CB51"/>
    <mergeCell ref="CC51:CD51"/>
    <mergeCell ref="AY80:AZ80"/>
    <mergeCell ref="BA80:BB80"/>
    <mergeCell ref="AZ81:BA82"/>
    <mergeCell ref="BB81:BB82"/>
    <mergeCell ref="AY83:AZ83"/>
    <mergeCell ref="BA83:BB83"/>
    <mergeCell ref="CA52:CB52"/>
    <mergeCell ref="CC52:CD52"/>
    <mergeCell ref="BT49:BU50"/>
    <mergeCell ref="BV49:BV50"/>
    <mergeCell ref="CE27:CF27"/>
    <mergeCell ref="CG27:CH27"/>
    <mergeCell ref="AA84:AB84"/>
    <mergeCell ref="AC84:AD84"/>
    <mergeCell ref="AB85:AC86"/>
    <mergeCell ref="AD85:AD86"/>
    <mergeCell ref="AA87:AB87"/>
    <mergeCell ref="AC87:AD87"/>
    <mergeCell ref="CE28:CF28"/>
    <mergeCell ref="CG28:CH28"/>
    <mergeCell ref="CF29:CG30"/>
    <mergeCell ref="CH29:CH30"/>
    <mergeCell ref="BW16:BX16"/>
    <mergeCell ref="BY16:BZ16"/>
    <mergeCell ref="BX17:BY18"/>
    <mergeCell ref="BZ17:BZ18"/>
    <mergeCell ref="BW19:BX19"/>
    <mergeCell ref="BY19:BZ19"/>
    <mergeCell ref="BV61:BV62"/>
    <mergeCell ref="BS63:BT63"/>
    <mergeCell ref="BC80:BD80"/>
    <mergeCell ref="BE80:BF80"/>
    <mergeCell ref="BD81:BE82"/>
    <mergeCell ref="BF81:BF82"/>
    <mergeCell ref="BC83:BD83"/>
    <mergeCell ref="BE83:BF83"/>
    <mergeCell ref="CA56:CB56"/>
    <mergeCell ref="CC56:CD56"/>
    <mergeCell ref="CB57:CC58"/>
    <mergeCell ref="CD57:CD58"/>
    <mergeCell ref="CA59:CB59"/>
    <mergeCell ref="CC59:CD59"/>
    <mergeCell ref="BZ29:BZ30"/>
    <mergeCell ref="BW31:BX31"/>
    <mergeCell ref="BY31:BZ31"/>
    <mergeCell ref="CA35:CB35"/>
    <mergeCell ref="CC35:CD35"/>
    <mergeCell ref="C84:D84"/>
    <mergeCell ref="E84:F84"/>
    <mergeCell ref="D85:E86"/>
    <mergeCell ref="F85:F86"/>
    <mergeCell ref="C87:D87"/>
    <mergeCell ref="E87:F87"/>
    <mergeCell ref="CT84:CU84"/>
    <mergeCell ref="CR85:CR86"/>
    <mergeCell ref="CS85:CS86"/>
    <mergeCell ref="CT85:CU86"/>
    <mergeCell ref="BG80:BH80"/>
    <mergeCell ref="BI80:BJ80"/>
    <mergeCell ref="BH81:BI82"/>
    <mergeCell ref="BJ81:BJ82"/>
    <mergeCell ref="BG83:BH83"/>
    <mergeCell ref="BI83:BJ83"/>
    <mergeCell ref="CA60:CB60"/>
    <mergeCell ref="CC60:CD60"/>
    <mergeCell ref="CB61:CC62"/>
    <mergeCell ref="CD61:CD62"/>
    <mergeCell ref="CA63:CB63"/>
    <mergeCell ref="CC63:CD63"/>
    <mergeCell ref="BL81:BM82"/>
    <mergeCell ref="BN81:BN82"/>
    <mergeCell ref="BS60:BT60"/>
    <mergeCell ref="AQ80:AR80"/>
    <mergeCell ref="AS80:AT80"/>
    <mergeCell ref="CE8:CF8"/>
    <mergeCell ref="CG8:CH8"/>
    <mergeCell ref="CF9:CG10"/>
    <mergeCell ref="CH9:CH10"/>
    <mergeCell ref="CE11:CF11"/>
    <mergeCell ref="CG11:CH11"/>
    <mergeCell ref="G84:H84"/>
    <mergeCell ref="I84:J84"/>
    <mergeCell ref="H85:I86"/>
    <mergeCell ref="J85:J86"/>
    <mergeCell ref="G87:H87"/>
    <mergeCell ref="I87:J87"/>
    <mergeCell ref="K84:L84"/>
    <mergeCell ref="M84:N84"/>
    <mergeCell ref="L85:M86"/>
    <mergeCell ref="N85:N86"/>
    <mergeCell ref="K87:L87"/>
    <mergeCell ref="M87:N87"/>
    <mergeCell ref="BR81:BR82"/>
    <mergeCell ref="O84:P84"/>
    <mergeCell ref="Q84:R84"/>
    <mergeCell ref="P85:Q86"/>
    <mergeCell ref="R85:R86"/>
    <mergeCell ref="O87:P87"/>
    <mergeCell ref="Q87:R87"/>
    <mergeCell ref="CE20:CF20"/>
    <mergeCell ref="CG20:CH20"/>
    <mergeCell ref="CF21:CG22"/>
    <mergeCell ref="CH21:CH22"/>
    <mergeCell ref="BT25:BU26"/>
    <mergeCell ref="BV25:BV26"/>
    <mergeCell ref="BW28:BX28"/>
    <mergeCell ref="CE23:CF23"/>
    <mergeCell ref="CG23:CH23"/>
    <mergeCell ref="S84:T84"/>
    <mergeCell ref="U84:V84"/>
    <mergeCell ref="T85:U86"/>
    <mergeCell ref="V85:V86"/>
    <mergeCell ref="S87:T87"/>
    <mergeCell ref="U87:V87"/>
    <mergeCell ref="W84:X84"/>
    <mergeCell ref="Y84:Z84"/>
    <mergeCell ref="X85:Y86"/>
    <mergeCell ref="BW80:BX80"/>
    <mergeCell ref="BY80:BZ80"/>
    <mergeCell ref="BX81:BY82"/>
    <mergeCell ref="BZ81:BZ82"/>
    <mergeCell ref="BW83:BX83"/>
    <mergeCell ref="BY83:BZ83"/>
    <mergeCell ref="CA76:CB76"/>
    <mergeCell ref="CC76:CD76"/>
    <mergeCell ref="CB77:CC78"/>
    <mergeCell ref="CD77:CD78"/>
    <mergeCell ref="AF85:AG86"/>
    <mergeCell ref="CF33:CG34"/>
    <mergeCell ref="CH33:CH34"/>
    <mergeCell ref="CE35:CF35"/>
    <mergeCell ref="AQ87:AR87"/>
    <mergeCell ref="AS87:AT87"/>
    <mergeCell ref="Z85:Z86"/>
    <mergeCell ref="CF25:CG26"/>
    <mergeCell ref="CH25:CH26"/>
    <mergeCell ref="BY28:BZ28"/>
    <mergeCell ref="BX29:BY30"/>
    <mergeCell ref="CG12:CH12"/>
    <mergeCell ref="CF13:CG14"/>
    <mergeCell ref="CH13:CH14"/>
    <mergeCell ref="CE15:CF15"/>
    <mergeCell ref="CG15:CH15"/>
    <mergeCell ref="CE16:CF16"/>
    <mergeCell ref="CG16:CH16"/>
    <mergeCell ref="CF17:CG18"/>
    <mergeCell ref="CH17:CH18"/>
    <mergeCell ref="CE19:CF19"/>
    <mergeCell ref="CG19:CH19"/>
    <mergeCell ref="CC79:CD79"/>
    <mergeCell ref="BK83:BL83"/>
    <mergeCell ref="BM83:BN83"/>
    <mergeCell ref="CA64:CB64"/>
    <mergeCell ref="CC64:CD64"/>
    <mergeCell ref="CB65:CC66"/>
    <mergeCell ref="CD65:CD66"/>
    <mergeCell ref="CA67:CB67"/>
    <mergeCell ref="CC67:CD67"/>
    <mergeCell ref="BO80:BP80"/>
    <mergeCell ref="BQ80:BR80"/>
    <mergeCell ref="BP81:BQ82"/>
    <mergeCell ref="CE43:CF43"/>
    <mergeCell ref="CE12:CF12"/>
    <mergeCell ref="BO83:BP83"/>
    <mergeCell ref="BQ83:BR83"/>
    <mergeCell ref="CA68:CB68"/>
    <mergeCell ref="CC68:CD68"/>
    <mergeCell ref="CE44:CF44"/>
    <mergeCell ref="CE24:CF24"/>
    <mergeCell ref="CG24:CH24"/>
    <mergeCell ref="CE31:CF31"/>
    <mergeCell ref="CG31:CH31"/>
    <mergeCell ref="AE84:AF84"/>
    <mergeCell ref="AG84:AH84"/>
    <mergeCell ref="CE52:CF52"/>
    <mergeCell ref="AH85:AH86"/>
    <mergeCell ref="AE87:AF87"/>
    <mergeCell ref="AG87:AH87"/>
    <mergeCell ref="CE32:CF32"/>
    <mergeCell ref="CG32:CH32"/>
    <mergeCell ref="BC84:BD84"/>
    <mergeCell ref="BE84:BF84"/>
    <mergeCell ref="BD85:BE86"/>
    <mergeCell ref="CG35:CH35"/>
    <mergeCell ref="AI84:AJ84"/>
    <mergeCell ref="AK84:AL84"/>
    <mergeCell ref="AJ85:AK86"/>
    <mergeCell ref="AL85:AL86"/>
    <mergeCell ref="AI87:AJ87"/>
    <mergeCell ref="AK87:AL87"/>
    <mergeCell ref="CE36:CF36"/>
    <mergeCell ref="CG36:CH36"/>
    <mergeCell ref="CF37:CG38"/>
    <mergeCell ref="CH37:CH38"/>
    <mergeCell ref="CE39:CF39"/>
    <mergeCell ref="CG39:CH39"/>
    <mergeCell ref="AM84:AN84"/>
    <mergeCell ref="AO84:AP84"/>
    <mergeCell ref="AN85:AO86"/>
    <mergeCell ref="AP85:AP86"/>
    <mergeCell ref="AM87:AN87"/>
    <mergeCell ref="AO87:AP87"/>
    <mergeCell ref="CE40:CF40"/>
    <mergeCell ref="CG40:CH40"/>
    <mergeCell ref="CF41:CG42"/>
    <mergeCell ref="CH41:CH42"/>
    <mergeCell ref="BL85:BM86"/>
    <mergeCell ref="CG43:CH43"/>
    <mergeCell ref="AQ84:AR84"/>
    <mergeCell ref="AS84:AT84"/>
    <mergeCell ref="AR85:AS86"/>
    <mergeCell ref="AT85:AT86"/>
    <mergeCell ref="CG44:CH44"/>
    <mergeCell ref="CF45:CG46"/>
    <mergeCell ref="CH45:CH46"/>
    <mergeCell ref="CE47:CF47"/>
    <mergeCell ref="CG47:CH47"/>
    <mergeCell ref="AU84:AV84"/>
    <mergeCell ref="AW84:AX84"/>
    <mergeCell ref="AV85:AW86"/>
    <mergeCell ref="AX85:AX86"/>
    <mergeCell ref="BH85:BI86"/>
    <mergeCell ref="BJ85:BJ86"/>
    <mergeCell ref="CA72:CB72"/>
    <mergeCell ref="CC72:CD72"/>
    <mergeCell ref="CB73:CC74"/>
    <mergeCell ref="CD73:CD74"/>
    <mergeCell ref="CA75:CB75"/>
    <mergeCell ref="CC75:CD75"/>
    <mergeCell ref="CB53:CC54"/>
    <mergeCell ref="CD53:CD54"/>
    <mergeCell ref="CA55:CB55"/>
    <mergeCell ref="CC55:CD55"/>
    <mergeCell ref="BK80:BL80"/>
    <mergeCell ref="CE48:CF48"/>
    <mergeCell ref="CG48:CH48"/>
    <mergeCell ref="CF49:CG50"/>
    <mergeCell ref="CH49:CH50"/>
    <mergeCell ref="CE51:CF51"/>
    <mergeCell ref="CG51:CH51"/>
    <mergeCell ref="AY84:AZ84"/>
    <mergeCell ref="BA84:BB84"/>
    <mergeCell ref="AZ85:BA86"/>
    <mergeCell ref="BB85:BB86"/>
    <mergeCell ref="AY87:AZ87"/>
    <mergeCell ref="BA87:BB87"/>
    <mergeCell ref="CE75:CF75"/>
    <mergeCell ref="CG75:CH75"/>
    <mergeCell ref="BW84:BX84"/>
    <mergeCell ref="BY84:BZ84"/>
    <mergeCell ref="CG52:CH52"/>
    <mergeCell ref="CF53:CG54"/>
    <mergeCell ref="CH53:CH54"/>
    <mergeCell ref="CE55:CF55"/>
    <mergeCell ref="CG55:CH55"/>
    <mergeCell ref="BE87:BF87"/>
    <mergeCell ref="CE56:CF56"/>
    <mergeCell ref="CG56:CH56"/>
    <mergeCell ref="CF57:CG58"/>
    <mergeCell ref="CH57:CH58"/>
    <mergeCell ref="CE59:CF59"/>
    <mergeCell ref="CG59:CH59"/>
    <mergeCell ref="BG84:BH84"/>
    <mergeCell ref="BI84:BJ84"/>
    <mergeCell ref="BU60:BV60"/>
    <mergeCell ref="BT61:BU62"/>
    <mergeCell ref="CE63:CF63"/>
    <mergeCell ref="CG63:CH63"/>
    <mergeCell ref="BK84:BL84"/>
    <mergeCell ref="BM84:BN84"/>
    <mergeCell ref="CG80:CH80"/>
    <mergeCell ref="CE64:CF64"/>
    <mergeCell ref="CG64:CH64"/>
    <mergeCell ref="CF65:CG66"/>
    <mergeCell ref="CH65:CH66"/>
    <mergeCell ref="CE67:CF67"/>
    <mergeCell ref="CB69:CC70"/>
    <mergeCell ref="CD69:CD70"/>
    <mergeCell ref="CA71:CB71"/>
    <mergeCell ref="CC71:CD71"/>
    <mergeCell ref="BS80:BT80"/>
    <mergeCell ref="BM80:BN80"/>
    <mergeCell ref="BL73:BM74"/>
    <mergeCell ref="BN73:BN74"/>
    <mergeCell ref="CC84:CD84"/>
    <mergeCell ref="BK75:BL75"/>
    <mergeCell ref="BM75:BN75"/>
    <mergeCell ref="CF69:CG70"/>
    <mergeCell ref="CH69:CH70"/>
    <mergeCell ref="BY68:BZ68"/>
    <mergeCell ref="BX69:BY70"/>
    <mergeCell ref="BZ69:BZ70"/>
    <mergeCell ref="BW71:BX71"/>
    <mergeCell ref="BY71:BZ71"/>
    <mergeCell ref="BS76:BT76"/>
    <mergeCell ref="BU76:BV76"/>
    <mergeCell ref="BT77:BU78"/>
    <mergeCell ref="BV77:BV78"/>
    <mergeCell ref="CI8:CJ8"/>
    <mergeCell ref="CK8:CL8"/>
    <mergeCell ref="CJ9:CK10"/>
    <mergeCell ref="CL9:CL10"/>
    <mergeCell ref="CI11:CJ11"/>
    <mergeCell ref="CK11:CL11"/>
    <mergeCell ref="G88:H88"/>
    <mergeCell ref="I88:J88"/>
    <mergeCell ref="CI12:CJ12"/>
    <mergeCell ref="CK12:CL12"/>
    <mergeCell ref="CJ13:CK14"/>
    <mergeCell ref="CL13:CL14"/>
    <mergeCell ref="CI15:CJ15"/>
    <mergeCell ref="CK15:CL15"/>
    <mergeCell ref="K88:L88"/>
    <mergeCell ref="M88:N88"/>
    <mergeCell ref="CG67:CH67"/>
    <mergeCell ref="BO84:BP84"/>
    <mergeCell ref="BQ84:BR84"/>
    <mergeCell ref="BP85:BQ86"/>
    <mergeCell ref="BR85:BR86"/>
    <mergeCell ref="BO87:BP87"/>
    <mergeCell ref="BU80:BV80"/>
    <mergeCell ref="BT81:BU82"/>
    <mergeCell ref="BV81:BV82"/>
    <mergeCell ref="BS83:BT83"/>
    <mergeCell ref="BG87:BH87"/>
    <mergeCell ref="BI87:BJ87"/>
    <mergeCell ref="CE60:CF60"/>
    <mergeCell ref="CG60:CH60"/>
    <mergeCell ref="CF61:CG62"/>
    <mergeCell ref="CH61:CH62"/>
    <mergeCell ref="W87:X87"/>
    <mergeCell ref="Y87:Z87"/>
    <mergeCell ref="AR89:AS90"/>
    <mergeCell ref="AT89:AT90"/>
    <mergeCell ref="AQ91:AR91"/>
    <mergeCell ref="AS91:AT91"/>
    <mergeCell ref="BD89:BE90"/>
    <mergeCell ref="BF89:BF90"/>
    <mergeCell ref="CV85:CV86"/>
    <mergeCell ref="CW85:CW86"/>
    <mergeCell ref="CT87:CU87"/>
    <mergeCell ref="W88:X88"/>
    <mergeCell ref="M91:N91"/>
    <mergeCell ref="BS84:BT84"/>
    <mergeCell ref="BU84:BV84"/>
    <mergeCell ref="BT85:BU86"/>
    <mergeCell ref="BV85:BV86"/>
    <mergeCell ref="BS87:BT87"/>
    <mergeCell ref="CB85:CC86"/>
    <mergeCell ref="CD85:CD86"/>
    <mergeCell ref="CA87:CB87"/>
    <mergeCell ref="BC91:BD91"/>
    <mergeCell ref="BE91:BF91"/>
    <mergeCell ref="BT89:BU90"/>
    <mergeCell ref="BV89:BV90"/>
    <mergeCell ref="BS91:BT91"/>
    <mergeCell ref="BU91:BV91"/>
    <mergeCell ref="CF89:CG90"/>
    <mergeCell ref="CH89:CH90"/>
    <mergeCell ref="CE91:CF91"/>
    <mergeCell ref="CG91:CH91"/>
    <mergeCell ref="CV89:CV90"/>
    <mergeCell ref="CW89:CW90"/>
    <mergeCell ref="CT91:CU91"/>
    <mergeCell ref="C88:D88"/>
    <mergeCell ref="E88:F88"/>
    <mergeCell ref="D89:E90"/>
    <mergeCell ref="F89:F90"/>
    <mergeCell ref="C91:D91"/>
    <mergeCell ref="E91:F91"/>
    <mergeCell ref="CT88:CU88"/>
    <mergeCell ref="CR89:CR90"/>
    <mergeCell ref="CS89:CS90"/>
    <mergeCell ref="CT89:CU90"/>
    <mergeCell ref="H89:I90"/>
    <mergeCell ref="J89:J90"/>
    <mergeCell ref="G91:H91"/>
    <mergeCell ref="I91:J91"/>
    <mergeCell ref="L89:M90"/>
    <mergeCell ref="N89:N90"/>
    <mergeCell ref="K91:L91"/>
    <mergeCell ref="CC87:CD87"/>
    <mergeCell ref="CE80:CF80"/>
    <mergeCell ref="CK19:CL19"/>
    <mergeCell ref="O88:P88"/>
    <mergeCell ref="Q88:R88"/>
    <mergeCell ref="P89:Q90"/>
    <mergeCell ref="R89:R90"/>
    <mergeCell ref="O91:P91"/>
    <mergeCell ref="Q91:R91"/>
    <mergeCell ref="CI20:CJ20"/>
    <mergeCell ref="CK20:CL20"/>
    <mergeCell ref="CJ21:CK22"/>
    <mergeCell ref="CL21:CL22"/>
    <mergeCell ref="CI23:CJ23"/>
    <mergeCell ref="CK23:CL23"/>
    <mergeCell ref="S88:T88"/>
    <mergeCell ref="U88:V88"/>
    <mergeCell ref="T89:U90"/>
    <mergeCell ref="V89:V90"/>
    <mergeCell ref="S91:T91"/>
    <mergeCell ref="U91:V91"/>
    <mergeCell ref="CI24:CJ24"/>
    <mergeCell ref="CK24:CL24"/>
    <mergeCell ref="CJ25:CK26"/>
    <mergeCell ref="CL25:CL26"/>
    <mergeCell ref="CI27:CJ27"/>
    <mergeCell ref="CK27:CL27"/>
    <mergeCell ref="BF85:BF86"/>
    <mergeCell ref="BC87:BD87"/>
    <mergeCell ref="AU87:AV87"/>
    <mergeCell ref="AW87:AX87"/>
    <mergeCell ref="BQ87:BR87"/>
    <mergeCell ref="CI16:CJ16"/>
    <mergeCell ref="CK16:CL16"/>
    <mergeCell ref="CJ17:CK18"/>
    <mergeCell ref="CL17:CL18"/>
    <mergeCell ref="CI19:CJ19"/>
    <mergeCell ref="C1:N1"/>
    <mergeCell ref="Y88:Z88"/>
    <mergeCell ref="X89:Y90"/>
    <mergeCell ref="Z89:Z90"/>
    <mergeCell ref="W91:X91"/>
    <mergeCell ref="Y91:Z91"/>
    <mergeCell ref="CI28:CJ28"/>
    <mergeCell ref="CK28:CL28"/>
    <mergeCell ref="CJ29:CK30"/>
    <mergeCell ref="CL29:CL30"/>
    <mergeCell ref="CI31:CJ31"/>
    <mergeCell ref="CK31:CL31"/>
    <mergeCell ref="AA88:AB88"/>
    <mergeCell ref="AC88:AD88"/>
    <mergeCell ref="AB89:AC90"/>
    <mergeCell ref="AD89:AD90"/>
    <mergeCell ref="AA91:AB91"/>
    <mergeCell ref="AC91:AD91"/>
    <mergeCell ref="AE88:AF88"/>
    <mergeCell ref="AG88:AH88"/>
    <mergeCell ref="AF89:AG90"/>
    <mergeCell ref="AH89:AH90"/>
    <mergeCell ref="AE91:AF91"/>
    <mergeCell ref="AG91:AH91"/>
    <mergeCell ref="CG79:CH79"/>
    <mergeCell ref="CA84:CB84"/>
    <mergeCell ref="X81:Y82"/>
    <mergeCell ref="CM73:CM74"/>
    <mergeCell ref="BS93:BS94"/>
    <mergeCell ref="CM77:CM78"/>
    <mergeCell ref="BW93:BW94"/>
    <mergeCell ref="CM81:CM82"/>
    <mergeCell ref="CA93:CA94"/>
    <mergeCell ref="CM85:CM86"/>
    <mergeCell ref="CE93:CE94"/>
    <mergeCell ref="CM89:CM90"/>
    <mergeCell ref="CI93:CI94"/>
    <mergeCell ref="CM5:CM6"/>
    <mergeCell ref="CM9:CM10"/>
    <mergeCell ref="CM13:CM14"/>
    <mergeCell ref="K93:K94"/>
    <mergeCell ref="CM17:CM18"/>
    <mergeCell ref="O93:O94"/>
    <mergeCell ref="CM21:CM22"/>
    <mergeCell ref="S93:S94"/>
    <mergeCell ref="CM25:CM26"/>
    <mergeCell ref="W93:W94"/>
    <mergeCell ref="CM29:CM30"/>
    <mergeCell ref="AA93:AA94"/>
    <mergeCell ref="CM33:CM34"/>
    <mergeCell ref="AE93:AE94"/>
    <mergeCell ref="CM37:CM38"/>
    <mergeCell ref="AI93:AI94"/>
    <mergeCell ref="CM41:CM42"/>
    <mergeCell ref="AM93:AM94"/>
    <mergeCell ref="CM45:CM46"/>
    <mergeCell ref="AQ93:AQ94"/>
    <mergeCell ref="CM49:CM50"/>
    <mergeCell ref="AU93:AU94"/>
  </mergeCells>
  <conditionalFormatting sqref="H5:I6">
    <cfRule type="containsText" dxfId="1517" priority="1648" operator="containsText" text="Ex">
      <formula>NOT(ISERROR(SEARCH("Ex",H5)))</formula>
    </cfRule>
    <cfRule type="containsText" dxfId="1516" priority="1649" operator="containsText" text="G">
      <formula>NOT(ISERROR(SEARCH("G",H5)))</formula>
    </cfRule>
    <cfRule type="containsText" dxfId="1515" priority="1650" operator="containsText" text="P">
      <formula>NOT(ISERROR(SEARCH("P",H5)))</formula>
    </cfRule>
  </conditionalFormatting>
  <conditionalFormatting sqref="L5:M6">
    <cfRule type="containsText" dxfId="1514" priority="1645" operator="containsText" text="Ex">
      <formula>NOT(ISERROR(SEARCH("Ex",L5)))</formula>
    </cfRule>
    <cfRule type="containsText" dxfId="1513" priority="1646" operator="containsText" text="G">
      <formula>NOT(ISERROR(SEARCH("G",L5)))</formula>
    </cfRule>
    <cfRule type="containsText" dxfId="1512" priority="1647" operator="containsText" text="P">
      <formula>NOT(ISERROR(SEARCH("P",L5)))</formula>
    </cfRule>
  </conditionalFormatting>
  <conditionalFormatting sqref="D9:E10">
    <cfRule type="containsText" dxfId="1511" priority="1642" operator="containsText" text="Ex">
      <formula>NOT(ISERROR(SEARCH("Ex",D9)))</formula>
    </cfRule>
    <cfRule type="containsText" dxfId="1510" priority="1643" operator="containsText" text="G">
      <formula>NOT(ISERROR(SEARCH("G",D9)))</formula>
    </cfRule>
    <cfRule type="containsText" dxfId="1509" priority="1644" operator="containsText" text="P">
      <formula>NOT(ISERROR(SEARCH("P",D9)))</formula>
    </cfRule>
  </conditionalFormatting>
  <conditionalFormatting sqref="L9:M10">
    <cfRule type="containsText" dxfId="1508" priority="1639" operator="containsText" text="Ex">
      <formula>NOT(ISERROR(SEARCH("Ex",L9)))</formula>
    </cfRule>
    <cfRule type="containsText" dxfId="1507" priority="1640" operator="containsText" text="G">
      <formula>NOT(ISERROR(SEARCH("G",L9)))</formula>
    </cfRule>
    <cfRule type="containsText" dxfId="1506" priority="1641" operator="containsText" text="P">
      <formula>NOT(ISERROR(SEARCH("P",L9)))</formula>
    </cfRule>
  </conditionalFormatting>
  <conditionalFormatting sqref="D13:E14">
    <cfRule type="containsText" dxfId="1505" priority="1636" operator="containsText" text="Ex">
      <formula>NOT(ISERROR(SEARCH("Ex",D13)))</formula>
    </cfRule>
    <cfRule type="containsText" dxfId="1504" priority="1637" operator="containsText" text="G">
      <formula>NOT(ISERROR(SEARCH("G",D13)))</formula>
    </cfRule>
    <cfRule type="containsText" dxfId="1503" priority="1638" operator="containsText" text="P">
      <formula>NOT(ISERROR(SEARCH("P",D13)))</formula>
    </cfRule>
  </conditionalFormatting>
  <conditionalFormatting sqref="H13:I14">
    <cfRule type="containsText" dxfId="1502" priority="1633" operator="containsText" text="Ex">
      <formula>NOT(ISERROR(SEARCH("Ex",H13)))</formula>
    </cfRule>
    <cfRule type="containsText" dxfId="1501" priority="1634" operator="containsText" text="G">
      <formula>NOT(ISERROR(SEARCH("G",H13)))</formula>
    </cfRule>
    <cfRule type="containsText" dxfId="1500" priority="1635" operator="containsText" text="P">
      <formula>NOT(ISERROR(SEARCH("P",H13)))</formula>
    </cfRule>
  </conditionalFormatting>
  <conditionalFormatting sqref="D17:E18">
    <cfRule type="containsText" dxfId="1499" priority="1630" operator="containsText" text="Ex">
      <formula>NOT(ISERROR(SEARCH("Ex",D17)))</formula>
    </cfRule>
    <cfRule type="containsText" dxfId="1498" priority="1631" operator="containsText" text="G">
      <formula>NOT(ISERROR(SEARCH("G",D17)))</formula>
    </cfRule>
    <cfRule type="containsText" dxfId="1497" priority="1632" operator="containsText" text="P">
      <formula>NOT(ISERROR(SEARCH("P",D17)))</formula>
    </cfRule>
  </conditionalFormatting>
  <conditionalFormatting sqref="P5:Q6">
    <cfRule type="containsText" dxfId="1496" priority="1627" operator="containsText" text="Ex">
      <formula>NOT(ISERROR(SEARCH("Ex",P5)))</formula>
    </cfRule>
    <cfRule type="containsText" dxfId="1495" priority="1628" operator="containsText" text="G">
      <formula>NOT(ISERROR(SEARCH("G",P5)))</formula>
    </cfRule>
    <cfRule type="containsText" dxfId="1494" priority="1629" operator="containsText" text="P">
      <formula>NOT(ISERROR(SEARCH("P",P5)))</formula>
    </cfRule>
  </conditionalFormatting>
  <conditionalFormatting sqref="P9:Q10">
    <cfRule type="containsText" dxfId="1493" priority="1624" operator="containsText" text="Ex">
      <formula>NOT(ISERROR(SEARCH("Ex",P9)))</formula>
    </cfRule>
    <cfRule type="containsText" dxfId="1492" priority="1625" operator="containsText" text="G">
      <formula>NOT(ISERROR(SEARCH("G",P9)))</formula>
    </cfRule>
    <cfRule type="containsText" dxfId="1491" priority="1626" operator="containsText" text="P">
      <formula>NOT(ISERROR(SEARCH("P",P9)))</formula>
    </cfRule>
  </conditionalFormatting>
  <conditionalFormatting sqref="H17:I18">
    <cfRule type="containsText" dxfId="1490" priority="1621" operator="containsText" text="Ex">
      <formula>NOT(ISERROR(SEARCH("Ex",H17)))</formula>
    </cfRule>
    <cfRule type="containsText" dxfId="1489" priority="1622" operator="containsText" text="G">
      <formula>NOT(ISERROR(SEARCH("G",H17)))</formula>
    </cfRule>
    <cfRule type="containsText" dxfId="1488" priority="1623" operator="containsText" text="P">
      <formula>NOT(ISERROR(SEARCH("P",H17)))</formula>
    </cfRule>
  </conditionalFormatting>
  <conditionalFormatting sqref="L17:M18">
    <cfRule type="containsText" dxfId="1487" priority="1618" operator="containsText" text="Ex">
      <formula>NOT(ISERROR(SEARCH("Ex",L17)))</formula>
    </cfRule>
    <cfRule type="containsText" dxfId="1486" priority="1619" operator="containsText" text="G">
      <formula>NOT(ISERROR(SEARCH("G",L17)))</formula>
    </cfRule>
    <cfRule type="containsText" dxfId="1485" priority="1620" operator="containsText" text="P">
      <formula>NOT(ISERROR(SEARCH("P",L17)))</formula>
    </cfRule>
  </conditionalFormatting>
  <conditionalFormatting sqref="P13:Q14">
    <cfRule type="containsText" dxfId="1484" priority="1615" operator="containsText" text="Ex">
      <formula>NOT(ISERROR(SEARCH("Ex",P13)))</formula>
    </cfRule>
    <cfRule type="containsText" dxfId="1483" priority="1616" operator="containsText" text="G">
      <formula>NOT(ISERROR(SEARCH("G",P13)))</formula>
    </cfRule>
    <cfRule type="containsText" dxfId="1482" priority="1617" operator="containsText" text="P">
      <formula>NOT(ISERROR(SEARCH("P",P13)))</formula>
    </cfRule>
  </conditionalFormatting>
  <conditionalFormatting sqref="T5:U6">
    <cfRule type="containsText" dxfId="1481" priority="1612" operator="containsText" text="Ex">
      <formula>NOT(ISERROR(SEARCH("Ex",T5)))</formula>
    </cfRule>
    <cfRule type="containsText" dxfId="1480" priority="1613" operator="containsText" text="G">
      <formula>NOT(ISERROR(SEARCH("G",T5)))</formula>
    </cfRule>
    <cfRule type="containsText" dxfId="1479" priority="1614" operator="containsText" text="P">
      <formula>NOT(ISERROR(SEARCH("P",T5)))</formula>
    </cfRule>
  </conditionalFormatting>
  <conditionalFormatting sqref="D21:E22">
    <cfRule type="containsText" dxfId="1478" priority="1609" operator="containsText" text="Ex">
      <formula>NOT(ISERROR(SEARCH("Ex",D21)))</formula>
    </cfRule>
    <cfRule type="containsText" dxfId="1477" priority="1610" operator="containsText" text="G">
      <formula>NOT(ISERROR(SEARCH("G",D21)))</formula>
    </cfRule>
    <cfRule type="containsText" dxfId="1476" priority="1611" operator="containsText" text="P">
      <formula>NOT(ISERROR(SEARCH("P",D21)))</formula>
    </cfRule>
  </conditionalFormatting>
  <conditionalFormatting sqref="T17:U18">
    <cfRule type="containsText" dxfId="1475" priority="1588" operator="containsText" text="Ex">
      <formula>NOT(ISERROR(SEARCH("Ex",T17)))</formula>
    </cfRule>
    <cfRule type="containsText" dxfId="1474" priority="1589" operator="containsText" text="G">
      <formula>NOT(ISERROR(SEARCH("G",T17)))</formula>
    </cfRule>
    <cfRule type="containsText" dxfId="1473" priority="1590" operator="containsText" text="P">
      <formula>NOT(ISERROR(SEARCH("P",T17)))</formula>
    </cfRule>
  </conditionalFormatting>
  <conditionalFormatting sqref="H21:I22">
    <cfRule type="containsText" dxfId="1472" priority="1606" operator="containsText" text="Ex">
      <formula>NOT(ISERROR(SEARCH("Ex",H21)))</formula>
    </cfRule>
    <cfRule type="containsText" dxfId="1471" priority="1607" operator="containsText" text="G">
      <formula>NOT(ISERROR(SEARCH("G",H21)))</formula>
    </cfRule>
    <cfRule type="containsText" dxfId="1470" priority="1608" operator="containsText" text="P">
      <formula>NOT(ISERROR(SEARCH("P",H21)))</formula>
    </cfRule>
  </conditionalFormatting>
  <conditionalFormatting sqref="X21:Y22">
    <cfRule type="containsText" dxfId="1469" priority="1558" operator="containsText" text="Ex">
      <formula>NOT(ISERROR(SEARCH("Ex",X21)))</formula>
    </cfRule>
    <cfRule type="containsText" dxfId="1468" priority="1559" operator="containsText" text="G">
      <formula>NOT(ISERROR(SEARCH("G",X21)))</formula>
    </cfRule>
    <cfRule type="containsText" dxfId="1467" priority="1560" operator="containsText" text="P">
      <formula>NOT(ISERROR(SEARCH("P",X21)))</formula>
    </cfRule>
  </conditionalFormatting>
  <conditionalFormatting sqref="T9:U10">
    <cfRule type="containsText" dxfId="1466" priority="1600" operator="containsText" text="Ex">
      <formula>NOT(ISERROR(SEARCH("Ex",T9)))</formula>
    </cfRule>
    <cfRule type="containsText" dxfId="1465" priority="1601" operator="containsText" text="G">
      <formula>NOT(ISERROR(SEARCH("G",T9)))</formula>
    </cfRule>
    <cfRule type="containsText" dxfId="1464" priority="1602" operator="containsText" text="P">
      <formula>NOT(ISERROR(SEARCH("P",T9)))</formula>
    </cfRule>
  </conditionalFormatting>
  <conditionalFormatting sqref="L21:M22">
    <cfRule type="containsText" dxfId="1463" priority="1597" operator="containsText" text="Ex">
      <formula>NOT(ISERROR(SEARCH("Ex",L21)))</formula>
    </cfRule>
    <cfRule type="containsText" dxfId="1462" priority="1598" operator="containsText" text="G">
      <formula>NOT(ISERROR(SEARCH("G",L21)))</formula>
    </cfRule>
    <cfRule type="containsText" dxfId="1461" priority="1599" operator="containsText" text="P">
      <formula>NOT(ISERROR(SEARCH("P",L21)))</formula>
    </cfRule>
  </conditionalFormatting>
  <conditionalFormatting sqref="T13:U14">
    <cfRule type="containsText" dxfId="1460" priority="1594" operator="containsText" text="Ex">
      <formula>NOT(ISERROR(SEARCH("Ex",T13)))</formula>
    </cfRule>
    <cfRule type="containsText" dxfId="1459" priority="1595" operator="containsText" text="G">
      <formula>NOT(ISERROR(SEARCH("G",T13)))</formula>
    </cfRule>
    <cfRule type="containsText" dxfId="1458" priority="1596" operator="containsText" text="P">
      <formula>NOT(ISERROR(SEARCH("P",T13)))</formula>
    </cfRule>
  </conditionalFormatting>
  <conditionalFormatting sqref="P21:Q22">
    <cfRule type="containsText" dxfId="1457" priority="1591" operator="containsText" text="Ex">
      <formula>NOT(ISERROR(SEARCH("Ex",P21)))</formula>
    </cfRule>
    <cfRule type="containsText" dxfId="1456" priority="1592" operator="containsText" text="G">
      <formula>NOT(ISERROR(SEARCH("G",P21)))</formula>
    </cfRule>
    <cfRule type="containsText" dxfId="1455" priority="1593" operator="containsText" text="P">
      <formula>NOT(ISERROR(SEARCH("P",P21)))</formula>
    </cfRule>
  </conditionalFormatting>
  <conditionalFormatting sqref="D25:E26">
    <cfRule type="containsText" dxfId="1454" priority="1585" operator="containsText" text="Ex">
      <formula>NOT(ISERROR(SEARCH("Ex",D25)))</formula>
    </cfRule>
    <cfRule type="containsText" dxfId="1453" priority="1586" operator="containsText" text="G">
      <formula>NOT(ISERROR(SEARCH("G",D25)))</formula>
    </cfRule>
    <cfRule type="containsText" dxfId="1452" priority="1587" operator="containsText" text="P">
      <formula>NOT(ISERROR(SEARCH("P",D25)))</formula>
    </cfRule>
  </conditionalFormatting>
  <conditionalFormatting sqref="X5:Y6">
    <cfRule type="containsText" dxfId="1451" priority="1582" operator="containsText" text="Ex">
      <formula>NOT(ISERROR(SEARCH("Ex",X5)))</formula>
    </cfRule>
    <cfRule type="containsText" dxfId="1450" priority="1583" operator="containsText" text="G">
      <formula>NOT(ISERROR(SEARCH("G",X5)))</formula>
    </cfRule>
    <cfRule type="containsText" dxfId="1449" priority="1584" operator="containsText" text="P">
      <formula>NOT(ISERROR(SEARCH("P",X5)))</formula>
    </cfRule>
  </conditionalFormatting>
  <conditionalFormatting sqref="H25:I26">
    <cfRule type="containsText" dxfId="1448" priority="1579" operator="containsText" text="Ex">
      <formula>NOT(ISERROR(SEARCH("Ex",H25)))</formula>
    </cfRule>
    <cfRule type="containsText" dxfId="1447" priority="1580" operator="containsText" text="G">
      <formula>NOT(ISERROR(SEARCH("G",H25)))</formula>
    </cfRule>
    <cfRule type="containsText" dxfId="1446" priority="1581" operator="containsText" text="P">
      <formula>NOT(ISERROR(SEARCH("P",H25)))</formula>
    </cfRule>
  </conditionalFormatting>
  <conditionalFormatting sqref="X9:Y10">
    <cfRule type="containsText" dxfId="1445" priority="1576" operator="containsText" text="Ex">
      <formula>NOT(ISERROR(SEARCH("Ex",X9)))</formula>
    </cfRule>
    <cfRule type="containsText" dxfId="1444" priority="1577" operator="containsText" text="G">
      <formula>NOT(ISERROR(SEARCH("G",X9)))</formula>
    </cfRule>
    <cfRule type="containsText" dxfId="1443" priority="1578" operator="containsText" text="P">
      <formula>NOT(ISERROR(SEARCH("P",X9)))</formula>
    </cfRule>
  </conditionalFormatting>
  <conditionalFormatting sqref="L25:M26">
    <cfRule type="containsText" dxfId="1442" priority="1573" operator="containsText" text="Ex">
      <formula>NOT(ISERROR(SEARCH("Ex",L25)))</formula>
    </cfRule>
    <cfRule type="containsText" dxfId="1441" priority="1574" operator="containsText" text="G">
      <formula>NOT(ISERROR(SEARCH("G",L25)))</formula>
    </cfRule>
    <cfRule type="containsText" dxfId="1440" priority="1575" operator="containsText" text="P">
      <formula>NOT(ISERROR(SEARCH("P",L25)))</formula>
    </cfRule>
  </conditionalFormatting>
  <conditionalFormatting sqref="X13:Y14">
    <cfRule type="containsText" dxfId="1439" priority="1570" operator="containsText" text="Ex">
      <formula>NOT(ISERROR(SEARCH("Ex",X13)))</formula>
    </cfRule>
    <cfRule type="containsText" dxfId="1438" priority="1571" operator="containsText" text="G">
      <formula>NOT(ISERROR(SEARCH("G",X13)))</formula>
    </cfRule>
    <cfRule type="containsText" dxfId="1437" priority="1572" operator="containsText" text="P">
      <formula>NOT(ISERROR(SEARCH("P",X13)))</formula>
    </cfRule>
  </conditionalFormatting>
  <conditionalFormatting sqref="P25:Q26">
    <cfRule type="containsText" dxfId="1436" priority="1567" operator="containsText" text="Ex">
      <formula>NOT(ISERROR(SEARCH("Ex",P25)))</formula>
    </cfRule>
    <cfRule type="containsText" dxfId="1435" priority="1568" operator="containsText" text="G">
      <formula>NOT(ISERROR(SEARCH("G",P25)))</formula>
    </cfRule>
    <cfRule type="containsText" dxfId="1434" priority="1569" operator="containsText" text="P">
      <formula>NOT(ISERROR(SEARCH("P",P25)))</formula>
    </cfRule>
  </conditionalFormatting>
  <conditionalFormatting sqref="X17:Y18">
    <cfRule type="containsText" dxfId="1433" priority="1564" operator="containsText" text="Ex">
      <formula>NOT(ISERROR(SEARCH("Ex",X17)))</formula>
    </cfRule>
    <cfRule type="containsText" dxfId="1432" priority="1565" operator="containsText" text="G">
      <formula>NOT(ISERROR(SEARCH("G",X17)))</formula>
    </cfRule>
    <cfRule type="containsText" dxfId="1431" priority="1566" operator="containsText" text="P">
      <formula>NOT(ISERROR(SEARCH("P",X17)))</formula>
    </cfRule>
  </conditionalFormatting>
  <conditionalFormatting sqref="T25:U26">
    <cfRule type="containsText" dxfId="1430" priority="1561" operator="containsText" text="Ex">
      <formula>NOT(ISERROR(SEARCH("Ex",T25)))</formula>
    </cfRule>
    <cfRule type="containsText" dxfId="1429" priority="1562" operator="containsText" text="G">
      <formula>NOT(ISERROR(SEARCH("G",T25)))</formula>
    </cfRule>
    <cfRule type="containsText" dxfId="1428" priority="1563" operator="containsText" text="P">
      <formula>NOT(ISERROR(SEARCH("P",T25)))</formula>
    </cfRule>
  </conditionalFormatting>
  <conditionalFormatting sqref="AB25:AC26">
    <cfRule type="containsText" dxfId="1427" priority="1522" operator="containsText" text="Ex">
      <formula>NOT(ISERROR(SEARCH("Ex",AB25)))</formula>
    </cfRule>
    <cfRule type="containsText" dxfId="1426" priority="1523" operator="containsText" text="G">
      <formula>NOT(ISERROR(SEARCH("G",AB25)))</formula>
    </cfRule>
    <cfRule type="containsText" dxfId="1425" priority="1524" operator="containsText" text="P">
      <formula>NOT(ISERROR(SEARCH("P",AB25)))</formula>
    </cfRule>
  </conditionalFormatting>
  <conditionalFormatting sqref="D29:E30">
    <cfRule type="containsText" dxfId="1424" priority="1555" operator="containsText" text="Ex">
      <formula>NOT(ISERROR(SEARCH("Ex",D29)))</formula>
    </cfRule>
    <cfRule type="containsText" dxfId="1423" priority="1556" operator="containsText" text="G">
      <formula>NOT(ISERROR(SEARCH("G",D29)))</formula>
    </cfRule>
    <cfRule type="containsText" dxfId="1422" priority="1557" operator="containsText" text="P">
      <formula>NOT(ISERROR(SEARCH("P",D29)))</formula>
    </cfRule>
  </conditionalFormatting>
  <conditionalFormatting sqref="AB5:AC6">
    <cfRule type="containsText" dxfId="1421" priority="1552" operator="containsText" text="Ex">
      <formula>NOT(ISERROR(SEARCH("Ex",AB5)))</formula>
    </cfRule>
    <cfRule type="containsText" dxfId="1420" priority="1553" operator="containsText" text="G">
      <formula>NOT(ISERROR(SEARCH("G",AB5)))</formula>
    </cfRule>
    <cfRule type="containsText" dxfId="1419" priority="1554" operator="containsText" text="P">
      <formula>NOT(ISERROR(SEARCH("P",AB5)))</formula>
    </cfRule>
  </conditionalFormatting>
  <conditionalFormatting sqref="H29:I30">
    <cfRule type="containsText" dxfId="1418" priority="1549" operator="containsText" text="Ex">
      <formula>NOT(ISERROR(SEARCH("Ex",H29)))</formula>
    </cfRule>
    <cfRule type="containsText" dxfId="1417" priority="1550" operator="containsText" text="G">
      <formula>NOT(ISERROR(SEARCH("G",H29)))</formula>
    </cfRule>
    <cfRule type="containsText" dxfId="1416" priority="1551" operator="containsText" text="P">
      <formula>NOT(ISERROR(SEARCH("P",H29)))</formula>
    </cfRule>
  </conditionalFormatting>
  <conditionalFormatting sqref="AB9:AC10">
    <cfRule type="containsText" dxfId="1415" priority="1546" operator="containsText" text="Ex">
      <formula>NOT(ISERROR(SEARCH("Ex",AB9)))</formula>
    </cfRule>
    <cfRule type="containsText" dxfId="1414" priority="1547" operator="containsText" text="G">
      <formula>NOT(ISERROR(SEARCH("G",AB9)))</formula>
    </cfRule>
    <cfRule type="containsText" dxfId="1413" priority="1548" operator="containsText" text="P">
      <formula>NOT(ISERROR(SEARCH("P",AB9)))</formula>
    </cfRule>
  </conditionalFormatting>
  <conditionalFormatting sqref="L29:M30">
    <cfRule type="containsText" dxfId="1412" priority="1543" operator="containsText" text="Ex">
      <formula>NOT(ISERROR(SEARCH("Ex",L29)))</formula>
    </cfRule>
    <cfRule type="containsText" dxfId="1411" priority="1544" operator="containsText" text="G">
      <formula>NOT(ISERROR(SEARCH("G",L29)))</formula>
    </cfRule>
    <cfRule type="containsText" dxfId="1410" priority="1545" operator="containsText" text="P">
      <formula>NOT(ISERROR(SEARCH("P",L29)))</formula>
    </cfRule>
  </conditionalFormatting>
  <conditionalFormatting sqref="AB13:AC14">
    <cfRule type="containsText" dxfId="1409" priority="1540" operator="containsText" text="Ex">
      <formula>NOT(ISERROR(SEARCH("Ex",AB13)))</formula>
    </cfRule>
    <cfRule type="containsText" dxfId="1408" priority="1541" operator="containsText" text="G">
      <formula>NOT(ISERROR(SEARCH("G",AB13)))</formula>
    </cfRule>
    <cfRule type="containsText" dxfId="1407" priority="1542" operator="containsText" text="P">
      <formula>NOT(ISERROR(SEARCH("P",AB13)))</formula>
    </cfRule>
  </conditionalFormatting>
  <conditionalFormatting sqref="P29:Q30">
    <cfRule type="containsText" dxfId="1406" priority="1537" operator="containsText" text="Ex">
      <formula>NOT(ISERROR(SEARCH("Ex",P29)))</formula>
    </cfRule>
    <cfRule type="containsText" dxfId="1405" priority="1538" operator="containsText" text="G">
      <formula>NOT(ISERROR(SEARCH("G",P29)))</formula>
    </cfRule>
    <cfRule type="containsText" dxfId="1404" priority="1539" operator="containsText" text="P">
      <formula>NOT(ISERROR(SEARCH("P",P29)))</formula>
    </cfRule>
  </conditionalFormatting>
  <conditionalFormatting sqref="AB17:AC18">
    <cfRule type="containsText" dxfId="1403" priority="1534" operator="containsText" text="Ex">
      <formula>NOT(ISERROR(SEARCH("Ex",AB17)))</formula>
    </cfRule>
    <cfRule type="containsText" dxfId="1402" priority="1535" operator="containsText" text="G">
      <formula>NOT(ISERROR(SEARCH("G",AB17)))</formula>
    </cfRule>
    <cfRule type="containsText" dxfId="1401" priority="1536" operator="containsText" text="P">
      <formula>NOT(ISERROR(SEARCH("P",AB17)))</formula>
    </cfRule>
  </conditionalFormatting>
  <conditionalFormatting sqref="T29:U30">
    <cfRule type="containsText" dxfId="1400" priority="1531" operator="containsText" text="Ex">
      <formula>NOT(ISERROR(SEARCH("Ex",T29)))</formula>
    </cfRule>
    <cfRule type="containsText" dxfId="1399" priority="1532" operator="containsText" text="G">
      <formula>NOT(ISERROR(SEARCH("G",T29)))</formula>
    </cfRule>
    <cfRule type="containsText" dxfId="1398" priority="1533" operator="containsText" text="P">
      <formula>NOT(ISERROR(SEARCH("P",T29)))</formula>
    </cfRule>
  </conditionalFormatting>
  <conditionalFormatting sqref="AB21:AC22">
    <cfRule type="containsText" dxfId="1397" priority="1528" operator="containsText" text="Ex">
      <formula>NOT(ISERROR(SEARCH("Ex",AB21)))</formula>
    </cfRule>
    <cfRule type="containsText" dxfId="1396" priority="1529" operator="containsText" text="G">
      <formula>NOT(ISERROR(SEARCH("G",AB21)))</formula>
    </cfRule>
    <cfRule type="containsText" dxfId="1395" priority="1530" operator="containsText" text="P">
      <formula>NOT(ISERROR(SEARCH("P",AB21)))</formula>
    </cfRule>
  </conditionalFormatting>
  <conditionalFormatting sqref="X29:Y30">
    <cfRule type="containsText" dxfId="1394" priority="1525" operator="containsText" text="Ex">
      <formula>NOT(ISERROR(SEARCH("Ex",X29)))</formula>
    </cfRule>
    <cfRule type="containsText" dxfId="1393" priority="1526" operator="containsText" text="G">
      <formula>NOT(ISERROR(SEARCH("G",X29)))</formula>
    </cfRule>
    <cfRule type="containsText" dxfId="1392" priority="1527" operator="containsText" text="P">
      <formula>NOT(ISERROR(SEARCH("P",X29)))</formula>
    </cfRule>
  </conditionalFormatting>
  <conditionalFormatting sqref="D33:E34">
    <cfRule type="containsText" dxfId="1391" priority="1519" operator="containsText" text="Ex">
      <formula>NOT(ISERROR(SEARCH("Ex",D33)))</formula>
    </cfRule>
    <cfRule type="containsText" dxfId="1390" priority="1520" operator="containsText" text="G">
      <formula>NOT(ISERROR(SEARCH("G",D33)))</formula>
    </cfRule>
    <cfRule type="containsText" dxfId="1389" priority="1521" operator="containsText" text="P">
      <formula>NOT(ISERROR(SEARCH("P",D33)))</formula>
    </cfRule>
  </conditionalFormatting>
  <conditionalFormatting sqref="AF5:AG6">
    <cfRule type="containsText" dxfId="1388" priority="1516" operator="containsText" text="Ex">
      <formula>NOT(ISERROR(SEARCH("Ex",AF5)))</formula>
    </cfRule>
    <cfRule type="containsText" dxfId="1387" priority="1517" operator="containsText" text="G">
      <formula>NOT(ISERROR(SEARCH("G",AF5)))</formula>
    </cfRule>
    <cfRule type="containsText" dxfId="1386" priority="1518" operator="containsText" text="P">
      <formula>NOT(ISERROR(SEARCH("P",AF5)))</formula>
    </cfRule>
  </conditionalFormatting>
  <conditionalFormatting sqref="H33:I34">
    <cfRule type="containsText" dxfId="1385" priority="1513" operator="containsText" text="Ex">
      <formula>NOT(ISERROR(SEARCH("Ex",H33)))</formula>
    </cfRule>
    <cfRule type="containsText" dxfId="1384" priority="1514" operator="containsText" text="G">
      <formula>NOT(ISERROR(SEARCH("G",H33)))</formula>
    </cfRule>
    <cfRule type="containsText" dxfId="1383" priority="1515" operator="containsText" text="P">
      <formula>NOT(ISERROR(SEARCH("P",H33)))</formula>
    </cfRule>
  </conditionalFormatting>
  <conditionalFormatting sqref="AF9:AG10">
    <cfRule type="containsText" dxfId="1382" priority="1510" operator="containsText" text="Ex">
      <formula>NOT(ISERROR(SEARCH("Ex",AF9)))</formula>
    </cfRule>
    <cfRule type="containsText" dxfId="1381" priority="1511" operator="containsText" text="G">
      <formula>NOT(ISERROR(SEARCH("G",AF9)))</formula>
    </cfRule>
    <cfRule type="containsText" dxfId="1380" priority="1512" operator="containsText" text="P">
      <formula>NOT(ISERROR(SEARCH("P",AF9)))</formula>
    </cfRule>
  </conditionalFormatting>
  <conditionalFormatting sqref="AF29:AG30">
    <cfRule type="containsText" dxfId="1379" priority="1480" operator="containsText" text="Ex">
      <formula>NOT(ISERROR(SEARCH("Ex",AF29)))</formula>
    </cfRule>
    <cfRule type="containsText" dxfId="1378" priority="1481" operator="containsText" text="G">
      <formula>NOT(ISERROR(SEARCH("G",AF29)))</formula>
    </cfRule>
    <cfRule type="containsText" dxfId="1377" priority="1482" operator="containsText" text="P">
      <formula>NOT(ISERROR(SEARCH("P",AF29)))</formula>
    </cfRule>
  </conditionalFormatting>
  <conditionalFormatting sqref="L33:M34">
    <cfRule type="containsText" dxfId="1376" priority="1507" operator="containsText" text="Ex">
      <formula>NOT(ISERROR(SEARCH("Ex",L33)))</formula>
    </cfRule>
    <cfRule type="containsText" dxfId="1375" priority="1508" operator="containsText" text="G">
      <formula>NOT(ISERROR(SEARCH("G",L33)))</formula>
    </cfRule>
    <cfRule type="containsText" dxfId="1374" priority="1509" operator="containsText" text="P">
      <formula>NOT(ISERROR(SEARCH("P",L33)))</formula>
    </cfRule>
  </conditionalFormatting>
  <conditionalFormatting sqref="AF13:AG14">
    <cfRule type="containsText" dxfId="1373" priority="1504" operator="containsText" text="Ex">
      <formula>NOT(ISERROR(SEARCH("Ex",AF13)))</formula>
    </cfRule>
    <cfRule type="containsText" dxfId="1372" priority="1505" operator="containsText" text="G">
      <formula>NOT(ISERROR(SEARCH("G",AF13)))</formula>
    </cfRule>
    <cfRule type="containsText" dxfId="1371" priority="1506" operator="containsText" text="P">
      <formula>NOT(ISERROR(SEARCH("P",AF13)))</formula>
    </cfRule>
  </conditionalFormatting>
  <conditionalFormatting sqref="P33:Q34">
    <cfRule type="containsText" dxfId="1370" priority="1501" operator="containsText" text="Ex">
      <formula>NOT(ISERROR(SEARCH("Ex",P33)))</formula>
    </cfRule>
    <cfRule type="containsText" dxfId="1369" priority="1502" operator="containsText" text="G">
      <formula>NOT(ISERROR(SEARCH("G",P33)))</formula>
    </cfRule>
    <cfRule type="containsText" dxfId="1368" priority="1503" operator="containsText" text="P">
      <formula>NOT(ISERROR(SEARCH("P",P33)))</formula>
    </cfRule>
  </conditionalFormatting>
  <conditionalFormatting sqref="AF17:AG18">
    <cfRule type="containsText" dxfId="1367" priority="1498" operator="containsText" text="Ex">
      <formula>NOT(ISERROR(SEARCH("Ex",AF17)))</formula>
    </cfRule>
    <cfRule type="containsText" dxfId="1366" priority="1499" operator="containsText" text="G">
      <formula>NOT(ISERROR(SEARCH("G",AF17)))</formula>
    </cfRule>
    <cfRule type="containsText" dxfId="1365" priority="1500" operator="containsText" text="P">
      <formula>NOT(ISERROR(SEARCH("P",AF17)))</formula>
    </cfRule>
  </conditionalFormatting>
  <conditionalFormatting sqref="T33:U34">
    <cfRule type="containsText" dxfId="1364" priority="1495" operator="containsText" text="Ex">
      <formula>NOT(ISERROR(SEARCH("Ex",T33)))</formula>
    </cfRule>
    <cfRule type="containsText" dxfId="1363" priority="1496" operator="containsText" text="G">
      <formula>NOT(ISERROR(SEARCH("G",T33)))</formula>
    </cfRule>
    <cfRule type="containsText" dxfId="1362" priority="1497" operator="containsText" text="P">
      <formula>NOT(ISERROR(SEARCH("P",T33)))</formula>
    </cfRule>
  </conditionalFormatting>
  <conditionalFormatting sqref="AF21:AG22">
    <cfRule type="containsText" dxfId="1361" priority="1492" operator="containsText" text="Ex">
      <formula>NOT(ISERROR(SEARCH("Ex",AF21)))</formula>
    </cfRule>
    <cfRule type="containsText" dxfId="1360" priority="1493" operator="containsText" text="G">
      <formula>NOT(ISERROR(SEARCH("G",AF21)))</formula>
    </cfRule>
    <cfRule type="containsText" dxfId="1359" priority="1494" operator="containsText" text="P">
      <formula>NOT(ISERROR(SEARCH("P",AF21)))</formula>
    </cfRule>
  </conditionalFormatting>
  <conditionalFormatting sqref="X33:Y34">
    <cfRule type="containsText" dxfId="1358" priority="1489" operator="containsText" text="Ex">
      <formula>NOT(ISERROR(SEARCH("Ex",X33)))</formula>
    </cfRule>
    <cfRule type="containsText" dxfId="1357" priority="1490" operator="containsText" text="G">
      <formula>NOT(ISERROR(SEARCH("G",X33)))</formula>
    </cfRule>
    <cfRule type="containsText" dxfId="1356" priority="1491" operator="containsText" text="P">
      <formula>NOT(ISERROR(SEARCH("P",X33)))</formula>
    </cfRule>
  </conditionalFormatting>
  <conditionalFormatting sqref="AF25:AG26">
    <cfRule type="containsText" dxfId="1355" priority="1486" operator="containsText" text="Ex">
      <formula>NOT(ISERROR(SEARCH("Ex",AF25)))</formula>
    </cfRule>
    <cfRule type="containsText" dxfId="1354" priority="1487" operator="containsText" text="G">
      <formula>NOT(ISERROR(SEARCH("G",AF25)))</formula>
    </cfRule>
    <cfRule type="containsText" dxfId="1353" priority="1488" operator="containsText" text="P">
      <formula>NOT(ISERROR(SEARCH("P",AF25)))</formula>
    </cfRule>
  </conditionalFormatting>
  <conditionalFormatting sqref="AB33:AC34">
    <cfRule type="containsText" dxfId="1352" priority="1483" operator="containsText" text="Ex">
      <formula>NOT(ISERROR(SEARCH("Ex",AB33)))</formula>
    </cfRule>
    <cfRule type="containsText" dxfId="1351" priority="1484" operator="containsText" text="G">
      <formula>NOT(ISERROR(SEARCH("G",AB33)))</formula>
    </cfRule>
    <cfRule type="containsText" dxfId="1350" priority="1485" operator="containsText" text="P">
      <formula>NOT(ISERROR(SEARCH("P",AB33)))</formula>
    </cfRule>
  </conditionalFormatting>
  <conditionalFormatting sqref="AJ33:AK34">
    <cfRule type="containsText" dxfId="1349" priority="1432" operator="containsText" text="Ex">
      <formula>NOT(ISERROR(SEARCH("Ex",AJ33)))</formula>
    </cfRule>
    <cfRule type="containsText" dxfId="1348" priority="1433" operator="containsText" text="G">
      <formula>NOT(ISERROR(SEARCH("G",AJ33)))</formula>
    </cfRule>
    <cfRule type="containsText" dxfId="1347" priority="1434" operator="containsText" text="P">
      <formula>NOT(ISERROR(SEARCH("P",AJ33)))</formula>
    </cfRule>
  </conditionalFormatting>
  <conditionalFormatting sqref="D37:E38">
    <cfRule type="containsText" dxfId="1346" priority="1477" operator="containsText" text="Ex">
      <formula>NOT(ISERROR(SEARCH("Ex",D37)))</formula>
    </cfRule>
    <cfRule type="containsText" dxfId="1345" priority="1478" operator="containsText" text="G">
      <formula>NOT(ISERROR(SEARCH("G",D37)))</formula>
    </cfRule>
    <cfRule type="containsText" dxfId="1344" priority="1479" operator="containsText" text="P">
      <formula>NOT(ISERROR(SEARCH("P",D37)))</formula>
    </cfRule>
  </conditionalFormatting>
  <conditionalFormatting sqref="AJ5:AK6">
    <cfRule type="containsText" dxfId="1343" priority="1474" operator="containsText" text="Ex">
      <formula>NOT(ISERROR(SEARCH("Ex",AJ5)))</formula>
    </cfRule>
    <cfRule type="containsText" dxfId="1342" priority="1475" operator="containsText" text="G">
      <formula>NOT(ISERROR(SEARCH("G",AJ5)))</formula>
    </cfRule>
    <cfRule type="containsText" dxfId="1341" priority="1476" operator="containsText" text="P">
      <formula>NOT(ISERROR(SEARCH("P",AJ5)))</formula>
    </cfRule>
  </conditionalFormatting>
  <conditionalFormatting sqref="H37:I38">
    <cfRule type="containsText" dxfId="1340" priority="1471" operator="containsText" text="Ex">
      <formula>NOT(ISERROR(SEARCH("Ex",H37)))</formula>
    </cfRule>
    <cfRule type="containsText" dxfId="1339" priority="1472" operator="containsText" text="G">
      <formula>NOT(ISERROR(SEARCH("G",H37)))</formula>
    </cfRule>
    <cfRule type="containsText" dxfId="1338" priority="1473" operator="containsText" text="P">
      <formula>NOT(ISERROR(SEARCH("P",H37)))</formula>
    </cfRule>
  </conditionalFormatting>
  <conditionalFormatting sqref="AJ9:AK10">
    <cfRule type="containsText" dxfId="1337" priority="1468" operator="containsText" text="Ex">
      <formula>NOT(ISERROR(SEARCH("Ex",AJ9)))</formula>
    </cfRule>
    <cfRule type="containsText" dxfId="1336" priority="1469" operator="containsText" text="G">
      <formula>NOT(ISERROR(SEARCH("G",AJ9)))</formula>
    </cfRule>
    <cfRule type="containsText" dxfId="1335" priority="1470" operator="containsText" text="P">
      <formula>NOT(ISERROR(SEARCH("P",AJ9)))</formula>
    </cfRule>
  </conditionalFormatting>
  <conditionalFormatting sqref="L37:M38">
    <cfRule type="containsText" dxfId="1334" priority="1465" operator="containsText" text="Ex">
      <formula>NOT(ISERROR(SEARCH("Ex",L37)))</formula>
    </cfRule>
    <cfRule type="containsText" dxfId="1333" priority="1466" operator="containsText" text="G">
      <formula>NOT(ISERROR(SEARCH("G",L37)))</formula>
    </cfRule>
    <cfRule type="containsText" dxfId="1332" priority="1467" operator="containsText" text="P">
      <formula>NOT(ISERROR(SEARCH("P",L37)))</formula>
    </cfRule>
  </conditionalFormatting>
  <conditionalFormatting sqref="AJ13:AK14">
    <cfRule type="containsText" dxfId="1331" priority="1462" operator="containsText" text="Ex">
      <formula>NOT(ISERROR(SEARCH("Ex",AJ13)))</formula>
    </cfRule>
    <cfRule type="containsText" dxfId="1330" priority="1463" operator="containsText" text="G">
      <formula>NOT(ISERROR(SEARCH("G",AJ13)))</formula>
    </cfRule>
    <cfRule type="containsText" dxfId="1329" priority="1464" operator="containsText" text="P">
      <formula>NOT(ISERROR(SEARCH("P",AJ13)))</formula>
    </cfRule>
  </conditionalFormatting>
  <conditionalFormatting sqref="P37:Q38">
    <cfRule type="containsText" dxfId="1328" priority="1459" operator="containsText" text="Ex">
      <formula>NOT(ISERROR(SEARCH("Ex",P37)))</formula>
    </cfRule>
    <cfRule type="containsText" dxfId="1327" priority="1460" operator="containsText" text="G">
      <formula>NOT(ISERROR(SEARCH("G",P37)))</formula>
    </cfRule>
    <cfRule type="containsText" dxfId="1326" priority="1461" operator="containsText" text="P">
      <formula>NOT(ISERROR(SEARCH("P",P37)))</formula>
    </cfRule>
  </conditionalFormatting>
  <conditionalFormatting sqref="AJ17:AK18">
    <cfRule type="containsText" dxfId="1325" priority="1456" operator="containsText" text="Ex">
      <formula>NOT(ISERROR(SEARCH("Ex",AJ17)))</formula>
    </cfRule>
    <cfRule type="containsText" dxfId="1324" priority="1457" operator="containsText" text="G">
      <formula>NOT(ISERROR(SEARCH("G",AJ17)))</formula>
    </cfRule>
    <cfRule type="containsText" dxfId="1323" priority="1458" operator="containsText" text="P">
      <formula>NOT(ISERROR(SEARCH("P",AJ17)))</formula>
    </cfRule>
  </conditionalFormatting>
  <conditionalFormatting sqref="T37:U38">
    <cfRule type="containsText" dxfId="1322" priority="1453" operator="containsText" text="Ex">
      <formula>NOT(ISERROR(SEARCH("Ex",T37)))</formula>
    </cfRule>
    <cfRule type="containsText" dxfId="1321" priority="1454" operator="containsText" text="G">
      <formula>NOT(ISERROR(SEARCH("G",T37)))</formula>
    </cfRule>
    <cfRule type="containsText" dxfId="1320" priority="1455" operator="containsText" text="P">
      <formula>NOT(ISERROR(SEARCH("P",T37)))</formula>
    </cfRule>
  </conditionalFormatting>
  <conditionalFormatting sqref="AJ21:AK22">
    <cfRule type="containsText" dxfId="1319" priority="1450" operator="containsText" text="Ex">
      <formula>NOT(ISERROR(SEARCH("Ex",AJ21)))</formula>
    </cfRule>
    <cfRule type="containsText" dxfId="1318" priority="1451" operator="containsText" text="G">
      <formula>NOT(ISERROR(SEARCH("G",AJ21)))</formula>
    </cfRule>
    <cfRule type="containsText" dxfId="1317" priority="1452" operator="containsText" text="P">
      <formula>NOT(ISERROR(SEARCH("P",AJ21)))</formula>
    </cfRule>
  </conditionalFormatting>
  <conditionalFormatting sqref="X37:Y38">
    <cfRule type="containsText" dxfId="1316" priority="1447" operator="containsText" text="Ex">
      <formula>NOT(ISERROR(SEARCH("Ex",X37)))</formula>
    </cfRule>
    <cfRule type="containsText" dxfId="1315" priority="1448" operator="containsText" text="G">
      <formula>NOT(ISERROR(SEARCH("G",X37)))</formula>
    </cfRule>
    <cfRule type="containsText" dxfId="1314" priority="1449" operator="containsText" text="P">
      <formula>NOT(ISERROR(SEARCH("P",X37)))</formula>
    </cfRule>
  </conditionalFormatting>
  <conditionalFormatting sqref="AJ25:AK26">
    <cfRule type="containsText" dxfId="1313" priority="1444" operator="containsText" text="Ex">
      <formula>NOT(ISERROR(SEARCH("Ex",AJ25)))</formula>
    </cfRule>
    <cfRule type="containsText" dxfId="1312" priority="1445" operator="containsText" text="G">
      <formula>NOT(ISERROR(SEARCH("G",AJ25)))</formula>
    </cfRule>
    <cfRule type="containsText" dxfId="1311" priority="1446" operator="containsText" text="P">
      <formula>NOT(ISERROR(SEARCH("P",AJ25)))</formula>
    </cfRule>
  </conditionalFormatting>
  <conditionalFormatting sqref="AB37:AC38">
    <cfRule type="containsText" dxfId="1310" priority="1441" operator="containsText" text="Ex">
      <formula>NOT(ISERROR(SEARCH("Ex",AB37)))</formula>
    </cfRule>
    <cfRule type="containsText" dxfId="1309" priority="1442" operator="containsText" text="G">
      <formula>NOT(ISERROR(SEARCH("G",AB37)))</formula>
    </cfRule>
    <cfRule type="containsText" dxfId="1308" priority="1443" operator="containsText" text="P">
      <formula>NOT(ISERROR(SEARCH("P",AB37)))</formula>
    </cfRule>
  </conditionalFormatting>
  <conditionalFormatting sqref="AJ29:AK30">
    <cfRule type="containsText" dxfId="1307" priority="1438" operator="containsText" text="Ex">
      <formula>NOT(ISERROR(SEARCH("Ex",AJ29)))</formula>
    </cfRule>
    <cfRule type="containsText" dxfId="1306" priority="1439" operator="containsText" text="G">
      <formula>NOT(ISERROR(SEARCH("G",AJ29)))</formula>
    </cfRule>
    <cfRule type="containsText" dxfId="1305" priority="1440" operator="containsText" text="P">
      <formula>NOT(ISERROR(SEARCH("P",AJ29)))</formula>
    </cfRule>
  </conditionalFormatting>
  <conditionalFormatting sqref="AF37:AG38">
    <cfRule type="containsText" dxfId="1304" priority="1435" operator="containsText" text="Ex">
      <formula>NOT(ISERROR(SEARCH("Ex",AF37)))</formula>
    </cfRule>
    <cfRule type="containsText" dxfId="1303" priority="1436" operator="containsText" text="G">
      <formula>NOT(ISERROR(SEARCH("G",AF37)))</formula>
    </cfRule>
    <cfRule type="containsText" dxfId="1302" priority="1437" operator="containsText" text="P">
      <formula>NOT(ISERROR(SEARCH("P",AF37)))</formula>
    </cfRule>
  </conditionalFormatting>
  <conditionalFormatting sqref="D41:E42">
    <cfRule type="containsText" dxfId="1301" priority="1429" operator="containsText" text="Ex">
      <formula>NOT(ISERROR(SEARCH("Ex",D41)))</formula>
    </cfRule>
    <cfRule type="containsText" dxfId="1300" priority="1430" operator="containsText" text="G">
      <formula>NOT(ISERROR(SEARCH("G",D41)))</formula>
    </cfRule>
    <cfRule type="containsText" dxfId="1299" priority="1431" operator="containsText" text="P">
      <formula>NOT(ISERROR(SEARCH("P",D41)))</formula>
    </cfRule>
  </conditionalFormatting>
  <conditionalFormatting sqref="AN5:AO6">
    <cfRule type="containsText" dxfId="1298" priority="1426" operator="containsText" text="Ex">
      <formula>NOT(ISERROR(SEARCH("Ex",AN5)))</formula>
    </cfRule>
    <cfRule type="containsText" dxfId="1297" priority="1427" operator="containsText" text="G">
      <formula>NOT(ISERROR(SEARCH("G",AN5)))</formula>
    </cfRule>
    <cfRule type="containsText" dxfId="1296" priority="1428" operator="containsText" text="P">
      <formula>NOT(ISERROR(SEARCH("P",AN5)))</formula>
    </cfRule>
  </conditionalFormatting>
  <conditionalFormatting sqref="H41:I42">
    <cfRule type="containsText" dxfId="1295" priority="1423" operator="containsText" text="Ex">
      <formula>NOT(ISERROR(SEARCH("Ex",H41)))</formula>
    </cfRule>
    <cfRule type="containsText" dxfId="1294" priority="1424" operator="containsText" text="G">
      <formula>NOT(ISERROR(SEARCH("G",H41)))</formula>
    </cfRule>
    <cfRule type="containsText" dxfId="1293" priority="1425" operator="containsText" text="P">
      <formula>NOT(ISERROR(SEARCH("P",H41)))</formula>
    </cfRule>
  </conditionalFormatting>
  <conditionalFormatting sqref="AN9:AO10">
    <cfRule type="containsText" dxfId="1292" priority="1420" operator="containsText" text="Ex">
      <formula>NOT(ISERROR(SEARCH("Ex",AN9)))</formula>
    </cfRule>
    <cfRule type="containsText" dxfId="1291" priority="1421" operator="containsText" text="G">
      <formula>NOT(ISERROR(SEARCH("G",AN9)))</formula>
    </cfRule>
    <cfRule type="containsText" dxfId="1290" priority="1422" operator="containsText" text="P">
      <formula>NOT(ISERROR(SEARCH("P",AN9)))</formula>
    </cfRule>
  </conditionalFormatting>
  <conditionalFormatting sqref="L41:M42">
    <cfRule type="containsText" dxfId="1289" priority="1417" operator="containsText" text="Ex">
      <formula>NOT(ISERROR(SEARCH("Ex",L41)))</formula>
    </cfRule>
    <cfRule type="containsText" dxfId="1288" priority="1418" operator="containsText" text="G">
      <formula>NOT(ISERROR(SEARCH("G",L41)))</formula>
    </cfRule>
    <cfRule type="containsText" dxfId="1287" priority="1419" operator="containsText" text="P">
      <formula>NOT(ISERROR(SEARCH("P",L41)))</formula>
    </cfRule>
  </conditionalFormatting>
  <conditionalFormatting sqref="AN13:AO14">
    <cfRule type="containsText" dxfId="1286" priority="1414" operator="containsText" text="Ex">
      <formula>NOT(ISERROR(SEARCH("Ex",AN13)))</formula>
    </cfRule>
    <cfRule type="containsText" dxfId="1285" priority="1415" operator="containsText" text="G">
      <formula>NOT(ISERROR(SEARCH("G",AN13)))</formula>
    </cfRule>
    <cfRule type="containsText" dxfId="1284" priority="1416" operator="containsText" text="P">
      <formula>NOT(ISERROR(SEARCH("P",AN13)))</formula>
    </cfRule>
  </conditionalFormatting>
  <conditionalFormatting sqref="P41:Q42">
    <cfRule type="containsText" dxfId="1283" priority="1411" operator="containsText" text="Ex">
      <formula>NOT(ISERROR(SEARCH("Ex",P41)))</formula>
    </cfRule>
    <cfRule type="containsText" dxfId="1282" priority="1412" operator="containsText" text="G">
      <formula>NOT(ISERROR(SEARCH("G",P41)))</formula>
    </cfRule>
    <cfRule type="containsText" dxfId="1281" priority="1413" operator="containsText" text="P">
      <formula>NOT(ISERROR(SEARCH("P",P41)))</formula>
    </cfRule>
  </conditionalFormatting>
  <conditionalFormatting sqref="AN17:AO18">
    <cfRule type="containsText" dxfId="1280" priority="1408" operator="containsText" text="Ex">
      <formula>NOT(ISERROR(SEARCH("Ex",AN17)))</formula>
    </cfRule>
    <cfRule type="containsText" dxfId="1279" priority="1409" operator="containsText" text="G">
      <formula>NOT(ISERROR(SEARCH("G",AN17)))</formula>
    </cfRule>
    <cfRule type="containsText" dxfId="1278" priority="1410" operator="containsText" text="P">
      <formula>NOT(ISERROR(SEARCH("P",AN17)))</formula>
    </cfRule>
  </conditionalFormatting>
  <conditionalFormatting sqref="T41:U42">
    <cfRule type="containsText" dxfId="1277" priority="1405" operator="containsText" text="Ex">
      <formula>NOT(ISERROR(SEARCH("Ex",T41)))</formula>
    </cfRule>
    <cfRule type="containsText" dxfId="1276" priority="1406" operator="containsText" text="G">
      <formula>NOT(ISERROR(SEARCH("G",T41)))</formula>
    </cfRule>
    <cfRule type="containsText" dxfId="1275" priority="1407" operator="containsText" text="P">
      <formula>NOT(ISERROR(SEARCH("P",T41)))</formula>
    </cfRule>
  </conditionalFormatting>
  <conditionalFormatting sqref="AN21:AO22">
    <cfRule type="containsText" dxfId="1274" priority="1402" operator="containsText" text="Ex">
      <formula>NOT(ISERROR(SEARCH("Ex",AN21)))</formula>
    </cfRule>
    <cfRule type="containsText" dxfId="1273" priority="1403" operator="containsText" text="G">
      <formula>NOT(ISERROR(SEARCH("G",AN21)))</formula>
    </cfRule>
    <cfRule type="containsText" dxfId="1272" priority="1404" operator="containsText" text="P">
      <formula>NOT(ISERROR(SEARCH("P",AN21)))</formula>
    </cfRule>
  </conditionalFormatting>
  <conditionalFormatting sqref="X41:Y42">
    <cfRule type="containsText" dxfId="1271" priority="1399" operator="containsText" text="Ex">
      <formula>NOT(ISERROR(SEARCH("Ex",X41)))</formula>
    </cfRule>
    <cfRule type="containsText" dxfId="1270" priority="1400" operator="containsText" text="G">
      <formula>NOT(ISERROR(SEARCH("G",X41)))</formula>
    </cfRule>
    <cfRule type="containsText" dxfId="1269" priority="1401" operator="containsText" text="P">
      <formula>NOT(ISERROR(SEARCH("P",X41)))</formula>
    </cfRule>
  </conditionalFormatting>
  <conditionalFormatting sqref="AN37:AO38">
    <cfRule type="containsText" dxfId="1268" priority="1378" operator="containsText" text="Ex">
      <formula>NOT(ISERROR(SEARCH("Ex",AN37)))</formula>
    </cfRule>
    <cfRule type="containsText" dxfId="1267" priority="1379" operator="containsText" text="G">
      <formula>NOT(ISERROR(SEARCH("G",AN37)))</formula>
    </cfRule>
    <cfRule type="containsText" dxfId="1266" priority="1380" operator="containsText" text="P">
      <formula>NOT(ISERROR(SEARCH("P",AN37)))</formula>
    </cfRule>
  </conditionalFormatting>
  <conditionalFormatting sqref="AN25:AO26">
    <cfRule type="containsText" dxfId="1265" priority="1396" operator="containsText" text="Ex">
      <formula>NOT(ISERROR(SEARCH("Ex",AN25)))</formula>
    </cfRule>
    <cfRule type="containsText" dxfId="1264" priority="1397" operator="containsText" text="G">
      <formula>NOT(ISERROR(SEARCH("G",AN25)))</formula>
    </cfRule>
    <cfRule type="containsText" dxfId="1263" priority="1398" operator="containsText" text="P">
      <formula>NOT(ISERROR(SEARCH("P",AN25)))</formula>
    </cfRule>
  </conditionalFormatting>
  <conditionalFormatting sqref="AB41:AC42">
    <cfRule type="containsText" dxfId="1262" priority="1393" operator="containsText" text="Ex">
      <formula>NOT(ISERROR(SEARCH("Ex",AB41)))</formula>
    </cfRule>
    <cfRule type="containsText" dxfId="1261" priority="1394" operator="containsText" text="G">
      <formula>NOT(ISERROR(SEARCH("G",AB41)))</formula>
    </cfRule>
    <cfRule type="containsText" dxfId="1260" priority="1395" operator="containsText" text="P">
      <formula>NOT(ISERROR(SEARCH("P",AB41)))</formula>
    </cfRule>
  </conditionalFormatting>
  <conditionalFormatting sqref="AN29:AO30">
    <cfRule type="containsText" dxfId="1259" priority="1390" operator="containsText" text="Ex">
      <formula>NOT(ISERROR(SEARCH("Ex",AN29)))</formula>
    </cfRule>
    <cfRule type="containsText" dxfId="1258" priority="1391" operator="containsText" text="G">
      <formula>NOT(ISERROR(SEARCH("G",AN29)))</formula>
    </cfRule>
    <cfRule type="containsText" dxfId="1257" priority="1392" operator="containsText" text="P">
      <formula>NOT(ISERROR(SEARCH("P",AN29)))</formula>
    </cfRule>
  </conditionalFormatting>
  <conditionalFormatting sqref="AF41:AG42">
    <cfRule type="containsText" dxfId="1256" priority="1387" operator="containsText" text="Ex">
      <formula>NOT(ISERROR(SEARCH("Ex",AF41)))</formula>
    </cfRule>
    <cfRule type="containsText" dxfId="1255" priority="1388" operator="containsText" text="G">
      <formula>NOT(ISERROR(SEARCH("G",AF41)))</formula>
    </cfRule>
    <cfRule type="containsText" dxfId="1254" priority="1389" operator="containsText" text="P">
      <formula>NOT(ISERROR(SEARCH("P",AF41)))</formula>
    </cfRule>
  </conditionalFormatting>
  <conditionalFormatting sqref="AN33:AO34">
    <cfRule type="containsText" dxfId="1253" priority="1384" operator="containsText" text="Ex">
      <formula>NOT(ISERROR(SEARCH("Ex",AN33)))</formula>
    </cfRule>
    <cfRule type="containsText" dxfId="1252" priority="1385" operator="containsText" text="G">
      <formula>NOT(ISERROR(SEARCH("G",AN33)))</formula>
    </cfRule>
    <cfRule type="containsText" dxfId="1251" priority="1386" operator="containsText" text="P">
      <formula>NOT(ISERROR(SEARCH("P",AN33)))</formula>
    </cfRule>
  </conditionalFormatting>
  <conditionalFormatting sqref="AJ41:AK42">
    <cfRule type="containsText" dxfId="1250" priority="1381" operator="containsText" text="Ex">
      <formula>NOT(ISERROR(SEARCH("Ex",AJ41)))</formula>
    </cfRule>
    <cfRule type="containsText" dxfId="1249" priority="1382" operator="containsText" text="G">
      <formula>NOT(ISERROR(SEARCH("G",AJ41)))</formula>
    </cfRule>
    <cfRule type="containsText" dxfId="1248" priority="1383" operator="containsText" text="P">
      <formula>NOT(ISERROR(SEARCH("P",AJ41)))</formula>
    </cfRule>
  </conditionalFormatting>
  <conditionalFormatting sqref="D45:E46">
    <cfRule type="containsText" dxfId="1247" priority="1375" operator="containsText" text="Ex">
      <formula>NOT(ISERROR(SEARCH("Ex",D45)))</formula>
    </cfRule>
    <cfRule type="containsText" dxfId="1246" priority="1376" operator="containsText" text="G">
      <formula>NOT(ISERROR(SEARCH("G",D45)))</formula>
    </cfRule>
    <cfRule type="containsText" dxfId="1245" priority="1377" operator="containsText" text="P">
      <formula>NOT(ISERROR(SEARCH("P",D45)))</formula>
    </cfRule>
  </conditionalFormatting>
  <conditionalFormatting sqref="AR5:AS6">
    <cfRule type="containsText" dxfId="1244" priority="1372" operator="containsText" text="Ex">
      <formula>NOT(ISERROR(SEARCH("Ex",AR5)))</formula>
    </cfRule>
    <cfRule type="containsText" dxfId="1243" priority="1373" operator="containsText" text="G">
      <formula>NOT(ISERROR(SEARCH("G",AR5)))</formula>
    </cfRule>
    <cfRule type="containsText" dxfId="1242" priority="1374" operator="containsText" text="P">
      <formula>NOT(ISERROR(SEARCH("P",AR5)))</formula>
    </cfRule>
  </conditionalFormatting>
  <conditionalFormatting sqref="H45:I46">
    <cfRule type="containsText" dxfId="1241" priority="1369" operator="containsText" text="Ex">
      <formula>NOT(ISERROR(SEARCH("Ex",H45)))</formula>
    </cfRule>
    <cfRule type="containsText" dxfId="1240" priority="1370" operator="containsText" text="G">
      <formula>NOT(ISERROR(SEARCH("G",H45)))</formula>
    </cfRule>
    <cfRule type="containsText" dxfId="1239" priority="1371" operator="containsText" text="P">
      <formula>NOT(ISERROR(SEARCH("P",H45)))</formula>
    </cfRule>
  </conditionalFormatting>
  <conditionalFormatting sqref="AR9:AS10">
    <cfRule type="containsText" dxfId="1238" priority="1366" operator="containsText" text="Ex">
      <formula>NOT(ISERROR(SEARCH("Ex",AR9)))</formula>
    </cfRule>
    <cfRule type="containsText" dxfId="1237" priority="1367" operator="containsText" text="G">
      <formula>NOT(ISERROR(SEARCH("G",AR9)))</formula>
    </cfRule>
    <cfRule type="containsText" dxfId="1236" priority="1368" operator="containsText" text="P">
      <formula>NOT(ISERROR(SEARCH("P",AR9)))</formula>
    </cfRule>
  </conditionalFormatting>
  <conditionalFormatting sqref="L45:M46">
    <cfRule type="containsText" dxfId="1235" priority="1363" operator="containsText" text="Ex">
      <formula>NOT(ISERROR(SEARCH("Ex",L45)))</formula>
    </cfRule>
    <cfRule type="containsText" dxfId="1234" priority="1364" operator="containsText" text="G">
      <formula>NOT(ISERROR(SEARCH("G",L45)))</formula>
    </cfRule>
    <cfRule type="containsText" dxfId="1233" priority="1365" operator="containsText" text="P">
      <formula>NOT(ISERROR(SEARCH("P",L45)))</formula>
    </cfRule>
  </conditionalFormatting>
  <conditionalFormatting sqref="AR13:AS14">
    <cfRule type="containsText" dxfId="1232" priority="1360" operator="containsText" text="Ex">
      <formula>NOT(ISERROR(SEARCH("Ex",AR13)))</formula>
    </cfRule>
    <cfRule type="containsText" dxfId="1231" priority="1361" operator="containsText" text="G">
      <formula>NOT(ISERROR(SEARCH("G",AR13)))</formula>
    </cfRule>
    <cfRule type="containsText" dxfId="1230" priority="1362" operator="containsText" text="P">
      <formula>NOT(ISERROR(SEARCH("P",AR13)))</formula>
    </cfRule>
  </conditionalFormatting>
  <conditionalFormatting sqref="P45:Q46">
    <cfRule type="containsText" dxfId="1229" priority="1357" operator="containsText" text="Ex">
      <formula>NOT(ISERROR(SEARCH("Ex",P45)))</formula>
    </cfRule>
    <cfRule type="containsText" dxfId="1228" priority="1358" operator="containsText" text="G">
      <formula>NOT(ISERROR(SEARCH("G",P45)))</formula>
    </cfRule>
    <cfRule type="containsText" dxfId="1227" priority="1359" operator="containsText" text="P">
      <formula>NOT(ISERROR(SEARCH("P",P45)))</formula>
    </cfRule>
  </conditionalFormatting>
  <conditionalFormatting sqref="AR17:AS18">
    <cfRule type="containsText" dxfId="1226" priority="1354" operator="containsText" text="Ex">
      <formula>NOT(ISERROR(SEARCH("Ex",AR17)))</formula>
    </cfRule>
    <cfRule type="containsText" dxfId="1225" priority="1355" operator="containsText" text="G">
      <formula>NOT(ISERROR(SEARCH("G",AR17)))</formula>
    </cfRule>
    <cfRule type="containsText" dxfId="1224" priority="1356" operator="containsText" text="P">
      <formula>NOT(ISERROR(SEARCH("P",AR17)))</formula>
    </cfRule>
  </conditionalFormatting>
  <conditionalFormatting sqref="T45:U46">
    <cfRule type="containsText" dxfId="1223" priority="1351" operator="containsText" text="Ex">
      <formula>NOT(ISERROR(SEARCH("Ex",T45)))</formula>
    </cfRule>
    <cfRule type="containsText" dxfId="1222" priority="1352" operator="containsText" text="G">
      <formula>NOT(ISERROR(SEARCH("G",T45)))</formula>
    </cfRule>
    <cfRule type="containsText" dxfId="1221" priority="1353" operator="containsText" text="P">
      <formula>NOT(ISERROR(SEARCH("P",T45)))</formula>
    </cfRule>
  </conditionalFormatting>
  <conditionalFormatting sqref="AR21:AS22">
    <cfRule type="containsText" dxfId="1220" priority="1348" operator="containsText" text="Ex">
      <formula>NOT(ISERROR(SEARCH("Ex",AR21)))</formula>
    </cfRule>
    <cfRule type="containsText" dxfId="1219" priority="1349" operator="containsText" text="G">
      <formula>NOT(ISERROR(SEARCH("G",AR21)))</formula>
    </cfRule>
    <cfRule type="containsText" dxfId="1218" priority="1350" operator="containsText" text="P">
      <formula>NOT(ISERROR(SEARCH("P",AR21)))</formula>
    </cfRule>
  </conditionalFormatting>
  <conditionalFormatting sqref="X45:Y46">
    <cfRule type="containsText" dxfId="1217" priority="1345" operator="containsText" text="Ex">
      <formula>NOT(ISERROR(SEARCH("Ex",X45)))</formula>
    </cfRule>
    <cfRule type="containsText" dxfId="1216" priority="1346" operator="containsText" text="G">
      <formula>NOT(ISERROR(SEARCH("G",X45)))</formula>
    </cfRule>
    <cfRule type="containsText" dxfId="1215" priority="1347" operator="containsText" text="P">
      <formula>NOT(ISERROR(SEARCH("P",X45)))</formula>
    </cfRule>
  </conditionalFormatting>
  <conditionalFormatting sqref="AR25:AS26">
    <cfRule type="containsText" dxfId="1214" priority="1342" operator="containsText" text="Ex">
      <formula>NOT(ISERROR(SEARCH("Ex",AR25)))</formula>
    </cfRule>
    <cfRule type="containsText" dxfId="1213" priority="1343" operator="containsText" text="G">
      <formula>NOT(ISERROR(SEARCH("G",AR25)))</formula>
    </cfRule>
    <cfRule type="containsText" dxfId="1212" priority="1344" operator="containsText" text="P">
      <formula>NOT(ISERROR(SEARCH("P",AR25)))</formula>
    </cfRule>
  </conditionalFormatting>
  <conditionalFormatting sqref="AR41:AS42">
    <cfRule type="containsText" dxfId="1211" priority="1318" operator="containsText" text="Ex">
      <formula>NOT(ISERROR(SEARCH("Ex",AR41)))</formula>
    </cfRule>
    <cfRule type="containsText" dxfId="1210" priority="1319" operator="containsText" text="G">
      <formula>NOT(ISERROR(SEARCH("G",AR41)))</formula>
    </cfRule>
    <cfRule type="containsText" dxfId="1209" priority="1320" operator="containsText" text="P">
      <formula>NOT(ISERROR(SEARCH("P",AR41)))</formula>
    </cfRule>
  </conditionalFormatting>
  <conditionalFormatting sqref="AB45:AC46">
    <cfRule type="containsText" dxfId="1208" priority="1339" operator="containsText" text="Ex">
      <formula>NOT(ISERROR(SEARCH("Ex",AB45)))</formula>
    </cfRule>
    <cfRule type="containsText" dxfId="1207" priority="1340" operator="containsText" text="G">
      <formula>NOT(ISERROR(SEARCH("G",AB45)))</formula>
    </cfRule>
    <cfRule type="containsText" dxfId="1206" priority="1341" operator="containsText" text="P">
      <formula>NOT(ISERROR(SEARCH("P",AB45)))</formula>
    </cfRule>
  </conditionalFormatting>
  <conditionalFormatting sqref="AR29:AS30">
    <cfRule type="containsText" dxfId="1205" priority="1336" operator="containsText" text="Ex">
      <formula>NOT(ISERROR(SEARCH("Ex",AR29)))</formula>
    </cfRule>
    <cfRule type="containsText" dxfId="1204" priority="1337" operator="containsText" text="G">
      <formula>NOT(ISERROR(SEARCH("G",AR29)))</formula>
    </cfRule>
    <cfRule type="containsText" dxfId="1203" priority="1338" operator="containsText" text="P">
      <formula>NOT(ISERROR(SEARCH("P",AR29)))</formula>
    </cfRule>
  </conditionalFormatting>
  <conditionalFormatting sqref="AF45:AG46">
    <cfRule type="containsText" dxfId="1202" priority="1333" operator="containsText" text="Ex">
      <formula>NOT(ISERROR(SEARCH("Ex",AF45)))</formula>
    </cfRule>
    <cfRule type="containsText" dxfId="1201" priority="1334" operator="containsText" text="G">
      <formula>NOT(ISERROR(SEARCH("G",AF45)))</formula>
    </cfRule>
    <cfRule type="containsText" dxfId="1200" priority="1335" operator="containsText" text="P">
      <formula>NOT(ISERROR(SEARCH("P",AF45)))</formula>
    </cfRule>
  </conditionalFormatting>
  <conditionalFormatting sqref="AR33:AS34">
    <cfRule type="containsText" dxfId="1199" priority="1330" operator="containsText" text="Ex">
      <formula>NOT(ISERROR(SEARCH("Ex",AR33)))</formula>
    </cfRule>
    <cfRule type="containsText" dxfId="1198" priority="1331" operator="containsText" text="G">
      <formula>NOT(ISERROR(SEARCH("G",AR33)))</formula>
    </cfRule>
    <cfRule type="containsText" dxfId="1197" priority="1332" operator="containsText" text="P">
      <formula>NOT(ISERROR(SEARCH("P",AR33)))</formula>
    </cfRule>
  </conditionalFormatting>
  <conditionalFormatting sqref="AJ45:AK46">
    <cfRule type="containsText" dxfId="1196" priority="1327" operator="containsText" text="Ex">
      <formula>NOT(ISERROR(SEARCH("Ex",AJ45)))</formula>
    </cfRule>
    <cfRule type="containsText" dxfId="1195" priority="1328" operator="containsText" text="G">
      <formula>NOT(ISERROR(SEARCH("G",AJ45)))</formula>
    </cfRule>
    <cfRule type="containsText" dxfId="1194" priority="1329" operator="containsText" text="P">
      <formula>NOT(ISERROR(SEARCH("P",AJ45)))</formula>
    </cfRule>
  </conditionalFormatting>
  <conditionalFormatting sqref="AR37:AS38">
    <cfRule type="containsText" dxfId="1193" priority="1324" operator="containsText" text="Ex">
      <formula>NOT(ISERROR(SEARCH("Ex",AR37)))</formula>
    </cfRule>
    <cfRule type="containsText" dxfId="1192" priority="1325" operator="containsText" text="G">
      <formula>NOT(ISERROR(SEARCH("G",AR37)))</formula>
    </cfRule>
    <cfRule type="containsText" dxfId="1191" priority="1326" operator="containsText" text="P">
      <formula>NOT(ISERROR(SEARCH("P",AR37)))</formula>
    </cfRule>
  </conditionalFormatting>
  <conditionalFormatting sqref="AN45:AO46">
    <cfRule type="containsText" dxfId="1190" priority="1321" operator="containsText" text="Ex">
      <formula>NOT(ISERROR(SEARCH("Ex",AN45)))</formula>
    </cfRule>
    <cfRule type="containsText" dxfId="1189" priority="1322" operator="containsText" text="G">
      <formula>NOT(ISERROR(SEARCH("G",AN45)))</formula>
    </cfRule>
    <cfRule type="containsText" dxfId="1188" priority="1323" operator="containsText" text="P">
      <formula>NOT(ISERROR(SEARCH("P",AN45)))</formula>
    </cfRule>
  </conditionalFormatting>
  <conditionalFormatting sqref="AV5:AW6">
    <cfRule type="containsText" dxfId="1187" priority="1315" operator="containsText" text="Ex">
      <formula>NOT(ISERROR(SEARCH("Ex",AV5)))</formula>
    </cfRule>
    <cfRule type="containsText" dxfId="1186" priority="1316" operator="containsText" text="G">
      <formula>NOT(ISERROR(SEARCH("G",AV5)))</formula>
    </cfRule>
    <cfRule type="containsText" dxfId="1185" priority="1317" operator="containsText" text="P">
      <formula>NOT(ISERROR(SEARCH("P",AV5)))</formula>
    </cfRule>
  </conditionalFormatting>
  <conditionalFormatting sqref="AV45:AW46">
    <cfRule type="containsText" dxfId="1184" priority="1252" operator="containsText" text="Ex">
      <formula>NOT(ISERROR(SEARCH("Ex",AV45)))</formula>
    </cfRule>
    <cfRule type="containsText" dxfId="1183" priority="1253" operator="containsText" text="G">
      <formula>NOT(ISERROR(SEARCH("G",AV45)))</formula>
    </cfRule>
    <cfRule type="containsText" dxfId="1182" priority="1254" operator="containsText" text="P">
      <formula>NOT(ISERROR(SEARCH("P",AV45)))</formula>
    </cfRule>
  </conditionalFormatting>
  <conditionalFormatting sqref="D49:E50">
    <cfRule type="containsText" dxfId="1181" priority="1312" operator="containsText" text="Ex">
      <formula>NOT(ISERROR(SEARCH("Ex",D49)))</formula>
    </cfRule>
    <cfRule type="containsText" dxfId="1180" priority="1313" operator="containsText" text="G">
      <formula>NOT(ISERROR(SEARCH("G",D49)))</formula>
    </cfRule>
    <cfRule type="containsText" dxfId="1179" priority="1314" operator="containsText" text="P">
      <formula>NOT(ISERROR(SEARCH("P",D49)))</formula>
    </cfRule>
  </conditionalFormatting>
  <conditionalFormatting sqref="H49:I50">
    <cfRule type="containsText" dxfId="1178" priority="1309" operator="containsText" text="Ex">
      <formula>NOT(ISERROR(SEARCH("Ex",H49)))</formula>
    </cfRule>
    <cfRule type="containsText" dxfId="1177" priority="1310" operator="containsText" text="G">
      <formula>NOT(ISERROR(SEARCH("G",H49)))</formula>
    </cfRule>
    <cfRule type="containsText" dxfId="1176" priority="1311" operator="containsText" text="P">
      <formula>NOT(ISERROR(SEARCH("P",H49)))</formula>
    </cfRule>
  </conditionalFormatting>
  <conditionalFormatting sqref="AV9:AW10">
    <cfRule type="containsText" dxfId="1175" priority="1306" operator="containsText" text="Ex">
      <formula>NOT(ISERROR(SEARCH("Ex",AV9)))</formula>
    </cfRule>
    <cfRule type="containsText" dxfId="1174" priority="1307" operator="containsText" text="G">
      <formula>NOT(ISERROR(SEARCH("G",AV9)))</formula>
    </cfRule>
    <cfRule type="containsText" dxfId="1173" priority="1308" operator="containsText" text="P">
      <formula>NOT(ISERROR(SEARCH("P",AV9)))</formula>
    </cfRule>
  </conditionalFormatting>
  <conditionalFormatting sqref="L49:M50">
    <cfRule type="containsText" dxfId="1172" priority="1303" operator="containsText" text="Ex">
      <formula>NOT(ISERROR(SEARCH("Ex",L49)))</formula>
    </cfRule>
    <cfRule type="containsText" dxfId="1171" priority="1304" operator="containsText" text="G">
      <formula>NOT(ISERROR(SEARCH("G",L49)))</formula>
    </cfRule>
    <cfRule type="containsText" dxfId="1170" priority="1305" operator="containsText" text="P">
      <formula>NOT(ISERROR(SEARCH("P",L49)))</formula>
    </cfRule>
  </conditionalFormatting>
  <conditionalFormatting sqref="AV13:AW14">
    <cfRule type="containsText" dxfId="1169" priority="1300" operator="containsText" text="Ex">
      <formula>NOT(ISERROR(SEARCH("Ex",AV13)))</formula>
    </cfRule>
    <cfRule type="containsText" dxfId="1168" priority="1301" operator="containsText" text="G">
      <formula>NOT(ISERROR(SEARCH("G",AV13)))</formula>
    </cfRule>
    <cfRule type="containsText" dxfId="1167" priority="1302" operator="containsText" text="P">
      <formula>NOT(ISERROR(SEARCH("P",AV13)))</formula>
    </cfRule>
  </conditionalFormatting>
  <conditionalFormatting sqref="P49:Q50">
    <cfRule type="containsText" dxfId="1166" priority="1297" operator="containsText" text="Ex">
      <formula>NOT(ISERROR(SEARCH("Ex",P49)))</formula>
    </cfRule>
    <cfRule type="containsText" dxfId="1165" priority="1298" operator="containsText" text="G">
      <formula>NOT(ISERROR(SEARCH("G",P49)))</formula>
    </cfRule>
    <cfRule type="containsText" dxfId="1164" priority="1299" operator="containsText" text="P">
      <formula>NOT(ISERROR(SEARCH("P",P49)))</formula>
    </cfRule>
  </conditionalFormatting>
  <conditionalFormatting sqref="AV17:AW18">
    <cfRule type="containsText" dxfId="1163" priority="1294" operator="containsText" text="Ex">
      <formula>NOT(ISERROR(SEARCH("Ex",AV17)))</formula>
    </cfRule>
    <cfRule type="containsText" dxfId="1162" priority="1295" operator="containsText" text="G">
      <formula>NOT(ISERROR(SEARCH("G",AV17)))</formula>
    </cfRule>
    <cfRule type="containsText" dxfId="1161" priority="1296" operator="containsText" text="P">
      <formula>NOT(ISERROR(SEARCH("P",AV17)))</formula>
    </cfRule>
  </conditionalFormatting>
  <conditionalFormatting sqref="T49:U50">
    <cfRule type="containsText" dxfId="1160" priority="1291" operator="containsText" text="Ex">
      <formula>NOT(ISERROR(SEARCH("Ex",T49)))</formula>
    </cfRule>
    <cfRule type="containsText" dxfId="1159" priority="1292" operator="containsText" text="G">
      <formula>NOT(ISERROR(SEARCH("G",T49)))</formula>
    </cfRule>
    <cfRule type="containsText" dxfId="1158" priority="1293" operator="containsText" text="P">
      <formula>NOT(ISERROR(SEARCH("P",T49)))</formula>
    </cfRule>
  </conditionalFormatting>
  <conditionalFormatting sqref="AV21:AW22">
    <cfRule type="containsText" dxfId="1157" priority="1288" operator="containsText" text="Ex">
      <formula>NOT(ISERROR(SEARCH("Ex",AV21)))</formula>
    </cfRule>
    <cfRule type="containsText" dxfId="1156" priority="1289" operator="containsText" text="G">
      <formula>NOT(ISERROR(SEARCH("G",AV21)))</formula>
    </cfRule>
    <cfRule type="containsText" dxfId="1155" priority="1290" operator="containsText" text="P">
      <formula>NOT(ISERROR(SEARCH("P",AV21)))</formula>
    </cfRule>
  </conditionalFormatting>
  <conditionalFormatting sqref="X49:Y50">
    <cfRule type="containsText" dxfId="1154" priority="1285" operator="containsText" text="Ex">
      <formula>NOT(ISERROR(SEARCH("Ex",X49)))</formula>
    </cfRule>
    <cfRule type="containsText" dxfId="1153" priority="1286" operator="containsText" text="G">
      <formula>NOT(ISERROR(SEARCH("G",X49)))</formula>
    </cfRule>
    <cfRule type="containsText" dxfId="1152" priority="1287" operator="containsText" text="P">
      <formula>NOT(ISERROR(SEARCH("P",X49)))</formula>
    </cfRule>
  </conditionalFormatting>
  <conditionalFormatting sqref="AV25:AW26">
    <cfRule type="containsText" dxfId="1151" priority="1282" operator="containsText" text="Ex">
      <formula>NOT(ISERROR(SEARCH("Ex",AV25)))</formula>
    </cfRule>
    <cfRule type="containsText" dxfId="1150" priority="1283" operator="containsText" text="G">
      <formula>NOT(ISERROR(SEARCH("G",AV25)))</formula>
    </cfRule>
    <cfRule type="containsText" dxfId="1149" priority="1284" operator="containsText" text="P">
      <formula>NOT(ISERROR(SEARCH("P",AV25)))</formula>
    </cfRule>
  </conditionalFormatting>
  <conditionalFormatting sqref="AB49:AC50">
    <cfRule type="containsText" dxfId="1148" priority="1279" operator="containsText" text="Ex">
      <formula>NOT(ISERROR(SEARCH("Ex",AB49)))</formula>
    </cfRule>
    <cfRule type="containsText" dxfId="1147" priority="1280" operator="containsText" text="G">
      <formula>NOT(ISERROR(SEARCH("G",AB49)))</formula>
    </cfRule>
    <cfRule type="containsText" dxfId="1146" priority="1281" operator="containsText" text="P">
      <formula>NOT(ISERROR(SEARCH("P",AB49)))</formula>
    </cfRule>
  </conditionalFormatting>
  <conditionalFormatting sqref="AV29:AW30">
    <cfRule type="containsText" dxfId="1145" priority="1276" operator="containsText" text="Ex">
      <formula>NOT(ISERROR(SEARCH("Ex",AV29)))</formula>
    </cfRule>
    <cfRule type="containsText" dxfId="1144" priority="1277" operator="containsText" text="G">
      <formula>NOT(ISERROR(SEARCH("G",AV29)))</formula>
    </cfRule>
    <cfRule type="containsText" dxfId="1143" priority="1278" operator="containsText" text="P">
      <formula>NOT(ISERROR(SEARCH("P",AV29)))</formula>
    </cfRule>
  </conditionalFormatting>
  <conditionalFormatting sqref="AF49:AG50">
    <cfRule type="containsText" dxfId="1142" priority="1273" operator="containsText" text="Ex">
      <formula>NOT(ISERROR(SEARCH("Ex",AF49)))</formula>
    </cfRule>
    <cfRule type="containsText" dxfId="1141" priority="1274" operator="containsText" text="G">
      <formula>NOT(ISERROR(SEARCH("G",AF49)))</formula>
    </cfRule>
    <cfRule type="containsText" dxfId="1140" priority="1275" operator="containsText" text="P">
      <formula>NOT(ISERROR(SEARCH("P",AF49)))</formula>
    </cfRule>
  </conditionalFormatting>
  <conditionalFormatting sqref="AV33:AW34">
    <cfRule type="containsText" dxfId="1139" priority="1270" operator="containsText" text="Ex">
      <formula>NOT(ISERROR(SEARCH("Ex",AV33)))</formula>
    </cfRule>
    <cfRule type="containsText" dxfId="1138" priority="1271" operator="containsText" text="G">
      <formula>NOT(ISERROR(SEARCH("G",AV33)))</formula>
    </cfRule>
    <cfRule type="containsText" dxfId="1137" priority="1272" operator="containsText" text="P">
      <formula>NOT(ISERROR(SEARCH("P",AV33)))</formula>
    </cfRule>
  </conditionalFormatting>
  <conditionalFormatting sqref="AJ49:AK50">
    <cfRule type="containsText" dxfId="1136" priority="1267" operator="containsText" text="Ex">
      <formula>NOT(ISERROR(SEARCH("Ex",AJ49)))</formula>
    </cfRule>
    <cfRule type="containsText" dxfId="1135" priority="1268" operator="containsText" text="G">
      <formula>NOT(ISERROR(SEARCH("G",AJ49)))</formula>
    </cfRule>
    <cfRule type="containsText" dxfId="1134" priority="1269" operator="containsText" text="P">
      <formula>NOT(ISERROR(SEARCH("P",AJ49)))</formula>
    </cfRule>
  </conditionalFormatting>
  <conditionalFormatting sqref="AV37:AW38">
    <cfRule type="containsText" dxfId="1133" priority="1264" operator="containsText" text="Ex">
      <formula>NOT(ISERROR(SEARCH("Ex",AV37)))</formula>
    </cfRule>
    <cfRule type="containsText" dxfId="1132" priority="1265" operator="containsText" text="G">
      <formula>NOT(ISERROR(SEARCH("G",AV37)))</formula>
    </cfRule>
    <cfRule type="containsText" dxfId="1131" priority="1266" operator="containsText" text="P">
      <formula>NOT(ISERROR(SEARCH("P",AV37)))</formula>
    </cfRule>
  </conditionalFormatting>
  <conditionalFormatting sqref="AN49:AO50">
    <cfRule type="containsText" dxfId="1130" priority="1261" operator="containsText" text="Ex">
      <formula>NOT(ISERROR(SEARCH("Ex",AN49)))</formula>
    </cfRule>
    <cfRule type="containsText" dxfId="1129" priority="1262" operator="containsText" text="G">
      <formula>NOT(ISERROR(SEARCH("G",AN49)))</formula>
    </cfRule>
    <cfRule type="containsText" dxfId="1128" priority="1263" operator="containsText" text="P">
      <formula>NOT(ISERROR(SEARCH("P",AN49)))</formula>
    </cfRule>
  </conditionalFormatting>
  <conditionalFormatting sqref="AV41:AW42">
    <cfRule type="containsText" dxfId="1127" priority="1258" operator="containsText" text="Ex">
      <formula>NOT(ISERROR(SEARCH("Ex",AV41)))</formula>
    </cfRule>
    <cfRule type="containsText" dxfId="1126" priority="1259" operator="containsText" text="G">
      <formula>NOT(ISERROR(SEARCH("G",AV41)))</formula>
    </cfRule>
    <cfRule type="containsText" dxfId="1125" priority="1260" operator="containsText" text="P">
      <formula>NOT(ISERROR(SEARCH("P",AV41)))</formula>
    </cfRule>
  </conditionalFormatting>
  <conditionalFormatting sqref="AR49:AS50">
    <cfRule type="containsText" dxfId="1124" priority="1255" operator="containsText" text="Ex">
      <formula>NOT(ISERROR(SEARCH("Ex",AR49)))</formula>
    </cfRule>
    <cfRule type="containsText" dxfId="1123" priority="1256" operator="containsText" text="G">
      <formula>NOT(ISERROR(SEARCH("G",AR49)))</formula>
    </cfRule>
    <cfRule type="containsText" dxfId="1122" priority="1257" operator="containsText" text="P">
      <formula>NOT(ISERROR(SEARCH("P",AR49)))</formula>
    </cfRule>
  </conditionalFormatting>
  <conditionalFormatting sqref="AZ5:BA6">
    <cfRule type="containsText" dxfId="1121" priority="1249" operator="containsText" text="Ex">
      <formula>NOT(ISERROR(SEARCH("Ex",AZ5)))</formula>
    </cfRule>
    <cfRule type="containsText" dxfId="1120" priority="1250" operator="containsText" text="G">
      <formula>NOT(ISERROR(SEARCH("G",AZ5)))</formula>
    </cfRule>
    <cfRule type="containsText" dxfId="1119" priority="1251" operator="containsText" text="P">
      <formula>NOT(ISERROR(SEARCH("P",AZ5)))</formula>
    </cfRule>
  </conditionalFormatting>
  <conditionalFormatting sqref="D53:E54">
    <cfRule type="containsText" dxfId="1118" priority="1246" operator="containsText" text="Ex">
      <formula>NOT(ISERROR(SEARCH("Ex",D53)))</formula>
    </cfRule>
    <cfRule type="containsText" dxfId="1117" priority="1247" operator="containsText" text="G">
      <formula>NOT(ISERROR(SEARCH("G",D53)))</formula>
    </cfRule>
    <cfRule type="containsText" dxfId="1116" priority="1248" operator="containsText" text="P">
      <formula>NOT(ISERROR(SEARCH("P",D53)))</formula>
    </cfRule>
  </conditionalFormatting>
  <conditionalFormatting sqref="H53:I54">
    <cfRule type="containsText" dxfId="1115" priority="1243" operator="containsText" text="Ex">
      <formula>NOT(ISERROR(SEARCH("Ex",H53)))</formula>
    </cfRule>
    <cfRule type="containsText" dxfId="1114" priority="1244" operator="containsText" text="G">
      <formula>NOT(ISERROR(SEARCH("G",H53)))</formula>
    </cfRule>
    <cfRule type="containsText" dxfId="1113" priority="1245" operator="containsText" text="P">
      <formula>NOT(ISERROR(SEARCH("P",H53)))</formula>
    </cfRule>
  </conditionalFormatting>
  <conditionalFormatting sqref="AZ9:BA10">
    <cfRule type="containsText" dxfId="1112" priority="1240" operator="containsText" text="Ex">
      <formula>NOT(ISERROR(SEARCH("Ex",AZ9)))</formula>
    </cfRule>
    <cfRule type="containsText" dxfId="1111" priority="1241" operator="containsText" text="G">
      <formula>NOT(ISERROR(SEARCH("G",AZ9)))</formula>
    </cfRule>
    <cfRule type="containsText" dxfId="1110" priority="1242" operator="containsText" text="P">
      <formula>NOT(ISERROR(SEARCH("P",AZ9)))</formula>
    </cfRule>
  </conditionalFormatting>
  <conditionalFormatting sqref="L53:M54">
    <cfRule type="containsText" dxfId="1109" priority="1237" operator="containsText" text="Ex">
      <formula>NOT(ISERROR(SEARCH("Ex",L53)))</formula>
    </cfRule>
    <cfRule type="containsText" dxfId="1108" priority="1238" operator="containsText" text="G">
      <formula>NOT(ISERROR(SEARCH("G",L53)))</formula>
    </cfRule>
    <cfRule type="containsText" dxfId="1107" priority="1239" operator="containsText" text="P">
      <formula>NOT(ISERROR(SEARCH("P",L53)))</formula>
    </cfRule>
  </conditionalFormatting>
  <conditionalFormatting sqref="AZ13:BA14">
    <cfRule type="containsText" dxfId="1106" priority="1234" operator="containsText" text="Ex">
      <formula>NOT(ISERROR(SEARCH("Ex",AZ13)))</formula>
    </cfRule>
    <cfRule type="containsText" dxfId="1105" priority="1235" operator="containsText" text="G">
      <formula>NOT(ISERROR(SEARCH("G",AZ13)))</formula>
    </cfRule>
    <cfRule type="containsText" dxfId="1104" priority="1236" operator="containsText" text="P">
      <formula>NOT(ISERROR(SEARCH("P",AZ13)))</formula>
    </cfRule>
  </conditionalFormatting>
  <conditionalFormatting sqref="P53:Q54">
    <cfRule type="containsText" dxfId="1103" priority="1231" operator="containsText" text="Ex">
      <formula>NOT(ISERROR(SEARCH("Ex",P53)))</formula>
    </cfRule>
    <cfRule type="containsText" dxfId="1102" priority="1232" operator="containsText" text="G">
      <formula>NOT(ISERROR(SEARCH("G",P53)))</formula>
    </cfRule>
    <cfRule type="containsText" dxfId="1101" priority="1233" operator="containsText" text="P">
      <formula>NOT(ISERROR(SEARCH("P",P53)))</formula>
    </cfRule>
  </conditionalFormatting>
  <conditionalFormatting sqref="AZ17:BA18">
    <cfRule type="containsText" dxfId="1100" priority="1228" operator="containsText" text="Ex">
      <formula>NOT(ISERROR(SEARCH("Ex",AZ17)))</formula>
    </cfRule>
    <cfRule type="containsText" dxfId="1099" priority="1229" operator="containsText" text="G">
      <formula>NOT(ISERROR(SEARCH("G",AZ17)))</formula>
    </cfRule>
    <cfRule type="containsText" dxfId="1098" priority="1230" operator="containsText" text="P">
      <formula>NOT(ISERROR(SEARCH("P",AZ17)))</formula>
    </cfRule>
  </conditionalFormatting>
  <conditionalFormatting sqref="T53:U54">
    <cfRule type="containsText" dxfId="1097" priority="1225" operator="containsText" text="Ex">
      <formula>NOT(ISERROR(SEARCH("Ex",T53)))</formula>
    </cfRule>
    <cfRule type="containsText" dxfId="1096" priority="1226" operator="containsText" text="G">
      <formula>NOT(ISERROR(SEARCH("G",T53)))</formula>
    </cfRule>
    <cfRule type="containsText" dxfId="1095" priority="1227" operator="containsText" text="P">
      <formula>NOT(ISERROR(SEARCH("P",T53)))</formula>
    </cfRule>
  </conditionalFormatting>
  <conditionalFormatting sqref="AZ21:BA22">
    <cfRule type="containsText" dxfId="1094" priority="1222" operator="containsText" text="Ex">
      <formula>NOT(ISERROR(SEARCH("Ex",AZ21)))</formula>
    </cfRule>
    <cfRule type="containsText" dxfId="1093" priority="1223" operator="containsText" text="G">
      <formula>NOT(ISERROR(SEARCH("G",AZ21)))</formula>
    </cfRule>
    <cfRule type="containsText" dxfId="1092" priority="1224" operator="containsText" text="P">
      <formula>NOT(ISERROR(SEARCH("P",AZ21)))</formula>
    </cfRule>
  </conditionalFormatting>
  <conditionalFormatting sqref="X53:Y54">
    <cfRule type="containsText" dxfId="1091" priority="1219" operator="containsText" text="Ex">
      <formula>NOT(ISERROR(SEARCH("Ex",X53)))</formula>
    </cfRule>
    <cfRule type="containsText" dxfId="1090" priority="1220" operator="containsText" text="G">
      <formula>NOT(ISERROR(SEARCH("G",X53)))</formula>
    </cfRule>
    <cfRule type="containsText" dxfId="1089" priority="1221" operator="containsText" text="P">
      <formula>NOT(ISERROR(SEARCH("P",X53)))</formula>
    </cfRule>
  </conditionalFormatting>
  <conditionalFormatting sqref="AZ49:BA50">
    <cfRule type="containsText" dxfId="1088" priority="1180" operator="containsText" text="Ex">
      <formula>NOT(ISERROR(SEARCH("Ex",AZ49)))</formula>
    </cfRule>
    <cfRule type="containsText" dxfId="1087" priority="1181" operator="containsText" text="G">
      <formula>NOT(ISERROR(SEARCH("G",AZ49)))</formula>
    </cfRule>
    <cfRule type="containsText" dxfId="1086" priority="1182" operator="containsText" text="P">
      <formula>NOT(ISERROR(SEARCH("P",AZ49)))</formula>
    </cfRule>
  </conditionalFormatting>
  <conditionalFormatting sqref="AZ25:BA26">
    <cfRule type="containsText" dxfId="1085" priority="1216" operator="containsText" text="Ex">
      <formula>NOT(ISERROR(SEARCH("Ex",AZ25)))</formula>
    </cfRule>
    <cfRule type="containsText" dxfId="1084" priority="1217" operator="containsText" text="G">
      <formula>NOT(ISERROR(SEARCH("G",AZ25)))</formula>
    </cfRule>
    <cfRule type="containsText" dxfId="1083" priority="1218" operator="containsText" text="P">
      <formula>NOT(ISERROR(SEARCH("P",AZ25)))</formula>
    </cfRule>
  </conditionalFormatting>
  <conditionalFormatting sqref="AB53:AC54">
    <cfRule type="containsText" dxfId="1082" priority="1213" operator="containsText" text="Ex">
      <formula>NOT(ISERROR(SEARCH("Ex",AB53)))</formula>
    </cfRule>
    <cfRule type="containsText" dxfId="1081" priority="1214" operator="containsText" text="G">
      <formula>NOT(ISERROR(SEARCH("G",AB53)))</formula>
    </cfRule>
    <cfRule type="containsText" dxfId="1080" priority="1215" operator="containsText" text="P">
      <formula>NOT(ISERROR(SEARCH("P",AB53)))</formula>
    </cfRule>
  </conditionalFormatting>
  <conditionalFormatting sqref="AZ29:BA30">
    <cfRule type="containsText" dxfId="1079" priority="1210" operator="containsText" text="Ex">
      <formula>NOT(ISERROR(SEARCH("Ex",AZ29)))</formula>
    </cfRule>
    <cfRule type="containsText" dxfId="1078" priority="1211" operator="containsText" text="G">
      <formula>NOT(ISERROR(SEARCH("G",AZ29)))</formula>
    </cfRule>
    <cfRule type="containsText" dxfId="1077" priority="1212" operator="containsText" text="P">
      <formula>NOT(ISERROR(SEARCH("P",AZ29)))</formula>
    </cfRule>
  </conditionalFormatting>
  <conditionalFormatting sqref="AF53:AG54">
    <cfRule type="containsText" dxfId="1076" priority="1207" operator="containsText" text="Ex">
      <formula>NOT(ISERROR(SEARCH("Ex",AF53)))</formula>
    </cfRule>
    <cfRule type="containsText" dxfId="1075" priority="1208" operator="containsText" text="G">
      <formula>NOT(ISERROR(SEARCH("G",AF53)))</formula>
    </cfRule>
    <cfRule type="containsText" dxfId="1074" priority="1209" operator="containsText" text="P">
      <formula>NOT(ISERROR(SEARCH("P",AF53)))</formula>
    </cfRule>
  </conditionalFormatting>
  <conditionalFormatting sqref="AZ33:BA34">
    <cfRule type="containsText" dxfId="1073" priority="1204" operator="containsText" text="Ex">
      <formula>NOT(ISERROR(SEARCH("Ex",AZ33)))</formula>
    </cfRule>
    <cfRule type="containsText" dxfId="1072" priority="1205" operator="containsText" text="G">
      <formula>NOT(ISERROR(SEARCH("G",AZ33)))</formula>
    </cfRule>
    <cfRule type="containsText" dxfId="1071" priority="1206" operator="containsText" text="P">
      <formula>NOT(ISERROR(SEARCH("P",AZ33)))</formula>
    </cfRule>
  </conditionalFormatting>
  <conditionalFormatting sqref="AJ53:AK54">
    <cfRule type="containsText" dxfId="1070" priority="1201" operator="containsText" text="Ex">
      <formula>NOT(ISERROR(SEARCH("Ex",AJ53)))</formula>
    </cfRule>
    <cfRule type="containsText" dxfId="1069" priority="1202" operator="containsText" text="G">
      <formula>NOT(ISERROR(SEARCH("G",AJ53)))</formula>
    </cfRule>
    <cfRule type="containsText" dxfId="1068" priority="1203" operator="containsText" text="P">
      <formula>NOT(ISERROR(SEARCH("P",AJ53)))</formula>
    </cfRule>
  </conditionalFormatting>
  <conditionalFormatting sqref="AZ37:BA38">
    <cfRule type="containsText" dxfId="1067" priority="1198" operator="containsText" text="Ex">
      <formula>NOT(ISERROR(SEARCH("Ex",AZ37)))</formula>
    </cfRule>
    <cfRule type="containsText" dxfId="1066" priority="1199" operator="containsText" text="G">
      <formula>NOT(ISERROR(SEARCH("G",AZ37)))</formula>
    </cfRule>
    <cfRule type="containsText" dxfId="1065" priority="1200" operator="containsText" text="P">
      <formula>NOT(ISERROR(SEARCH("P",AZ37)))</formula>
    </cfRule>
  </conditionalFormatting>
  <conditionalFormatting sqref="AN53:AO54">
    <cfRule type="containsText" dxfId="1064" priority="1195" operator="containsText" text="Ex">
      <formula>NOT(ISERROR(SEARCH("Ex",AN53)))</formula>
    </cfRule>
    <cfRule type="containsText" dxfId="1063" priority="1196" operator="containsText" text="G">
      <formula>NOT(ISERROR(SEARCH("G",AN53)))</formula>
    </cfRule>
    <cfRule type="containsText" dxfId="1062" priority="1197" operator="containsText" text="P">
      <formula>NOT(ISERROR(SEARCH("P",AN53)))</formula>
    </cfRule>
  </conditionalFormatting>
  <conditionalFormatting sqref="AZ41:BA42">
    <cfRule type="containsText" dxfId="1061" priority="1192" operator="containsText" text="Ex">
      <formula>NOT(ISERROR(SEARCH("Ex",AZ41)))</formula>
    </cfRule>
    <cfRule type="containsText" dxfId="1060" priority="1193" operator="containsText" text="G">
      <formula>NOT(ISERROR(SEARCH("G",AZ41)))</formula>
    </cfRule>
    <cfRule type="containsText" dxfId="1059" priority="1194" operator="containsText" text="P">
      <formula>NOT(ISERROR(SEARCH("P",AZ41)))</formula>
    </cfRule>
  </conditionalFormatting>
  <conditionalFormatting sqref="AR53:AS54">
    <cfRule type="containsText" dxfId="1058" priority="1189" operator="containsText" text="Ex">
      <formula>NOT(ISERROR(SEARCH("Ex",AR53)))</formula>
    </cfRule>
    <cfRule type="containsText" dxfId="1057" priority="1190" operator="containsText" text="G">
      <formula>NOT(ISERROR(SEARCH("G",AR53)))</formula>
    </cfRule>
    <cfRule type="containsText" dxfId="1056" priority="1191" operator="containsText" text="P">
      <formula>NOT(ISERROR(SEARCH("P",AR53)))</formula>
    </cfRule>
  </conditionalFormatting>
  <conditionalFormatting sqref="AZ45:BA46">
    <cfRule type="containsText" dxfId="1055" priority="1186" operator="containsText" text="Ex">
      <formula>NOT(ISERROR(SEARCH("Ex",AZ45)))</formula>
    </cfRule>
    <cfRule type="containsText" dxfId="1054" priority="1187" operator="containsText" text="G">
      <formula>NOT(ISERROR(SEARCH("G",AZ45)))</formula>
    </cfRule>
    <cfRule type="containsText" dxfId="1053" priority="1188" operator="containsText" text="P">
      <formula>NOT(ISERROR(SEARCH("P",AZ45)))</formula>
    </cfRule>
  </conditionalFormatting>
  <conditionalFormatting sqref="AV53:AW54">
    <cfRule type="containsText" dxfId="1052" priority="1183" operator="containsText" text="Ex">
      <formula>NOT(ISERROR(SEARCH("Ex",AV53)))</formula>
    </cfRule>
    <cfRule type="containsText" dxfId="1051" priority="1184" operator="containsText" text="G">
      <formula>NOT(ISERROR(SEARCH("G",AV53)))</formula>
    </cfRule>
    <cfRule type="containsText" dxfId="1050" priority="1185" operator="containsText" text="P">
      <formula>NOT(ISERROR(SEARCH("P",AV53)))</formula>
    </cfRule>
  </conditionalFormatting>
  <conditionalFormatting sqref="D57:E58">
    <cfRule type="containsText" dxfId="1049" priority="1177" operator="containsText" text="Ex">
      <formula>NOT(ISERROR(SEARCH("Ex",D57)))</formula>
    </cfRule>
    <cfRule type="containsText" dxfId="1048" priority="1178" operator="containsText" text="G">
      <formula>NOT(ISERROR(SEARCH("G",D57)))</formula>
    </cfRule>
    <cfRule type="containsText" dxfId="1047" priority="1179" operator="containsText" text="P">
      <formula>NOT(ISERROR(SEARCH("P",D57)))</formula>
    </cfRule>
  </conditionalFormatting>
  <conditionalFormatting sqref="BD5:BE6">
    <cfRule type="containsText" dxfId="1046" priority="1174" operator="containsText" text="Ex">
      <formula>NOT(ISERROR(SEARCH("Ex",BD5)))</formula>
    </cfRule>
    <cfRule type="containsText" dxfId="1045" priority="1175" operator="containsText" text="G">
      <formula>NOT(ISERROR(SEARCH("G",BD5)))</formula>
    </cfRule>
    <cfRule type="containsText" dxfId="1044" priority="1176" operator="containsText" text="P">
      <formula>NOT(ISERROR(SEARCH("P",BD5)))</formula>
    </cfRule>
  </conditionalFormatting>
  <conditionalFormatting sqref="H57:I58">
    <cfRule type="containsText" dxfId="1043" priority="1171" operator="containsText" text="Ex">
      <formula>NOT(ISERROR(SEARCH("Ex",H57)))</formula>
    </cfRule>
    <cfRule type="containsText" dxfId="1042" priority="1172" operator="containsText" text="G">
      <formula>NOT(ISERROR(SEARCH("G",H57)))</formula>
    </cfRule>
    <cfRule type="containsText" dxfId="1041" priority="1173" operator="containsText" text="P">
      <formula>NOT(ISERROR(SEARCH("P",H57)))</formula>
    </cfRule>
  </conditionalFormatting>
  <conditionalFormatting sqref="BD9:BE10">
    <cfRule type="containsText" dxfId="1040" priority="1168" operator="containsText" text="Ex">
      <formula>NOT(ISERROR(SEARCH("Ex",BD9)))</formula>
    </cfRule>
    <cfRule type="containsText" dxfId="1039" priority="1169" operator="containsText" text="G">
      <formula>NOT(ISERROR(SEARCH("G",BD9)))</formula>
    </cfRule>
    <cfRule type="containsText" dxfId="1038" priority="1170" operator="containsText" text="P">
      <formula>NOT(ISERROR(SEARCH("P",BD9)))</formula>
    </cfRule>
  </conditionalFormatting>
  <conditionalFormatting sqref="L57:M58">
    <cfRule type="containsText" dxfId="1037" priority="1165" operator="containsText" text="Ex">
      <formula>NOT(ISERROR(SEARCH("Ex",L57)))</formula>
    </cfRule>
    <cfRule type="containsText" dxfId="1036" priority="1166" operator="containsText" text="G">
      <formula>NOT(ISERROR(SEARCH("G",L57)))</formula>
    </cfRule>
    <cfRule type="containsText" dxfId="1035" priority="1167" operator="containsText" text="P">
      <formula>NOT(ISERROR(SEARCH("P",L57)))</formula>
    </cfRule>
  </conditionalFormatting>
  <conditionalFormatting sqref="BD13:BE14">
    <cfRule type="containsText" dxfId="1034" priority="1162" operator="containsText" text="Ex">
      <formula>NOT(ISERROR(SEARCH("Ex",BD13)))</formula>
    </cfRule>
    <cfRule type="containsText" dxfId="1033" priority="1163" operator="containsText" text="G">
      <formula>NOT(ISERROR(SEARCH("G",BD13)))</formula>
    </cfRule>
    <cfRule type="containsText" dxfId="1032" priority="1164" operator="containsText" text="P">
      <formula>NOT(ISERROR(SEARCH("P",BD13)))</formula>
    </cfRule>
  </conditionalFormatting>
  <conditionalFormatting sqref="P57:Q58">
    <cfRule type="containsText" dxfId="1031" priority="1159" operator="containsText" text="Ex">
      <formula>NOT(ISERROR(SEARCH("Ex",P57)))</formula>
    </cfRule>
    <cfRule type="containsText" dxfId="1030" priority="1160" operator="containsText" text="G">
      <formula>NOT(ISERROR(SEARCH("G",P57)))</formula>
    </cfRule>
    <cfRule type="containsText" dxfId="1029" priority="1161" operator="containsText" text="P">
      <formula>NOT(ISERROR(SEARCH("P",P57)))</formula>
    </cfRule>
  </conditionalFormatting>
  <conditionalFormatting sqref="BD17:BE18">
    <cfRule type="containsText" dxfId="1028" priority="1156" operator="containsText" text="Ex">
      <formula>NOT(ISERROR(SEARCH("Ex",BD17)))</formula>
    </cfRule>
    <cfRule type="containsText" dxfId="1027" priority="1157" operator="containsText" text="G">
      <formula>NOT(ISERROR(SEARCH("G",BD17)))</formula>
    </cfRule>
    <cfRule type="containsText" dxfId="1026" priority="1158" operator="containsText" text="P">
      <formula>NOT(ISERROR(SEARCH("P",BD17)))</formula>
    </cfRule>
  </conditionalFormatting>
  <conditionalFormatting sqref="T57:U58">
    <cfRule type="containsText" dxfId="1025" priority="1153" operator="containsText" text="Ex">
      <formula>NOT(ISERROR(SEARCH("Ex",T57)))</formula>
    </cfRule>
    <cfRule type="containsText" dxfId="1024" priority="1154" operator="containsText" text="G">
      <formula>NOT(ISERROR(SEARCH("G",T57)))</formula>
    </cfRule>
    <cfRule type="containsText" dxfId="1023" priority="1155" operator="containsText" text="P">
      <formula>NOT(ISERROR(SEARCH("P",T57)))</formula>
    </cfRule>
  </conditionalFormatting>
  <conditionalFormatting sqref="BD21:BE22">
    <cfRule type="containsText" dxfId="1022" priority="1150" operator="containsText" text="Ex">
      <formula>NOT(ISERROR(SEARCH("Ex",BD21)))</formula>
    </cfRule>
    <cfRule type="containsText" dxfId="1021" priority="1151" operator="containsText" text="G">
      <formula>NOT(ISERROR(SEARCH("G",BD21)))</formula>
    </cfRule>
    <cfRule type="containsText" dxfId="1020" priority="1152" operator="containsText" text="P">
      <formula>NOT(ISERROR(SEARCH("P",BD21)))</formula>
    </cfRule>
  </conditionalFormatting>
  <conditionalFormatting sqref="X57:Y58">
    <cfRule type="containsText" dxfId="1019" priority="1147" operator="containsText" text="Ex">
      <formula>NOT(ISERROR(SEARCH("Ex",X57)))</formula>
    </cfRule>
    <cfRule type="containsText" dxfId="1018" priority="1148" operator="containsText" text="G">
      <formula>NOT(ISERROR(SEARCH("G",X57)))</formula>
    </cfRule>
    <cfRule type="containsText" dxfId="1017" priority="1149" operator="containsText" text="P">
      <formula>NOT(ISERROR(SEARCH("P",X57)))</formula>
    </cfRule>
  </conditionalFormatting>
  <conditionalFormatting sqref="BD25:BE26">
    <cfRule type="containsText" dxfId="1016" priority="1144" operator="containsText" text="Ex">
      <formula>NOT(ISERROR(SEARCH("Ex",BD25)))</formula>
    </cfRule>
    <cfRule type="containsText" dxfId="1015" priority="1145" operator="containsText" text="G">
      <formula>NOT(ISERROR(SEARCH("G",BD25)))</formula>
    </cfRule>
    <cfRule type="containsText" dxfId="1014" priority="1146" operator="containsText" text="P">
      <formula>NOT(ISERROR(SEARCH("P",BD25)))</formula>
    </cfRule>
  </conditionalFormatting>
  <conditionalFormatting sqref="AB57:AC58">
    <cfRule type="containsText" dxfId="1013" priority="1141" operator="containsText" text="Ex">
      <formula>NOT(ISERROR(SEARCH("Ex",AB57)))</formula>
    </cfRule>
    <cfRule type="containsText" dxfId="1012" priority="1142" operator="containsText" text="G">
      <formula>NOT(ISERROR(SEARCH("G",AB57)))</formula>
    </cfRule>
    <cfRule type="containsText" dxfId="1011" priority="1143" operator="containsText" text="P">
      <formula>NOT(ISERROR(SEARCH("P",AB57)))</formula>
    </cfRule>
  </conditionalFormatting>
  <conditionalFormatting sqref="BD29:BE30">
    <cfRule type="containsText" dxfId="1010" priority="1138" operator="containsText" text="Ex">
      <formula>NOT(ISERROR(SEARCH("Ex",BD29)))</formula>
    </cfRule>
    <cfRule type="containsText" dxfId="1009" priority="1139" operator="containsText" text="G">
      <formula>NOT(ISERROR(SEARCH("G",BD29)))</formula>
    </cfRule>
    <cfRule type="containsText" dxfId="1008" priority="1140" operator="containsText" text="P">
      <formula>NOT(ISERROR(SEARCH("P",BD29)))</formula>
    </cfRule>
  </conditionalFormatting>
  <conditionalFormatting sqref="AF57:AG58">
    <cfRule type="containsText" dxfId="1007" priority="1135" operator="containsText" text="Ex">
      <formula>NOT(ISERROR(SEARCH("Ex",AF57)))</formula>
    </cfRule>
    <cfRule type="containsText" dxfId="1006" priority="1136" operator="containsText" text="G">
      <formula>NOT(ISERROR(SEARCH("G",AF57)))</formula>
    </cfRule>
    <cfRule type="containsText" dxfId="1005" priority="1137" operator="containsText" text="P">
      <formula>NOT(ISERROR(SEARCH("P",AF57)))</formula>
    </cfRule>
  </conditionalFormatting>
  <conditionalFormatting sqref="BD33:BE34">
    <cfRule type="containsText" dxfId="1004" priority="1132" operator="containsText" text="Ex">
      <formula>NOT(ISERROR(SEARCH("Ex",BD33)))</formula>
    </cfRule>
    <cfRule type="containsText" dxfId="1003" priority="1133" operator="containsText" text="G">
      <formula>NOT(ISERROR(SEARCH("G",BD33)))</formula>
    </cfRule>
    <cfRule type="containsText" dxfId="1002" priority="1134" operator="containsText" text="P">
      <formula>NOT(ISERROR(SEARCH("P",BD33)))</formula>
    </cfRule>
  </conditionalFormatting>
  <conditionalFormatting sqref="AJ57:AK58">
    <cfRule type="containsText" dxfId="1001" priority="1129" operator="containsText" text="Ex">
      <formula>NOT(ISERROR(SEARCH("Ex",AJ57)))</formula>
    </cfRule>
    <cfRule type="containsText" dxfId="1000" priority="1130" operator="containsText" text="G">
      <formula>NOT(ISERROR(SEARCH("G",AJ57)))</formula>
    </cfRule>
    <cfRule type="containsText" dxfId="999" priority="1131" operator="containsText" text="P">
      <formula>NOT(ISERROR(SEARCH("P",AJ57)))</formula>
    </cfRule>
  </conditionalFormatting>
  <conditionalFormatting sqref="BD37:BE38">
    <cfRule type="containsText" dxfId="998" priority="1126" operator="containsText" text="Ex">
      <formula>NOT(ISERROR(SEARCH("Ex",BD37)))</formula>
    </cfRule>
    <cfRule type="containsText" dxfId="997" priority="1127" operator="containsText" text="G">
      <formula>NOT(ISERROR(SEARCH("G",BD37)))</formula>
    </cfRule>
    <cfRule type="containsText" dxfId="996" priority="1128" operator="containsText" text="P">
      <formula>NOT(ISERROR(SEARCH("P",BD37)))</formula>
    </cfRule>
  </conditionalFormatting>
  <conditionalFormatting sqref="AN57:AO58">
    <cfRule type="containsText" dxfId="995" priority="1123" operator="containsText" text="Ex">
      <formula>NOT(ISERROR(SEARCH("Ex",AN57)))</formula>
    </cfRule>
    <cfRule type="containsText" dxfId="994" priority="1124" operator="containsText" text="G">
      <formula>NOT(ISERROR(SEARCH("G",AN57)))</formula>
    </cfRule>
    <cfRule type="containsText" dxfId="993" priority="1125" operator="containsText" text="P">
      <formula>NOT(ISERROR(SEARCH("P",AN57)))</formula>
    </cfRule>
  </conditionalFormatting>
  <conditionalFormatting sqref="BD41:BE42">
    <cfRule type="containsText" dxfId="992" priority="1120" operator="containsText" text="Ex">
      <formula>NOT(ISERROR(SEARCH("Ex",BD41)))</formula>
    </cfRule>
    <cfRule type="containsText" dxfId="991" priority="1121" operator="containsText" text="G">
      <formula>NOT(ISERROR(SEARCH("G",BD41)))</formula>
    </cfRule>
    <cfRule type="containsText" dxfId="990" priority="1122" operator="containsText" text="P">
      <formula>NOT(ISERROR(SEARCH("P",BD41)))</formula>
    </cfRule>
  </conditionalFormatting>
  <conditionalFormatting sqref="AR57:AS58">
    <cfRule type="containsText" dxfId="989" priority="1117" operator="containsText" text="Ex">
      <formula>NOT(ISERROR(SEARCH("Ex",AR57)))</formula>
    </cfRule>
    <cfRule type="containsText" dxfId="988" priority="1118" operator="containsText" text="G">
      <formula>NOT(ISERROR(SEARCH("G",AR57)))</formula>
    </cfRule>
    <cfRule type="containsText" dxfId="987" priority="1119" operator="containsText" text="P">
      <formula>NOT(ISERROR(SEARCH("P",AR57)))</formula>
    </cfRule>
  </conditionalFormatting>
  <conditionalFormatting sqref="BD45:BE46">
    <cfRule type="containsText" dxfId="986" priority="1114" operator="containsText" text="Ex">
      <formula>NOT(ISERROR(SEARCH("Ex",BD45)))</formula>
    </cfRule>
    <cfRule type="containsText" dxfId="985" priority="1115" operator="containsText" text="G">
      <formula>NOT(ISERROR(SEARCH("G",BD45)))</formula>
    </cfRule>
    <cfRule type="containsText" dxfId="984" priority="1116" operator="containsText" text="P">
      <formula>NOT(ISERROR(SEARCH("P",BD45)))</formula>
    </cfRule>
  </conditionalFormatting>
  <conditionalFormatting sqref="AV57:AW58">
    <cfRule type="containsText" dxfId="983" priority="1111" operator="containsText" text="Ex">
      <formula>NOT(ISERROR(SEARCH("Ex",AV57)))</formula>
    </cfRule>
    <cfRule type="containsText" dxfId="982" priority="1112" operator="containsText" text="G">
      <formula>NOT(ISERROR(SEARCH("G",AV57)))</formula>
    </cfRule>
    <cfRule type="containsText" dxfId="981" priority="1113" operator="containsText" text="P">
      <formula>NOT(ISERROR(SEARCH("P",AV57)))</formula>
    </cfRule>
  </conditionalFormatting>
  <conditionalFormatting sqref="BD49:BE50">
    <cfRule type="containsText" dxfId="980" priority="1105" operator="containsText" text="Ex">
      <formula>NOT(ISERROR(SEARCH("Ex",BD49)))</formula>
    </cfRule>
    <cfRule type="containsText" dxfId="979" priority="1106" operator="containsText" text="G">
      <formula>NOT(ISERROR(SEARCH("G",BD49)))</formula>
    </cfRule>
    <cfRule type="containsText" dxfId="978" priority="1107" operator="containsText" text="P">
      <formula>NOT(ISERROR(SEARCH("P",BD49)))</formula>
    </cfRule>
  </conditionalFormatting>
  <conditionalFormatting sqref="AZ57:BA58">
    <cfRule type="containsText" dxfId="977" priority="1102" operator="containsText" text="Ex">
      <formula>NOT(ISERROR(SEARCH("Ex",AZ57)))</formula>
    </cfRule>
    <cfRule type="containsText" dxfId="976" priority="1103" operator="containsText" text="G">
      <formula>NOT(ISERROR(SEARCH("G",AZ57)))</formula>
    </cfRule>
    <cfRule type="containsText" dxfId="975" priority="1104" operator="containsText" text="P">
      <formula>NOT(ISERROR(SEARCH("P",AZ57)))</formula>
    </cfRule>
  </conditionalFormatting>
  <conditionalFormatting sqref="BD53:BE54">
    <cfRule type="containsText" dxfId="974" priority="1099" operator="containsText" text="Ex">
      <formula>NOT(ISERROR(SEARCH("Ex",BD53)))</formula>
    </cfRule>
    <cfRule type="containsText" dxfId="973" priority="1100" operator="containsText" text="G">
      <formula>NOT(ISERROR(SEARCH("G",BD53)))</formula>
    </cfRule>
    <cfRule type="containsText" dxfId="972" priority="1101" operator="containsText" text="P">
      <formula>NOT(ISERROR(SEARCH("P",BD53)))</formula>
    </cfRule>
  </conditionalFormatting>
  <conditionalFormatting sqref="BH5:BI6">
    <cfRule type="containsText" dxfId="971" priority="1096" operator="containsText" text="Ex">
      <formula>NOT(ISERROR(SEARCH("Ex",BH5)))</formula>
    </cfRule>
    <cfRule type="containsText" dxfId="970" priority="1097" operator="containsText" text="G">
      <formula>NOT(ISERROR(SEARCH("G",BH5)))</formula>
    </cfRule>
    <cfRule type="containsText" dxfId="969" priority="1098" operator="containsText" text="P">
      <formula>NOT(ISERROR(SEARCH("P",BH5)))</formula>
    </cfRule>
  </conditionalFormatting>
  <conditionalFormatting sqref="BH57:BI58">
    <cfRule type="containsText" dxfId="968" priority="1015" operator="containsText" text="Ex">
      <formula>NOT(ISERROR(SEARCH("Ex",BH57)))</formula>
    </cfRule>
    <cfRule type="containsText" dxfId="967" priority="1016" operator="containsText" text="G">
      <formula>NOT(ISERROR(SEARCH("G",BH57)))</formula>
    </cfRule>
    <cfRule type="containsText" dxfId="966" priority="1017" operator="containsText" text="P">
      <formula>NOT(ISERROR(SEARCH("P",BH57)))</formula>
    </cfRule>
  </conditionalFormatting>
  <conditionalFormatting sqref="D61:E62">
    <cfRule type="containsText" dxfId="965" priority="1093" operator="containsText" text="Ex">
      <formula>NOT(ISERROR(SEARCH("Ex",D61)))</formula>
    </cfRule>
    <cfRule type="containsText" dxfId="964" priority="1094" operator="containsText" text="G">
      <formula>NOT(ISERROR(SEARCH("G",D61)))</formula>
    </cfRule>
    <cfRule type="containsText" dxfId="963" priority="1095" operator="containsText" text="P">
      <formula>NOT(ISERROR(SEARCH("P",D61)))</formula>
    </cfRule>
  </conditionalFormatting>
  <conditionalFormatting sqref="H61:I62">
    <cfRule type="containsText" dxfId="962" priority="1090" operator="containsText" text="Ex">
      <formula>NOT(ISERROR(SEARCH("Ex",H61)))</formula>
    </cfRule>
    <cfRule type="containsText" dxfId="961" priority="1091" operator="containsText" text="G">
      <formula>NOT(ISERROR(SEARCH("G",H61)))</formula>
    </cfRule>
    <cfRule type="containsText" dxfId="960" priority="1092" operator="containsText" text="P">
      <formula>NOT(ISERROR(SEARCH("P",H61)))</formula>
    </cfRule>
  </conditionalFormatting>
  <conditionalFormatting sqref="BH9:BI10">
    <cfRule type="containsText" dxfId="959" priority="1087" operator="containsText" text="Ex">
      <formula>NOT(ISERROR(SEARCH("Ex",BH9)))</formula>
    </cfRule>
    <cfRule type="containsText" dxfId="958" priority="1088" operator="containsText" text="G">
      <formula>NOT(ISERROR(SEARCH("G",BH9)))</formula>
    </cfRule>
    <cfRule type="containsText" dxfId="957" priority="1089" operator="containsText" text="P">
      <formula>NOT(ISERROR(SEARCH("P",BH9)))</formula>
    </cfRule>
  </conditionalFormatting>
  <conditionalFormatting sqref="L61:M62">
    <cfRule type="containsText" dxfId="956" priority="1084" operator="containsText" text="Ex">
      <formula>NOT(ISERROR(SEARCH("Ex",L61)))</formula>
    </cfRule>
    <cfRule type="containsText" dxfId="955" priority="1085" operator="containsText" text="G">
      <formula>NOT(ISERROR(SEARCH("G",L61)))</formula>
    </cfRule>
    <cfRule type="containsText" dxfId="954" priority="1086" operator="containsText" text="P">
      <formula>NOT(ISERROR(SEARCH("P",L61)))</formula>
    </cfRule>
  </conditionalFormatting>
  <conditionalFormatting sqref="BH13:BI14">
    <cfRule type="containsText" dxfId="953" priority="1081" operator="containsText" text="Ex">
      <formula>NOT(ISERROR(SEARCH("Ex",BH13)))</formula>
    </cfRule>
    <cfRule type="containsText" dxfId="952" priority="1082" operator="containsText" text="G">
      <formula>NOT(ISERROR(SEARCH("G",BH13)))</formula>
    </cfRule>
    <cfRule type="containsText" dxfId="951" priority="1083" operator="containsText" text="P">
      <formula>NOT(ISERROR(SEARCH("P",BH13)))</formula>
    </cfRule>
  </conditionalFormatting>
  <conditionalFormatting sqref="P61:Q62">
    <cfRule type="containsText" dxfId="950" priority="1078" operator="containsText" text="Ex">
      <formula>NOT(ISERROR(SEARCH("Ex",P61)))</formula>
    </cfRule>
    <cfRule type="containsText" dxfId="949" priority="1079" operator="containsText" text="G">
      <formula>NOT(ISERROR(SEARCH("G",P61)))</formula>
    </cfRule>
    <cfRule type="containsText" dxfId="948" priority="1080" operator="containsText" text="P">
      <formula>NOT(ISERROR(SEARCH("P",P61)))</formula>
    </cfRule>
  </conditionalFormatting>
  <conditionalFormatting sqref="BH17:BI18">
    <cfRule type="containsText" dxfId="947" priority="1075" operator="containsText" text="Ex">
      <formula>NOT(ISERROR(SEARCH("Ex",BH17)))</formula>
    </cfRule>
    <cfRule type="containsText" dxfId="946" priority="1076" operator="containsText" text="G">
      <formula>NOT(ISERROR(SEARCH("G",BH17)))</formula>
    </cfRule>
    <cfRule type="containsText" dxfId="945" priority="1077" operator="containsText" text="P">
      <formula>NOT(ISERROR(SEARCH("P",BH17)))</formula>
    </cfRule>
  </conditionalFormatting>
  <conditionalFormatting sqref="T61:U62">
    <cfRule type="containsText" dxfId="944" priority="1072" operator="containsText" text="Ex">
      <formula>NOT(ISERROR(SEARCH("Ex",T61)))</formula>
    </cfRule>
    <cfRule type="containsText" dxfId="943" priority="1073" operator="containsText" text="G">
      <formula>NOT(ISERROR(SEARCH("G",T61)))</formula>
    </cfRule>
    <cfRule type="containsText" dxfId="942" priority="1074" operator="containsText" text="P">
      <formula>NOT(ISERROR(SEARCH("P",T61)))</formula>
    </cfRule>
  </conditionalFormatting>
  <conditionalFormatting sqref="BH21:BI22">
    <cfRule type="containsText" dxfId="941" priority="1069" operator="containsText" text="Ex">
      <formula>NOT(ISERROR(SEARCH("Ex",BH21)))</formula>
    </cfRule>
    <cfRule type="containsText" dxfId="940" priority="1070" operator="containsText" text="G">
      <formula>NOT(ISERROR(SEARCH("G",BH21)))</formula>
    </cfRule>
    <cfRule type="containsText" dxfId="939" priority="1071" operator="containsText" text="P">
      <formula>NOT(ISERROR(SEARCH("P",BH21)))</formula>
    </cfRule>
  </conditionalFormatting>
  <conditionalFormatting sqref="X61:Y62">
    <cfRule type="containsText" dxfId="938" priority="1066" operator="containsText" text="Ex">
      <formula>NOT(ISERROR(SEARCH("Ex",X61)))</formula>
    </cfRule>
    <cfRule type="containsText" dxfId="937" priority="1067" operator="containsText" text="G">
      <formula>NOT(ISERROR(SEARCH("G",X61)))</formula>
    </cfRule>
    <cfRule type="containsText" dxfId="936" priority="1068" operator="containsText" text="P">
      <formula>NOT(ISERROR(SEARCH("P",X61)))</formula>
    </cfRule>
  </conditionalFormatting>
  <conditionalFormatting sqref="BH25:BI26">
    <cfRule type="containsText" dxfId="935" priority="1063" operator="containsText" text="Ex">
      <formula>NOT(ISERROR(SEARCH("Ex",BH25)))</formula>
    </cfRule>
    <cfRule type="containsText" dxfId="934" priority="1064" operator="containsText" text="G">
      <formula>NOT(ISERROR(SEARCH("G",BH25)))</formula>
    </cfRule>
    <cfRule type="containsText" dxfId="933" priority="1065" operator="containsText" text="P">
      <formula>NOT(ISERROR(SEARCH("P",BH25)))</formula>
    </cfRule>
  </conditionalFormatting>
  <conditionalFormatting sqref="AB61:AC62">
    <cfRule type="containsText" dxfId="932" priority="1060" operator="containsText" text="Ex">
      <formula>NOT(ISERROR(SEARCH("Ex",AB61)))</formula>
    </cfRule>
    <cfRule type="containsText" dxfId="931" priority="1061" operator="containsText" text="G">
      <formula>NOT(ISERROR(SEARCH("G",AB61)))</formula>
    </cfRule>
    <cfRule type="containsText" dxfId="930" priority="1062" operator="containsText" text="P">
      <formula>NOT(ISERROR(SEARCH("P",AB61)))</formula>
    </cfRule>
  </conditionalFormatting>
  <conditionalFormatting sqref="BH29:BI30">
    <cfRule type="containsText" dxfId="929" priority="1057" operator="containsText" text="Ex">
      <formula>NOT(ISERROR(SEARCH("Ex",BH29)))</formula>
    </cfRule>
    <cfRule type="containsText" dxfId="928" priority="1058" operator="containsText" text="G">
      <formula>NOT(ISERROR(SEARCH("G",BH29)))</formula>
    </cfRule>
    <cfRule type="containsText" dxfId="927" priority="1059" operator="containsText" text="P">
      <formula>NOT(ISERROR(SEARCH("P",BH29)))</formula>
    </cfRule>
  </conditionalFormatting>
  <conditionalFormatting sqref="AF61:AG62">
    <cfRule type="containsText" dxfId="926" priority="1054" operator="containsText" text="Ex">
      <formula>NOT(ISERROR(SEARCH("Ex",AF61)))</formula>
    </cfRule>
    <cfRule type="containsText" dxfId="925" priority="1055" operator="containsText" text="G">
      <formula>NOT(ISERROR(SEARCH("G",AF61)))</formula>
    </cfRule>
    <cfRule type="containsText" dxfId="924" priority="1056" operator="containsText" text="P">
      <formula>NOT(ISERROR(SEARCH("P",AF61)))</formula>
    </cfRule>
  </conditionalFormatting>
  <conditionalFormatting sqref="BH33:BI34">
    <cfRule type="containsText" dxfId="923" priority="1051" operator="containsText" text="Ex">
      <formula>NOT(ISERROR(SEARCH("Ex",BH33)))</formula>
    </cfRule>
    <cfRule type="containsText" dxfId="922" priority="1052" operator="containsText" text="G">
      <formula>NOT(ISERROR(SEARCH("G",BH33)))</formula>
    </cfRule>
    <cfRule type="containsText" dxfId="921" priority="1053" operator="containsText" text="P">
      <formula>NOT(ISERROR(SEARCH("P",BH33)))</formula>
    </cfRule>
  </conditionalFormatting>
  <conditionalFormatting sqref="AJ61:AK62">
    <cfRule type="containsText" dxfId="920" priority="1048" operator="containsText" text="Ex">
      <formula>NOT(ISERROR(SEARCH("Ex",AJ61)))</formula>
    </cfRule>
    <cfRule type="containsText" dxfId="919" priority="1049" operator="containsText" text="G">
      <formula>NOT(ISERROR(SEARCH("G",AJ61)))</formula>
    </cfRule>
    <cfRule type="containsText" dxfId="918" priority="1050" operator="containsText" text="P">
      <formula>NOT(ISERROR(SEARCH("P",AJ61)))</formula>
    </cfRule>
  </conditionalFormatting>
  <conditionalFormatting sqref="BH37:BI38">
    <cfRule type="containsText" dxfId="917" priority="1045" operator="containsText" text="Ex">
      <formula>NOT(ISERROR(SEARCH("Ex",BH37)))</formula>
    </cfRule>
    <cfRule type="containsText" dxfId="916" priority="1046" operator="containsText" text="G">
      <formula>NOT(ISERROR(SEARCH("G",BH37)))</formula>
    </cfRule>
    <cfRule type="containsText" dxfId="915" priority="1047" operator="containsText" text="P">
      <formula>NOT(ISERROR(SEARCH("P",BH37)))</formula>
    </cfRule>
  </conditionalFormatting>
  <conditionalFormatting sqref="AN61:AO62">
    <cfRule type="containsText" dxfId="914" priority="1042" operator="containsText" text="Ex">
      <formula>NOT(ISERROR(SEARCH("Ex",AN61)))</formula>
    </cfRule>
    <cfRule type="containsText" dxfId="913" priority="1043" operator="containsText" text="G">
      <formula>NOT(ISERROR(SEARCH("G",AN61)))</formula>
    </cfRule>
    <cfRule type="containsText" dxfId="912" priority="1044" operator="containsText" text="P">
      <formula>NOT(ISERROR(SEARCH("P",AN61)))</formula>
    </cfRule>
  </conditionalFormatting>
  <conditionalFormatting sqref="BH41:BI42">
    <cfRule type="containsText" dxfId="911" priority="1039" operator="containsText" text="Ex">
      <formula>NOT(ISERROR(SEARCH("Ex",BH41)))</formula>
    </cfRule>
    <cfRule type="containsText" dxfId="910" priority="1040" operator="containsText" text="G">
      <formula>NOT(ISERROR(SEARCH("G",BH41)))</formula>
    </cfRule>
    <cfRule type="containsText" dxfId="909" priority="1041" operator="containsText" text="P">
      <formula>NOT(ISERROR(SEARCH("P",BH41)))</formula>
    </cfRule>
  </conditionalFormatting>
  <conditionalFormatting sqref="AR61:AS62">
    <cfRule type="containsText" dxfId="908" priority="1036" operator="containsText" text="Ex">
      <formula>NOT(ISERROR(SEARCH("Ex",AR61)))</formula>
    </cfRule>
    <cfRule type="containsText" dxfId="907" priority="1037" operator="containsText" text="G">
      <formula>NOT(ISERROR(SEARCH("G",AR61)))</formula>
    </cfRule>
    <cfRule type="containsText" dxfId="906" priority="1038" operator="containsText" text="P">
      <formula>NOT(ISERROR(SEARCH("P",AR61)))</formula>
    </cfRule>
  </conditionalFormatting>
  <conditionalFormatting sqref="BH45:BI46">
    <cfRule type="containsText" dxfId="905" priority="1033" operator="containsText" text="Ex">
      <formula>NOT(ISERROR(SEARCH("Ex",BH45)))</formula>
    </cfRule>
    <cfRule type="containsText" dxfId="904" priority="1034" operator="containsText" text="G">
      <formula>NOT(ISERROR(SEARCH("G",BH45)))</formula>
    </cfRule>
    <cfRule type="containsText" dxfId="903" priority="1035" operator="containsText" text="P">
      <formula>NOT(ISERROR(SEARCH("P",BH45)))</formula>
    </cfRule>
  </conditionalFormatting>
  <conditionalFormatting sqref="AV61:AW62">
    <cfRule type="containsText" dxfId="902" priority="1030" operator="containsText" text="Ex">
      <formula>NOT(ISERROR(SEARCH("Ex",AV61)))</formula>
    </cfRule>
    <cfRule type="containsText" dxfId="901" priority="1031" operator="containsText" text="G">
      <formula>NOT(ISERROR(SEARCH("G",AV61)))</formula>
    </cfRule>
    <cfRule type="containsText" dxfId="900" priority="1032" operator="containsText" text="P">
      <formula>NOT(ISERROR(SEARCH("P",AV61)))</formula>
    </cfRule>
  </conditionalFormatting>
  <conditionalFormatting sqref="BH49:BI50">
    <cfRule type="containsText" dxfId="899" priority="1027" operator="containsText" text="Ex">
      <formula>NOT(ISERROR(SEARCH("Ex",BH49)))</formula>
    </cfRule>
    <cfRule type="containsText" dxfId="898" priority="1028" operator="containsText" text="G">
      <formula>NOT(ISERROR(SEARCH("G",BH49)))</formula>
    </cfRule>
    <cfRule type="containsText" dxfId="897" priority="1029" operator="containsText" text="P">
      <formula>NOT(ISERROR(SEARCH("P",BH49)))</formula>
    </cfRule>
  </conditionalFormatting>
  <conditionalFormatting sqref="AZ61:BA62">
    <cfRule type="containsText" dxfId="896" priority="1024" operator="containsText" text="Ex">
      <formula>NOT(ISERROR(SEARCH("Ex",AZ61)))</formula>
    </cfRule>
    <cfRule type="containsText" dxfId="895" priority="1025" operator="containsText" text="G">
      <formula>NOT(ISERROR(SEARCH("G",AZ61)))</formula>
    </cfRule>
    <cfRule type="containsText" dxfId="894" priority="1026" operator="containsText" text="P">
      <formula>NOT(ISERROR(SEARCH("P",AZ61)))</formula>
    </cfRule>
  </conditionalFormatting>
  <conditionalFormatting sqref="BH53:BI54">
    <cfRule type="containsText" dxfId="893" priority="1021" operator="containsText" text="Ex">
      <formula>NOT(ISERROR(SEARCH("Ex",BH53)))</formula>
    </cfRule>
    <cfRule type="containsText" dxfId="892" priority="1022" operator="containsText" text="G">
      <formula>NOT(ISERROR(SEARCH("G",BH53)))</formula>
    </cfRule>
    <cfRule type="containsText" dxfId="891" priority="1023" operator="containsText" text="P">
      <formula>NOT(ISERROR(SEARCH("P",BH53)))</formula>
    </cfRule>
  </conditionalFormatting>
  <conditionalFormatting sqref="BD61:BE62">
    <cfRule type="containsText" dxfId="890" priority="1018" operator="containsText" text="Ex">
      <formula>NOT(ISERROR(SEARCH("Ex",BD61)))</formula>
    </cfRule>
    <cfRule type="containsText" dxfId="889" priority="1019" operator="containsText" text="G">
      <formula>NOT(ISERROR(SEARCH("G",BD61)))</formula>
    </cfRule>
    <cfRule type="containsText" dxfId="888" priority="1020" operator="containsText" text="P">
      <formula>NOT(ISERROR(SEARCH("P",BD61)))</formula>
    </cfRule>
  </conditionalFormatting>
  <conditionalFormatting sqref="BL5:BM6">
    <cfRule type="containsText" dxfId="887" priority="1012" operator="containsText" text="Ex">
      <formula>NOT(ISERROR(SEARCH("Ex",BL5)))</formula>
    </cfRule>
    <cfRule type="containsText" dxfId="886" priority="1013" operator="containsText" text="G">
      <formula>NOT(ISERROR(SEARCH("G",BL5)))</formula>
    </cfRule>
    <cfRule type="containsText" dxfId="885" priority="1014" operator="containsText" text="P">
      <formula>NOT(ISERROR(SEARCH("P",BL5)))</formula>
    </cfRule>
  </conditionalFormatting>
  <conditionalFormatting sqref="D65:E66">
    <cfRule type="containsText" dxfId="884" priority="1009" operator="containsText" text="Ex">
      <formula>NOT(ISERROR(SEARCH("Ex",D65)))</formula>
    </cfRule>
    <cfRule type="containsText" dxfId="883" priority="1010" operator="containsText" text="G">
      <formula>NOT(ISERROR(SEARCH("G",D65)))</formula>
    </cfRule>
    <cfRule type="containsText" dxfId="882" priority="1011" operator="containsText" text="P">
      <formula>NOT(ISERROR(SEARCH("P",D65)))</formula>
    </cfRule>
  </conditionalFormatting>
  <conditionalFormatting sqref="H65:I66">
    <cfRule type="containsText" dxfId="881" priority="1006" operator="containsText" text="Ex">
      <formula>NOT(ISERROR(SEARCH("Ex",H65)))</formula>
    </cfRule>
    <cfRule type="containsText" dxfId="880" priority="1007" operator="containsText" text="G">
      <formula>NOT(ISERROR(SEARCH("G",H65)))</formula>
    </cfRule>
    <cfRule type="containsText" dxfId="879" priority="1008" operator="containsText" text="P">
      <formula>NOT(ISERROR(SEARCH("P",H65)))</formula>
    </cfRule>
  </conditionalFormatting>
  <conditionalFormatting sqref="BL9:BM10">
    <cfRule type="containsText" dxfId="878" priority="1003" operator="containsText" text="Ex">
      <formula>NOT(ISERROR(SEARCH("Ex",BL9)))</formula>
    </cfRule>
    <cfRule type="containsText" dxfId="877" priority="1004" operator="containsText" text="G">
      <formula>NOT(ISERROR(SEARCH("G",BL9)))</formula>
    </cfRule>
    <cfRule type="containsText" dxfId="876" priority="1005" operator="containsText" text="P">
      <formula>NOT(ISERROR(SEARCH("P",BL9)))</formula>
    </cfRule>
  </conditionalFormatting>
  <conditionalFormatting sqref="L65:M66">
    <cfRule type="containsText" dxfId="875" priority="1000" operator="containsText" text="Ex">
      <formula>NOT(ISERROR(SEARCH("Ex",L65)))</formula>
    </cfRule>
    <cfRule type="containsText" dxfId="874" priority="1001" operator="containsText" text="G">
      <formula>NOT(ISERROR(SEARCH("G",L65)))</formula>
    </cfRule>
    <cfRule type="containsText" dxfId="873" priority="1002" operator="containsText" text="P">
      <formula>NOT(ISERROR(SEARCH("P",L65)))</formula>
    </cfRule>
  </conditionalFormatting>
  <conditionalFormatting sqref="BL13:BM14">
    <cfRule type="containsText" dxfId="872" priority="997" operator="containsText" text="Ex">
      <formula>NOT(ISERROR(SEARCH("Ex",BL13)))</formula>
    </cfRule>
    <cfRule type="containsText" dxfId="871" priority="998" operator="containsText" text="G">
      <formula>NOT(ISERROR(SEARCH("G",BL13)))</formula>
    </cfRule>
    <cfRule type="containsText" dxfId="870" priority="999" operator="containsText" text="P">
      <formula>NOT(ISERROR(SEARCH("P",BL13)))</formula>
    </cfRule>
  </conditionalFormatting>
  <conditionalFormatting sqref="P65:Q66">
    <cfRule type="containsText" dxfId="869" priority="994" operator="containsText" text="Ex">
      <formula>NOT(ISERROR(SEARCH("Ex",P65)))</formula>
    </cfRule>
    <cfRule type="containsText" dxfId="868" priority="995" operator="containsText" text="G">
      <formula>NOT(ISERROR(SEARCH("G",P65)))</formula>
    </cfRule>
    <cfRule type="containsText" dxfId="867" priority="996" operator="containsText" text="P">
      <formula>NOT(ISERROR(SEARCH("P",P65)))</formula>
    </cfRule>
  </conditionalFormatting>
  <conditionalFormatting sqref="BL17:BM18">
    <cfRule type="containsText" dxfId="866" priority="991" operator="containsText" text="Ex">
      <formula>NOT(ISERROR(SEARCH("Ex",BL17)))</formula>
    </cfRule>
    <cfRule type="containsText" dxfId="865" priority="992" operator="containsText" text="G">
      <formula>NOT(ISERROR(SEARCH("G",BL17)))</formula>
    </cfRule>
    <cfRule type="containsText" dxfId="864" priority="993" operator="containsText" text="P">
      <formula>NOT(ISERROR(SEARCH("P",BL17)))</formula>
    </cfRule>
  </conditionalFormatting>
  <conditionalFormatting sqref="T65:U66">
    <cfRule type="containsText" dxfId="863" priority="988" operator="containsText" text="Ex">
      <formula>NOT(ISERROR(SEARCH("Ex",T65)))</formula>
    </cfRule>
    <cfRule type="containsText" dxfId="862" priority="989" operator="containsText" text="G">
      <formula>NOT(ISERROR(SEARCH("G",T65)))</formula>
    </cfRule>
    <cfRule type="containsText" dxfId="861" priority="990" operator="containsText" text="P">
      <formula>NOT(ISERROR(SEARCH("P",T65)))</formula>
    </cfRule>
  </conditionalFormatting>
  <conditionalFormatting sqref="BL21:BM22">
    <cfRule type="containsText" dxfId="860" priority="985" operator="containsText" text="Ex">
      <formula>NOT(ISERROR(SEARCH("Ex",BL21)))</formula>
    </cfRule>
    <cfRule type="containsText" dxfId="859" priority="986" operator="containsText" text="G">
      <formula>NOT(ISERROR(SEARCH("G",BL21)))</formula>
    </cfRule>
    <cfRule type="containsText" dxfId="858" priority="987" operator="containsText" text="P">
      <formula>NOT(ISERROR(SEARCH("P",BL21)))</formula>
    </cfRule>
  </conditionalFormatting>
  <conditionalFormatting sqref="X65:Y66">
    <cfRule type="containsText" dxfId="857" priority="982" operator="containsText" text="Ex">
      <formula>NOT(ISERROR(SEARCH("Ex",X65)))</formula>
    </cfRule>
    <cfRule type="containsText" dxfId="856" priority="983" operator="containsText" text="G">
      <formula>NOT(ISERROR(SEARCH("G",X65)))</formula>
    </cfRule>
    <cfRule type="containsText" dxfId="855" priority="984" operator="containsText" text="P">
      <formula>NOT(ISERROR(SEARCH("P",X65)))</formula>
    </cfRule>
  </conditionalFormatting>
  <conditionalFormatting sqref="BL25:BM26">
    <cfRule type="containsText" dxfId="854" priority="979" operator="containsText" text="Ex">
      <formula>NOT(ISERROR(SEARCH("Ex",BL25)))</formula>
    </cfRule>
    <cfRule type="containsText" dxfId="853" priority="980" operator="containsText" text="G">
      <formula>NOT(ISERROR(SEARCH("G",BL25)))</formula>
    </cfRule>
    <cfRule type="containsText" dxfId="852" priority="981" operator="containsText" text="P">
      <formula>NOT(ISERROR(SEARCH("P",BL25)))</formula>
    </cfRule>
  </conditionalFormatting>
  <conditionalFormatting sqref="AB65:AC66">
    <cfRule type="containsText" dxfId="851" priority="976" operator="containsText" text="Ex">
      <formula>NOT(ISERROR(SEARCH("Ex",AB65)))</formula>
    </cfRule>
    <cfRule type="containsText" dxfId="850" priority="977" operator="containsText" text="G">
      <formula>NOT(ISERROR(SEARCH("G",AB65)))</formula>
    </cfRule>
    <cfRule type="containsText" dxfId="849" priority="978" operator="containsText" text="P">
      <formula>NOT(ISERROR(SEARCH("P",AB65)))</formula>
    </cfRule>
  </conditionalFormatting>
  <conditionalFormatting sqref="BL29:BM30">
    <cfRule type="containsText" dxfId="848" priority="973" operator="containsText" text="Ex">
      <formula>NOT(ISERROR(SEARCH("Ex",BL29)))</formula>
    </cfRule>
    <cfRule type="containsText" dxfId="847" priority="974" operator="containsText" text="G">
      <formula>NOT(ISERROR(SEARCH("G",BL29)))</formula>
    </cfRule>
    <cfRule type="containsText" dxfId="846" priority="975" operator="containsText" text="P">
      <formula>NOT(ISERROR(SEARCH("P",BL29)))</formula>
    </cfRule>
  </conditionalFormatting>
  <conditionalFormatting sqref="BL61:BM62">
    <cfRule type="containsText" dxfId="845" priority="925" operator="containsText" text="Ex">
      <formula>NOT(ISERROR(SEARCH("Ex",BL61)))</formula>
    </cfRule>
    <cfRule type="containsText" dxfId="844" priority="926" operator="containsText" text="G">
      <formula>NOT(ISERROR(SEARCH("G",BL61)))</formula>
    </cfRule>
    <cfRule type="containsText" dxfId="843" priority="927" operator="containsText" text="P">
      <formula>NOT(ISERROR(SEARCH("P",BL61)))</formula>
    </cfRule>
  </conditionalFormatting>
  <conditionalFormatting sqref="AF65:AG66">
    <cfRule type="containsText" dxfId="842" priority="970" operator="containsText" text="Ex">
      <formula>NOT(ISERROR(SEARCH("Ex",AF65)))</formula>
    </cfRule>
    <cfRule type="containsText" dxfId="841" priority="971" operator="containsText" text="G">
      <formula>NOT(ISERROR(SEARCH("G",AF65)))</formula>
    </cfRule>
    <cfRule type="containsText" dxfId="840" priority="972" operator="containsText" text="P">
      <formula>NOT(ISERROR(SEARCH("P",AF65)))</formula>
    </cfRule>
  </conditionalFormatting>
  <conditionalFormatting sqref="BL33:BM34">
    <cfRule type="containsText" dxfId="839" priority="967" operator="containsText" text="Ex">
      <formula>NOT(ISERROR(SEARCH("Ex",BL33)))</formula>
    </cfRule>
    <cfRule type="containsText" dxfId="838" priority="968" operator="containsText" text="G">
      <formula>NOT(ISERROR(SEARCH("G",BL33)))</formula>
    </cfRule>
    <cfRule type="containsText" dxfId="837" priority="969" operator="containsText" text="P">
      <formula>NOT(ISERROR(SEARCH("P",BL33)))</formula>
    </cfRule>
  </conditionalFormatting>
  <conditionalFormatting sqref="AJ65:AK66">
    <cfRule type="containsText" dxfId="836" priority="964" operator="containsText" text="Ex">
      <formula>NOT(ISERROR(SEARCH("Ex",AJ65)))</formula>
    </cfRule>
    <cfRule type="containsText" dxfId="835" priority="965" operator="containsText" text="G">
      <formula>NOT(ISERROR(SEARCH("G",AJ65)))</formula>
    </cfRule>
    <cfRule type="containsText" dxfId="834" priority="966" operator="containsText" text="P">
      <formula>NOT(ISERROR(SEARCH("P",AJ65)))</formula>
    </cfRule>
  </conditionalFormatting>
  <conditionalFormatting sqref="BL37:BM38">
    <cfRule type="containsText" dxfId="833" priority="961" operator="containsText" text="Ex">
      <formula>NOT(ISERROR(SEARCH("Ex",BL37)))</formula>
    </cfRule>
    <cfRule type="containsText" dxfId="832" priority="962" operator="containsText" text="G">
      <formula>NOT(ISERROR(SEARCH("G",BL37)))</formula>
    </cfRule>
    <cfRule type="containsText" dxfId="831" priority="963" operator="containsText" text="P">
      <formula>NOT(ISERROR(SEARCH("P",BL37)))</formula>
    </cfRule>
  </conditionalFormatting>
  <conditionalFormatting sqref="AN65:AO66">
    <cfRule type="containsText" dxfId="830" priority="958" operator="containsText" text="Ex">
      <formula>NOT(ISERROR(SEARCH("Ex",AN65)))</formula>
    </cfRule>
    <cfRule type="containsText" dxfId="829" priority="959" operator="containsText" text="G">
      <formula>NOT(ISERROR(SEARCH("G",AN65)))</formula>
    </cfRule>
    <cfRule type="containsText" dxfId="828" priority="960" operator="containsText" text="P">
      <formula>NOT(ISERROR(SEARCH("P",AN65)))</formula>
    </cfRule>
  </conditionalFormatting>
  <conditionalFormatting sqref="BL41:BM42">
    <cfRule type="containsText" dxfId="827" priority="955" operator="containsText" text="Ex">
      <formula>NOT(ISERROR(SEARCH("Ex",BL41)))</formula>
    </cfRule>
    <cfRule type="containsText" dxfId="826" priority="956" operator="containsText" text="G">
      <formula>NOT(ISERROR(SEARCH("G",BL41)))</formula>
    </cfRule>
    <cfRule type="containsText" dxfId="825" priority="957" operator="containsText" text="P">
      <formula>NOT(ISERROR(SEARCH("P",BL41)))</formula>
    </cfRule>
  </conditionalFormatting>
  <conditionalFormatting sqref="AR65:AS66">
    <cfRule type="containsText" dxfId="824" priority="952" operator="containsText" text="Ex">
      <formula>NOT(ISERROR(SEARCH("Ex",AR65)))</formula>
    </cfRule>
    <cfRule type="containsText" dxfId="823" priority="953" operator="containsText" text="G">
      <formula>NOT(ISERROR(SEARCH("G",AR65)))</formula>
    </cfRule>
    <cfRule type="containsText" dxfId="822" priority="954" operator="containsText" text="P">
      <formula>NOT(ISERROR(SEARCH("P",AR65)))</formula>
    </cfRule>
  </conditionalFormatting>
  <conditionalFormatting sqref="BL45:BM46">
    <cfRule type="containsText" dxfId="821" priority="949" operator="containsText" text="Ex">
      <formula>NOT(ISERROR(SEARCH("Ex",BL45)))</formula>
    </cfRule>
    <cfRule type="containsText" dxfId="820" priority="950" operator="containsText" text="G">
      <formula>NOT(ISERROR(SEARCH("G",BL45)))</formula>
    </cfRule>
    <cfRule type="containsText" dxfId="819" priority="951" operator="containsText" text="P">
      <formula>NOT(ISERROR(SEARCH("P",BL45)))</formula>
    </cfRule>
  </conditionalFormatting>
  <conditionalFormatting sqref="AV65:AW66">
    <cfRule type="containsText" dxfId="818" priority="946" operator="containsText" text="Ex">
      <formula>NOT(ISERROR(SEARCH("Ex",AV65)))</formula>
    </cfRule>
    <cfRule type="containsText" dxfId="817" priority="947" operator="containsText" text="G">
      <formula>NOT(ISERROR(SEARCH("G",AV65)))</formula>
    </cfRule>
    <cfRule type="containsText" dxfId="816" priority="948" operator="containsText" text="P">
      <formula>NOT(ISERROR(SEARCH("P",AV65)))</formula>
    </cfRule>
  </conditionalFormatting>
  <conditionalFormatting sqref="BL49:BM50">
    <cfRule type="containsText" dxfId="815" priority="943" operator="containsText" text="Ex">
      <formula>NOT(ISERROR(SEARCH("Ex",BL49)))</formula>
    </cfRule>
    <cfRule type="containsText" dxfId="814" priority="944" operator="containsText" text="G">
      <formula>NOT(ISERROR(SEARCH("G",BL49)))</formula>
    </cfRule>
    <cfRule type="containsText" dxfId="813" priority="945" operator="containsText" text="P">
      <formula>NOT(ISERROR(SEARCH("P",BL49)))</formula>
    </cfRule>
  </conditionalFormatting>
  <conditionalFormatting sqref="AZ65:BA66">
    <cfRule type="containsText" dxfId="812" priority="940" operator="containsText" text="Ex">
      <formula>NOT(ISERROR(SEARCH("Ex",AZ65)))</formula>
    </cfRule>
    <cfRule type="containsText" dxfId="811" priority="941" operator="containsText" text="G">
      <formula>NOT(ISERROR(SEARCH("G",AZ65)))</formula>
    </cfRule>
    <cfRule type="containsText" dxfId="810" priority="942" operator="containsText" text="P">
      <formula>NOT(ISERROR(SEARCH("P",AZ65)))</formula>
    </cfRule>
  </conditionalFormatting>
  <conditionalFormatting sqref="BL53:BM54">
    <cfRule type="containsText" dxfId="809" priority="937" operator="containsText" text="Ex">
      <formula>NOT(ISERROR(SEARCH("Ex",BL53)))</formula>
    </cfRule>
    <cfRule type="containsText" dxfId="808" priority="938" operator="containsText" text="G">
      <formula>NOT(ISERROR(SEARCH("G",BL53)))</formula>
    </cfRule>
    <cfRule type="containsText" dxfId="807" priority="939" operator="containsText" text="P">
      <formula>NOT(ISERROR(SEARCH("P",BL53)))</formula>
    </cfRule>
  </conditionalFormatting>
  <conditionalFormatting sqref="BD65:BE66">
    <cfRule type="containsText" dxfId="806" priority="934" operator="containsText" text="Ex">
      <formula>NOT(ISERROR(SEARCH("Ex",BD65)))</formula>
    </cfRule>
    <cfRule type="containsText" dxfId="805" priority="935" operator="containsText" text="G">
      <formula>NOT(ISERROR(SEARCH("G",BD65)))</formula>
    </cfRule>
    <cfRule type="containsText" dxfId="804" priority="936" operator="containsText" text="P">
      <formula>NOT(ISERROR(SEARCH("P",BD65)))</formula>
    </cfRule>
  </conditionalFormatting>
  <conditionalFormatting sqref="BL57:BM58">
    <cfRule type="containsText" dxfId="803" priority="931" operator="containsText" text="Ex">
      <formula>NOT(ISERROR(SEARCH("Ex",BL57)))</formula>
    </cfRule>
    <cfRule type="containsText" dxfId="802" priority="932" operator="containsText" text="G">
      <formula>NOT(ISERROR(SEARCH("G",BL57)))</formula>
    </cfRule>
    <cfRule type="containsText" dxfId="801" priority="933" operator="containsText" text="P">
      <formula>NOT(ISERROR(SEARCH("P",BL57)))</formula>
    </cfRule>
  </conditionalFormatting>
  <conditionalFormatting sqref="BH65:BI66">
    <cfRule type="containsText" dxfId="800" priority="928" operator="containsText" text="Ex">
      <formula>NOT(ISERROR(SEARCH("Ex",BH65)))</formula>
    </cfRule>
    <cfRule type="containsText" dxfId="799" priority="929" operator="containsText" text="G">
      <formula>NOT(ISERROR(SEARCH("G",BH65)))</formula>
    </cfRule>
    <cfRule type="containsText" dxfId="798" priority="930" operator="containsText" text="P">
      <formula>NOT(ISERROR(SEARCH("P",BH65)))</formula>
    </cfRule>
  </conditionalFormatting>
  <conditionalFormatting sqref="BP5:BQ6">
    <cfRule type="containsText" dxfId="797" priority="922" operator="containsText" text="Ex">
      <formula>NOT(ISERROR(SEARCH("Ex",BP5)))</formula>
    </cfRule>
    <cfRule type="containsText" dxfId="796" priority="923" operator="containsText" text="G">
      <formula>NOT(ISERROR(SEARCH("G",BP5)))</formula>
    </cfRule>
    <cfRule type="containsText" dxfId="795" priority="924" operator="containsText" text="P">
      <formula>NOT(ISERROR(SEARCH("P",BP5)))</formula>
    </cfRule>
  </conditionalFormatting>
  <conditionalFormatting sqref="D69:E70">
    <cfRule type="containsText" dxfId="794" priority="919" operator="containsText" text="Ex">
      <formula>NOT(ISERROR(SEARCH("Ex",D69)))</formula>
    </cfRule>
    <cfRule type="containsText" dxfId="793" priority="920" operator="containsText" text="G">
      <formula>NOT(ISERROR(SEARCH("G",D69)))</formula>
    </cfRule>
    <cfRule type="containsText" dxfId="792" priority="921" operator="containsText" text="P">
      <formula>NOT(ISERROR(SEARCH("P",D69)))</formula>
    </cfRule>
  </conditionalFormatting>
  <conditionalFormatting sqref="BP9:BQ10">
    <cfRule type="containsText" dxfId="791" priority="916" operator="containsText" text="Ex">
      <formula>NOT(ISERROR(SEARCH("Ex",BP9)))</formula>
    </cfRule>
    <cfRule type="containsText" dxfId="790" priority="917" operator="containsText" text="G">
      <formula>NOT(ISERROR(SEARCH("G",BP9)))</formula>
    </cfRule>
    <cfRule type="containsText" dxfId="789" priority="918" operator="containsText" text="P">
      <formula>NOT(ISERROR(SEARCH("P",BP9)))</formula>
    </cfRule>
  </conditionalFormatting>
  <conditionalFormatting sqref="H69:I70">
    <cfRule type="containsText" dxfId="788" priority="913" operator="containsText" text="Ex">
      <formula>NOT(ISERROR(SEARCH("Ex",H69)))</formula>
    </cfRule>
    <cfRule type="containsText" dxfId="787" priority="914" operator="containsText" text="G">
      <formula>NOT(ISERROR(SEARCH("G",H69)))</formula>
    </cfRule>
    <cfRule type="containsText" dxfId="786" priority="915" operator="containsText" text="P">
      <formula>NOT(ISERROR(SEARCH("P",H69)))</formula>
    </cfRule>
  </conditionalFormatting>
  <conditionalFormatting sqref="L69:M70">
    <cfRule type="containsText" dxfId="785" priority="910" operator="containsText" text="Ex">
      <formula>NOT(ISERROR(SEARCH("Ex",L69)))</formula>
    </cfRule>
    <cfRule type="containsText" dxfId="784" priority="911" operator="containsText" text="G">
      <formula>NOT(ISERROR(SEARCH("G",L69)))</formula>
    </cfRule>
    <cfRule type="containsText" dxfId="783" priority="912" operator="containsText" text="P">
      <formula>NOT(ISERROR(SEARCH("P",L69)))</formula>
    </cfRule>
  </conditionalFormatting>
  <conditionalFormatting sqref="BP37:BQ38">
    <cfRule type="containsText" dxfId="782" priority="871" operator="containsText" text="Ex">
      <formula>NOT(ISERROR(SEARCH("Ex",BP37)))</formula>
    </cfRule>
    <cfRule type="containsText" dxfId="781" priority="872" operator="containsText" text="G">
      <formula>NOT(ISERROR(SEARCH("G",BP37)))</formula>
    </cfRule>
    <cfRule type="containsText" dxfId="780" priority="873" operator="containsText" text="P">
      <formula>NOT(ISERROR(SEARCH("P",BP37)))</formula>
    </cfRule>
  </conditionalFormatting>
  <conditionalFormatting sqref="BP13:BQ14">
    <cfRule type="containsText" dxfId="779" priority="907" operator="containsText" text="Ex">
      <formula>NOT(ISERROR(SEARCH("Ex",BP13)))</formula>
    </cfRule>
    <cfRule type="containsText" dxfId="778" priority="908" operator="containsText" text="G">
      <formula>NOT(ISERROR(SEARCH("G",BP13)))</formula>
    </cfRule>
    <cfRule type="containsText" dxfId="777" priority="909" operator="containsText" text="P">
      <formula>NOT(ISERROR(SEARCH("P",BP13)))</formula>
    </cfRule>
  </conditionalFormatting>
  <conditionalFormatting sqref="P69:Q70">
    <cfRule type="containsText" dxfId="776" priority="904" operator="containsText" text="Ex">
      <formula>NOT(ISERROR(SEARCH("Ex",P69)))</formula>
    </cfRule>
    <cfRule type="containsText" dxfId="775" priority="905" operator="containsText" text="G">
      <formula>NOT(ISERROR(SEARCH("G",P69)))</formula>
    </cfRule>
    <cfRule type="containsText" dxfId="774" priority="906" operator="containsText" text="P">
      <formula>NOT(ISERROR(SEARCH("P",P69)))</formula>
    </cfRule>
  </conditionalFormatting>
  <conditionalFormatting sqref="BP17:BQ18">
    <cfRule type="containsText" dxfId="773" priority="901" operator="containsText" text="Ex">
      <formula>NOT(ISERROR(SEARCH("Ex",BP17)))</formula>
    </cfRule>
    <cfRule type="containsText" dxfId="772" priority="902" operator="containsText" text="G">
      <formula>NOT(ISERROR(SEARCH("G",BP17)))</formula>
    </cfRule>
    <cfRule type="containsText" dxfId="771" priority="903" operator="containsText" text="P">
      <formula>NOT(ISERROR(SEARCH("P",BP17)))</formula>
    </cfRule>
  </conditionalFormatting>
  <conditionalFormatting sqref="T69:U70">
    <cfRule type="containsText" dxfId="770" priority="898" operator="containsText" text="Ex">
      <formula>NOT(ISERROR(SEARCH("Ex",T69)))</formula>
    </cfRule>
    <cfRule type="containsText" dxfId="769" priority="899" operator="containsText" text="G">
      <formula>NOT(ISERROR(SEARCH("G",T69)))</formula>
    </cfRule>
    <cfRule type="containsText" dxfId="768" priority="900" operator="containsText" text="P">
      <formula>NOT(ISERROR(SEARCH("P",T69)))</formula>
    </cfRule>
  </conditionalFormatting>
  <conditionalFormatting sqref="BP21:BQ22">
    <cfRule type="containsText" dxfId="767" priority="895" operator="containsText" text="Ex">
      <formula>NOT(ISERROR(SEARCH("Ex",BP21)))</formula>
    </cfRule>
    <cfRule type="containsText" dxfId="766" priority="896" operator="containsText" text="G">
      <formula>NOT(ISERROR(SEARCH("G",BP21)))</formula>
    </cfRule>
    <cfRule type="containsText" dxfId="765" priority="897" operator="containsText" text="P">
      <formula>NOT(ISERROR(SEARCH("P",BP21)))</formula>
    </cfRule>
  </conditionalFormatting>
  <conditionalFormatting sqref="X69:Y70">
    <cfRule type="containsText" dxfId="764" priority="892" operator="containsText" text="Ex">
      <formula>NOT(ISERROR(SEARCH("Ex",X69)))</formula>
    </cfRule>
    <cfRule type="containsText" dxfId="763" priority="893" operator="containsText" text="G">
      <formula>NOT(ISERROR(SEARCH("G",X69)))</formula>
    </cfRule>
    <cfRule type="containsText" dxfId="762" priority="894" operator="containsText" text="P">
      <formula>NOT(ISERROR(SEARCH("P",X69)))</formula>
    </cfRule>
  </conditionalFormatting>
  <conditionalFormatting sqref="BP25:BQ26">
    <cfRule type="containsText" dxfId="761" priority="889" operator="containsText" text="Ex">
      <formula>NOT(ISERROR(SEARCH("Ex",BP25)))</formula>
    </cfRule>
    <cfRule type="containsText" dxfId="760" priority="890" operator="containsText" text="G">
      <formula>NOT(ISERROR(SEARCH("G",BP25)))</formula>
    </cfRule>
    <cfRule type="containsText" dxfId="759" priority="891" operator="containsText" text="P">
      <formula>NOT(ISERROR(SEARCH("P",BP25)))</formula>
    </cfRule>
  </conditionalFormatting>
  <conditionalFormatting sqref="AB69:AC70">
    <cfRule type="containsText" dxfId="758" priority="886" operator="containsText" text="Ex">
      <formula>NOT(ISERROR(SEARCH("Ex",AB69)))</formula>
    </cfRule>
    <cfRule type="containsText" dxfId="757" priority="887" operator="containsText" text="G">
      <formula>NOT(ISERROR(SEARCH("G",AB69)))</formula>
    </cfRule>
    <cfRule type="containsText" dxfId="756" priority="888" operator="containsText" text="P">
      <formula>NOT(ISERROR(SEARCH("P",AB69)))</formula>
    </cfRule>
  </conditionalFormatting>
  <conditionalFormatting sqref="BP29:BQ30">
    <cfRule type="containsText" dxfId="755" priority="883" operator="containsText" text="Ex">
      <formula>NOT(ISERROR(SEARCH("Ex",BP29)))</formula>
    </cfRule>
    <cfRule type="containsText" dxfId="754" priority="884" operator="containsText" text="G">
      <formula>NOT(ISERROR(SEARCH("G",BP29)))</formula>
    </cfRule>
    <cfRule type="containsText" dxfId="753" priority="885" operator="containsText" text="P">
      <formula>NOT(ISERROR(SEARCH("P",BP29)))</formula>
    </cfRule>
  </conditionalFormatting>
  <conditionalFormatting sqref="AF69:AG70">
    <cfRule type="containsText" dxfId="752" priority="880" operator="containsText" text="Ex">
      <formula>NOT(ISERROR(SEARCH("Ex",AF69)))</formula>
    </cfRule>
    <cfRule type="containsText" dxfId="751" priority="881" operator="containsText" text="G">
      <formula>NOT(ISERROR(SEARCH("G",AF69)))</formula>
    </cfRule>
    <cfRule type="containsText" dxfId="750" priority="882" operator="containsText" text="P">
      <formula>NOT(ISERROR(SEARCH("P",AF69)))</formula>
    </cfRule>
  </conditionalFormatting>
  <conditionalFormatting sqref="BP33:BQ34">
    <cfRule type="containsText" dxfId="749" priority="877" operator="containsText" text="Ex">
      <formula>NOT(ISERROR(SEARCH("Ex",BP33)))</formula>
    </cfRule>
    <cfRule type="containsText" dxfId="748" priority="878" operator="containsText" text="G">
      <formula>NOT(ISERROR(SEARCH("G",BP33)))</formula>
    </cfRule>
    <cfRule type="containsText" dxfId="747" priority="879" operator="containsText" text="P">
      <formula>NOT(ISERROR(SEARCH("P",BP33)))</formula>
    </cfRule>
  </conditionalFormatting>
  <conditionalFormatting sqref="AJ69:AK70">
    <cfRule type="containsText" dxfId="746" priority="874" operator="containsText" text="Ex">
      <formula>NOT(ISERROR(SEARCH("Ex",AJ69)))</formula>
    </cfRule>
    <cfRule type="containsText" dxfId="745" priority="875" operator="containsText" text="G">
      <formula>NOT(ISERROR(SEARCH("G",AJ69)))</formula>
    </cfRule>
    <cfRule type="containsText" dxfId="744" priority="876" operator="containsText" text="P">
      <formula>NOT(ISERROR(SEARCH("P",AJ69)))</formula>
    </cfRule>
  </conditionalFormatting>
  <conditionalFormatting sqref="BT5:BU6">
    <cfRule type="containsText" dxfId="743" priority="868" operator="containsText" text="Ex">
      <formula>NOT(ISERROR(SEARCH("Ex",BT5)))</formula>
    </cfRule>
    <cfRule type="containsText" dxfId="742" priority="869" operator="containsText" text="G">
      <formula>NOT(ISERROR(SEARCH("G",BT5)))</formula>
    </cfRule>
    <cfRule type="containsText" dxfId="741" priority="870" operator="containsText" text="P">
      <formula>NOT(ISERROR(SEARCH("P",BT5)))</formula>
    </cfRule>
  </conditionalFormatting>
  <conditionalFormatting sqref="BX5:BY6">
    <cfRule type="containsText" dxfId="740" priority="865" operator="containsText" text="Ex">
      <formula>NOT(ISERROR(SEARCH("Ex",BX5)))</formula>
    </cfRule>
    <cfRule type="containsText" dxfId="739" priority="866" operator="containsText" text="G">
      <formula>NOT(ISERROR(SEARCH("G",BX5)))</formula>
    </cfRule>
    <cfRule type="containsText" dxfId="738" priority="867" operator="containsText" text="P">
      <formula>NOT(ISERROR(SEARCH("P",BX5)))</formula>
    </cfRule>
  </conditionalFormatting>
  <conditionalFormatting sqref="CJ5:CK6">
    <cfRule type="containsText" dxfId="737" priority="856" operator="containsText" text="Ex">
      <formula>NOT(ISERROR(SEARCH("Ex",CJ5)))</formula>
    </cfRule>
    <cfRule type="containsText" dxfId="736" priority="857" operator="containsText" text="G">
      <formula>NOT(ISERROR(SEARCH("G",CJ5)))</formula>
    </cfRule>
    <cfRule type="containsText" dxfId="735" priority="858" operator="containsText" text="P">
      <formula>NOT(ISERROR(SEARCH("P",CJ5)))</formula>
    </cfRule>
  </conditionalFormatting>
  <conditionalFormatting sqref="CB5:CC6">
    <cfRule type="containsText" dxfId="734" priority="862" operator="containsText" text="Ex">
      <formula>NOT(ISERROR(SEARCH("Ex",CB5)))</formula>
    </cfRule>
    <cfRule type="containsText" dxfId="733" priority="863" operator="containsText" text="G">
      <formula>NOT(ISERROR(SEARCH("G",CB5)))</formula>
    </cfRule>
    <cfRule type="containsText" dxfId="732" priority="864" operator="containsText" text="P">
      <formula>NOT(ISERROR(SEARCH("P",CB5)))</formula>
    </cfRule>
  </conditionalFormatting>
  <conditionalFormatting sqref="CF5:CG6">
    <cfRule type="containsText" dxfId="731" priority="859" operator="containsText" text="Ex">
      <formula>NOT(ISERROR(SEARCH("Ex",CF5)))</formula>
    </cfRule>
    <cfRule type="containsText" dxfId="730" priority="860" operator="containsText" text="G">
      <formula>NOT(ISERROR(SEARCH("G",CF5)))</formula>
    </cfRule>
    <cfRule type="containsText" dxfId="729" priority="861" operator="containsText" text="P">
      <formula>NOT(ISERROR(SEARCH("P",CF5)))</formula>
    </cfRule>
  </conditionalFormatting>
  <conditionalFormatting sqref="AN69:AO70">
    <cfRule type="containsText" dxfId="728" priority="853" operator="containsText" text="Ex">
      <formula>NOT(ISERROR(SEARCH("Ex",AN69)))</formula>
    </cfRule>
    <cfRule type="containsText" dxfId="727" priority="854" operator="containsText" text="G">
      <formula>NOT(ISERROR(SEARCH("G",AN69)))</formula>
    </cfRule>
    <cfRule type="containsText" dxfId="726" priority="855" operator="containsText" text="P">
      <formula>NOT(ISERROR(SEARCH("P",AN69)))</formula>
    </cfRule>
  </conditionalFormatting>
  <conditionalFormatting sqref="BP41:BQ42">
    <cfRule type="containsText" dxfId="725" priority="850" operator="containsText" text="Ex">
      <formula>NOT(ISERROR(SEARCH("Ex",BP41)))</formula>
    </cfRule>
    <cfRule type="containsText" dxfId="724" priority="851" operator="containsText" text="G">
      <formula>NOT(ISERROR(SEARCH("G",BP41)))</formula>
    </cfRule>
    <cfRule type="containsText" dxfId="723" priority="852" operator="containsText" text="P">
      <formula>NOT(ISERROR(SEARCH("P",BP41)))</formula>
    </cfRule>
  </conditionalFormatting>
  <conditionalFormatting sqref="AR69:AS70">
    <cfRule type="containsText" dxfId="722" priority="847" operator="containsText" text="Ex">
      <formula>NOT(ISERROR(SEARCH("Ex",AR69)))</formula>
    </cfRule>
    <cfRule type="containsText" dxfId="721" priority="848" operator="containsText" text="G">
      <formula>NOT(ISERROR(SEARCH("G",AR69)))</formula>
    </cfRule>
    <cfRule type="containsText" dxfId="720" priority="849" operator="containsText" text="P">
      <formula>NOT(ISERROR(SEARCH("P",AR69)))</formula>
    </cfRule>
  </conditionalFormatting>
  <conditionalFormatting sqref="BP45:BQ46">
    <cfRule type="containsText" dxfId="719" priority="844" operator="containsText" text="Ex">
      <formula>NOT(ISERROR(SEARCH("Ex",BP45)))</formula>
    </cfRule>
    <cfRule type="containsText" dxfId="718" priority="845" operator="containsText" text="G">
      <formula>NOT(ISERROR(SEARCH("G",BP45)))</formula>
    </cfRule>
    <cfRule type="containsText" dxfId="717" priority="846" operator="containsText" text="P">
      <formula>NOT(ISERROR(SEARCH("P",BP45)))</formula>
    </cfRule>
  </conditionalFormatting>
  <conditionalFormatting sqref="AV69:AW70">
    <cfRule type="containsText" dxfId="716" priority="841" operator="containsText" text="Ex">
      <formula>NOT(ISERROR(SEARCH("Ex",AV69)))</formula>
    </cfRule>
    <cfRule type="containsText" dxfId="715" priority="842" operator="containsText" text="G">
      <formula>NOT(ISERROR(SEARCH("G",AV69)))</formula>
    </cfRule>
    <cfRule type="containsText" dxfId="714" priority="843" operator="containsText" text="P">
      <formula>NOT(ISERROR(SEARCH("P",AV69)))</formula>
    </cfRule>
  </conditionalFormatting>
  <conditionalFormatting sqref="BP49:BQ50">
    <cfRule type="containsText" dxfId="713" priority="838" operator="containsText" text="Ex">
      <formula>NOT(ISERROR(SEARCH("Ex",BP49)))</formula>
    </cfRule>
    <cfRule type="containsText" dxfId="712" priority="839" operator="containsText" text="G">
      <formula>NOT(ISERROR(SEARCH("G",BP49)))</formula>
    </cfRule>
    <cfRule type="containsText" dxfId="711" priority="840" operator="containsText" text="P">
      <formula>NOT(ISERROR(SEARCH("P",BP49)))</formula>
    </cfRule>
  </conditionalFormatting>
  <conditionalFormatting sqref="AZ69:BA70">
    <cfRule type="containsText" dxfId="710" priority="835" operator="containsText" text="Ex">
      <formula>NOT(ISERROR(SEARCH("Ex",AZ69)))</formula>
    </cfRule>
    <cfRule type="containsText" dxfId="709" priority="836" operator="containsText" text="G">
      <formula>NOT(ISERROR(SEARCH("G",AZ69)))</formula>
    </cfRule>
    <cfRule type="containsText" dxfId="708" priority="837" operator="containsText" text="P">
      <formula>NOT(ISERROR(SEARCH("P",AZ69)))</formula>
    </cfRule>
  </conditionalFormatting>
  <conditionalFormatting sqref="BP53:BQ54">
    <cfRule type="containsText" dxfId="707" priority="832" operator="containsText" text="Ex">
      <formula>NOT(ISERROR(SEARCH("Ex",BP53)))</formula>
    </cfRule>
    <cfRule type="containsText" dxfId="706" priority="833" operator="containsText" text="G">
      <formula>NOT(ISERROR(SEARCH("G",BP53)))</formula>
    </cfRule>
    <cfRule type="containsText" dxfId="705" priority="834" operator="containsText" text="P">
      <formula>NOT(ISERROR(SEARCH("P",BP53)))</formula>
    </cfRule>
  </conditionalFormatting>
  <conditionalFormatting sqref="BD69:BE70">
    <cfRule type="containsText" dxfId="704" priority="829" operator="containsText" text="Ex">
      <formula>NOT(ISERROR(SEARCH("Ex",BD69)))</formula>
    </cfRule>
    <cfRule type="containsText" dxfId="703" priority="830" operator="containsText" text="G">
      <formula>NOT(ISERROR(SEARCH("G",BD69)))</formula>
    </cfRule>
    <cfRule type="containsText" dxfId="702" priority="831" operator="containsText" text="P">
      <formula>NOT(ISERROR(SEARCH("P",BD69)))</formula>
    </cfRule>
  </conditionalFormatting>
  <conditionalFormatting sqref="BP57:BQ58">
    <cfRule type="containsText" dxfId="701" priority="826" operator="containsText" text="Ex">
      <formula>NOT(ISERROR(SEARCH("Ex",BP57)))</formula>
    </cfRule>
    <cfRule type="containsText" dxfId="700" priority="827" operator="containsText" text="G">
      <formula>NOT(ISERROR(SEARCH("G",BP57)))</formula>
    </cfRule>
    <cfRule type="containsText" dxfId="699" priority="828" operator="containsText" text="P">
      <formula>NOT(ISERROR(SEARCH("P",BP57)))</formula>
    </cfRule>
  </conditionalFormatting>
  <conditionalFormatting sqref="BH69:BI70">
    <cfRule type="containsText" dxfId="698" priority="823" operator="containsText" text="Ex">
      <formula>NOT(ISERROR(SEARCH("Ex",BH69)))</formula>
    </cfRule>
    <cfRule type="containsText" dxfId="697" priority="824" operator="containsText" text="G">
      <formula>NOT(ISERROR(SEARCH("G",BH69)))</formula>
    </cfRule>
    <cfRule type="containsText" dxfId="696" priority="825" operator="containsText" text="P">
      <formula>NOT(ISERROR(SEARCH("P",BH69)))</formula>
    </cfRule>
  </conditionalFormatting>
  <conditionalFormatting sqref="BP61:BQ62">
    <cfRule type="containsText" dxfId="695" priority="820" operator="containsText" text="Ex">
      <formula>NOT(ISERROR(SEARCH("Ex",BP61)))</formula>
    </cfRule>
    <cfRule type="containsText" dxfId="694" priority="821" operator="containsText" text="G">
      <formula>NOT(ISERROR(SEARCH("G",BP61)))</formula>
    </cfRule>
    <cfRule type="containsText" dxfId="693" priority="822" operator="containsText" text="P">
      <formula>NOT(ISERROR(SEARCH("P",BP61)))</formula>
    </cfRule>
  </conditionalFormatting>
  <conditionalFormatting sqref="BL69:BM70">
    <cfRule type="containsText" dxfId="692" priority="817" operator="containsText" text="Ex">
      <formula>NOT(ISERROR(SEARCH("Ex",BL69)))</formula>
    </cfRule>
    <cfRule type="containsText" dxfId="691" priority="818" operator="containsText" text="G">
      <formula>NOT(ISERROR(SEARCH("G",BL69)))</formula>
    </cfRule>
    <cfRule type="containsText" dxfId="690" priority="819" operator="containsText" text="P">
      <formula>NOT(ISERROR(SEARCH("P",BL69)))</formula>
    </cfRule>
  </conditionalFormatting>
  <conditionalFormatting sqref="BP65:BQ66">
    <cfRule type="containsText" dxfId="689" priority="814" operator="containsText" text="Ex">
      <formula>NOT(ISERROR(SEARCH("Ex",BP65)))</formula>
    </cfRule>
    <cfRule type="containsText" dxfId="688" priority="815" operator="containsText" text="G">
      <formula>NOT(ISERROR(SEARCH("G",BP65)))</formula>
    </cfRule>
    <cfRule type="containsText" dxfId="687" priority="816" operator="containsText" text="P">
      <formula>NOT(ISERROR(SEARCH("P",BP65)))</formula>
    </cfRule>
  </conditionalFormatting>
  <conditionalFormatting sqref="D73:E74">
    <cfRule type="containsText" dxfId="686" priority="811" operator="containsText" text="Ex">
      <formula>NOT(ISERROR(SEARCH("Ex",D73)))</formula>
    </cfRule>
    <cfRule type="containsText" dxfId="685" priority="812" operator="containsText" text="G">
      <formula>NOT(ISERROR(SEARCH("G",D73)))</formula>
    </cfRule>
    <cfRule type="containsText" dxfId="684" priority="813" operator="containsText" text="P">
      <formula>NOT(ISERROR(SEARCH("P",D73)))</formula>
    </cfRule>
  </conditionalFormatting>
  <conditionalFormatting sqref="H73:I74">
    <cfRule type="containsText" dxfId="683" priority="808" operator="containsText" text="Ex">
      <formula>NOT(ISERROR(SEARCH("Ex",H73)))</formula>
    </cfRule>
    <cfRule type="containsText" dxfId="682" priority="809" operator="containsText" text="G">
      <formula>NOT(ISERROR(SEARCH("G",H73)))</formula>
    </cfRule>
    <cfRule type="containsText" dxfId="681" priority="810" operator="containsText" text="P">
      <formula>NOT(ISERROR(SEARCH("P",H73)))</formula>
    </cfRule>
  </conditionalFormatting>
  <conditionalFormatting sqref="BT9:BU10">
    <cfRule type="containsText" dxfId="680" priority="805" operator="containsText" text="Ex">
      <formula>NOT(ISERROR(SEARCH("Ex",BT9)))</formula>
    </cfRule>
    <cfRule type="containsText" dxfId="679" priority="806" operator="containsText" text="G">
      <formula>NOT(ISERROR(SEARCH("G",BT9)))</formula>
    </cfRule>
    <cfRule type="containsText" dxfId="678" priority="807" operator="containsText" text="P">
      <formula>NOT(ISERROR(SEARCH("P",BT9)))</formula>
    </cfRule>
  </conditionalFormatting>
  <conditionalFormatting sqref="L73:M74">
    <cfRule type="containsText" dxfId="677" priority="802" operator="containsText" text="Ex">
      <formula>NOT(ISERROR(SEARCH("Ex",L73)))</formula>
    </cfRule>
    <cfRule type="containsText" dxfId="676" priority="803" operator="containsText" text="G">
      <formula>NOT(ISERROR(SEARCH("G",L73)))</formula>
    </cfRule>
    <cfRule type="containsText" dxfId="675" priority="804" operator="containsText" text="P">
      <formula>NOT(ISERROR(SEARCH("P",L73)))</formula>
    </cfRule>
  </conditionalFormatting>
  <conditionalFormatting sqref="BT13:BU14">
    <cfRule type="containsText" dxfId="674" priority="799" operator="containsText" text="Ex">
      <formula>NOT(ISERROR(SEARCH("Ex",BT13)))</formula>
    </cfRule>
    <cfRule type="containsText" dxfId="673" priority="800" operator="containsText" text="G">
      <formula>NOT(ISERROR(SEARCH("G",BT13)))</formula>
    </cfRule>
    <cfRule type="containsText" dxfId="672" priority="801" operator="containsText" text="P">
      <formula>NOT(ISERROR(SEARCH("P",BT13)))</formula>
    </cfRule>
  </conditionalFormatting>
  <conditionalFormatting sqref="P73:Q74">
    <cfRule type="containsText" dxfId="671" priority="796" operator="containsText" text="Ex">
      <formula>NOT(ISERROR(SEARCH("Ex",P73)))</formula>
    </cfRule>
    <cfRule type="containsText" dxfId="670" priority="797" operator="containsText" text="G">
      <formula>NOT(ISERROR(SEARCH("G",P73)))</formula>
    </cfRule>
    <cfRule type="containsText" dxfId="669" priority="798" operator="containsText" text="P">
      <formula>NOT(ISERROR(SEARCH("P",P73)))</formula>
    </cfRule>
  </conditionalFormatting>
  <conditionalFormatting sqref="BT17:BU18">
    <cfRule type="containsText" dxfId="668" priority="793" operator="containsText" text="Ex">
      <formula>NOT(ISERROR(SEARCH("Ex",BT17)))</formula>
    </cfRule>
    <cfRule type="containsText" dxfId="667" priority="794" operator="containsText" text="G">
      <formula>NOT(ISERROR(SEARCH("G",BT17)))</formula>
    </cfRule>
    <cfRule type="containsText" dxfId="666" priority="795" operator="containsText" text="P">
      <formula>NOT(ISERROR(SEARCH("P",BT17)))</formula>
    </cfRule>
  </conditionalFormatting>
  <conditionalFormatting sqref="T73:U74">
    <cfRule type="containsText" dxfId="665" priority="790" operator="containsText" text="Ex">
      <formula>NOT(ISERROR(SEARCH("Ex",T73)))</formula>
    </cfRule>
    <cfRule type="containsText" dxfId="664" priority="791" operator="containsText" text="G">
      <formula>NOT(ISERROR(SEARCH("G",T73)))</formula>
    </cfRule>
    <cfRule type="containsText" dxfId="663" priority="792" operator="containsText" text="P">
      <formula>NOT(ISERROR(SEARCH("P",T73)))</formula>
    </cfRule>
  </conditionalFormatting>
  <conditionalFormatting sqref="BT21:BU22">
    <cfRule type="containsText" dxfId="662" priority="787" operator="containsText" text="Ex">
      <formula>NOT(ISERROR(SEARCH("Ex",BT21)))</formula>
    </cfRule>
    <cfRule type="containsText" dxfId="661" priority="788" operator="containsText" text="G">
      <formula>NOT(ISERROR(SEARCH("G",BT21)))</formula>
    </cfRule>
    <cfRule type="containsText" dxfId="660" priority="789" operator="containsText" text="P">
      <formula>NOT(ISERROR(SEARCH("P",BT21)))</formula>
    </cfRule>
  </conditionalFormatting>
  <conditionalFormatting sqref="X73:Y74">
    <cfRule type="containsText" dxfId="659" priority="784" operator="containsText" text="Ex">
      <formula>NOT(ISERROR(SEARCH("Ex",X73)))</formula>
    </cfRule>
    <cfRule type="containsText" dxfId="658" priority="785" operator="containsText" text="G">
      <formula>NOT(ISERROR(SEARCH("G",X73)))</formula>
    </cfRule>
    <cfRule type="containsText" dxfId="657" priority="786" operator="containsText" text="P">
      <formula>NOT(ISERROR(SEARCH("P",X73)))</formula>
    </cfRule>
  </conditionalFormatting>
  <conditionalFormatting sqref="BT25:BU26">
    <cfRule type="containsText" dxfId="656" priority="781" operator="containsText" text="Ex">
      <formula>NOT(ISERROR(SEARCH("Ex",BT25)))</formula>
    </cfRule>
    <cfRule type="containsText" dxfId="655" priority="782" operator="containsText" text="G">
      <formula>NOT(ISERROR(SEARCH("G",BT25)))</formula>
    </cfRule>
    <cfRule type="containsText" dxfId="654" priority="783" operator="containsText" text="P">
      <formula>NOT(ISERROR(SEARCH("P",BT25)))</formula>
    </cfRule>
  </conditionalFormatting>
  <conditionalFormatting sqref="AB73:AC74">
    <cfRule type="containsText" dxfId="653" priority="778" operator="containsText" text="Ex">
      <formula>NOT(ISERROR(SEARCH("Ex",AB73)))</formula>
    </cfRule>
    <cfRule type="containsText" dxfId="652" priority="779" operator="containsText" text="G">
      <formula>NOT(ISERROR(SEARCH("G",AB73)))</formula>
    </cfRule>
    <cfRule type="containsText" dxfId="651" priority="780" operator="containsText" text="P">
      <formula>NOT(ISERROR(SEARCH("P",AB73)))</formula>
    </cfRule>
  </conditionalFormatting>
  <conditionalFormatting sqref="BT29:BU30">
    <cfRule type="containsText" dxfId="650" priority="775" operator="containsText" text="Ex">
      <formula>NOT(ISERROR(SEARCH("Ex",BT29)))</formula>
    </cfRule>
    <cfRule type="containsText" dxfId="649" priority="776" operator="containsText" text="G">
      <formula>NOT(ISERROR(SEARCH("G",BT29)))</formula>
    </cfRule>
    <cfRule type="containsText" dxfId="648" priority="777" operator="containsText" text="P">
      <formula>NOT(ISERROR(SEARCH("P",BT29)))</formula>
    </cfRule>
  </conditionalFormatting>
  <conditionalFormatting sqref="AF73:AG74">
    <cfRule type="containsText" dxfId="647" priority="772" operator="containsText" text="Ex">
      <formula>NOT(ISERROR(SEARCH("Ex",AF73)))</formula>
    </cfRule>
    <cfRule type="containsText" dxfId="646" priority="773" operator="containsText" text="G">
      <formula>NOT(ISERROR(SEARCH("G",AF73)))</formula>
    </cfRule>
    <cfRule type="containsText" dxfId="645" priority="774" operator="containsText" text="P">
      <formula>NOT(ISERROR(SEARCH("P",AF73)))</formula>
    </cfRule>
  </conditionalFormatting>
  <conditionalFormatting sqref="BT33:BU34">
    <cfRule type="containsText" dxfId="644" priority="769" operator="containsText" text="Ex">
      <formula>NOT(ISERROR(SEARCH("Ex",BT33)))</formula>
    </cfRule>
    <cfRule type="containsText" dxfId="643" priority="770" operator="containsText" text="G">
      <formula>NOT(ISERROR(SEARCH("G",BT33)))</formula>
    </cfRule>
    <cfRule type="containsText" dxfId="642" priority="771" operator="containsText" text="P">
      <formula>NOT(ISERROR(SEARCH("P",BT33)))</formula>
    </cfRule>
  </conditionalFormatting>
  <conditionalFormatting sqref="AJ73:AK74">
    <cfRule type="containsText" dxfId="641" priority="766" operator="containsText" text="Ex">
      <formula>NOT(ISERROR(SEARCH("Ex",AJ73)))</formula>
    </cfRule>
    <cfRule type="containsText" dxfId="640" priority="767" operator="containsText" text="G">
      <formula>NOT(ISERROR(SEARCH("G",AJ73)))</formula>
    </cfRule>
    <cfRule type="containsText" dxfId="639" priority="768" operator="containsText" text="P">
      <formula>NOT(ISERROR(SEARCH("P",AJ73)))</formula>
    </cfRule>
  </conditionalFormatting>
  <conditionalFormatting sqref="BT37:BU38">
    <cfRule type="containsText" dxfId="638" priority="763" operator="containsText" text="Ex">
      <formula>NOT(ISERROR(SEARCH("Ex",BT37)))</formula>
    </cfRule>
    <cfRule type="containsText" dxfId="637" priority="764" operator="containsText" text="G">
      <formula>NOT(ISERROR(SEARCH("G",BT37)))</formula>
    </cfRule>
    <cfRule type="containsText" dxfId="636" priority="765" operator="containsText" text="P">
      <formula>NOT(ISERROR(SEARCH("P",BT37)))</formula>
    </cfRule>
  </conditionalFormatting>
  <conditionalFormatting sqref="AN73:AO74">
    <cfRule type="containsText" dxfId="635" priority="760" operator="containsText" text="Ex">
      <formula>NOT(ISERROR(SEARCH("Ex",AN73)))</formula>
    </cfRule>
    <cfRule type="containsText" dxfId="634" priority="761" operator="containsText" text="G">
      <formula>NOT(ISERROR(SEARCH("G",AN73)))</formula>
    </cfRule>
    <cfRule type="containsText" dxfId="633" priority="762" operator="containsText" text="P">
      <formula>NOT(ISERROR(SEARCH("P",AN73)))</formula>
    </cfRule>
  </conditionalFormatting>
  <conditionalFormatting sqref="BT41:BU42">
    <cfRule type="containsText" dxfId="632" priority="757" operator="containsText" text="Ex">
      <formula>NOT(ISERROR(SEARCH("Ex",BT41)))</formula>
    </cfRule>
    <cfRule type="containsText" dxfId="631" priority="758" operator="containsText" text="G">
      <formula>NOT(ISERROR(SEARCH("G",BT41)))</formula>
    </cfRule>
    <cfRule type="containsText" dxfId="630" priority="759" operator="containsText" text="P">
      <formula>NOT(ISERROR(SEARCH("P",BT41)))</formula>
    </cfRule>
  </conditionalFormatting>
  <conditionalFormatting sqref="AR73:AS74">
    <cfRule type="containsText" dxfId="629" priority="754" operator="containsText" text="Ex">
      <formula>NOT(ISERROR(SEARCH("Ex",AR73)))</formula>
    </cfRule>
    <cfRule type="containsText" dxfId="628" priority="755" operator="containsText" text="G">
      <formula>NOT(ISERROR(SEARCH("G",AR73)))</formula>
    </cfRule>
    <cfRule type="containsText" dxfId="627" priority="756" operator="containsText" text="P">
      <formula>NOT(ISERROR(SEARCH("P",AR73)))</formula>
    </cfRule>
  </conditionalFormatting>
  <conditionalFormatting sqref="BT45:BU46">
    <cfRule type="containsText" dxfId="626" priority="751" operator="containsText" text="Ex">
      <formula>NOT(ISERROR(SEARCH("Ex",BT45)))</formula>
    </cfRule>
    <cfRule type="containsText" dxfId="625" priority="752" operator="containsText" text="G">
      <formula>NOT(ISERROR(SEARCH("G",BT45)))</formula>
    </cfRule>
    <cfRule type="containsText" dxfId="624" priority="753" operator="containsText" text="P">
      <formula>NOT(ISERROR(SEARCH("P",BT45)))</formula>
    </cfRule>
  </conditionalFormatting>
  <conditionalFormatting sqref="AV73:AW74">
    <cfRule type="containsText" dxfId="623" priority="748" operator="containsText" text="Ex">
      <formula>NOT(ISERROR(SEARCH("Ex",AV73)))</formula>
    </cfRule>
    <cfRule type="containsText" dxfId="622" priority="749" operator="containsText" text="G">
      <formula>NOT(ISERROR(SEARCH("G",AV73)))</formula>
    </cfRule>
    <cfRule type="containsText" dxfId="621" priority="750" operator="containsText" text="P">
      <formula>NOT(ISERROR(SEARCH("P",AV73)))</formula>
    </cfRule>
  </conditionalFormatting>
  <conditionalFormatting sqref="BT49:BU50">
    <cfRule type="containsText" dxfId="620" priority="745" operator="containsText" text="Ex">
      <formula>NOT(ISERROR(SEARCH("Ex",BT49)))</formula>
    </cfRule>
    <cfRule type="containsText" dxfId="619" priority="746" operator="containsText" text="G">
      <formula>NOT(ISERROR(SEARCH("G",BT49)))</formula>
    </cfRule>
    <cfRule type="containsText" dxfId="618" priority="747" operator="containsText" text="P">
      <formula>NOT(ISERROR(SEARCH("P",BT49)))</formula>
    </cfRule>
  </conditionalFormatting>
  <conditionalFormatting sqref="AZ73:BA74">
    <cfRule type="containsText" dxfId="617" priority="742" operator="containsText" text="Ex">
      <formula>NOT(ISERROR(SEARCH("Ex",AZ73)))</formula>
    </cfRule>
    <cfRule type="containsText" dxfId="616" priority="743" operator="containsText" text="G">
      <formula>NOT(ISERROR(SEARCH("G",AZ73)))</formula>
    </cfRule>
    <cfRule type="containsText" dxfId="615" priority="744" operator="containsText" text="P">
      <formula>NOT(ISERROR(SEARCH("P",AZ73)))</formula>
    </cfRule>
  </conditionalFormatting>
  <conditionalFormatting sqref="BT53:BU54">
    <cfRule type="containsText" dxfId="614" priority="739" operator="containsText" text="Ex">
      <formula>NOT(ISERROR(SEARCH("Ex",BT53)))</formula>
    </cfRule>
    <cfRule type="containsText" dxfId="613" priority="740" operator="containsText" text="G">
      <formula>NOT(ISERROR(SEARCH("G",BT53)))</formula>
    </cfRule>
    <cfRule type="containsText" dxfId="612" priority="741" operator="containsText" text="P">
      <formula>NOT(ISERROR(SEARCH("P",BT53)))</formula>
    </cfRule>
  </conditionalFormatting>
  <conditionalFormatting sqref="BD73:BE74">
    <cfRule type="containsText" dxfId="611" priority="736" operator="containsText" text="Ex">
      <formula>NOT(ISERROR(SEARCH("Ex",BD73)))</formula>
    </cfRule>
    <cfRule type="containsText" dxfId="610" priority="737" operator="containsText" text="G">
      <formula>NOT(ISERROR(SEARCH("G",BD73)))</formula>
    </cfRule>
    <cfRule type="containsText" dxfId="609" priority="738" operator="containsText" text="P">
      <formula>NOT(ISERROR(SEARCH("P",BD73)))</formula>
    </cfRule>
  </conditionalFormatting>
  <conditionalFormatting sqref="BT57:BU58">
    <cfRule type="containsText" dxfId="608" priority="733" operator="containsText" text="Ex">
      <formula>NOT(ISERROR(SEARCH("Ex",BT57)))</formula>
    </cfRule>
    <cfRule type="containsText" dxfId="607" priority="734" operator="containsText" text="G">
      <formula>NOT(ISERROR(SEARCH("G",BT57)))</formula>
    </cfRule>
    <cfRule type="containsText" dxfId="606" priority="735" operator="containsText" text="P">
      <formula>NOT(ISERROR(SEARCH("P",BT57)))</formula>
    </cfRule>
  </conditionalFormatting>
  <conditionalFormatting sqref="BH73:BI74">
    <cfRule type="containsText" dxfId="605" priority="730" operator="containsText" text="Ex">
      <formula>NOT(ISERROR(SEARCH("Ex",BH73)))</formula>
    </cfRule>
    <cfRule type="containsText" dxfId="604" priority="731" operator="containsText" text="G">
      <formula>NOT(ISERROR(SEARCH("G",BH73)))</formula>
    </cfRule>
    <cfRule type="containsText" dxfId="603" priority="732" operator="containsText" text="P">
      <formula>NOT(ISERROR(SEARCH("P",BH73)))</formula>
    </cfRule>
  </conditionalFormatting>
  <conditionalFormatting sqref="BT61:BU62">
    <cfRule type="containsText" dxfId="602" priority="727" operator="containsText" text="Ex">
      <formula>NOT(ISERROR(SEARCH("Ex",BT61)))</formula>
    </cfRule>
    <cfRule type="containsText" dxfId="601" priority="728" operator="containsText" text="G">
      <formula>NOT(ISERROR(SEARCH("G",BT61)))</formula>
    </cfRule>
    <cfRule type="containsText" dxfId="600" priority="729" operator="containsText" text="P">
      <formula>NOT(ISERROR(SEARCH("P",BT61)))</formula>
    </cfRule>
  </conditionalFormatting>
  <conditionalFormatting sqref="BL73:BM74">
    <cfRule type="containsText" dxfId="599" priority="724" operator="containsText" text="Ex">
      <formula>NOT(ISERROR(SEARCH("Ex",BL73)))</formula>
    </cfRule>
    <cfRule type="containsText" dxfId="598" priority="725" operator="containsText" text="G">
      <formula>NOT(ISERROR(SEARCH("G",BL73)))</formula>
    </cfRule>
    <cfRule type="containsText" dxfId="597" priority="726" operator="containsText" text="P">
      <formula>NOT(ISERROR(SEARCH("P",BL73)))</formula>
    </cfRule>
  </conditionalFormatting>
  <conditionalFormatting sqref="BT65:BU66">
    <cfRule type="containsText" dxfId="596" priority="721" operator="containsText" text="Ex">
      <formula>NOT(ISERROR(SEARCH("Ex",BT65)))</formula>
    </cfRule>
    <cfRule type="containsText" dxfId="595" priority="722" operator="containsText" text="G">
      <formula>NOT(ISERROR(SEARCH("G",BT65)))</formula>
    </cfRule>
    <cfRule type="containsText" dxfId="594" priority="723" operator="containsText" text="P">
      <formula>NOT(ISERROR(SEARCH("P",BT65)))</formula>
    </cfRule>
  </conditionalFormatting>
  <conditionalFormatting sqref="BP73:BQ74">
    <cfRule type="containsText" dxfId="593" priority="718" operator="containsText" text="Ex">
      <formula>NOT(ISERROR(SEARCH("Ex",BP73)))</formula>
    </cfRule>
    <cfRule type="containsText" dxfId="592" priority="719" operator="containsText" text="G">
      <formula>NOT(ISERROR(SEARCH("G",BP73)))</formula>
    </cfRule>
    <cfRule type="containsText" dxfId="591" priority="720" operator="containsText" text="P">
      <formula>NOT(ISERROR(SEARCH("P",BP73)))</formula>
    </cfRule>
  </conditionalFormatting>
  <conditionalFormatting sqref="BT69:BU70">
    <cfRule type="containsText" dxfId="590" priority="715" operator="containsText" text="Ex">
      <formula>NOT(ISERROR(SEARCH("Ex",BT69)))</formula>
    </cfRule>
    <cfRule type="containsText" dxfId="589" priority="716" operator="containsText" text="G">
      <formula>NOT(ISERROR(SEARCH("G",BT69)))</formula>
    </cfRule>
    <cfRule type="containsText" dxfId="588" priority="717" operator="containsText" text="P">
      <formula>NOT(ISERROR(SEARCH("P",BT69)))</formula>
    </cfRule>
  </conditionalFormatting>
  <conditionalFormatting sqref="D77:E78">
    <cfRule type="containsText" dxfId="587" priority="712" operator="containsText" text="Ex">
      <formula>NOT(ISERROR(SEARCH("Ex",D77)))</formula>
    </cfRule>
    <cfRule type="containsText" dxfId="586" priority="713" operator="containsText" text="G">
      <formula>NOT(ISERROR(SEARCH("G",D77)))</formula>
    </cfRule>
    <cfRule type="containsText" dxfId="585" priority="714" operator="containsText" text="P">
      <formula>NOT(ISERROR(SEARCH("P",D77)))</formula>
    </cfRule>
  </conditionalFormatting>
  <conditionalFormatting sqref="BX9:BY10">
    <cfRule type="containsText" dxfId="584" priority="709" operator="containsText" text="Ex">
      <formula>NOT(ISERROR(SEARCH("Ex",BX9)))</formula>
    </cfRule>
    <cfRule type="containsText" dxfId="583" priority="710" operator="containsText" text="G">
      <formula>NOT(ISERROR(SEARCH("G",BX9)))</formula>
    </cfRule>
    <cfRule type="containsText" dxfId="582" priority="711" operator="containsText" text="P">
      <formula>NOT(ISERROR(SEARCH("P",BX9)))</formula>
    </cfRule>
  </conditionalFormatting>
  <conditionalFormatting sqref="H77:I78">
    <cfRule type="containsText" dxfId="581" priority="706" operator="containsText" text="Ex">
      <formula>NOT(ISERROR(SEARCH("Ex",H77)))</formula>
    </cfRule>
    <cfRule type="containsText" dxfId="580" priority="707" operator="containsText" text="G">
      <formula>NOT(ISERROR(SEARCH("G",H77)))</formula>
    </cfRule>
    <cfRule type="containsText" dxfId="579" priority="708" operator="containsText" text="P">
      <formula>NOT(ISERROR(SEARCH("P",H77)))</formula>
    </cfRule>
  </conditionalFormatting>
  <conditionalFormatting sqref="BX13:BY14">
    <cfRule type="containsText" dxfId="578" priority="703" operator="containsText" text="Ex">
      <formula>NOT(ISERROR(SEARCH("Ex",BX13)))</formula>
    </cfRule>
    <cfRule type="containsText" dxfId="577" priority="704" operator="containsText" text="G">
      <formula>NOT(ISERROR(SEARCH("G",BX13)))</formula>
    </cfRule>
    <cfRule type="containsText" dxfId="576" priority="705" operator="containsText" text="P">
      <formula>NOT(ISERROR(SEARCH("P",BX13)))</formula>
    </cfRule>
  </conditionalFormatting>
  <conditionalFormatting sqref="L77:M78">
    <cfRule type="containsText" dxfId="575" priority="700" operator="containsText" text="Ex">
      <formula>NOT(ISERROR(SEARCH("Ex",L77)))</formula>
    </cfRule>
    <cfRule type="containsText" dxfId="574" priority="701" operator="containsText" text="G">
      <formula>NOT(ISERROR(SEARCH("G",L77)))</formula>
    </cfRule>
    <cfRule type="containsText" dxfId="573" priority="702" operator="containsText" text="P">
      <formula>NOT(ISERROR(SEARCH("P",L77)))</formula>
    </cfRule>
  </conditionalFormatting>
  <conditionalFormatting sqref="P77:Q78">
    <cfRule type="containsText" dxfId="572" priority="697" operator="containsText" text="Ex">
      <formula>NOT(ISERROR(SEARCH("Ex",P77)))</formula>
    </cfRule>
    <cfRule type="containsText" dxfId="571" priority="698" operator="containsText" text="G">
      <formula>NOT(ISERROR(SEARCH("G",P77)))</formula>
    </cfRule>
    <cfRule type="containsText" dxfId="570" priority="699" operator="containsText" text="P">
      <formula>NOT(ISERROR(SEARCH("P",P77)))</formula>
    </cfRule>
  </conditionalFormatting>
  <conditionalFormatting sqref="BX17:BY18">
    <cfRule type="containsText" dxfId="569" priority="694" operator="containsText" text="Ex">
      <formula>NOT(ISERROR(SEARCH("Ex",BX17)))</formula>
    </cfRule>
    <cfRule type="containsText" dxfId="568" priority="695" operator="containsText" text="G">
      <formula>NOT(ISERROR(SEARCH("G",BX17)))</formula>
    </cfRule>
    <cfRule type="containsText" dxfId="567" priority="696" operator="containsText" text="P">
      <formula>NOT(ISERROR(SEARCH("P",BX17)))</formula>
    </cfRule>
  </conditionalFormatting>
  <conditionalFormatting sqref="T77:U78">
    <cfRule type="containsText" dxfId="566" priority="691" operator="containsText" text="Ex">
      <formula>NOT(ISERROR(SEARCH("Ex",T77)))</formula>
    </cfRule>
    <cfRule type="containsText" dxfId="565" priority="692" operator="containsText" text="G">
      <formula>NOT(ISERROR(SEARCH("G",T77)))</formula>
    </cfRule>
    <cfRule type="containsText" dxfId="564" priority="693" operator="containsText" text="P">
      <formula>NOT(ISERROR(SEARCH("P",T77)))</formula>
    </cfRule>
  </conditionalFormatting>
  <conditionalFormatting sqref="BX21:BY22">
    <cfRule type="containsText" dxfId="563" priority="688" operator="containsText" text="Ex">
      <formula>NOT(ISERROR(SEARCH("Ex",BX21)))</formula>
    </cfRule>
    <cfRule type="containsText" dxfId="562" priority="689" operator="containsText" text="G">
      <formula>NOT(ISERROR(SEARCH("G",BX21)))</formula>
    </cfRule>
    <cfRule type="containsText" dxfId="561" priority="690" operator="containsText" text="P">
      <formula>NOT(ISERROR(SEARCH("P",BX21)))</formula>
    </cfRule>
  </conditionalFormatting>
  <conditionalFormatting sqref="X77:Y78">
    <cfRule type="containsText" dxfId="560" priority="685" operator="containsText" text="Ex">
      <formula>NOT(ISERROR(SEARCH("Ex",X77)))</formula>
    </cfRule>
    <cfRule type="containsText" dxfId="559" priority="686" operator="containsText" text="G">
      <formula>NOT(ISERROR(SEARCH("G",X77)))</formula>
    </cfRule>
    <cfRule type="containsText" dxfId="558" priority="687" operator="containsText" text="P">
      <formula>NOT(ISERROR(SEARCH("P",X77)))</formula>
    </cfRule>
  </conditionalFormatting>
  <conditionalFormatting sqref="BX25:BY26">
    <cfRule type="containsText" dxfId="557" priority="682" operator="containsText" text="Ex">
      <formula>NOT(ISERROR(SEARCH("Ex",BX25)))</formula>
    </cfRule>
    <cfRule type="containsText" dxfId="556" priority="683" operator="containsText" text="G">
      <formula>NOT(ISERROR(SEARCH("G",BX25)))</formula>
    </cfRule>
    <cfRule type="containsText" dxfId="555" priority="684" operator="containsText" text="P">
      <formula>NOT(ISERROR(SEARCH("P",BX25)))</formula>
    </cfRule>
  </conditionalFormatting>
  <conditionalFormatting sqref="AB77:AC78">
    <cfRule type="containsText" dxfId="554" priority="679" operator="containsText" text="Ex">
      <formula>NOT(ISERROR(SEARCH("Ex",AB77)))</formula>
    </cfRule>
    <cfRule type="containsText" dxfId="553" priority="680" operator="containsText" text="G">
      <formula>NOT(ISERROR(SEARCH("G",AB77)))</formula>
    </cfRule>
    <cfRule type="containsText" dxfId="552" priority="681" operator="containsText" text="P">
      <formula>NOT(ISERROR(SEARCH("P",AB77)))</formula>
    </cfRule>
  </conditionalFormatting>
  <conditionalFormatting sqref="BX29:BY30">
    <cfRule type="containsText" dxfId="551" priority="676" operator="containsText" text="Ex">
      <formula>NOT(ISERROR(SEARCH("Ex",BX29)))</formula>
    </cfRule>
    <cfRule type="containsText" dxfId="550" priority="677" operator="containsText" text="G">
      <formula>NOT(ISERROR(SEARCH("G",BX29)))</formula>
    </cfRule>
    <cfRule type="containsText" dxfId="549" priority="678" operator="containsText" text="P">
      <formula>NOT(ISERROR(SEARCH("P",BX29)))</formula>
    </cfRule>
  </conditionalFormatting>
  <conditionalFormatting sqref="AF77:AG78">
    <cfRule type="containsText" dxfId="548" priority="673" operator="containsText" text="Ex">
      <formula>NOT(ISERROR(SEARCH("Ex",AF77)))</formula>
    </cfRule>
    <cfRule type="containsText" dxfId="547" priority="674" operator="containsText" text="G">
      <formula>NOT(ISERROR(SEARCH("G",AF77)))</formula>
    </cfRule>
    <cfRule type="containsText" dxfId="546" priority="675" operator="containsText" text="P">
      <formula>NOT(ISERROR(SEARCH("P",AF77)))</formula>
    </cfRule>
  </conditionalFormatting>
  <conditionalFormatting sqref="BX33:BY34">
    <cfRule type="containsText" dxfId="545" priority="670" operator="containsText" text="Ex">
      <formula>NOT(ISERROR(SEARCH("Ex",BX33)))</formula>
    </cfRule>
    <cfRule type="containsText" dxfId="544" priority="671" operator="containsText" text="G">
      <formula>NOT(ISERROR(SEARCH("G",BX33)))</formula>
    </cfRule>
    <cfRule type="containsText" dxfId="543" priority="672" operator="containsText" text="P">
      <formula>NOT(ISERROR(SEARCH("P",BX33)))</formula>
    </cfRule>
  </conditionalFormatting>
  <conditionalFormatting sqref="AJ77:AK78">
    <cfRule type="containsText" dxfId="542" priority="667" operator="containsText" text="Ex">
      <formula>NOT(ISERROR(SEARCH("Ex",AJ77)))</formula>
    </cfRule>
    <cfRule type="containsText" dxfId="541" priority="668" operator="containsText" text="G">
      <formula>NOT(ISERROR(SEARCH("G",AJ77)))</formula>
    </cfRule>
    <cfRule type="containsText" dxfId="540" priority="669" operator="containsText" text="P">
      <formula>NOT(ISERROR(SEARCH("P",AJ77)))</formula>
    </cfRule>
  </conditionalFormatting>
  <conditionalFormatting sqref="BX37:BY38">
    <cfRule type="containsText" dxfId="539" priority="664" operator="containsText" text="Ex">
      <formula>NOT(ISERROR(SEARCH("Ex",BX37)))</formula>
    </cfRule>
    <cfRule type="containsText" dxfId="538" priority="665" operator="containsText" text="G">
      <formula>NOT(ISERROR(SEARCH("G",BX37)))</formula>
    </cfRule>
    <cfRule type="containsText" dxfId="537" priority="666" operator="containsText" text="P">
      <formula>NOT(ISERROR(SEARCH("P",BX37)))</formula>
    </cfRule>
  </conditionalFormatting>
  <conditionalFormatting sqref="AN77:AO78">
    <cfRule type="containsText" dxfId="536" priority="661" operator="containsText" text="Ex">
      <formula>NOT(ISERROR(SEARCH("Ex",AN77)))</formula>
    </cfRule>
    <cfRule type="containsText" dxfId="535" priority="662" operator="containsText" text="G">
      <formula>NOT(ISERROR(SEARCH("G",AN77)))</formula>
    </cfRule>
    <cfRule type="containsText" dxfId="534" priority="663" operator="containsText" text="P">
      <formula>NOT(ISERROR(SEARCH("P",AN77)))</formula>
    </cfRule>
  </conditionalFormatting>
  <conditionalFormatting sqref="BX41:BY42">
    <cfRule type="containsText" dxfId="533" priority="658" operator="containsText" text="Ex">
      <formula>NOT(ISERROR(SEARCH("Ex",BX41)))</formula>
    </cfRule>
    <cfRule type="containsText" dxfId="532" priority="659" operator="containsText" text="G">
      <formula>NOT(ISERROR(SEARCH("G",BX41)))</formula>
    </cfRule>
    <cfRule type="containsText" dxfId="531" priority="660" operator="containsText" text="P">
      <formula>NOT(ISERROR(SEARCH("P",BX41)))</formula>
    </cfRule>
  </conditionalFormatting>
  <conditionalFormatting sqref="AR77:AS78">
    <cfRule type="containsText" dxfId="530" priority="655" operator="containsText" text="Ex">
      <formula>NOT(ISERROR(SEARCH("Ex",AR77)))</formula>
    </cfRule>
    <cfRule type="containsText" dxfId="529" priority="656" operator="containsText" text="G">
      <formula>NOT(ISERROR(SEARCH("G",AR77)))</formula>
    </cfRule>
    <cfRule type="containsText" dxfId="528" priority="657" operator="containsText" text="P">
      <formula>NOT(ISERROR(SEARCH("P",AR77)))</formula>
    </cfRule>
  </conditionalFormatting>
  <conditionalFormatting sqref="BX45:BY46">
    <cfRule type="containsText" dxfId="527" priority="652" operator="containsText" text="Ex">
      <formula>NOT(ISERROR(SEARCH("Ex",BX45)))</formula>
    </cfRule>
    <cfRule type="containsText" dxfId="526" priority="653" operator="containsText" text="G">
      <formula>NOT(ISERROR(SEARCH("G",BX45)))</formula>
    </cfRule>
    <cfRule type="containsText" dxfId="525" priority="654" operator="containsText" text="P">
      <formula>NOT(ISERROR(SEARCH("P",BX45)))</formula>
    </cfRule>
  </conditionalFormatting>
  <conditionalFormatting sqref="AV77:AW78">
    <cfRule type="containsText" dxfId="524" priority="649" operator="containsText" text="Ex">
      <formula>NOT(ISERROR(SEARCH("Ex",AV77)))</formula>
    </cfRule>
    <cfRule type="containsText" dxfId="523" priority="650" operator="containsText" text="G">
      <formula>NOT(ISERROR(SEARCH("G",AV77)))</formula>
    </cfRule>
    <cfRule type="containsText" dxfId="522" priority="651" operator="containsText" text="P">
      <formula>NOT(ISERROR(SEARCH("P",AV77)))</formula>
    </cfRule>
  </conditionalFormatting>
  <conditionalFormatting sqref="BX49:BY50">
    <cfRule type="containsText" dxfId="521" priority="646" operator="containsText" text="Ex">
      <formula>NOT(ISERROR(SEARCH("Ex",BX49)))</formula>
    </cfRule>
    <cfRule type="containsText" dxfId="520" priority="647" operator="containsText" text="G">
      <formula>NOT(ISERROR(SEARCH("G",BX49)))</formula>
    </cfRule>
    <cfRule type="containsText" dxfId="519" priority="648" operator="containsText" text="P">
      <formula>NOT(ISERROR(SEARCH("P",BX49)))</formula>
    </cfRule>
  </conditionalFormatting>
  <conditionalFormatting sqref="AZ77:BA78">
    <cfRule type="containsText" dxfId="518" priority="643" operator="containsText" text="Ex">
      <formula>NOT(ISERROR(SEARCH("Ex",AZ77)))</formula>
    </cfRule>
    <cfRule type="containsText" dxfId="517" priority="644" operator="containsText" text="G">
      <formula>NOT(ISERROR(SEARCH("G",AZ77)))</formula>
    </cfRule>
    <cfRule type="containsText" dxfId="516" priority="645" operator="containsText" text="P">
      <formula>NOT(ISERROR(SEARCH("P",AZ77)))</formula>
    </cfRule>
  </conditionalFormatting>
  <conditionalFormatting sqref="BX53:BY54">
    <cfRule type="containsText" dxfId="515" priority="640" operator="containsText" text="Ex">
      <formula>NOT(ISERROR(SEARCH("Ex",BX53)))</formula>
    </cfRule>
    <cfRule type="containsText" dxfId="514" priority="641" operator="containsText" text="G">
      <formula>NOT(ISERROR(SEARCH("G",BX53)))</formula>
    </cfRule>
    <cfRule type="containsText" dxfId="513" priority="642" operator="containsText" text="P">
      <formula>NOT(ISERROR(SEARCH("P",BX53)))</formula>
    </cfRule>
  </conditionalFormatting>
  <conditionalFormatting sqref="BD77:BE78">
    <cfRule type="containsText" dxfId="512" priority="637" operator="containsText" text="Ex">
      <formula>NOT(ISERROR(SEARCH("Ex",BD77)))</formula>
    </cfRule>
    <cfRule type="containsText" dxfId="511" priority="638" operator="containsText" text="G">
      <formula>NOT(ISERROR(SEARCH("G",BD77)))</formula>
    </cfRule>
    <cfRule type="containsText" dxfId="510" priority="639" operator="containsText" text="P">
      <formula>NOT(ISERROR(SEARCH("P",BD77)))</formula>
    </cfRule>
  </conditionalFormatting>
  <conditionalFormatting sqref="BX57:BY58">
    <cfRule type="containsText" dxfId="509" priority="634" operator="containsText" text="Ex">
      <formula>NOT(ISERROR(SEARCH("Ex",BX57)))</formula>
    </cfRule>
    <cfRule type="containsText" dxfId="508" priority="635" operator="containsText" text="G">
      <formula>NOT(ISERROR(SEARCH("G",BX57)))</formula>
    </cfRule>
    <cfRule type="containsText" dxfId="507" priority="636" operator="containsText" text="P">
      <formula>NOT(ISERROR(SEARCH("P",BX57)))</formula>
    </cfRule>
  </conditionalFormatting>
  <conditionalFormatting sqref="BH77:BI78">
    <cfRule type="containsText" dxfId="506" priority="631" operator="containsText" text="Ex">
      <formula>NOT(ISERROR(SEARCH("Ex",BH77)))</formula>
    </cfRule>
    <cfRule type="containsText" dxfId="505" priority="632" operator="containsText" text="G">
      <formula>NOT(ISERROR(SEARCH("G",BH77)))</formula>
    </cfRule>
    <cfRule type="containsText" dxfId="504" priority="633" operator="containsText" text="P">
      <formula>NOT(ISERROR(SEARCH("P",BH77)))</formula>
    </cfRule>
  </conditionalFormatting>
  <conditionalFormatting sqref="BX61:BY62">
    <cfRule type="containsText" dxfId="503" priority="628" operator="containsText" text="Ex">
      <formula>NOT(ISERROR(SEARCH("Ex",BX61)))</formula>
    </cfRule>
    <cfRule type="containsText" dxfId="502" priority="629" operator="containsText" text="G">
      <formula>NOT(ISERROR(SEARCH("G",BX61)))</formula>
    </cfRule>
    <cfRule type="containsText" dxfId="501" priority="630" operator="containsText" text="P">
      <formula>NOT(ISERROR(SEARCH("P",BX61)))</formula>
    </cfRule>
  </conditionalFormatting>
  <conditionalFormatting sqref="BL77:BM78">
    <cfRule type="containsText" dxfId="500" priority="625" operator="containsText" text="Ex">
      <formula>NOT(ISERROR(SEARCH("Ex",BL77)))</formula>
    </cfRule>
    <cfRule type="containsText" dxfId="499" priority="626" operator="containsText" text="G">
      <formula>NOT(ISERROR(SEARCH("G",BL77)))</formula>
    </cfRule>
    <cfRule type="containsText" dxfId="498" priority="627" operator="containsText" text="P">
      <formula>NOT(ISERROR(SEARCH("P",BL77)))</formula>
    </cfRule>
  </conditionalFormatting>
  <conditionalFormatting sqref="BX65:BY66">
    <cfRule type="containsText" dxfId="497" priority="622" operator="containsText" text="Ex">
      <formula>NOT(ISERROR(SEARCH("Ex",BX65)))</formula>
    </cfRule>
    <cfRule type="containsText" dxfId="496" priority="623" operator="containsText" text="G">
      <formula>NOT(ISERROR(SEARCH("G",BX65)))</formula>
    </cfRule>
    <cfRule type="containsText" dxfId="495" priority="624" operator="containsText" text="P">
      <formula>NOT(ISERROR(SEARCH("P",BX65)))</formula>
    </cfRule>
  </conditionalFormatting>
  <conditionalFormatting sqref="BP77:BQ78">
    <cfRule type="containsText" dxfId="494" priority="619" operator="containsText" text="Ex">
      <formula>NOT(ISERROR(SEARCH("Ex",BP77)))</formula>
    </cfRule>
    <cfRule type="containsText" dxfId="493" priority="620" operator="containsText" text="G">
      <formula>NOT(ISERROR(SEARCH("G",BP77)))</formula>
    </cfRule>
    <cfRule type="containsText" dxfId="492" priority="621" operator="containsText" text="P">
      <formula>NOT(ISERROR(SEARCH("P",BP77)))</formula>
    </cfRule>
  </conditionalFormatting>
  <conditionalFormatting sqref="BX69:BY70">
    <cfRule type="containsText" dxfId="491" priority="616" operator="containsText" text="Ex">
      <formula>NOT(ISERROR(SEARCH("Ex",BX69)))</formula>
    </cfRule>
    <cfRule type="containsText" dxfId="490" priority="617" operator="containsText" text="G">
      <formula>NOT(ISERROR(SEARCH("G",BX69)))</formula>
    </cfRule>
    <cfRule type="containsText" dxfId="489" priority="618" operator="containsText" text="P">
      <formula>NOT(ISERROR(SEARCH("P",BX69)))</formula>
    </cfRule>
  </conditionalFormatting>
  <conditionalFormatting sqref="BT77:BU78">
    <cfRule type="containsText" dxfId="488" priority="613" operator="containsText" text="Ex">
      <formula>NOT(ISERROR(SEARCH("Ex",BT77)))</formula>
    </cfRule>
    <cfRule type="containsText" dxfId="487" priority="614" operator="containsText" text="G">
      <formula>NOT(ISERROR(SEARCH("G",BT77)))</formula>
    </cfRule>
    <cfRule type="containsText" dxfId="486" priority="615" operator="containsText" text="P">
      <formula>NOT(ISERROR(SEARCH("P",BT77)))</formula>
    </cfRule>
  </conditionalFormatting>
  <conditionalFormatting sqref="BX73:BY74">
    <cfRule type="containsText" dxfId="485" priority="610" operator="containsText" text="Ex">
      <formula>NOT(ISERROR(SEARCH("Ex",BX73)))</formula>
    </cfRule>
    <cfRule type="containsText" dxfId="484" priority="611" operator="containsText" text="G">
      <formula>NOT(ISERROR(SEARCH("G",BX73)))</formula>
    </cfRule>
    <cfRule type="containsText" dxfId="483" priority="612" operator="containsText" text="P">
      <formula>NOT(ISERROR(SEARCH("P",BX73)))</formula>
    </cfRule>
  </conditionalFormatting>
  <conditionalFormatting sqref="D81:E82">
    <cfRule type="containsText" dxfId="482" priority="607" operator="containsText" text="Ex">
      <formula>NOT(ISERROR(SEARCH("Ex",D81)))</formula>
    </cfRule>
    <cfRule type="containsText" dxfId="481" priority="608" operator="containsText" text="G">
      <formula>NOT(ISERROR(SEARCH("G",D81)))</formula>
    </cfRule>
    <cfRule type="containsText" dxfId="480" priority="609" operator="containsText" text="P">
      <formula>NOT(ISERROR(SEARCH("P",D81)))</formula>
    </cfRule>
  </conditionalFormatting>
  <conditionalFormatting sqref="CB9:CC10">
    <cfRule type="containsText" dxfId="479" priority="604" operator="containsText" text="Ex">
      <formula>NOT(ISERROR(SEARCH("Ex",CB9)))</formula>
    </cfRule>
    <cfRule type="containsText" dxfId="478" priority="605" operator="containsText" text="G">
      <formula>NOT(ISERROR(SEARCH("G",CB9)))</formula>
    </cfRule>
    <cfRule type="containsText" dxfId="477" priority="606" operator="containsText" text="P">
      <formula>NOT(ISERROR(SEARCH("P",CB9)))</formula>
    </cfRule>
  </conditionalFormatting>
  <conditionalFormatting sqref="H81:I82">
    <cfRule type="containsText" dxfId="476" priority="601" operator="containsText" text="Ex">
      <formula>NOT(ISERROR(SEARCH("Ex",H81)))</formula>
    </cfRule>
    <cfRule type="containsText" dxfId="475" priority="602" operator="containsText" text="G">
      <formula>NOT(ISERROR(SEARCH("G",H81)))</formula>
    </cfRule>
    <cfRule type="containsText" dxfId="474" priority="603" operator="containsText" text="P">
      <formula>NOT(ISERROR(SEARCH("P",H81)))</formula>
    </cfRule>
  </conditionalFormatting>
  <conditionalFormatting sqref="CB13:CC14">
    <cfRule type="containsText" dxfId="473" priority="598" operator="containsText" text="Ex">
      <formula>NOT(ISERROR(SEARCH("Ex",CB13)))</formula>
    </cfRule>
    <cfRule type="containsText" dxfId="472" priority="599" operator="containsText" text="G">
      <formula>NOT(ISERROR(SEARCH("G",CB13)))</formula>
    </cfRule>
    <cfRule type="containsText" dxfId="471" priority="600" operator="containsText" text="P">
      <formula>NOT(ISERROR(SEARCH("P",CB13)))</formula>
    </cfRule>
  </conditionalFormatting>
  <conditionalFormatting sqref="L81:M82">
    <cfRule type="containsText" dxfId="470" priority="595" operator="containsText" text="Ex">
      <formula>NOT(ISERROR(SEARCH("Ex",L81)))</formula>
    </cfRule>
    <cfRule type="containsText" dxfId="469" priority="596" operator="containsText" text="G">
      <formula>NOT(ISERROR(SEARCH("G",L81)))</formula>
    </cfRule>
    <cfRule type="containsText" dxfId="468" priority="597" operator="containsText" text="P">
      <formula>NOT(ISERROR(SEARCH("P",L81)))</formula>
    </cfRule>
  </conditionalFormatting>
  <conditionalFormatting sqref="CB17:CC18">
    <cfRule type="containsText" dxfId="467" priority="592" operator="containsText" text="Ex">
      <formula>NOT(ISERROR(SEARCH("Ex",CB17)))</formula>
    </cfRule>
    <cfRule type="containsText" dxfId="466" priority="593" operator="containsText" text="G">
      <formula>NOT(ISERROR(SEARCH("G",CB17)))</formula>
    </cfRule>
    <cfRule type="containsText" dxfId="465" priority="594" operator="containsText" text="P">
      <formula>NOT(ISERROR(SEARCH("P",CB17)))</formula>
    </cfRule>
  </conditionalFormatting>
  <conditionalFormatting sqref="P81:Q82">
    <cfRule type="containsText" dxfId="464" priority="589" operator="containsText" text="Ex">
      <formula>NOT(ISERROR(SEARCH("Ex",P81)))</formula>
    </cfRule>
    <cfRule type="containsText" dxfId="463" priority="590" operator="containsText" text="G">
      <formula>NOT(ISERROR(SEARCH("G",P81)))</formula>
    </cfRule>
    <cfRule type="containsText" dxfId="462" priority="591" operator="containsText" text="P">
      <formula>NOT(ISERROR(SEARCH("P",P81)))</formula>
    </cfRule>
  </conditionalFormatting>
  <conditionalFormatting sqref="T81:U82">
    <cfRule type="containsText" dxfId="461" priority="586" operator="containsText" text="Ex">
      <formula>NOT(ISERROR(SEARCH("Ex",T81)))</formula>
    </cfRule>
    <cfRule type="containsText" dxfId="460" priority="587" operator="containsText" text="G">
      <formula>NOT(ISERROR(SEARCH("G",T81)))</formula>
    </cfRule>
    <cfRule type="containsText" dxfId="459" priority="588" operator="containsText" text="P">
      <formula>NOT(ISERROR(SEARCH("P",T81)))</formula>
    </cfRule>
  </conditionalFormatting>
  <conditionalFormatting sqref="CB21:CC22">
    <cfRule type="containsText" dxfId="458" priority="583" operator="containsText" text="Ex">
      <formula>NOT(ISERROR(SEARCH("Ex",CB21)))</formula>
    </cfRule>
    <cfRule type="containsText" dxfId="457" priority="584" operator="containsText" text="G">
      <formula>NOT(ISERROR(SEARCH("G",CB21)))</formula>
    </cfRule>
    <cfRule type="containsText" dxfId="456" priority="585" operator="containsText" text="P">
      <formula>NOT(ISERROR(SEARCH("P",CB21)))</formula>
    </cfRule>
  </conditionalFormatting>
  <conditionalFormatting sqref="X81:Y82">
    <cfRule type="containsText" dxfId="455" priority="580" operator="containsText" text="Ex">
      <formula>NOT(ISERROR(SEARCH("Ex",X81)))</formula>
    </cfRule>
    <cfRule type="containsText" dxfId="454" priority="581" operator="containsText" text="G">
      <formula>NOT(ISERROR(SEARCH("G",X81)))</formula>
    </cfRule>
    <cfRule type="containsText" dxfId="453" priority="582" operator="containsText" text="P">
      <formula>NOT(ISERROR(SEARCH("P",X81)))</formula>
    </cfRule>
  </conditionalFormatting>
  <conditionalFormatting sqref="CB25:CC26">
    <cfRule type="containsText" dxfId="452" priority="577" operator="containsText" text="Ex">
      <formula>NOT(ISERROR(SEARCH("Ex",CB25)))</formula>
    </cfRule>
    <cfRule type="containsText" dxfId="451" priority="578" operator="containsText" text="G">
      <formula>NOT(ISERROR(SEARCH("G",CB25)))</formula>
    </cfRule>
    <cfRule type="containsText" dxfId="450" priority="579" operator="containsText" text="P">
      <formula>NOT(ISERROR(SEARCH("P",CB25)))</formula>
    </cfRule>
  </conditionalFormatting>
  <conditionalFormatting sqref="AB81:AC82">
    <cfRule type="containsText" dxfId="449" priority="574" operator="containsText" text="Ex">
      <formula>NOT(ISERROR(SEARCH("Ex",AB81)))</formula>
    </cfRule>
    <cfRule type="containsText" dxfId="448" priority="575" operator="containsText" text="G">
      <formula>NOT(ISERROR(SEARCH("G",AB81)))</formula>
    </cfRule>
    <cfRule type="containsText" dxfId="447" priority="576" operator="containsText" text="P">
      <formula>NOT(ISERROR(SEARCH("P",AB81)))</formula>
    </cfRule>
  </conditionalFormatting>
  <conditionalFormatting sqref="CB29:CC30">
    <cfRule type="containsText" dxfId="446" priority="571" operator="containsText" text="Ex">
      <formula>NOT(ISERROR(SEARCH("Ex",CB29)))</formula>
    </cfRule>
    <cfRule type="containsText" dxfId="445" priority="572" operator="containsText" text="G">
      <formula>NOT(ISERROR(SEARCH("G",CB29)))</formula>
    </cfRule>
    <cfRule type="containsText" dxfId="444" priority="573" operator="containsText" text="P">
      <formula>NOT(ISERROR(SEARCH("P",CB29)))</formula>
    </cfRule>
  </conditionalFormatting>
  <conditionalFormatting sqref="AF81:AG82">
    <cfRule type="containsText" dxfId="443" priority="568" operator="containsText" text="Ex">
      <formula>NOT(ISERROR(SEARCH("Ex",AF81)))</formula>
    </cfRule>
    <cfRule type="containsText" dxfId="442" priority="569" operator="containsText" text="G">
      <formula>NOT(ISERROR(SEARCH("G",AF81)))</formula>
    </cfRule>
    <cfRule type="containsText" dxfId="441" priority="570" operator="containsText" text="P">
      <formula>NOT(ISERROR(SEARCH("P",AF81)))</formula>
    </cfRule>
  </conditionalFormatting>
  <conditionalFormatting sqref="CB33:CC34">
    <cfRule type="containsText" dxfId="440" priority="565" operator="containsText" text="Ex">
      <formula>NOT(ISERROR(SEARCH("Ex",CB33)))</formula>
    </cfRule>
    <cfRule type="containsText" dxfId="439" priority="566" operator="containsText" text="G">
      <formula>NOT(ISERROR(SEARCH("G",CB33)))</formula>
    </cfRule>
    <cfRule type="containsText" dxfId="438" priority="567" operator="containsText" text="P">
      <formula>NOT(ISERROR(SEARCH("P",CB33)))</formula>
    </cfRule>
  </conditionalFormatting>
  <conditionalFormatting sqref="AJ81:AK82">
    <cfRule type="containsText" dxfId="437" priority="562" operator="containsText" text="Ex">
      <formula>NOT(ISERROR(SEARCH("Ex",AJ81)))</formula>
    </cfRule>
    <cfRule type="containsText" dxfId="436" priority="563" operator="containsText" text="G">
      <formula>NOT(ISERROR(SEARCH("G",AJ81)))</formula>
    </cfRule>
    <cfRule type="containsText" dxfId="435" priority="564" operator="containsText" text="P">
      <formula>NOT(ISERROR(SEARCH("P",AJ81)))</formula>
    </cfRule>
  </conditionalFormatting>
  <conditionalFormatting sqref="CB37:CC38">
    <cfRule type="containsText" dxfId="434" priority="559" operator="containsText" text="Ex">
      <formula>NOT(ISERROR(SEARCH("Ex",CB37)))</formula>
    </cfRule>
    <cfRule type="containsText" dxfId="433" priority="560" operator="containsText" text="G">
      <formula>NOT(ISERROR(SEARCH("G",CB37)))</formula>
    </cfRule>
    <cfRule type="containsText" dxfId="432" priority="561" operator="containsText" text="P">
      <formula>NOT(ISERROR(SEARCH("P",CB37)))</formula>
    </cfRule>
  </conditionalFormatting>
  <conditionalFormatting sqref="AN81:AO82">
    <cfRule type="containsText" dxfId="431" priority="556" operator="containsText" text="Ex">
      <formula>NOT(ISERROR(SEARCH("Ex",AN81)))</formula>
    </cfRule>
    <cfRule type="containsText" dxfId="430" priority="557" operator="containsText" text="G">
      <formula>NOT(ISERROR(SEARCH("G",AN81)))</formula>
    </cfRule>
    <cfRule type="containsText" dxfId="429" priority="558" operator="containsText" text="P">
      <formula>NOT(ISERROR(SEARCH("P",AN81)))</formula>
    </cfRule>
  </conditionalFormatting>
  <conditionalFormatting sqref="CB41:CC42">
    <cfRule type="containsText" dxfId="428" priority="553" operator="containsText" text="Ex">
      <formula>NOT(ISERROR(SEARCH("Ex",CB41)))</formula>
    </cfRule>
    <cfRule type="containsText" dxfId="427" priority="554" operator="containsText" text="G">
      <formula>NOT(ISERROR(SEARCH("G",CB41)))</formula>
    </cfRule>
    <cfRule type="containsText" dxfId="426" priority="555" operator="containsText" text="P">
      <formula>NOT(ISERROR(SEARCH("P",CB41)))</formula>
    </cfRule>
  </conditionalFormatting>
  <conditionalFormatting sqref="AR81:AS82">
    <cfRule type="containsText" dxfId="425" priority="550" operator="containsText" text="Ex">
      <formula>NOT(ISERROR(SEARCH("Ex",AR81)))</formula>
    </cfRule>
    <cfRule type="containsText" dxfId="424" priority="551" operator="containsText" text="G">
      <formula>NOT(ISERROR(SEARCH("G",AR81)))</formula>
    </cfRule>
    <cfRule type="containsText" dxfId="423" priority="552" operator="containsText" text="P">
      <formula>NOT(ISERROR(SEARCH("P",AR81)))</formula>
    </cfRule>
  </conditionalFormatting>
  <conditionalFormatting sqref="CB45:CC46">
    <cfRule type="containsText" dxfId="422" priority="547" operator="containsText" text="Ex">
      <formula>NOT(ISERROR(SEARCH("Ex",CB45)))</formula>
    </cfRule>
    <cfRule type="containsText" dxfId="421" priority="548" operator="containsText" text="G">
      <formula>NOT(ISERROR(SEARCH("G",CB45)))</formula>
    </cfRule>
    <cfRule type="containsText" dxfId="420" priority="549" operator="containsText" text="P">
      <formula>NOT(ISERROR(SEARCH("P",CB45)))</formula>
    </cfRule>
  </conditionalFormatting>
  <conditionalFormatting sqref="AV81:AW82">
    <cfRule type="containsText" dxfId="419" priority="544" operator="containsText" text="Ex">
      <formula>NOT(ISERROR(SEARCH("Ex",AV81)))</formula>
    </cfRule>
    <cfRule type="containsText" dxfId="418" priority="545" operator="containsText" text="G">
      <formula>NOT(ISERROR(SEARCH("G",AV81)))</formula>
    </cfRule>
    <cfRule type="containsText" dxfId="417" priority="546" operator="containsText" text="P">
      <formula>NOT(ISERROR(SEARCH("P",AV81)))</formula>
    </cfRule>
  </conditionalFormatting>
  <conditionalFormatting sqref="CB77:CC78">
    <cfRule type="containsText" dxfId="416" priority="499" operator="containsText" text="Ex">
      <formula>NOT(ISERROR(SEARCH("Ex",CB77)))</formula>
    </cfRule>
    <cfRule type="containsText" dxfId="415" priority="500" operator="containsText" text="G">
      <formula>NOT(ISERROR(SEARCH("G",CB77)))</formula>
    </cfRule>
    <cfRule type="containsText" dxfId="414" priority="501" operator="containsText" text="P">
      <formula>NOT(ISERROR(SEARCH("P",CB77)))</formula>
    </cfRule>
  </conditionalFormatting>
  <conditionalFormatting sqref="CB49:CC50">
    <cfRule type="containsText" dxfId="413" priority="541" operator="containsText" text="Ex">
      <formula>NOT(ISERROR(SEARCH("Ex",CB49)))</formula>
    </cfRule>
    <cfRule type="containsText" dxfId="412" priority="542" operator="containsText" text="G">
      <formula>NOT(ISERROR(SEARCH("G",CB49)))</formula>
    </cfRule>
    <cfRule type="containsText" dxfId="411" priority="543" operator="containsText" text="P">
      <formula>NOT(ISERROR(SEARCH("P",CB49)))</formula>
    </cfRule>
  </conditionalFormatting>
  <conditionalFormatting sqref="AZ81:BA82">
    <cfRule type="containsText" dxfId="410" priority="538" operator="containsText" text="Ex">
      <formula>NOT(ISERROR(SEARCH("Ex",AZ81)))</formula>
    </cfRule>
    <cfRule type="containsText" dxfId="409" priority="539" operator="containsText" text="G">
      <formula>NOT(ISERROR(SEARCH("G",AZ81)))</formula>
    </cfRule>
    <cfRule type="containsText" dxfId="408" priority="540" operator="containsText" text="P">
      <formula>NOT(ISERROR(SEARCH("P",AZ81)))</formula>
    </cfRule>
  </conditionalFormatting>
  <conditionalFormatting sqref="CB53:CC54">
    <cfRule type="containsText" dxfId="407" priority="535" operator="containsText" text="Ex">
      <formula>NOT(ISERROR(SEARCH("Ex",CB53)))</formula>
    </cfRule>
    <cfRule type="containsText" dxfId="406" priority="536" operator="containsText" text="G">
      <formula>NOT(ISERROR(SEARCH("G",CB53)))</formula>
    </cfRule>
    <cfRule type="containsText" dxfId="405" priority="537" operator="containsText" text="P">
      <formula>NOT(ISERROR(SEARCH("P",CB53)))</formula>
    </cfRule>
  </conditionalFormatting>
  <conditionalFormatting sqref="BD81:BE82">
    <cfRule type="containsText" dxfId="404" priority="532" operator="containsText" text="Ex">
      <formula>NOT(ISERROR(SEARCH("Ex",BD81)))</formula>
    </cfRule>
    <cfRule type="containsText" dxfId="403" priority="533" operator="containsText" text="G">
      <formula>NOT(ISERROR(SEARCH("G",BD81)))</formula>
    </cfRule>
    <cfRule type="containsText" dxfId="402" priority="534" operator="containsText" text="P">
      <formula>NOT(ISERROR(SEARCH("P",BD81)))</formula>
    </cfRule>
  </conditionalFormatting>
  <conditionalFormatting sqref="CB57:CC58">
    <cfRule type="containsText" dxfId="401" priority="529" operator="containsText" text="Ex">
      <formula>NOT(ISERROR(SEARCH("Ex",CB57)))</formula>
    </cfRule>
    <cfRule type="containsText" dxfId="400" priority="530" operator="containsText" text="G">
      <formula>NOT(ISERROR(SEARCH("G",CB57)))</formula>
    </cfRule>
    <cfRule type="containsText" dxfId="399" priority="531" operator="containsText" text="P">
      <formula>NOT(ISERROR(SEARCH("P",CB57)))</formula>
    </cfRule>
  </conditionalFormatting>
  <conditionalFormatting sqref="BH81:BI82">
    <cfRule type="containsText" dxfId="398" priority="526" operator="containsText" text="Ex">
      <formula>NOT(ISERROR(SEARCH("Ex",BH81)))</formula>
    </cfRule>
    <cfRule type="containsText" dxfId="397" priority="527" operator="containsText" text="G">
      <formula>NOT(ISERROR(SEARCH("G",BH81)))</formula>
    </cfRule>
    <cfRule type="containsText" dxfId="396" priority="528" operator="containsText" text="P">
      <formula>NOT(ISERROR(SEARCH("P",BH81)))</formula>
    </cfRule>
  </conditionalFormatting>
  <conditionalFormatting sqref="CB61:CC62">
    <cfRule type="containsText" dxfId="395" priority="523" operator="containsText" text="Ex">
      <formula>NOT(ISERROR(SEARCH("Ex",CB61)))</formula>
    </cfRule>
    <cfRule type="containsText" dxfId="394" priority="524" operator="containsText" text="G">
      <formula>NOT(ISERROR(SEARCH("G",CB61)))</formula>
    </cfRule>
    <cfRule type="containsText" dxfId="393" priority="525" operator="containsText" text="P">
      <formula>NOT(ISERROR(SEARCH("P",CB61)))</formula>
    </cfRule>
  </conditionalFormatting>
  <conditionalFormatting sqref="BL81:BM82">
    <cfRule type="containsText" dxfId="392" priority="520" operator="containsText" text="Ex">
      <formula>NOT(ISERROR(SEARCH("Ex",BL81)))</formula>
    </cfRule>
    <cfRule type="containsText" dxfId="391" priority="521" operator="containsText" text="G">
      <formula>NOT(ISERROR(SEARCH("G",BL81)))</formula>
    </cfRule>
    <cfRule type="containsText" dxfId="390" priority="522" operator="containsText" text="P">
      <formula>NOT(ISERROR(SEARCH("P",BL81)))</formula>
    </cfRule>
  </conditionalFormatting>
  <conditionalFormatting sqref="CB65:CC66">
    <cfRule type="containsText" dxfId="389" priority="517" operator="containsText" text="Ex">
      <formula>NOT(ISERROR(SEARCH("Ex",CB65)))</formula>
    </cfRule>
    <cfRule type="containsText" dxfId="388" priority="518" operator="containsText" text="G">
      <formula>NOT(ISERROR(SEARCH("G",CB65)))</formula>
    </cfRule>
    <cfRule type="containsText" dxfId="387" priority="519" operator="containsText" text="P">
      <formula>NOT(ISERROR(SEARCH("P",CB65)))</formula>
    </cfRule>
  </conditionalFormatting>
  <conditionalFormatting sqref="BP81:BQ82">
    <cfRule type="containsText" dxfId="386" priority="514" operator="containsText" text="Ex">
      <formula>NOT(ISERROR(SEARCH("Ex",BP81)))</formula>
    </cfRule>
    <cfRule type="containsText" dxfId="385" priority="515" operator="containsText" text="G">
      <formula>NOT(ISERROR(SEARCH("G",BP81)))</formula>
    </cfRule>
    <cfRule type="containsText" dxfId="384" priority="516" operator="containsText" text="P">
      <formula>NOT(ISERROR(SEARCH("P",BP81)))</formula>
    </cfRule>
  </conditionalFormatting>
  <conditionalFormatting sqref="CB69:CC70">
    <cfRule type="containsText" dxfId="383" priority="511" operator="containsText" text="Ex">
      <formula>NOT(ISERROR(SEARCH("Ex",CB69)))</formula>
    </cfRule>
    <cfRule type="containsText" dxfId="382" priority="512" operator="containsText" text="G">
      <formula>NOT(ISERROR(SEARCH("G",CB69)))</formula>
    </cfRule>
    <cfRule type="containsText" dxfId="381" priority="513" operator="containsText" text="P">
      <formula>NOT(ISERROR(SEARCH("P",CB69)))</formula>
    </cfRule>
  </conditionalFormatting>
  <conditionalFormatting sqref="BT81:BU82">
    <cfRule type="containsText" dxfId="380" priority="508" operator="containsText" text="Ex">
      <formula>NOT(ISERROR(SEARCH("Ex",BT81)))</formula>
    </cfRule>
    <cfRule type="containsText" dxfId="379" priority="509" operator="containsText" text="G">
      <formula>NOT(ISERROR(SEARCH("G",BT81)))</formula>
    </cfRule>
    <cfRule type="containsText" dxfId="378" priority="510" operator="containsText" text="P">
      <formula>NOT(ISERROR(SEARCH("P",BT81)))</formula>
    </cfRule>
  </conditionalFormatting>
  <conditionalFormatting sqref="CB73:CC74">
    <cfRule type="containsText" dxfId="377" priority="505" operator="containsText" text="Ex">
      <formula>NOT(ISERROR(SEARCH("Ex",CB73)))</formula>
    </cfRule>
    <cfRule type="containsText" dxfId="376" priority="506" operator="containsText" text="G">
      <formula>NOT(ISERROR(SEARCH("G",CB73)))</formula>
    </cfRule>
    <cfRule type="containsText" dxfId="375" priority="507" operator="containsText" text="P">
      <formula>NOT(ISERROR(SEARCH("P",CB73)))</formula>
    </cfRule>
  </conditionalFormatting>
  <conditionalFormatting sqref="BX81:BY82">
    <cfRule type="containsText" dxfId="374" priority="502" operator="containsText" text="Ex">
      <formula>NOT(ISERROR(SEARCH("Ex",BX81)))</formula>
    </cfRule>
    <cfRule type="containsText" dxfId="373" priority="503" operator="containsText" text="G">
      <formula>NOT(ISERROR(SEARCH("G",BX81)))</formula>
    </cfRule>
    <cfRule type="containsText" dxfId="372" priority="504" operator="containsText" text="P">
      <formula>NOT(ISERROR(SEARCH("P",BX81)))</formula>
    </cfRule>
  </conditionalFormatting>
  <conditionalFormatting sqref="D85:E86">
    <cfRule type="containsText" dxfId="371" priority="496" operator="containsText" text="Ex">
      <formula>NOT(ISERROR(SEARCH("Ex",D85)))</formula>
    </cfRule>
    <cfRule type="containsText" dxfId="370" priority="497" operator="containsText" text="G">
      <formula>NOT(ISERROR(SEARCH("G",D85)))</formula>
    </cfRule>
    <cfRule type="containsText" dxfId="369" priority="498" operator="containsText" text="P">
      <formula>NOT(ISERROR(SEARCH("P",D85)))</formula>
    </cfRule>
  </conditionalFormatting>
  <conditionalFormatting sqref="CF9:CG10">
    <cfRule type="containsText" dxfId="368" priority="493" operator="containsText" text="Ex">
      <formula>NOT(ISERROR(SEARCH("Ex",CF9)))</formula>
    </cfRule>
    <cfRule type="containsText" dxfId="367" priority="494" operator="containsText" text="G">
      <formula>NOT(ISERROR(SEARCH("G",CF9)))</formula>
    </cfRule>
    <cfRule type="containsText" dxfId="366" priority="495" operator="containsText" text="P">
      <formula>NOT(ISERROR(SEARCH("P",CF9)))</formula>
    </cfRule>
  </conditionalFormatting>
  <conditionalFormatting sqref="H85:I86">
    <cfRule type="containsText" dxfId="365" priority="490" operator="containsText" text="Ex">
      <formula>NOT(ISERROR(SEARCH("Ex",H85)))</formula>
    </cfRule>
    <cfRule type="containsText" dxfId="364" priority="491" operator="containsText" text="G">
      <formula>NOT(ISERROR(SEARCH("G",H85)))</formula>
    </cfRule>
    <cfRule type="containsText" dxfId="363" priority="492" operator="containsText" text="P">
      <formula>NOT(ISERROR(SEARCH("P",H85)))</formula>
    </cfRule>
  </conditionalFormatting>
  <conditionalFormatting sqref="L85:M86">
    <cfRule type="containsText" dxfId="362" priority="487" operator="containsText" text="Ex">
      <formula>NOT(ISERROR(SEARCH("Ex",L85)))</formula>
    </cfRule>
    <cfRule type="containsText" dxfId="361" priority="488" operator="containsText" text="G">
      <formula>NOT(ISERROR(SEARCH("G",L85)))</formula>
    </cfRule>
    <cfRule type="containsText" dxfId="360" priority="489" operator="containsText" text="P">
      <formula>NOT(ISERROR(SEARCH("P",L85)))</formula>
    </cfRule>
  </conditionalFormatting>
  <conditionalFormatting sqref="CF13:CG14">
    <cfRule type="containsText" dxfId="359" priority="484" operator="containsText" text="Ex">
      <formula>NOT(ISERROR(SEARCH("Ex",CF13)))</formula>
    </cfRule>
    <cfRule type="containsText" dxfId="358" priority="485" operator="containsText" text="G">
      <formula>NOT(ISERROR(SEARCH("G",CF13)))</formula>
    </cfRule>
    <cfRule type="containsText" dxfId="357" priority="486" operator="containsText" text="P">
      <formula>NOT(ISERROR(SEARCH("P",CF13)))</formula>
    </cfRule>
  </conditionalFormatting>
  <conditionalFormatting sqref="CF17:CG18">
    <cfRule type="containsText" dxfId="356" priority="481" operator="containsText" text="Ex">
      <formula>NOT(ISERROR(SEARCH("Ex",CF17)))</formula>
    </cfRule>
    <cfRule type="containsText" dxfId="355" priority="482" operator="containsText" text="G">
      <formula>NOT(ISERROR(SEARCH("G",CF17)))</formula>
    </cfRule>
    <cfRule type="containsText" dxfId="354" priority="483" operator="containsText" text="P">
      <formula>NOT(ISERROR(SEARCH("P",CF17)))</formula>
    </cfRule>
  </conditionalFormatting>
  <conditionalFormatting sqref="P85:Q86">
    <cfRule type="containsText" dxfId="353" priority="478" operator="containsText" text="Ex">
      <formula>NOT(ISERROR(SEARCH("Ex",P85)))</formula>
    </cfRule>
    <cfRule type="containsText" dxfId="352" priority="479" operator="containsText" text="G">
      <formula>NOT(ISERROR(SEARCH("G",P85)))</formula>
    </cfRule>
    <cfRule type="containsText" dxfId="351" priority="480" operator="containsText" text="P">
      <formula>NOT(ISERROR(SEARCH("P",P85)))</formula>
    </cfRule>
  </conditionalFormatting>
  <conditionalFormatting sqref="CF21:CG22">
    <cfRule type="containsText" dxfId="350" priority="475" operator="containsText" text="Ex">
      <formula>NOT(ISERROR(SEARCH("Ex",CF21)))</formula>
    </cfRule>
    <cfRule type="containsText" dxfId="349" priority="476" operator="containsText" text="G">
      <formula>NOT(ISERROR(SEARCH("G",CF21)))</formula>
    </cfRule>
    <cfRule type="containsText" dxfId="348" priority="477" operator="containsText" text="P">
      <formula>NOT(ISERROR(SEARCH("P",CF21)))</formula>
    </cfRule>
  </conditionalFormatting>
  <conditionalFormatting sqref="T85:U86">
    <cfRule type="containsText" dxfId="347" priority="472" operator="containsText" text="Ex">
      <formula>NOT(ISERROR(SEARCH("Ex",T85)))</formula>
    </cfRule>
    <cfRule type="containsText" dxfId="346" priority="473" operator="containsText" text="G">
      <formula>NOT(ISERROR(SEARCH("G",T85)))</formula>
    </cfRule>
    <cfRule type="containsText" dxfId="345" priority="474" operator="containsText" text="P">
      <formula>NOT(ISERROR(SEARCH("P",T85)))</formula>
    </cfRule>
  </conditionalFormatting>
  <conditionalFormatting sqref="X85:Y86">
    <cfRule type="containsText" dxfId="344" priority="469" operator="containsText" text="Ex">
      <formula>NOT(ISERROR(SEARCH("Ex",X85)))</formula>
    </cfRule>
    <cfRule type="containsText" dxfId="343" priority="470" operator="containsText" text="G">
      <formula>NOT(ISERROR(SEARCH("G",X85)))</formula>
    </cfRule>
    <cfRule type="containsText" dxfId="342" priority="471" operator="containsText" text="P">
      <formula>NOT(ISERROR(SEARCH("P",X85)))</formula>
    </cfRule>
  </conditionalFormatting>
  <conditionalFormatting sqref="CF25:CG26">
    <cfRule type="containsText" dxfId="341" priority="466" operator="containsText" text="Ex">
      <formula>NOT(ISERROR(SEARCH("Ex",CF25)))</formula>
    </cfRule>
    <cfRule type="containsText" dxfId="340" priority="467" operator="containsText" text="G">
      <formula>NOT(ISERROR(SEARCH("G",CF25)))</formula>
    </cfRule>
    <cfRule type="containsText" dxfId="339" priority="468" operator="containsText" text="P">
      <formula>NOT(ISERROR(SEARCH("P",CF25)))</formula>
    </cfRule>
  </conditionalFormatting>
  <conditionalFormatting sqref="AB85:AC86">
    <cfRule type="containsText" dxfId="338" priority="463" operator="containsText" text="Ex">
      <formula>NOT(ISERROR(SEARCH("Ex",AB85)))</formula>
    </cfRule>
    <cfRule type="containsText" dxfId="337" priority="464" operator="containsText" text="G">
      <formula>NOT(ISERROR(SEARCH("G",AB85)))</formula>
    </cfRule>
    <cfRule type="containsText" dxfId="336" priority="465" operator="containsText" text="P">
      <formula>NOT(ISERROR(SEARCH("P",AB85)))</formula>
    </cfRule>
  </conditionalFormatting>
  <conditionalFormatting sqref="CF29:CG30">
    <cfRule type="containsText" dxfId="335" priority="460" operator="containsText" text="Ex">
      <formula>NOT(ISERROR(SEARCH("Ex",CF29)))</formula>
    </cfRule>
    <cfRule type="containsText" dxfId="334" priority="461" operator="containsText" text="G">
      <formula>NOT(ISERROR(SEARCH("G",CF29)))</formula>
    </cfRule>
    <cfRule type="containsText" dxfId="333" priority="462" operator="containsText" text="P">
      <formula>NOT(ISERROR(SEARCH("P",CF29)))</formula>
    </cfRule>
  </conditionalFormatting>
  <conditionalFormatting sqref="AF85:AG86">
    <cfRule type="containsText" dxfId="332" priority="457" operator="containsText" text="Ex">
      <formula>NOT(ISERROR(SEARCH("Ex",AF85)))</formula>
    </cfRule>
    <cfRule type="containsText" dxfId="331" priority="458" operator="containsText" text="G">
      <formula>NOT(ISERROR(SEARCH("G",AF85)))</formula>
    </cfRule>
    <cfRule type="containsText" dxfId="330" priority="459" operator="containsText" text="P">
      <formula>NOT(ISERROR(SEARCH("P",AF85)))</formula>
    </cfRule>
  </conditionalFormatting>
  <conditionalFormatting sqref="CF33:CG34">
    <cfRule type="containsText" dxfId="329" priority="454" operator="containsText" text="Ex">
      <formula>NOT(ISERROR(SEARCH("Ex",CF33)))</formula>
    </cfRule>
    <cfRule type="containsText" dxfId="328" priority="455" operator="containsText" text="G">
      <formula>NOT(ISERROR(SEARCH("G",CF33)))</formula>
    </cfRule>
    <cfRule type="containsText" dxfId="327" priority="456" operator="containsText" text="P">
      <formula>NOT(ISERROR(SEARCH("P",CF33)))</formula>
    </cfRule>
  </conditionalFormatting>
  <conditionalFormatting sqref="AJ85:AK86">
    <cfRule type="containsText" dxfId="326" priority="451" operator="containsText" text="Ex">
      <formula>NOT(ISERROR(SEARCH("Ex",AJ85)))</formula>
    </cfRule>
    <cfRule type="containsText" dxfId="325" priority="452" operator="containsText" text="G">
      <formula>NOT(ISERROR(SEARCH("G",AJ85)))</formula>
    </cfRule>
    <cfRule type="containsText" dxfId="324" priority="453" operator="containsText" text="P">
      <formula>NOT(ISERROR(SEARCH("P",AJ85)))</formula>
    </cfRule>
  </conditionalFormatting>
  <conditionalFormatting sqref="CF37:CG38">
    <cfRule type="containsText" dxfId="323" priority="448" operator="containsText" text="Ex">
      <formula>NOT(ISERROR(SEARCH("Ex",CF37)))</formula>
    </cfRule>
    <cfRule type="containsText" dxfId="322" priority="449" operator="containsText" text="G">
      <formula>NOT(ISERROR(SEARCH("G",CF37)))</formula>
    </cfRule>
    <cfRule type="containsText" dxfId="321" priority="450" operator="containsText" text="P">
      <formula>NOT(ISERROR(SEARCH("P",CF37)))</formula>
    </cfRule>
  </conditionalFormatting>
  <conditionalFormatting sqref="AN85:AO86">
    <cfRule type="containsText" dxfId="320" priority="445" operator="containsText" text="Ex">
      <formula>NOT(ISERROR(SEARCH("Ex",AN85)))</formula>
    </cfRule>
    <cfRule type="containsText" dxfId="319" priority="446" operator="containsText" text="G">
      <formula>NOT(ISERROR(SEARCH("G",AN85)))</formula>
    </cfRule>
    <cfRule type="containsText" dxfId="318" priority="447" operator="containsText" text="P">
      <formula>NOT(ISERROR(SEARCH("P",AN85)))</formula>
    </cfRule>
  </conditionalFormatting>
  <conditionalFormatting sqref="CF41:CG42">
    <cfRule type="containsText" dxfId="317" priority="442" operator="containsText" text="Ex">
      <formula>NOT(ISERROR(SEARCH("Ex",CF41)))</formula>
    </cfRule>
    <cfRule type="containsText" dxfId="316" priority="443" operator="containsText" text="G">
      <formula>NOT(ISERROR(SEARCH("G",CF41)))</formula>
    </cfRule>
    <cfRule type="containsText" dxfId="315" priority="444" operator="containsText" text="P">
      <formula>NOT(ISERROR(SEARCH("P",CF41)))</formula>
    </cfRule>
  </conditionalFormatting>
  <conditionalFormatting sqref="AR85:AS86">
    <cfRule type="containsText" dxfId="314" priority="439" operator="containsText" text="Ex">
      <formula>NOT(ISERROR(SEARCH("Ex",AR85)))</formula>
    </cfRule>
    <cfRule type="containsText" dxfId="313" priority="440" operator="containsText" text="G">
      <formula>NOT(ISERROR(SEARCH("G",AR85)))</formula>
    </cfRule>
    <cfRule type="containsText" dxfId="312" priority="441" operator="containsText" text="P">
      <formula>NOT(ISERROR(SEARCH("P",AR85)))</formula>
    </cfRule>
  </conditionalFormatting>
  <conditionalFormatting sqref="CF45:CG46">
    <cfRule type="containsText" dxfId="311" priority="436" operator="containsText" text="Ex">
      <formula>NOT(ISERROR(SEARCH("Ex",CF45)))</formula>
    </cfRule>
    <cfRule type="containsText" dxfId="310" priority="437" operator="containsText" text="G">
      <formula>NOT(ISERROR(SEARCH("G",CF45)))</formula>
    </cfRule>
    <cfRule type="containsText" dxfId="309" priority="438" operator="containsText" text="P">
      <formula>NOT(ISERROR(SEARCH("P",CF45)))</formula>
    </cfRule>
  </conditionalFormatting>
  <conditionalFormatting sqref="AV85:AW86">
    <cfRule type="containsText" dxfId="308" priority="433" operator="containsText" text="Ex">
      <formula>NOT(ISERROR(SEARCH("Ex",AV85)))</formula>
    </cfRule>
    <cfRule type="containsText" dxfId="307" priority="434" operator="containsText" text="G">
      <formula>NOT(ISERROR(SEARCH("G",AV85)))</formula>
    </cfRule>
    <cfRule type="containsText" dxfId="306" priority="435" operator="containsText" text="P">
      <formula>NOT(ISERROR(SEARCH("P",AV85)))</formula>
    </cfRule>
  </conditionalFormatting>
  <conditionalFormatting sqref="CF49:CG50">
    <cfRule type="containsText" dxfId="305" priority="430" operator="containsText" text="Ex">
      <formula>NOT(ISERROR(SEARCH("Ex",CF49)))</formula>
    </cfRule>
    <cfRule type="containsText" dxfId="304" priority="431" operator="containsText" text="G">
      <formula>NOT(ISERROR(SEARCH("G",CF49)))</formula>
    </cfRule>
    <cfRule type="containsText" dxfId="303" priority="432" operator="containsText" text="P">
      <formula>NOT(ISERROR(SEARCH("P",CF49)))</formula>
    </cfRule>
  </conditionalFormatting>
  <conditionalFormatting sqref="AZ85:BA86">
    <cfRule type="containsText" dxfId="302" priority="427" operator="containsText" text="Ex">
      <formula>NOT(ISERROR(SEARCH("Ex",AZ85)))</formula>
    </cfRule>
    <cfRule type="containsText" dxfId="301" priority="428" operator="containsText" text="G">
      <formula>NOT(ISERROR(SEARCH("G",AZ85)))</formula>
    </cfRule>
    <cfRule type="containsText" dxfId="300" priority="429" operator="containsText" text="P">
      <formula>NOT(ISERROR(SEARCH("P",AZ85)))</formula>
    </cfRule>
  </conditionalFormatting>
  <conditionalFormatting sqref="CF53:CG54">
    <cfRule type="containsText" dxfId="299" priority="424" operator="containsText" text="Ex">
      <formula>NOT(ISERROR(SEARCH("Ex",CF53)))</formula>
    </cfRule>
    <cfRule type="containsText" dxfId="298" priority="425" operator="containsText" text="G">
      <formula>NOT(ISERROR(SEARCH("G",CF53)))</formula>
    </cfRule>
    <cfRule type="containsText" dxfId="297" priority="426" operator="containsText" text="P">
      <formula>NOT(ISERROR(SEARCH("P",CF53)))</formula>
    </cfRule>
  </conditionalFormatting>
  <conditionalFormatting sqref="BD85:BE86">
    <cfRule type="containsText" dxfId="296" priority="421" operator="containsText" text="Ex">
      <formula>NOT(ISERROR(SEARCH("Ex",BD85)))</formula>
    </cfRule>
    <cfRule type="containsText" dxfId="295" priority="422" operator="containsText" text="G">
      <formula>NOT(ISERROR(SEARCH("G",BD85)))</formula>
    </cfRule>
    <cfRule type="containsText" dxfId="294" priority="423" operator="containsText" text="P">
      <formula>NOT(ISERROR(SEARCH("P",BD85)))</formula>
    </cfRule>
  </conditionalFormatting>
  <conditionalFormatting sqref="CF57:CG58">
    <cfRule type="containsText" dxfId="293" priority="418" operator="containsText" text="Ex">
      <formula>NOT(ISERROR(SEARCH("Ex",CF57)))</formula>
    </cfRule>
    <cfRule type="containsText" dxfId="292" priority="419" operator="containsText" text="G">
      <formula>NOT(ISERROR(SEARCH("G",CF57)))</formula>
    </cfRule>
    <cfRule type="containsText" dxfId="291" priority="420" operator="containsText" text="P">
      <formula>NOT(ISERROR(SEARCH("P",CF57)))</formula>
    </cfRule>
  </conditionalFormatting>
  <conditionalFormatting sqref="BH85:BI86">
    <cfRule type="containsText" dxfId="290" priority="415" operator="containsText" text="Ex">
      <formula>NOT(ISERROR(SEARCH("Ex",BH85)))</formula>
    </cfRule>
    <cfRule type="containsText" dxfId="289" priority="416" operator="containsText" text="G">
      <formula>NOT(ISERROR(SEARCH("G",BH85)))</formula>
    </cfRule>
    <cfRule type="containsText" dxfId="288" priority="417" operator="containsText" text="P">
      <formula>NOT(ISERROR(SEARCH("P",BH85)))</formula>
    </cfRule>
  </conditionalFormatting>
  <conditionalFormatting sqref="CF61:CG62">
    <cfRule type="containsText" dxfId="287" priority="412" operator="containsText" text="Ex">
      <formula>NOT(ISERROR(SEARCH("Ex",CF61)))</formula>
    </cfRule>
    <cfRule type="containsText" dxfId="286" priority="413" operator="containsText" text="G">
      <formula>NOT(ISERROR(SEARCH("G",CF61)))</formula>
    </cfRule>
    <cfRule type="containsText" dxfId="285" priority="414" operator="containsText" text="P">
      <formula>NOT(ISERROR(SEARCH("P",CF61)))</formula>
    </cfRule>
  </conditionalFormatting>
  <conditionalFormatting sqref="BL85:BM86">
    <cfRule type="containsText" dxfId="284" priority="409" operator="containsText" text="Ex">
      <formula>NOT(ISERROR(SEARCH("Ex",BL85)))</formula>
    </cfRule>
    <cfRule type="containsText" dxfId="283" priority="410" operator="containsText" text="G">
      <formula>NOT(ISERROR(SEARCH("G",BL85)))</formula>
    </cfRule>
    <cfRule type="containsText" dxfId="282" priority="411" operator="containsText" text="P">
      <formula>NOT(ISERROR(SEARCH("P",BL85)))</formula>
    </cfRule>
  </conditionalFormatting>
  <conditionalFormatting sqref="CF65:CG66">
    <cfRule type="containsText" dxfId="281" priority="406" operator="containsText" text="Ex">
      <formula>NOT(ISERROR(SEARCH("Ex",CF65)))</formula>
    </cfRule>
    <cfRule type="containsText" dxfId="280" priority="407" operator="containsText" text="G">
      <formula>NOT(ISERROR(SEARCH("G",CF65)))</formula>
    </cfRule>
    <cfRule type="containsText" dxfId="279" priority="408" operator="containsText" text="P">
      <formula>NOT(ISERROR(SEARCH("P",CF65)))</formula>
    </cfRule>
  </conditionalFormatting>
  <conditionalFormatting sqref="BP85:BQ86">
    <cfRule type="containsText" dxfId="278" priority="403" operator="containsText" text="Ex">
      <formula>NOT(ISERROR(SEARCH("Ex",BP85)))</formula>
    </cfRule>
    <cfRule type="containsText" dxfId="277" priority="404" operator="containsText" text="G">
      <formula>NOT(ISERROR(SEARCH("G",BP85)))</formula>
    </cfRule>
    <cfRule type="containsText" dxfId="276" priority="405" operator="containsText" text="P">
      <formula>NOT(ISERROR(SEARCH("P",BP85)))</formula>
    </cfRule>
  </conditionalFormatting>
  <conditionalFormatting sqref="CF69:CG70">
    <cfRule type="containsText" dxfId="275" priority="400" operator="containsText" text="Ex">
      <formula>NOT(ISERROR(SEARCH("Ex",CF69)))</formula>
    </cfRule>
    <cfRule type="containsText" dxfId="274" priority="401" operator="containsText" text="G">
      <formula>NOT(ISERROR(SEARCH("G",CF69)))</formula>
    </cfRule>
    <cfRule type="containsText" dxfId="273" priority="402" operator="containsText" text="P">
      <formula>NOT(ISERROR(SEARCH("P",CF69)))</formula>
    </cfRule>
  </conditionalFormatting>
  <conditionalFormatting sqref="BT85:BU86">
    <cfRule type="containsText" dxfId="272" priority="397" operator="containsText" text="Ex">
      <formula>NOT(ISERROR(SEARCH("Ex",BT85)))</formula>
    </cfRule>
    <cfRule type="containsText" dxfId="271" priority="398" operator="containsText" text="G">
      <formula>NOT(ISERROR(SEARCH("G",BT85)))</formula>
    </cfRule>
    <cfRule type="containsText" dxfId="270" priority="399" operator="containsText" text="P">
      <formula>NOT(ISERROR(SEARCH("P",BT85)))</formula>
    </cfRule>
  </conditionalFormatting>
  <conditionalFormatting sqref="CF73:CG74">
    <cfRule type="containsText" dxfId="269" priority="394" operator="containsText" text="Ex">
      <formula>NOT(ISERROR(SEARCH("Ex",CF73)))</formula>
    </cfRule>
    <cfRule type="containsText" dxfId="268" priority="395" operator="containsText" text="G">
      <formula>NOT(ISERROR(SEARCH("G",CF73)))</formula>
    </cfRule>
    <cfRule type="containsText" dxfId="267" priority="396" operator="containsText" text="P">
      <formula>NOT(ISERROR(SEARCH("P",CF73)))</formula>
    </cfRule>
  </conditionalFormatting>
  <conditionalFormatting sqref="BX85:BY86">
    <cfRule type="containsText" dxfId="266" priority="391" operator="containsText" text="Ex">
      <formula>NOT(ISERROR(SEARCH("Ex",BX85)))</formula>
    </cfRule>
    <cfRule type="containsText" dxfId="265" priority="392" operator="containsText" text="G">
      <formula>NOT(ISERROR(SEARCH("G",BX85)))</formula>
    </cfRule>
    <cfRule type="containsText" dxfId="264" priority="393" operator="containsText" text="P">
      <formula>NOT(ISERROR(SEARCH("P",BX85)))</formula>
    </cfRule>
  </conditionalFormatting>
  <conditionalFormatting sqref="CF77:CG78">
    <cfRule type="containsText" dxfId="263" priority="388" operator="containsText" text="Ex">
      <formula>NOT(ISERROR(SEARCH("Ex",CF77)))</formula>
    </cfRule>
    <cfRule type="containsText" dxfId="262" priority="389" operator="containsText" text="G">
      <formula>NOT(ISERROR(SEARCH("G",CF77)))</formula>
    </cfRule>
    <cfRule type="containsText" dxfId="261" priority="390" operator="containsText" text="P">
      <formula>NOT(ISERROR(SEARCH("P",CF77)))</formula>
    </cfRule>
  </conditionalFormatting>
  <conditionalFormatting sqref="CB85:CC86">
    <cfRule type="containsText" dxfId="260" priority="385" operator="containsText" text="Ex">
      <formula>NOT(ISERROR(SEARCH("Ex",CB85)))</formula>
    </cfRule>
    <cfRule type="containsText" dxfId="259" priority="386" operator="containsText" text="G">
      <formula>NOT(ISERROR(SEARCH("G",CB85)))</formula>
    </cfRule>
    <cfRule type="containsText" dxfId="258" priority="387" operator="containsText" text="P">
      <formula>NOT(ISERROR(SEARCH("P",CB85)))</formula>
    </cfRule>
  </conditionalFormatting>
  <conditionalFormatting sqref="CF81:CG82">
    <cfRule type="containsText" dxfId="257" priority="382" operator="containsText" text="Ex">
      <formula>NOT(ISERROR(SEARCH("Ex",CF81)))</formula>
    </cfRule>
    <cfRule type="containsText" dxfId="256" priority="383" operator="containsText" text="G">
      <formula>NOT(ISERROR(SEARCH("G",CF81)))</formula>
    </cfRule>
    <cfRule type="containsText" dxfId="255" priority="384" operator="containsText" text="P">
      <formula>NOT(ISERROR(SEARCH("P",CF81)))</formula>
    </cfRule>
  </conditionalFormatting>
  <conditionalFormatting sqref="D89:E90">
    <cfRule type="containsText" dxfId="254" priority="379" operator="containsText" text="Ex">
      <formula>NOT(ISERROR(SEARCH("Ex",D89)))</formula>
    </cfRule>
    <cfRule type="containsText" dxfId="253" priority="380" operator="containsText" text="G">
      <formula>NOT(ISERROR(SEARCH("G",D89)))</formula>
    </cfRule>
    <cfRule type="containsText" dxfId="252" priority="381" operator="containsText" text="P">
      <formula>NOT(ISERROR(SEARCH("P",D89)))</formula>
    </cfRule>
  </conditionalFormatting>
  <conditionalFormatting sqref="CJ9:CK10">
    <cfRule type="containsText" dxfId="251" priority="376" operator="containsText" text="Ex">
      <formula>NOT(ISERROR(SEARCH("Ex",CJ9)))</formula>
    </cfRule>
    <cfRule type="containsText" dxfId="250" priority="377" operator="containsText" text="G">
      <formula>NOT(ISERROR(SEARCH("G",CJ9)))</formula>
    </cfRule>
    <cfRule type="containsText" dxfId="249" priority="378" operator="containsText" text="P">
      <formula>NOT(ISERROR(SEARCH("P",CJ9)))</formula>
    </cfRule>
  </conditionalFormatting>
  <conditionalFormatting sqref="H89:I90">
    <cfRule type="containsText" dxfId="248" priority="373" operator="containsText" text="Ex">
      <formula>NOT(ISERROR(SEARCH("Ex",H89)))</formula>
    </cfRule>
    <cfRule type="containsText" dxfId="247" priority="374" operator="containsText" text="G">
      <formula>NOT(ISERROR(SEARCH("G",H89)))</formula>
    </cfRule>
    <cfRule type="containsText" dxfId="246" priority="375" operator="containsText" text="P">
      <formula>NOT(ISERROR(SEARCH("P",H89)))</formula>
    </cfRule>
  </conditionalFormatting>
  <conditionalFormatting sqref="CJ13:CK14">
    <cfRule type="containsText" dxfId="245" priority="370" operator="containsText" text="Ex">
      <formula>NOT(ISERROR(SEARCH("Ex",CJ13)))</formula>
    </cfRule>
    <cfRule type="containsText" dxfId="244" priority="371" operator="containsText" text="G">
      <formula>NOT(ISERROR(SEARCH("G",CJ13)))</formula>
    </cfRule>
    <cfRule type="containsText" dxfId="243" priority="372" operator="containsText" text="P">
      <formula>NOT(ISERROR(SEARCH("P",CJ13)))</formula>
    </cfRule>
  </conditionalFormatting>
  <conditionalFormatting sqref="L89:M90">
    <cfRule type="containsText" dxfId="242" priority="367" operator="containsText" text="Ex">
      <formula>NOT(ISERROR(SEARCH("Ex",L89)))</formula>
    </cfRule>
    <cfRule type="containsText" dxfId="241" priority="368" operator="containsText" text="G">
      <formula>NOT(ISERROR(SEARCH("G",L89)))</formula>
    </cfRule>
    <cfRule type="containsText" dxfId="240" priority="369" operator="containsText" text="P">
      <formula>NOT(ISERROR(SEARCH("P",L89)))</formula>
    </cfRule>
  </conditionalFormatting>
  <conditionalFormatting sqref="CJ17:CK18">
    <cfRule type="containsText" dxfId="239" priority="364" operator="containsText" text="Ex">
      <formula>NOT(ISERROR(SEARCH("Ex",CJ17)))</formula>
    </cfRule>
    <cfRule type="containsText" dxfId="238" priority="365" operator="containsText" text="G">
      <formula>NOT(ISERROR(SEARCH("G",CJ17)))</formula>
    </cfRule>
    <cfRule type="containsText" dxfId="237" priority="366" operator="containsText" text="P">
      <formula>NOT(ISERROR(SEARCH("P",CJ17)))</formula>
    </cfRule>
  </conditionalFormatting>
  <conditionalFormatting sqref="P89:Q90">
    <cfRule type="containsText" dxfId="236" priority="361" operator="containsText" text="Ex">
      <formula>NOT(ISERROR(SEARCH("Ex",P89)))</formula>
    </cfRule>
    <cfRule type="containsText" dxfId="235" priority="362" operator="containsText" text="G">
      <formula>NOT(ISERROR(SEARCH("G",P89)))</formula>
    </cfRule>
    <cfRule type="containsText" dxfId="234" priority="363" operator="containsText" text="P">
      <formula>NOT(ISERROR(SEARCH("P",P89)))</formula>
    </cfRule>
  </conditionalFormatting>
  <conditionalFormatting sqref="CJ21:CK22">
    <cfRule type="containsText" dxfId="233" priority="358" operator="containsText" text="Ex">
      <formula>NOT(ISERROR(SEARCH("Ex",CJ21)))</formula>
    </cfRule>
    <cfRule type="containsText" dxfId="232" priority="359" operator="containsText" text="G">
      <formula>NOT(ISERROR(SEARCH("G",CJ21)))</formula>
    </cfRule>
    <cfRule type="containsText" dxfId="231" priority="360" operator="containsText" text="P">
      <formula>NOT(ISERROR(SEARCH("P",CJ21)))</formula>
    </cfRule>
  </conditionalFormatting>
  <conditionalFormatting sqref="T89:U90">
    <cfRule type="containsText" dxfId="230" priority="355" operator="containsText" text="Ex">
      <formula>NOT(ISERROR(SEARCH("Ex",T89)))</formula>
    </cfRule>
    <cfRule type="containsText" dxfId="229" priority="356" operator="containsText" text="G">
      <formula>NOT(ISERROR(SEARCH("G",T89)))</formula>
    </cfRule>
    <cfRule type="containsText" dxfId="228" priority="357" operator="containsText" text="P">
      <formula>NOT(ISERROR(SEARCH("P",T89)))</formula>
    </cfRule>
  </conditionalFormatting>
  <conditionalFormatting sqref="CJ25:CK26">
    <cfRule type="containsText" dxfId="227" priority="352" operator="containsText" text="Ex">
      <formula>NOT(ISERROR(SEARCH("Ex",CJ25)))</formula>
    </cfRule>
    <cfRule type="containsText" dxfId="226" priority="353" operator="containsText" text="G">
      <formula>NOT(ISERROR(SEARCH("G",CJ25)))</formula>
    </cfRule>
    <cfRule type="containsText" dxfId="225" priority="354" operator="containsText" text="P">
      <formula>NOT(ISERROR(SEARCH("P",CJ25)))</formula>
    </cfRule>
  </conditionalFormatting>
  <conditionalFormatting sqref="X89:Y90">
    <cfRule type="containsText" dxfId="224" priority="349" operator="containsText" text="Ex">
      <formula>NOT(ISERROR(SEARCH("Ex",X89)))</formula>
    </cfRule>
    <cfRule type="containsText" dxfId="223" priority="350" operator="containsText" text="G">
      <formula>NOT(ISERROR(SEARCH("G",X89)))</formula>
    </cfRule>
    <cfRule type="containsText" dxfId="222" priority="351" operator="containsText" text="P">
      <formula>NOT(ISERROR(SEARCH("P",X89)))</formula>
    </cfRule>
  </conditionalFormatting>
  <conditionalFormatting sqref="CJ29:CK30">
    <cfRule type="containsText" dxfId="221" priority="346" operator="containsText" text="Ex">
      <formula>NOT(ISERROR(SEARCH("Ex",CJ29)))</formula>
    </cfRule>
    <cfRule type="containsText" dxfId="220" priority="347" operator="containsText" text="G">
      <formula>NOT(ISERROR(SEARCH("G",CJ29)))</formula>
    </cfRule>
    <cfRule type="containsText" dxfId="219" priority="348" operator="containsText" text="P">
      <formula>NOT(ISERROR(SEARCH("P",CJ29)))</formula>
    </cfRule>
  </conditionalFormatting>
  <conditionalFormatting sqref="AB89:AC90">
    <cfRule type="containsText" dxfId="218" priority="343" operator="containsText" text="Ex">
      <formula>NOT(ISERROR(SEARCH("Ex",AB89)))</formula>
    </cfRule>
    <cfRule type="containsText" dxfId="217" priority="344" operator="containsText" text="G">
      <formula>NOT(ISERROR(SEARCH("G",AB89)))</formula>
    </cfRule>
    <cfRule type="containsText" dxfId="216" priority="345" operator="containsText" text="P">
      <formula>NOT(ISERROR(SEARCH("P",AB89)))</formula>
    </cfRule>
  </conditionalFormatting>
  <conditionalFormatting sqref="AF89:AG90">
    <cfRule type="containsText" dxfId="215" priority="340" operator="containsText" text="Ex">
      <formula>NOT(ISERROR(SEARCH("Ex",AF89)))</formula>
    </cfRule>
    <cfRule type="containsText" dxfId="214" priority="341" operator="containsText" text="G">
      <formula>NOT(ISERROR(SEARCH("G",AF89)))</formula>
    </cfRule>
    <cfRule type="containsText" dxfId="213" priority="342" operator="containsText" text="P">
      <formula>NOT(ISERROR(SEARCH("P",AF89)))</formula>
    </cfRule>
  </conditionalFormatting>
  <conditionalFormatting sqref="CJ33:CK34">
    <cfRule type="containsText" dxfId="212" priority="337" operator="containsText" text="Ex">
      <formula>NOT(ISERROR(SEARCH("Ex",CJ33)))</formula>
    </cfRule>
    <cfRule type="containsText" dxfId="211" priority="338" operator="containsText" text="G">
      <formula>NOT(ISERROR(SEARCH("G",CJ33)))</formula>
    </cfRule>
    <cfRule type="containsText" dxfId="210" priority="339" operator="containsText" text="P">
      <formula>NOT(ISERROR(SEARCH("P",CJ33)))</formula>
    </cfRule>
  </conditionalFormatting>
  <conditionalFormatting sqref="AJ89:AK90">
    <cfRule type="containsText" dxfId="209" priority="334" operator="containsText" text="Ex">
      <formula>NOT(ISERROR(SEARCH("Ex",AJ89)))</formula>
    </cfRule>
    <cfRule type="containsText" dxfId="208" priority="335" operator="containsText" text="G">
      <formula>NOT(ISERROR(SEARCH("G",AJ89)))</formula>
    </cfRule>
    <cfRule type="containsText" dxfId="207" priority="336" operator="containsText" text="P">
      <formula>NOT(ISERROR(SEARCH("P",AJ89)))</formula>
    </cfRule>
  </conditionalFormatting>
  <conditionalFormatting sqref="CJ37:CK38">
    <cfRule type="containsText" dxfId="206" priority="331" operator="containsText" text="Ex">
      <formula>NOT(ISERROR(SEARCH("Ex",CJ37)))</formula>
    </cfRule>
    <cfRule type="containsText" dxfId="205" priority="332" operator="containsText" text="G">
      <formula>NOT(ISERROR(SEARCH("G",CJ37)))</formula>
    </cfRule>
    <cfRule type="containsText" dxfId="204" priority="333" operator="containsText" text="P">
      <formula>NOT(ISERROR(SEARCH("P",CJ37)))</formula>
    </cfRule>
  </conditionalFormatting>
  <conditionalFormatting sqref="AN89:AO90">
    <cfRule type="containsText" dxfId="203" priority="328" operator="containsText" text="Ex">
      <formula>NOT(ISERROR(SEARCH("Ex",AN89)))</formula>
    </cfRule>
    <cfRule type="containsText" dxfId="202" priority="329" operator="containsText" text="G">
      <formula>NOT(ISERROR(SEARCH("G",AN89)))</formula>
    </cfRule>
    <cfRule type="containsText" dxfId="201" priority="330" operator="containsText" text="P">
      <formula>NOT(ISERROR(SEARCH("P",AN89)))</formula>
    </cfRule>
  </conditionalFormatting>
  <conditionalFormatting sqref="CJ41:CK42">
    <cfRule type="containsText" dxfId="200" priority="325" operator="containsText" text="Ex">
      <formula>NOT(ISERROR(SEARCH("Ex",CJ41)))</formula>
    </cfRule>
    <cfRule type="containsText" dxfId="199" priority="326" operator="containsText" text="G">
      <formula>NOT(ISERROR(SEARCH("G",CJ41)))</formula>
    </cfRule>
    <cfRule type="containsText" dxfId="198" priority="327" operator="containsText" text="P">
      <formula>NOT(ISERROR(SEARCH("P",CJ41)))</formula>
    </cfRule>
  </conditionalFormatting>
  <conditionalFormatting sqref="AR89:AS90">
    <cfRule type="containsText" dxfId="197" priority="322" operator="containsText" text="Ex">
      <formula>NOT(ISERROR(SEARCH("Ex",AR89)))</formula>
    </cfRule>
    <cfRule type="containsText" dxfId="196" priority="323" operator="containsText" text="G">
      <formula>NOT(ISERROR(SEARCH("G",AR89)))</formula>
    </cfRule>
    <cfRule type="containsText" dxfId="195" priority="324" operator="containsText" text="P">
      <formula>NOT(ISERROR(SEARCH("P",AR89)))</formula>
    </cfRule>
  </conditionalFormatting>
  <conditionalFormatting sqref="CJ45:CK46">
    <cfRule type="containsText" dxfId="194" priority="319" operator="containsText" text="Ex">
      <formula>NOT(ISERROR(SEARCH("Ex",CJ45)))</formula>
    </cfRule>
    <cfRule type="containsText" dxfId="193" priority="320" operator="containsText" text="G">
      <formula>NOT(ISERROR(SEARCH("G",CJ45)))</formula>
    </cfRule>
    <cfRule type="containsText" dxfId="192" priority="321" operator="containsText" text="P">
      <formula>NOT(ISERROR(SEARCH("P",CJ45)))</formula>
    </cfRule>
  </conditionalFormatting>
  <conditionalFormatting sqref="AV89:AW90">
    <cfRule type="containsText" dxfId="191" priority="316" operator="containsText" text="Ex">
      <formula>NOT(ISERROR(SEARCH("Ex",AV89)))</formula>
    </cfRule>
    <cfRule type="containsText" dxfId="190" priority="317" operator="containsText" text="G">
      <formula>NOT(ISERROR(SEARCH("G",AV89)))</formula>
    </cfRule>
    <cfRule type="containsText" dxfId="189" priority="318" operator="containsText" text="P">
      <formula>NOT(ISERROR(SEARCH("P",AV89)))</formula>
    </cfRule>
  </conditionalFormatting>
  <conditionalFormatting sqref="CJ49:CK50">
    <cfRule type="containsText" dxfId="188" priority="313" operator="containsText" text="Ex">
      <formula>NOT(ISERROR(SEARCH("Ex",CJ49)))</formula>
    </cfRule>
    <cfRule type="containsText" dxfId="187" priority="314" operator="containsText" text="G">
      <formula>NOT(ISERROR(SEARCH("G",CJ49)))</formula>
    </cfRule>
    <cfRule type="containsText" dxfId="186" priority="315" operator="containsText" text="P">
      <formula>NOT(ISERROR(SEARCH("P",CJ49)))</formula>
    </cfRule>
  </conditionalFormatting>
  <conditionalFormatting sqref="AZ89:BA90">
    <cfRule type="containsText" dxfId="185" priority="310" operator="containsText" text="Ex">
      <formula>NOT(ISERROR(SEARCH("Ex",AZ89)))</formula>
    </cfRule>
    <cfRule type="containsText" dxfId="184" priority="311" operator="containsText" text="G">
      <formula>NOT(ISERROR(SEARCH("G",AZ89)))</formula>
    </cfRule>
    <cfRule type="containsText" dxfId="183" priority="312" operator="containsText" text="P">
      <formula>NOT(ISERROR(SEARCH("P",AZ89)))</formula>
    </cfRule>
  </conditionalFormatting>
  <conditionalFormatting sqref="CJ53:CK54">
    <cfRule type="containsText" dxfId="182" priority="307" operator="containsText" text="Ex">
      <formula>NOT(ISERROR(SEARCH("Ex",CJ53)))</formula>
    </cfRule>
    <cfRule type="containsText" dxfId="181" priority="308" operator="containsText" text="G">
      <formula>NOT(ISERROR(SEARCH("G",CJ53)))</formula>
    </cfRule>
    <cfRule type="containsText" dxfId="180" priority="309" operator="containsText" text="P">
      <formula>NOT(ISERROR(SEARCH("P",CJ53)))</formula>
    </cfRule>
  </conditionalFormatting>
  <conditionalFormatting sqref="BD89:BE90">
    <cfRule type="containsText" dxfId="179" priority="304" operator="containsText" text="Ex">
      <formula>NOT(ISERROR(SEARCH("Ex",BD89)))</formula>
    </cfRule>
    <cfRule type="containsText" dxfId="178" priority="305" operator="containsText" text="G">
      <formula>NOT(ISERROR(SEARCH("G",BD89)))</formula>
    </cfRule>
    <cfRule type="containsText" dxfId="177" priority="306" operator="containsText" text="P">
      <formula>NOT(ISERROR(SEARCH("P",BD89)))</formula>
    </cfRule>
  </conditionalFormatting>
  <conditionalFormatting sqref="CJ57:CK58">
    <cfRule type="containsText" dxfId="176" priority="301" operator="containsText" text="Ex">
      <formula>NOT(ISERROR(SEARCH("Ex",CJ57)))</formula>
    </cfRule>
    <cfRule type="containsText" dxfId="175" priority="302" operator="containsText" text="G">
      <formula>NOT(ISERROR(SEARCH("G",CJ57)))</formula>
    </cfRule>
    <cfRule type="containsText" dxfId="174" priority="303" operator="containsText" text="P">
      <formula>NOT(ISERROR(SEARCH("P",CJ57)))</formula>
    </cfRule>
  </conditionalFormatting>
  <conditionalFormatting sqref="BH89:BI90">
    <cfRule type="containsText" dxfId="173" priority="298" operator="containsText" text="Ex">
      <formula>NOT(ISERROR(SEARCH("Ex",BH89)))</formula>
    </cfRule>
    <cfRule type="containsText" dxfId="172" priority="299" operator="containsText" text="G">
      <formula>NOT(ISERROR(SEARCH("G",BH89)))</formula>
    </cfRule>
    <cfRule type="containsText" dxfId="171" priority="300" operator="containsText" text="P">
      <formula>NOT(ISERROR(SEARCH("P",BH89)))</formula>
    </cfRule>
  </conditionalFormatting>
  <conditionalFormatting sqref="CJ61:CK62">
    <cfRule type="containsText" dxfId="170" priority="295" operator="containsText" text="Ex">
      <formula>NOT(ISERROR(SEARCH("Ex",CJ61)))</formula>
    </cfRule>
    <cfRule type="containsText" dxfId="169" priority="296" operator="containsText" text="G">
      <formula>NOT(ISERROR(SEARCH("G",CJ61)))</formula>
    </cfRule>
    <cfRule type="containsText" dxfId="168" priority="297" operator="containsText" text="P">
      <formula>NOT(ISERROR(SEARCH("P",CJ61)))</formula>
    </cfRule>
  </conditionalFormatting>
  <conditionalFormatting sqref="BL89:BM90">
    <cfRule type="containsText" dxfId="167" priority="292" operator="containsText" text="Ex">
      <formula>NOT(ISERROR(SEARCH("Ex",BL89)))</formula>
    </cfRule>
    <cfRule type="containsText" dxfId="166" priority="293" operator="containsText" text="G">
      <formula>NOT(ISERROR(SEARCH("G",BL89)))</formula>
    </cfRule>
    <cfRule type="containsText" dxfId="165" priority="294" operator="containsText" text="P">
      <formula>NOT(ISERROR(SEARCH("P",BL89)))</formula>
    </cfRule>
  </conditionalFormatting>
  <conditionalFormatting sqref="CJ65:CK66">
    <cfRule type="containsText" dxfId="164" priority="289" operator="containsText" text="Ex">
      <formula>NOT(ISERROR(SEARCH("Ex",CJ65)))</formula>
    </cfRule>
    <cfRule type="containsText" dxfId="163" priority="290" operator="containsText" text="G">
      <formula>NOT(ISERROR(SEARCH("G",CJ65)))</formula>
    </cfRule>
    <cfRule type="containsText" dxfId="162" priority="291" operator="containsText" text="P">
      <formula>NOT(ISERROR(SEARCH("P",CJ65)))</formula>
    </cfRule>
  </conditionalFormatting>
  <conditionalFormatting sqref="BP89:BQ90">
    <cfRule type="containsText" dxfId="161" priority="286" operator="containsText" text="Ex">
      <formula>NOT(ISERROR(SEARCH("Ex",BP89)))</formula>
    </cfRule>
    <cfRule type="containsText" dxfId="160" priority="287" operator="containsText" text="G">
      <formula>NOT(ISERROR(SEARCH("G",BP89)))</formula>
    </cfRule>
    <cfRule type="containsText" dxfId="159" priority="288" operator="containsText" text="P">
      <formula>NOT(ISERROR(SEARCH("P",BP89)))</formula>
    </cfRule>
  </conditionalFormatting>
  <conditionalFormatting sqref="CJ69:CK70">
    <cfRule type="containsText" dxfId="158" priority="283" operator="containsText" text="Ex">
      <formula>NOT(ISERROR(SEARCH("Ex",CJ69)))</formula>
    </cfRule>
    <cfRule type="containsText" dxfId="157" priority="284" operator="containsText" text="G">
      <formula>NOT(ISERROR(SEARCH("G",CJ69)))</formula>
    </cfRule>
    <cfRule type="containsText" dxfId="156" priority="285" operator="containsText" text="P">
      <formula>NOT(ISERROR(SEARCH("P",CJ69)))</formula>
    </cfRule>
  </conditionalFormatting>
  <conditionalFormatting sqref="BT89:BU90">
    <cfRule type="containsText" dxfId="155" priority="280" operator="containsText" text="Ex">
      <formula>NOT(ISERROR(SEARCH("Ex",BT89)))</formula>
    </cfRule>
    <cfRule type="containsText" dxfId="154" priority="281" operator="containsText" text="G">
      <formula>NOT(ISERROR(SEARCH("G",BT89)))</formula>
    </cfRule>
    <cfRule type="containsText" dxfId="153" priority="282" operator="containsText" text="P">
      <formula>NOT(ISERROR(SEARCH("P",BT89)))</formula>
    </cfRule>
  </conditionalFormatting>
  <conditionalFormatting sqref="CJ73:CK74">
    <cfRule type="containsText" dxfId="152" priority="277" operator="containsText" text="Ex">
      <formula>NOT(ISERROR(SEARCH("Ex",CJ73)))</formula>
    </cfRule>
    <cfRule type="containsText" dxfId="151" priority="278" operator="containsText" text="G">
      <formula>NOT(ISERROR(SEARCH("G",CJ73)))</formula>
    </cfRule>
    <cfRule type="containsText" dxfId="150" priority="279" operator="containsText" text="P">
      <formula>NOT(ISERROR(SEARCH("P",CJ73)))</formula>
    </cfRule>
  </conditionalFormatting>
  <conditionalFormatting sqref="BX89:BY90">
    <cfRule type="containsText" dxfId="149" priority="274" operator="containsText" text="Ex">
      <formula>NOT(ISERROR(SEARCH("Ex",BX89)))</formula>
    </cfRule>
    <cfRule type="containsText" dxfId="148" priority="275" operator="containsText" text="G">
      <formula>NOT(ISERROR(SEARCH("G",BX89)))</formula>
    </cfRule>
    <cfRule type="containsText" dxfId="147" priority="276" operator="containsText" text="P">
      <formula>NOT(ISERROR(SEARCH("P",BX89)))</formula>
    </cfRule>
  </conditionalFormatting>
  <conditionalFormatting sqref="CJ77:CK78">
    <cfRule type="containsText" dxfId="146" priority="271" operator="containsText" text="Ex">
      <formula>NOT(ISERROR(SEARCH("Ex",CJ77)))</formula>
    </cfRule>
    <cfRule type="containsText" dxfId="145" priority="272" operator="containsText" text="G">
      <formula>NOT(ISERROR(SEARCH("G",CJ77)))</formula>
    </cfRule>
    <cfRule type="containsText" dxfId="144" priority="273" operator="containsText" text="P">
      <formula>NOT(ISERROR(SEARCH("P",CJ77)))</formula>
    </cfRule>
  </conditionalFormatting>
  <conditionalFormatting sqref="CB89:CC90">
    <cfRule type="containsText" dxfId="143" priority="268" operator="containsText" text="Ex">
      <formula>NOT(ISERROR(SEARCH("Ex",CB89)))</formula>
    </cfRule>
    <cfRule type="containsText" dxfId="142" priority="269" operator="containsText" text="G">
      <formula>NOT(ISERROR(SEARCH("G",CB89)))</formula>
    </cfRule>
    <cfRule type="containsText" dxfId="141" priority="270" operator="containsText" text="P">
      <formula>NOT(ISERROR(SEARCH("P",CB89)))</formula>
    </cfRule>
  </conditionalFormatting>
  <conditionalFormatting sqref="CJ81:CK82">
    <cfRule type="containsText" dxfId="140" priority="265" operator="containsText" text="Ex">
      <formula>NOT(ISERROR(SEARCH("Ex",CJ81)))</formula>
    </cfRule>
    <cfRule type="containsText" dxfId="139" priority="266" operator="containsText" text="G">
      <formula>NOT(ISERROR(SEARCH("G",CJ81)))</formula>
    </cfRule>
    <cfRule type="containsText" dxfId="138" priority="267" operator="containsText" text="P">
      <formula>NOT(ISERROR(SEARCH("P",CJ81)))</formula>
    </cfRule>
  </conditionalFormatting>
  <conditionalFormatting sqref="CF89:CG90">
    <cfRule type="containsText" dxfId="137" priority="262" operator="containsText" text="Ex">
      <formula>NOT(ISERROR(SEARCH("Ex",CF89)))</formula>
    </cfRule>
    <cfRule type="containsText" dxfId="136" priority="263" operator="containsText" text="G">
      <formula>NOT(ISERROR(SEARCH("G",CF89)))</formula>
    </cfRule>
    <cfRule type="containsText" dxfId="135" priority="264" operator="containsText" text="P">
      <formula>NOT(ISERROR(SEARCH("P",CF89)))</formula>
    </cfRule>
  </conditionalFormatting>
  <conditionalFormatting sqref="CJ85:CK86">
    <cfRule type="containsText" dxfId="134" priority="259" operator="containsText" text="Ex">
      <formula>NOT(ISERROR(SEARCH("Ex",CJ85)))</formula>
    </cfRule>
    <cfRule type="containsText" dxfId="133" priority="260" operator="containsText" text="G">
      <formula>NOT(ISERROR(SEARCH("G",CJ85)))</formula>
    </cfRule>
    <cfRule type="containsText" dxfId="132" priority="261" operator="containsText" text="P">
      <formula>NOT(ISERROR(SEARCH("P",CJ85)))</formula>
    </cfRule>
  </conditionalFormatting>
  <conditionalFormatting sqref="CN5:CO6">
    <cfRule type="containsText" dxfId="131" priority="256" operator="containsText" text="Ex">
      <formula>NOT(ISERROR(SEARCH("Ex",CN5)))</formula>
    </cfRule>
    <cfRule type="containsText" dxfId="130" priority="257" operator="containsText" text="G">
      <formula>NOT(ISERROR(SEARCH("G",CN5)))</formula>
    </cfRule>
    <cfRule type="containsText" dxfId="129" priority="258" operator="containsText" text="P">
      <formula>NOT(ISERROR(SEARCH("P",CN5)))</formula>
    </cfRule>
  </conditionalFormatting>
  <conditionalFormatting sqref="D93:E94">
    <cfRule type="containsText" dxfId="128" priority="193" operator="containsText" text="Ex">
      <formula>NOT(ISERROR(SEARCH("Ex",D93)))</formula>
    </cfRule>
    <cfRule type="containsText" dxfId="127" priority="194" operator="containsText" text="G">
      <formula>NOT(ISERROR(SEARCH("G",D93)))</formula>
    </cfRule>
    <cfRule type="containsText" dxfId="126" priority="195" operator="containsText" text="P">
      <formula>NOT(ISERROR(SEARCH("P",D93)))</formula>
    </cfRule>
  </conditionalFormatting>
  <conditionalFormatting sqref="CN9:CO10">
    <cfRule type="containsText" dxfId="125" priority="124" operator="containsText" text="Ex">
      <formula>NOT(ISERROR(SEARCH("Ex",CN9)))</formula>
    </cfRule>
    <cfRule type="containsText" dxfId="124" priority="125" operator="containsText" text="G">
      <formula>NOT(ISERROR(SEARCH("G",CN9)))</formula>
    </cfRule>
    <cfRule type="containsText" dxfId="123" priority="126" operator="containsText" text="P">
      <formula>NOT(ISERROR(SEARCH("P",CN9)))</formula>
    </cfRule>
  </conditionalFormatting>
  <conditionalFormatting sqref="H93:I94">
    <cfRule type="containsText" dxfId="122" priority="121" operator="containsText" text="Ex">
      <formula>NOT(ISERROR(SEARCH("Ex",H93)))</formula>
    </cfRule>
    <cfRule type="containsText" dxfId="121" priority="122" operator="containsText" text="G">
      <formula>NOT(ISERROR(SEARCH("G",H93)))</formula>
    </cfRule>
    <cfRule type="containsText" dxfId="120" priority="123" operator="containsText" text="P">
      <formula>NOT(ISERROR(SEARCH("P",H93)))</formula>
    </cfRule>
  </conditionalFormatting>
  <conditionalFormatting sqref="CN13:CO14">
    <cfRule type="containsText" dxfId="119" priority="118" operator="containsText" text="Ex">
      <formula>NOT(ISERROR(SEARCH("Ex",CN13)))</formula>
    </cfRule>
    <cfRule type="containsText" dxfId="118" priority="119" operator="containsText" text="G">
      <formula>NOT(ISERROR(SEARCH("G",CN13)))</formula>
    </cfRule>
    <cfRule type="containsText" dxfId="117" priority="120" operator="containsText" text="P">
      <formula>NOT(ISERROR(SEARCH("P",CN13)))</formula>
    </cfRule>
  </conditionalFormatting>
  <conditionalFormatting sqref="L93:M94">
    <cfRule type="containsText" dxfId="116" priority="115" operator="containsText" text="Ex">
      <formula>NOT(ISERROR(SEARCH("Ex",L93)))</formula>
    </cfRule>
    <cfRule type="containsText" dxfId="115" priority="116" operator="containsText" text="G">
      <formula>NOT(ISERROR(SEARCH("G",L93)))</formula>
    </cfRule>
    <cfRule type="containsText" dxfId="114" priority="117" operator="containsText" text="P">
      <formula>NOT(ISERROR(SEARCH("P",L93)))</formula>
    </cfRule>
  </conditionalFormatting>
  <conditionalFormatting sqref="CN17:CO18">
    <cfRule type="containsText" dxfId="113" priority="112" operator="containsText" text="Ex">
      <formula>NOT(ISERROR(SEARCH("Ex",CN17)))</formula>
    </cfRule>
    <cfRule type="containsText" dxfId="112" priority="113" operator="containsText" text="G">
      <formula>NOT(ISERROR(SEARCH("G",CN17)))</formula>
    </cfRule>
    <cfRule type="containsText" dxfId="111" priority="114" operator="containsText" text="P">
      <formula>NOT(ISERROR(SEARCH("P",CN17)))</formula>
    </cfRule>
  </conditionalFormatting>
  <conditionalFormatting sqref="P93:Q94">
    <cfRule type="containsText" dxfId="110" priority="109" operator="containsText" text="Ex">
      <formula>NOT(ISERROR(SEARCH("Ex",P93)))</formula>
    </cfRule>
    <cfRule type="containsText" dxfId="109" priority="110" operator="containsText" text="G">
      <formula>NOT(ISERROR(SEARCH("G",P93)))</formula>
    </cfRule>
    <cfRule type="containsText" dxfId="108" priority="111" operator="containsText" text="P">
      <formula>NOT(ISERROR(SEARCH("P",P93)))</formula>
    </cfRule>
  </conditionalFormatting>
  <conditionalFormatting sqref="CN21:CO22">
    <cfRule type="containsText" dxfId="107" priority="106" operator="containsText" text="Ex">
      <formula>NOT(ISERROR(SEARCH("Ex",CN21)))</formula>
    </cfRule>
    <cfRule type="containsText" dxfId="106" priority="107" operator="containsText" text="G">
      <formula>NOT(ISERROR(SEARCH("G",CN21)))</formula>
    </cfRule>
    <cfRule type="containsText" dxfId="105" priority="108" operator="containsText" text="P">
      <formula>NOT(ISERROR(SEARCH("P",CN21)))</formula>
    </cfRule>
  </conditionalFormatting>
  <conditionalFormatting sqref="T93:U94">
    <cfRule type="containsText" dxfId="104" priority="103" operator="containsText" text="Ex">
      <formula>NOT(ISERROR(SEARCH("Ex",T93)))</formula>
    </cfRule>
    <cfRule type="containsText" dxfId="103" priority="104" operator="containsText" text="G">
      <formula>NOT(ISERROR(SEARCH("G",T93)))</formula>
    </cfRule>
    <cfRule type="containsText" dxfId="102" priority="105" operator="containsText" text="P">
      <formula>NOT(ISERROR(SEARCH("P",T93)))</formula>
    </cfRule>
  </conditionalFormatting>
  <conditionalFormatting sqref="CN25:CO26">
    <cfRule type="containsText" dxfId="101" priority="100" operator="containsText" text="Ex">
      <formula>NOT(ISERROR(SEARCH("Ex",CN25)))</formula>
    </cfRule>
    <cfRule type="containsText" dxfId="100" priority="101" operator="containsText" text="G">
      <formula>NOT(ISERROR(SEARCH("G",CN25)))</formula>
    </cfRule>
    <cfRule type="containsText" dxfId="99" priority="102" operator="containsText" text="P">
      <formula>NOT(ISERROR(SEARCH("P",CN25)))</formula>
    </cfRule>
  </conditionalFormatting>
  <conditionalFormatting sqref="X93:Y94">
    <cfRule type="containsText" dxfId="98" priority="97" operator="containsText" text="Ex">
      <formula>NOT(ISERROR(SEARCH("Ex",X93)))</formula>
    </cfRule>
    <cfRule type="containsText" dxfId="97" priority="98" operator="containsText" text="G">
      <formula>NOT(ISERROR(SEARCH("G",X93)))</formula>
    </cfRule>
    <cfRule type="containsText" dxfId="96" priority="99" operator="containsText" text="P">
      <formula>NOT(ISERROR(SEARCH("P",X93)))</formula>
    </cfRule>
  </conditionalFormatting>
  <conditionalFormatting sqref="CN29:CO30">
    <cfRule type="containsText" dxfId="95" priority="94" operator="containsText" text="Ex">
      <formula>NOT(ISERROR(SEARCH("Ex",CN29)))</formula>
    </cfRule>
    <cfRule type="containsText" dxfId="94" priority="95" operator="containsText" text="G">
      <formula>NOT(ISERROR(SEARCH("G",CN29)))</formula>
    </cfRule>
    <cfRule type="containsText" dxfId="93" priority="96" operator="containsText" text="P">
      <formula>NOT(ISERROR(SEARCH("P",CN29)))</formula>
    </cfRule>
  </conditionalFormatting>
  <conditionalFormatting sqref="AB93:AC94">
    <cfRule type="containsText" dxfId="92" priority="91" operator="containsText" text="Ex">
      <formula>NOT(ISERROR(SEARCH("Ex",AB93)))</formula>
    </cfRule>
    <cfRule type="containsText" dxfId="91" priority="92" operator="containsText" text="G">
      <formula>NOT(ISERROR(SEARCH("G",AB93)))</formula>
    </cfRule>
    <cfRule type="containsText" dxfId="90" priority="93" operator="containsText" text="P">
      <formula>NOT(ISERROR(SEARCH("P",AB93)))</formula>
    </cfRule>
  </conditionalFormatting>
  <conditionalFormatting sqref="CN33:CO34">
    <cfRule type="containsText" dxfId="89" priority="88" operator="containsText" text="Ex">
      <formula>NOT(ISERROR(SEARCH("Ex",CN33)))</formula>
    </cfRule>
    <cfRule type="containsText" dxfId="88" priority="89" operator="containsText" text="G">
      <formula>NOT(ISERROR(SEARCH("G",CN33)))</formula>
    </cfRule>
    <cfRule type="containsText" dxfId="87" priority="90" operator="containsText" text="P">
      <formula>NOT(ISERROR(SEARCH("P",CN33)))</formula>
    </cfRule>
  </conditionalFormatting>
  <conditionalFormatting sqref="AF93:AG94">
    <cfRule type="containsText" dxfId="86" priority="85" operator="containsText" text="Ex">
      <formula>NOT(ISERROR(SEARCH("Ex",AF93)))</formula>
    </cfRule>
    <cfRule type="containsText" dxfId="85" priority="86" operator="containsText" text="G">
      <formula>NOT(ISERROR(SEARCH("G",AF93)))</formula>
    </cfRule>
    <cfRule type="containsText" dxfId="84" priority="87" operator="containsText" text="P">
      <formula>NOT(ISERROR(SEARCH("P",AF93)))</formula>
    </cfRule>
  </conditionalFormatting>
  <conditionalFormatting sqref="CN37:CO38">
    <cfRule type="containsText" dxfId="83" priority="82" operator="containsText" text="Ex">
      <formula>NOT(ISERROR(SEARCH("Ex",CN37)))</formula>
    </cfRule>
    <cfRule type="containsText" dxfId="82" priority="83" operator="containsText" text="G">
      <formula>NOT(ISERROR(SEARCH("G",CN37)))</formula>
    </cfRule>
    <cfRule type="containsText" dxfId="81" priority="84" operator="containsText" text="P">
      <formula>NOT(ISERROR(SEARCH("P",CN37)))</formula>
    </cfRule>
  </conditionalFormatting>
  <conditionalFormatting sqref="AJ93:AK94">
    <cfRule type="containsText" dxfId="80" priority="79" operator="containsText" text="Ex">
      <formula>NOT(ISERROR(SEARCH("Ex",AJ93)))</formula>
    </cfRule>
    <cfRule type="containsText" dxfId="79" priority="80" operator="containsText" text="G">
      <formula>NOT(ISERROR(SEARCH("G",AJ93)))</formula>
    </cfRule>
    <cfRule type="containsText" dxfId="78" priority="81" operator="containsText" text="P">
      <formula>NOT(ISERROR(SEARCH("P",AJ93)))</formula>
    </cfRule>
  </conditionalFormatting>
  <conditionalFormatting sqref="CN41:CO42">
    <cfRule type="containsText" dxfId="77" priority="76" operator="containsText" text="Ex">
      <formula>NOT(ISERROR(SEARCH("Ex",CN41)))</formula>
    </cfRule>
    <cfRule type="containsText" dxfId="76" priority="77" operator="containsText" text="G">
      <formula>NOT(ISERROR(SEARCH("G",CN41)))</formula>
    </cfRule>
    <cfRule type="containsText" dxfId="75" priority="78" operator="containsText" text="P">
      <formula>NOT(ISERROR(SEARCH("P",CN41)))</formula>
    </cfRule>
  </conditionalFormatting>
  <conditionalFormatting sqref="AN93:AO94">
    <cfRule type="containsText" dxfId="74" priority="73" operator="containsText" text="Ex">
      <formula>NOT(ISERROR(SEARCH("Ex",AN93)))</formula>
    </cfRule>
    <cfRule type="containsText" dxfId="73" priority="74" operator="containsText" text="G">
      <formula>NOT(ISERROR(SEARCH("G",AN93)))</formula>
    </cfRule>
    <cfRule type="containsText" dxfId="72" priority="75" operator="containsText" text="P">
      <formula>NOT(ISERROR(SEARCH("P",AN93)))</formula>
    </cfRule>
  </conditionalFormatting>
  <conditionalFormatting sqref="CN45:CO46">
    <cfRule type="containsText" dxfId="71" priority="70" operator="containsText" text="Ex">
      <formula>NOT(ISERROR(SEARCH("Ex",CN45)))</formula>
    </cfRule>
    <cfRule type="containsText" dxfId="70" priority="71" operator="containsText" text="G">
      <formula>NOT(ISERROR(SEARCH("G",CN45)))</formula>
    </cfRule>
    <cfRule type="containsText" dxfId="69" priority="72" operator="containsText" text="P">
      <formula>NOT(ISERROR(SEARCH("P",CN45)))</formula>
    </cfRule>
  </conditionalFormatting>
  <conditionalFormatting sqref="AR93:AS94">
    <cfRule type="containsText" dxfId="68" priority="67" operator="containsText" text="Ex">
      <formula>NOT(ISERROR(SEARCH("Ex",AR93)))</formula>
    </cfRule>
    <cfRule type="containsText" dxfId="67" priority="68" operator="containsText" text="G">
      <formula>NOT(ISERROR(SEARCH("G",AR93)))</formula>
    </cfRule>
    <cfRule type="containsText" dxfId="66" priority="69" operator="containsText" text="P">
      <formula>NOT(ISERROR(SEARCH("P",AR93)))</formula>
    </cfRule>
  </conditionalFormatting>
  <conditionalFormatting sqref="CN49:CO50">
    <cfRule type="containsText" dxfId="65" priority="64" operator="containsText" text="Ex">
      <formula>NOT(ISERROR(SEARCH("Ex",CN49)))</formula>
    </cfRule>
    <cfRule type="containsText" dxfId="64" priority="65" operator="containsText" text="G">
      <formula>NOT(ISERROR(SEARCH("G",CN49)))</formula>
    </cfRule>
    <cfRule type="containsText" dxfId="63" priority="66" operator="containsText" text="P">
      <formula>NOT(ISERROR(SEARCH("P",CN49)))</formula>
    </cfRule>
  </conditionalFormatting>
  <conditionalFormatting sqref="AV93:AW94">
    <cfRule type="containsText" dxfId="62" priority="61" operator="containsText" text="Ex">
      <formula>NOT(ISERROR(SEARCH("Ex",AV93)))</formula>
    </cfRule>
    <cfRule type="containsText" dxfId="61" priority="62" operator="containsText" text="G">
      <formula>NOT(ISERROR(SEARCH("G",AV93)))</formula>
    </cfRule>
    <cfRule type="containsText" dxfId="60" priority="63" operator="containsText" text="P">
      <formula>NOT(ISERROR(SEARCH("P",AV93)))</formula>
    </cfRule>
  </conditionalFormatting>
  <conditionalFormatting sqref="CN53:CO54">
    <cfRule type="containsText" dxfId="59" priority="58" operator="containsText" text="Ex">
      <formula>NOT(ISERROR(SEARCH("Ex",CN53)))</formula>
    </cfRule>
    <cfRule type="containsText" dxfId="58" priority="59" operator="containsText" text="G">
      <formula>NOT(ISERROR(SEARCH("G",CN53)))</formula>
    </cfRule>
    <cfRule type="containsText" dxfId="57" priority="60" operator="containsText" text="P">
      <formula>NOT(ISERROR(SEARCH("P",CN53)))</formula>
    </cfRule>
  </conditionalFormatting>
  <conditionalFormatting sqref="AZ93:BA94">
    <cfRule type="containsText" dxfId="56" priority="55" operator="containsText" text="Ex">
      <formula>NOT(ISERROR(SEARCH("Ex",AZ93)))</formula>
    </cfRule>
    <cfRule type="containsText" dxfId="55" priority="56" operator="containsText" text="G">
      <formula>NOT(ISERROR(SEARCH("G",AZ93)))</formula>
    </cfRule>
    <cfRule type="containsText" dxfId="54" priority="57" operator="containsText" text="P">
      <formula>NOT(ISERROR(SEARCH("P",AZ93)))</formula>
    </cfRule>
  </conditionalFormatting>
  <conditionalFormatting sqref="CN57:CO58">
    <cfRule type="containsText" dxfId="53" priority="52" operator="containsText" text="Ex">
      <formula>NOT(ISERROR(SEARCH("Ex",CN57)))</formula>
    </cfRule>
    <cfRule type="containsText" dxfId="52" priority="53" operator="containsText" text="G">
      <formula>NOT(ISERROR(SEARCH("G",CN57)))</formula>
    </cfRule>
    <cfRule type="containsText" dxfId="51" priority="54" operator="containsText" text="P">
      <formula>NOT(ISERROR(SEARCH("P",CN57)))</formula>
    </cfRule>
  </conditionalFormatting>
  <conditionalFormatting sqref="BD93:BE94">
    <cfRule type="containsText" dxfId="50" priority="49" operator="containsText" text="Ex">
      <formula>NOT(ISERROR(SEARCH("Ex",BD93)))</formula>
    </cfRule>
    <cfRule type="containsText" dxfId="49" priority="50" operator="containsText" text="G">
      <formula>NOT(ISERROR(SEARCH("G",BD93)))</formula>
    </cfRule>
    <cfRule type="containsText" dxfId="48" priority="51" operator="containsText" text="P">
      <formula>NOT(ISERROR(SEARCH("P",BD93)))</formula>
    </cfRule>
  </conditionalFormatting>
  <conditionalFormatting sqref="CN61:CO62">
    <cfRule type="containsText" dxfId="47" priority="46" operator="containsText" text="Ex">
      <formula>NOT(ISERROR(SEARCH("Ex",CN61)))</formula>
    </cfRule>
    <cfRule type="containsText" dxfId="46" priority="47" operator="containsText" text="G">
      <formula>NOT(ISERROR(SEARCH("G",CN61)))</formula>
    </cfRule>
    <cfRule type="containsText" dxfId="45" priority="48" operator="containsText" text="P">
      <formula>NOT(ISERROR(SEARCH("P",CN61)))</formula>
    </cfRule>
  </conditionalFormatting>
  <conditionalFormatting sqref="BH93:BI94">
    <cfRule type="containsText" dxfId="44" priority="43" operator="containsText" text="Ex">
      <formula>NOT(ISERROR(SEARCH("Ex",BH93)))</formula>
    </cfRule>
    <cfRule type="containsText" dxfId="43" priority="44" operator="containsText" text="G">
      <formula>NOT(ISERROR(SEARCH("G",BH93)))</formula>
    </cfRule>
    <cfRule type="containsText" dxfId="42" priority="45" operator="containsText" text="P">
      <formula>NOT(ISERROR(SEARCH("P",BH93)))</formula>
    </cfRule>
  </conditionalFormatting>
  <conditionalFormatting sqref="CN65:CO66">
    <cfRule type="containsText" dxfId="41" priority="40" operator="containsText" text="Ex">
      <formula>NOT(ISERROR(SEARCH("Ex",CN65)))</formula>
    </cfRule>
    <cfRule type="containsText" dxfId="40" priority="41" operator="containsText" text="G">
      <formula>NOT(ISERROR(SEARCH("G",CN65)))</formula>
    </cfRule>
    <cfRule type="containsText" dxfId="39" priority="42" operator="containsText" text="P">
      <formula>NOT(ISERROR(SEARCH("P",CN65)))</formula>
    </cfRule>
  </conditionalFormatting>
  <conditionalFormatting sqref="BL93:BM94">
    <cfRule type="containsText" dxfId="38" priority="37" operator="containsText" text="Ex">
      <formula>NOT(ISERROR(SEARCH("Ex",BL93)))</formula>
    </cfRule>
    <cfRule type="containsText" dxfId="37" priority="38" operator="containsText" text="G">
      <formula>NOT(ISERROR(SEARCH("G",BL93)))</formula>
    </cfRule>
    <cfRule type="containsText" dxfId="36" priority="39" operator="containsText" text="P">
      <formula>NOT(ISERROR(SEARCH("P",BL93)))</formula>
    </cfRule>
  </conditionalFormatting>
  <conditionalFormatting sqref="CN69:CO70">
    <cfRule type="containsText" dxfId="35" priority="34" operator="containsText" text="Ex">
      <formula>NOT(ISERROR(SEARCH("Ex",CN69)))</formula>
    </cfRule>
    <cfRule type="containsText" dxfId="34" priority="35" operator="containsText" text="G">
      <formula>NOT(ISERROR(SEARCH("G",CN69)))</formula>
    </cfRule>
    <cfRule type="containsText" dxfId="33" priority="36" operator="containsText" text="P">
      <formula>NOT(ISERROR(SEARCH("P",CN69)))</formula>
    </cfRule>
  </conditionalFormatting>
  <conditionalFormatting sqref="BP93:BQ94">
    <cfRule type="containsText" dxfId="32" priority="31" operator="containsText" text="Ex">
      <formula>NOT(ISERROR(SEARCH("Ex",BP93)))</formula>
    </cfRule>
    <cfRule type="containsText" dxfId="31" priority="32" operator="containsText" text="G">
      <formula>NOT(ISERROR(SEARCH("G",BP93)))</formula>
    </cfRule>
    <cfRule type="containsText" dxfId="30" priority="33" operator="containsText" text="P">
      <formula>NOT(ISERROR(SEARCH("P",BP93)))</formula>
    </cfRule>
  </conditionalFormatting>
  <conditionalFormatting sqref="CN73:CO74">
    <cfRule type="containsText" dxfId="29" priority="28" operator="containsText" text="Ex">
      <formula>NOT(ISERROR(SEARCH("Ex",CN73)))</formula>
    </cfRule>
    <cfRule type="containsText" dxfId="28" priority="29" operator="containsText" text="G">
      <formula>NOT(ISERROR(SEARCH("G",CN73)))</formula>
    </cfRule>
    <cfRule type="containsText" dxfId="27" priority="30" operator="containsText" text="P">
      <formula>NOT(ISERROR(SEARCH("P",CN73)))</formula>
    </cfRule>
  </conditionalFormatting>
  <conditionalFormatting sqref="BT93:BU94">
    <cfRule type="containsText" dxfId="26" priority="25" operator="containsText" text="Ex">
      <formula>NOT(ISERROR(SEARCH("Ex",BT93)))</formula>
    </cfRule>
    <cfRule type="containsText" dxfId="25" priority="26" operator="containsText" text="G">
      <formula>NOT(ISERROR(SEARCH("G",BT93)))</formula>
    </cfRule>
    <cfRule type="containsText" dxfId="24" priority="27" operator="containsText" text="P">
      <formula>NOT(ISERROR(SEARCH("P",BT93)))</formula>
    </cfRule>
  </conditionalFormatting>
  <conditionalFormatting sqref="CN77:CO78">
    <cfRule type="containsText" dxfId="23" priority="22" operator="containsText" text="Ex">
      <formula>NOT(ISERROR(SEARCH("Ex",CN77)))</formula>
    </cfRule>
    <cfRule type="containsText" dxfId="22" priority="23" operator="containsText" text="G">
      <formula>NOT(ISERROR(SEARCH("G",CN77)))</formula>
    </cfRule>
    <cfRule type="containsText" dxfId="21" priority="24" operator="containsText" text="P">
      <formula>NOT(ISERROR(SEARCH("P",CN77)))</formula>
    </cfRule>
  </conditionalFormatting>
  <conditionalFormatting sqref="BX93:BY94">
    <cfRule type="containsText" dxfId="20" priority="19" operator="containsText" text="Ex">
      <formula>NOT(ISERROR(SEARCH("Ex",BX93)))</formula>
    </cfRule>
    <cfRule type="containsText" dxfId="19" priority="20" operator="containsText" text="G">
      <formula>NOT(ISERROR(SEARCH("G",BX93)))</formula>
    </cfRule>
    <cfRule type="containsText" dxfId="18" priority="21" operator="containsText" text="P">
      <formula>NOT(ISERROR(SEARCH("P",BX93)))</formula>
    </cfRule>
  </conditionalFormatting>
  <conditionalFormatting sqref="CN81:CO82">
    <cfRule type="containsText" dxfId="17" priority="16" operator="containsText" text="Ex">
      <formula>NOT(ISERROR(SEARCH("Ex",CN81)))</formula>
    </cfRule>
    <cfRule type="containsText" dxfId="16" priority="17" operator="containsText" text="G">
      <formula>NOT(ISERROR(SEARCH("G",CN81)))</formula>
    </cfRule>
    <cfRule type="containsText" dxfId="15" priority="18" operator="containsText" text="P">
      <formula>NOT(ISERROR(SEARCH("P",CN81)))</formula>
    </cfRule>
  </conditionalFormatting>
  <conditionalFormatting sqref="CB93:CC94">
    <cfRule type="containsText" dxfId="14" priority="13" operator="containsText" text="Ex">
      <formula>NOT(ISERROR(SEARCH("Ex",CB93)))</formula>
    </cfRule>
    <cfRule type="containsText" dxfId="13" priority="14" operator="containsText" text="G">
      <formula>NOT(ISERROR(SEARCH("G",CB93)))</formula>
    </cfRule>
    <cfRule type="containsText" dxfId="12" priority="15" operator="containsText" text="P">
      <formula>NOT(ISERROR(SEARCH("P",CB93)))</formula>
    </cfRule>
  </conditionalFormatting>
  <conditionalFormatting sqref="CN85:CO86">
    <cfRule type="containsText" dxfId="11" priority="10" operator="containsText" text="Ex">
      <formula>NOT(ISERROR(SEARCH("Ex",CN85)))</formula>
    </cfRule>
    <cfRule type="containsText" dxfId="10" priority="11" operator="containsText" text="G">
      <formula>NOT(ISERROR(SEARCH("G",CN85)))</formula>
    </cfRule>
    <cfRule type="containsText" dxfId="9" priority="12" operator="containsText" text="P">
      <formula>NOT(ISERROR(SEARCH("P",CN85)))</formula>
    </cfRule>
  </conditionalFormatting>
  <conditionalFormatting sqref="CF93:CG94">
    <cfRule type="containsText" dxfId="8" priority="7" operator="containsText" text="Ex">
      <formula>NOT(ISERROR(SEARCH("Ex",CF93)))</formula>
    </cfRule>
    <cfRule type="containsText" dxfId="7" priority="8" operator="containsText" text="G">
      <formula>NOT(ISERROR(SEARCH("G",CF93)))</formula>
    </cfRule>
    <cfRule type="containsText" dxfId="6" priority="9" operator="containsText" text="P">
      <formula>NOT(ISERROR(SEARCH("P",CF93)))</formula>
    </cfRule>
  </conditionalFormatting>
  <conditionalFormatting sqref="CN89:CO90">
    <cfRule type="containsText" dxfId="5" priority="4" operator="containsText" text="Ex">
      <formula>NOT(ISERROR(SEARCH("Ex",CN89)))</formula>
    </cfRule>
    <cfRule type="containsText" dxfId="4" priority="5" operator="containsText" text="G">
      <formula>NOT(ISERROR(SEARCH("G",CN89)))</formula>
    </cfRule>
    <cfRule type="containsText" dxfId="3" priority="6" operator="containsText" text="P">
      <formula>NOT(ISERROR(SEARCH("P",CN89)))</formula>
    </cfRule>
  </conditionalFormatting>
  <conditionalFormatting sqref="CJ93:CK94">
    <cfRule type="containsText" dxfId="2" priority="1" operator="containsText" text="Ex">
      <formula>NOT(ISERROR(SEARCH("Ex",CJ93)))</formula>
    </cfRule>
    <cfRule type="containsText" dxfId="1" priority="2" operator="containsText" text="G">
      <formula>NOT(ISERROR(SEARCH("G",CJ93)))</formula>
    </cfRule>
    <cfRule type="containsText" dxfId="0" priority="3" operator="containsText" text="P">
      <formula>NOT(ISERROR(SEARCH("P",CJ93)))</formula>
    </cfRule>
  </conditionalFormatting>
  <pageMargins left="0" right="0" top="0" bottom="0" header="0" footer="0"/>
  <pageSetup paperSize="9" scale="70" fitToWidth="2"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29"/>
  <sheetViews>
    <sheetView tabSelected="1" workbookViewId="0">
      <selection activeCell="B39" sqref="B39"/>
    </sheetView>
  </sheetViews>
  <sheetFormatPr baseColWidth="10" defaultRowHeight="15" x14ac:dyDescent="0.25"/>
  <cols>
    <col min="1" max="1" width="3.140625" customWidth="1"/>
    <col min="2" max="2" width="22.7109375" style="3" customWidth="1"/>
    <col min="3" max="3" width="11.42578125" style="3"/>
    <col min="4" max="4" width="12.85546875" style="3" customWidth="1"/>
    <col min="5" max="5" width="12.140625" customWidth="1"/>
    <col min="6" max="6" width="14.28515625" bestFit="1" customWidth="1"/>
  </cols>
  <sheetData>
    <row r="1" spans="2:6" s="34" customFormat="1" ht="15.75" customHeight="1" x14ac:dyDescent="0.3">
      <c r="B1" s="39" t="s">
        <v>28</v>
      </c>
      <c r="C1" s="37" t="str">
        <f>Competition</f>
        <v>1 Bande       (22 Joueurs)</v>
      </c>
      <c r="D1" s="36"/>
    </row>
    <row r="2" spans="2:6" ht="6" customHeight="1" x14ac:dyDescent="0.25"/>
    <row r="3" spans="2:6" s="34" customFormat="1" ht="15" customHeight="1" x14ac:dyDescent="0.3">
      <c r="B3" s="39" t="s">
        <v>29</v>
      </c>
      <c r="C3" s="38" t="str">
        <f>Annee</f>
        <v>Année 2024-2025</v>
      </c>
      <c r="D3" s="36"/>
      <c r="F3" s="45">
        <v>45723</v>
      </c>
    </row>
    <row r="4" spans="2:6" s="34" customFormat="1" ht="6" customHeight="1" x14ac:dyDescent="0.3">
      <c r="B4" s="36"/>
      <c r="C4" s="36"/>
      <c r="D4" s="36"/>
    </row>
    <row r="5" spans="2:6" s="34" customFormat="1" ht="15" customHeight="1" x14ac:dyDescent="0.3">
      <c r="B5" s="39" t="s">
        <v>30</v>
      </c>
      <c r="C5" s="39" t="s">
        <v>16</v>
      </c>
      <c r="D5" s="39" t="s">
        <v>27</v>
      </c>
      <c r="E5" s="39" t="s">
        <v>56</v>
      </c>
    </row>
    <row r="6" spans="2:6" ht="6" customHeight="1" x14ac:dyDescent="0.25"/>
    <row r="7" spans="2:6" s="35" customFormat="1" ht="16.5" customHeight="1" x14ac:dyDescent="0.25">
      <c r="B7" s="40" t="str">
        <f>Joueur7</f>
        <v>CRUZ Luis</v>
      </c>
      <c r="C7" s="41">
        <f>'Bande 23 Joueurs'!CS29</f>
        <v>36</v>
      </c>
      <c r="D7" s="42">
        <f>'Bande 23 Joueurs'!CS31</f>
        <v>1.062165522272261</v>
      </c>
      <c r="E7" s="44">
        <f>'Bande 23 Joueurs'!CS28</f>
        <v>12</v>
      </c>
    </row>
    <row r="8" spans="2:6" ht="16.5" customHeight="1" x14ac:dyDescent="0.25">
      <c r="B8" s="40" t="str">
        <f>Joueur17</f>
        <v>PALLUS Claude</v>
      </c>
      <c r="C8" s="41">
        <f>'Bande 23 Joueurs'!CS69</f>
        <v>32</v>
      </c>
      <c r="D8" s="42">
        <f>'Bande 23 Joueurs'!CS71</f>
        <v>0.8940466983239076</v>
      </c>
      <c r="E8" s="44">
        <f>'Bande 23 Joueurs'!CS68</f>
        <v>12</v>
      </c>
    </row>
    <row r="9" spans="2:6" ht="15.75" x14ac:dyDescent="0.25">
      <c r="B9" s="40" t="str">
        <f>Joueur10</f>
        <v>DOS REIS José</v>
      </c>
      <c r="C9" s="41">
        <f>'Bande 23 Joueurs'!CS41</f>
        <v>25</v>
      </c>
      <c r="D9" s="42">
        <f>'Bande 23 Joueurs'!CS43</f>
        <v>0.72409573720386278</v>
      </c>
      <c r="E9" s="44">
        <f>'Bande 23 Joueurs'!CS40</f>
        <v>11</v>
      </c>
    </row>
    <row r="10" spans="2:6" ht="15.75" x14ac:dyDescent="0.25">
      <c r="B10" s="40" t="str">
        <f>Joueur13</f>
        <v>LE NOACH Patrick</v>
      </c>
      <c r="C10" s="41">
        <f>'Bande 23 Joueurs'!CS53</f>
        <v>27</v>
      </c>
      <c r="D10" s="42">
        <f>'Bande 23 Joueurs'!CS55</f>
        <v>1.3033633990767794</v>
      </c>
      <c r="E10" s="44">
        <f>'Bande 23 Joueurs'!CS52</f>
        <v>13</v>
      </c>
    </row>
    <row r="11" spans="2:6" ht="15.75" x14ac:dyDescent="0.25">
      <c r="B11" s="40" t="str">
        <f>Joueur16</f>
        <v>MARILLAUD Pierre</v>
      </c>
      <c r="C11" s="41">
        <f>'Bande 23 Joueurs'!CS65</f>
        <v>23</v>
      </c>
      <c r="D11" s="42">
        <f>'Bande 23 Joueurs'!CS67</f>
        <v>0.64581172110682428</v>
      </c>
      <c r="E11" s="44">
        <f>'Bande 23 Joueurs'!CS64</f>
        <v>13</v>
      </c>
    </row>
    <row r="12" spans="2:6" ht="15.75" x14ac:dyDescent="0.25">
      <c r="B12" s="40" t="str">
        <f>Joueur22</f>
        <v>VACHER J-René</v>
      </c>
      <c r="C12" s="41">
        <f>'Bande 23 Joueurs'!CS89</f>
        <v>24</v>
      </c>
      <c r="D12" s="42">
        <f>'Bande 23 Joueurs'!CS91</f>
        <v>0.56818577913562351</v>
      </c>
      <c r="E12" s="44">
        <f>'Bande 23 Joueurs'!CS88</f>
        <v>14</v>
      </c>
    </row>
    <row r="13" spans="2:6" ht="15.75" x14ac:dyDescent="0.25">
      <c r="B13" s="40" t="str">
        <f>Joueur5</f>
        <v>CHAUVIN Roland</v>
      </c>
      <c r="C13" s="41">
        <f>'Bande 23 Joueurs'!CS21</f>
        <v>15</v>
      </c>
      <c r="D13" s="42">
        <f>'Bande 23 Joueurs'!CS23</f>
        <v>0.53232805418166895</v>
      </c>
      <c r="E13" s="44">
        <f>'Bande 23 Joueurs'!CS20</f>
        <v>9</v>
      </c>
    </row>
    <row r="14" spans="2:6" ht="15.75" x14ac:dyDescent="0.25">
      <c r="B14" s="40" t="str">
        <f>Joueur11</f>
        <v>GUEGAN   J-Marie</v>
      </c>
      <c r="C14" s="41">
        <f>'Bande 23 Joueurs'!CS45</f>
        <v>21</v>
      </c>
      <c r="D14" s="42">
        <f>'Bande 23 Joueurs'!CS47</f>
        <v>0.40072340942193863</v>
      </c>
      <c r="E14" s="44">
        <f>'Bande 23 Joueurs'!CS44</f>
        <v>10</v>
      </c>
    </row>
    <row r="15" spans="2:6" ht="15.75" x14ac:dyDescent="0.25">
      <c r="B15" s="40" t="str">
        <f>Joueur8</f>
        <v>DENIS Didier</v>
      </c>
      <c r="C15" s="41">
        <f>'Bande 23 Joueurs'!CS33</f>
        <v>14</v>
      </c>
      <c r="D15" s="42">
        <f>'Bande 23 Joueurs'!CS35</f>
        <v>0.96877494768022787</v>
      </c>
      <c r="E15" s="44">
        <f>'Bande 23 Joueurs'!CS32</f>
        <v>12</v>
      </c>
    </row>
    <row r="16" spans="2:6" ht="15.75" x14ac:dyDescent="0.25">
      <c r="B16" s="40" t="str">
        <f>Joueur1</f>
        <v>BARICAULT j-Christophe</v>
      </c>
      <c r="C16" s="41">
        <f>'Bande 23 Joueurs'!CS5</f>
        <v>15</v>
      </c>
      <c r="D16" s="42">
        <f>'Bande 23 Joueurs'!CS7</f>
        <v>0.63405394530814452</v>
      </c>
      <c r="E16" s="44">
        <f>'Bande 23 Joueurs'!CS4</f>
        <v>7</v>
      </c>
    </row>
    <row r="17" spans="2:5" ht="15.75" x14ac:dyDescent="0.25">
      <c r="B17" s="40" t="str">
        <f>Joueur3</f>
        <v>CARVALHO Raul</v>
      </c>
      <c r="C17" s="41">
        <f>'Bande 23 Joueurs'!CS13</f>
        <v>13</v>
      </c>
      <c r="D17" s="42">
        <f>'Bande 23 Joueurs'!CS15</f>
        <v>0.72783373991357192</v>
      </c>
      <c r="E17" s="44">
        <f>'Bande 23 Joueurs'!CS12</f>
        <v>8</v>
      </c>
    </row>
    <row r="18" spans="2:5" ht="15.75" x14ac:dyDescent="0.25">
      <c r="B18" s="40" t="str">
        <f>Joueur14</f>
        <v>LEGROS Philippe</v>
      </c>
      <c r="C18" s="41">
        <f>'Bande 23 Joueurs'!CS57</f>
        <v>16</v>
      </c>
      <c r="D18" s="42">
        <f>'Bande 23 Joueurs'!CS59</f>
        <v>0.41007230855050603</v>
      </c>
      <c r="E18" s="44">
        <f>'Bande 23 Joueurs'!CS56</f>
        <v>8</v>
      </c>
    </row>
    <row r="19" spans="2:5" ht="15.75" x14ac:dyDescent="0.25">
      <c r="B19" s="40" t="str">
        <f>Joueur15</f>
        <v>LEON Michel</v>
      </c>
      <c r="C19" s="41">
        <f>'Bande 23 Joueurs'!CS61</f>
        <v>11</v>
      </c>
      <c r="D19" s="42">
        <f>'Bande 23 Joueurs'!CS63</f>
        <v>0.41079689543550213</v>
      </c>
      <c r="E19" s="44">
        <f>'Bande 23 Joueurs'!CS60</f>
        <v>5</v>
      </c>
    </row>
    <row r="20" spans="2:5" ht="15.75" x14ac:dyDescent="0.25">
      <c r="B20" s="40" t="str">
        <f>Joueur18</f>
        <v>PARIS Michel</v>
      </c>
      <c r="C20" s="41">
        <f>'Bande 23 Joueurs'!CS73</f>
        <v>7</v>
      </c>
      <c r="D20" s="42">
        <f>'Bande 23 Joueurs'!CS75</f>
        <v>0.56068338541418716</v>
      </c>
      <c r="E20" s="44">
        <f>'Bande 23 Joueurs'!CS72</f>
        <v>7</v>
      </c>
    </row>
    <row r="21" spans="2:5" ht="15.75" x14ac:dyDescent="0.25">
      <c r="B21" s="40" t="str">
        <f>Joueur20</f>
        <v>ROJA  René</v>
      </c>
      <c r="C21" s="41">
        <f>'Bande 23 Joueurs'!CS81</f>
        <v>9</v>
      </c>
      <c r="D21" s="42">
        <f>'Bande 23 Joueurs'!CS83</f>
        <v>0.43558976637956126</v>
      </c>
      <c r="E21" s="44">
        <f>'Bande 23 Joueurs'!CS80</f>
        <v>5</v>
      </c>
    </row>
    <row r="22" spans="2:5" ht="15.75" x14ac:dyDescent="0.25">
      <c r="B22" s="40" t="str">
        <f>Joueur9</f>
        <v>DEVAUD Marcel</v>
      </c>
      <c r="C22" s="41">
        <f>'Bande 23 Joueurs'!CS37</f>
        <v>10</v>
      </c>
      <c r="D22" s="42">
        <f>'Bande 23 Joueurs'!CS39</f>
        <v>1.2697132616487454</v>
      </c>
      <c r="E22" s="44">
        <f>'Bande 23 Joueurs'!CS36</f>
        <v>4</v>
      </c>
    </row>
    <row r="23" spans="2:5" ht="15.75" x14ac:dyDescent="0.25">
      <c r="B23" s="40" t="str">
        <f>Joueur6</f>
        <v>CONCHON  J-Pierre</v>
      </c>
      <c r="C23" s="41">
        <f>'Bande 23 Joueurs'!CS25</f>
        <v>4</v>
      </c>
      <c r="D23" s="42">
        <f>'Bande 23 Joueurs'!CS27</f>
        <v>1.0288461538461537</v>
      </c>
      <c r="E23" s="44">
        <f>'Bande 23 Joueurs'!CS24</f>
        <v>2</v>
      </c>
    </row>
    <row r="24" spans="2:5" ht="15.75" x14ac:dyDescent="0.25">
      <c r="B24" s="40" t="str">
        <f>Joueur21</f>
        <v>SOARES J-Manuel</v>
      </c>
      <c r="C24" s="41">
        <f>'Bande 23 Joueurs'!CS85</f>
        <v>8</v>
      </c>
      <c r="D24" s="42">
        <f>'Bande 23 Joueurs'!CS87</f>
        <v>0.89920824789245846</v>
      </c>
      <c r="E24" s="44">
        <f>'Bande 23 Joueurs'!CS84</f>
        <v>4</v>
      </c>
    </row>
    <row r="25" spans="2:5" ht="15.75" x14ac:dyDescent="0.25">
      <c r="B25" s="40" t="str">
        <f>Joueur4</f>
        <v>CHAS Thierry</v>
      </c>
      <c r="C25" s="41">
        <f>'Bande 23 Joueurs'!CS17</f>
        <v>4</v>
      </c>
      <c r="D25" s="42">
        <f>'Bande 23 Joueurs'!CS19</f>
        <v>0.46967963386727685</v>
      </c>
      <c r="E25" s="44">
        <f>'Bande 23 Joueurs'!CS16</f>
        <v>2</v>
      </c>
    </row>
    <row r="26" spans="2:5" ht="15.75" x14ac:dyDescent="0.25">
      <c r="B26" s="40" t="str">
        <f>Joueur12</f>
        <v>LARCHET Guy</v>
      </c>
      <c r="C26" s="41">
        <f>'Bande 23 Joueurs'!CS49</f>
        <v>6</v>
      </c>
      <c r="D26" s="42">
        <f>'Bande 23 Joueurs'!CS51</f>
        <v>0.78947368421052633</v>
      </c>
      <c r="E26" s="44">
        <f>'Bande 23 Joueurs'!CS48</f>
        <v>2</v>
      </c>
    </row>
    <row r="27" spans="2:5" ht="15.75" x14ac:dyDescent="0.25">
      <c r="B27" s="40" t="str">
        <f>Joueur19</f>
        <v>REFAUVELET Christian</v>
      </c>
      <c r="C27" s="41">
        <f>'Bande 23 Joueurs'!CS77</f>
        <v>1</v>
      </c>
      <c r="D27" s="42">
        <f>'Bande 23 Joueurs'!CS79</f>
        <v>0.8</v>
      </c>
      <c r="E27" s="44">
        <f>'Bande 23 Joueurs'!CS76</f>
        <v>1</v>
      </c>
    </row>
    <row r="28" spans="2:5" ht="15.75" x14ac:dyDescent="0.25">
      <c r="B28" s="40" t="str">
        <f>Joueur2</f>
        <v>BOURE Laurent</v>
      </c>
      <c r="C28" s="41">
        <f>'Bande 23 Joueurs'!CS9</f>
        <v>0</v>
      </c>
      <c r="D28" s="42">
        <f>'Bande 23 Joueurs'!CS11</f>
        <v>0</v>
      </c>
      <c r="E28" s="44">
        <f>'Bande 23 Joueurs'!CS46</f>
        <v>0</v>
      </c>
    </row>
    <row r="29" spans="2:5" ht="15.75" x14ac:dyDescent="0.25">
      <c r="B29" s="40" t="str">
        <f>Joueur23</f>
        <v>Joueur 23</v>
      </c>
      <c r="C29" s="41">
        <f>'Bande 23 Joueurs'!CS93</f>
        <v>0</v>
      </c>
      <c r="D29" s="42">
        <f>'Bande 23 Joueurs'!CS95</f>
        <v>0</v>
      </c>
      <c r="E29" s="44">
        <f>'Bande 23 Joueurs'!CS50</f>
        <v>0</v>
      </c>
    </row>
  </sheetData>
  <sortState ref="B7:E29">
    <sortCondition descending="1" ref="C7"/>
  </sortState>
  <pageMargins left="0.7" right="0.7" top="0.75" bottom="0.75" header="0.3" footer="0.3"/>
  <pageSetup paperSize="9" orientation="portrait"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55</vt:i4>
      </vt:variant>
    </vt:vector>
  </HeadingPairs>
  <TitlesOfParts>
    <vt:vector size="57" baseType="lpstr">
      <vt:lpstr>Bande 23 Joueurs</vt:lpstr>
      <vt:lpstr>Classement</vt:lpstr>
      <vt:lpstr>Annee</vt:lpstr>
      <vt:lpstr>Competition</vt:lpstr>
      <vt:lpstr>Exaequo</vt:lpstr>
      <vt:lpstr>Gagne</vt:lpstr>
      <vt:lpstr>Handicap1</vt:lpstr>
      <vt:lpstr>Handicap10</vt:lpstr>
      <vt:lpstr>Handicap11</vt:lpstr>
      <vt:lpstr>Handicap12</vt:lpstr>
      <vt:lpstr>Handicap13</vt:lpstr>
      <vt:lpstr>hANDICAP14</vt:lpstr>
      <vt:lpstr>Handicap15</vt:lpstr>
      <vt:lpstr>Handicap16</vt:lpstr>
      <vt:lpstr>Handicap17</vt:lpstr>
      <vt:lpstr>Handicap18</vt:lpstr>
      <vt:lpstr>Handicap19</vt:lpstr>
      <vt:lpstr>Handicap2</vt:lpstr>
      <vt:lpstr>Handicap20</vt:lpstr>
      <vt:lpstr>Handicap21</vt:lpstr>
      <vt:lpstr>Handicap22</vt:lpstr>
      <vt:lpstr>Handicap23</vt:lpstr>
      <vt:lpstr>Handicap3</vt:lpstr>
      <vt:lpstr>Handicap4</vt:lpstr>
      <vt:lpstr>Handicap5</vt:lpstr>
      <vt:lpstr>Handicap6</vt:lpstr>
      <vt:lpstr>Handicap7</vt:lpstr>
      <vt:lpstr>Handicap8</vt:lpstr>
      <vt:lpstr>Handicap9</vt:lpstr>
      <vt:lpstr>Joueur_numéro_1</vt:lpstr>
      <vt:lpstr>Joueur1</vt:lpstr>
      <vt:lpstr>Joueur10</vt:lpstr>
      <vt:lpstr>Joueur11</vt:lpstr>
      <vt:lpstr>Joueur12</vt:lpstr>
      <vt:lpstr>Joueur13</vt:lpstr>
      <vt:lpstr>Joueur14</vt:lpstr>
      <vt:lpstr>Joueur15</vt:lpstr>
      <vt:lpstr>Joueur16</vt:lpstr>
      <vt:lpstr>Joueur17</vt:lpstr>
      <vt:lpstr>Joueur18</vt:lpstr>
      <vt:lpstr>Joueur19</vt:lpstr>
      <vt:lpstr>Joueur2</vt:lpstr>
      <vt:lpstr>Joueur20</vt:lpstr>
      <vt:lpstr>Joueur21</vt:lpstr>
      <vt:lpstr>Joueur22</vt:lpstr>
      <vt:lpstr>Joueur23</vt:lpstr>
      <vt:lpstr>Joueur3</vt:lpstr>
      <vt:lpstr>Joueur4</vt:lpstr>
      <vt:lpstr>Joueur5</vt:lpstr>
      <vt:lpstr>Joueur6</vt:lpstr>
      <vt:lpstr>Joueur7</vt:lpstr>
      <vt:lpstr>Joueur8</vt:lpstr>
      <vt:lpstr>Joueur9</vt:lpstr>
      <vt:lpstr>Non_effect</vt:lpstr>
      <vt:lpstr>Perdu</vt:lpstr>
      <vt:lpstr>Rep</vt:lpstr>
      <vt:lpstr>toto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Didier</dc:creator>
  <cp:lastModifiedBy>Utilisateur</cp:lastModifiedBy>
  <cp:lastPrinted>2025-03-07T17:01:25Z</cp:lastPrinted>
  <dcterms:created xsi:type="dcterms:W3CDTF">2020-10-04T11:28:07Z</dcterms:created>
  <dcterms:modified xsi:type="dcterms:W3CDTF">2025-04-25T15:44:47Z</dcterms:modified>
</cp:coreProperties>
</file>